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18613\Desktop\cursor\FundsMonitor-CIQ\auto_update\process_data\"/>
    </mc:Choice>
  </mc:AlternateContent>
  <xr:revisionPtr revIDLastSave="0" documentId="13_ncr:1_{A4EF343F-3EDE-445C-BC0B-75D516836DE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ice" sheetId="1" r:id="rId1"/>
  </sheets>
  <definedNames>
    <definedName name="CIQWBGuid" hidden="1">"725b8ef4-e4c0-4f96-a80d-99cc23fe8820"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"08/04/2025 00:55:56"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1" i="1" l="1"/>
  <c r="X171" i="1"/>
  <c r="Q171" i="1"/>
  <c r="R171" i="1"/>
  <c r="S171" i="1"/>
  <c r="T171" i="1"/>
  <c r="U171" i="1"/>
  <c r="V171" i="1"/>
  <c r="K171" i="1"/>
  <c r="L171" i="1"/>
  <c r="M171" i="1"/>
  <c r="N171" i="1"/>
  <c r="O171" i="1"/>
  <c r="P171" i="1"/>
  <c r="E171" i="1"/>
  <c r="F171" i="1"/>
  <c r="G171" i="1"/>
  <c r="H171" i="1"/>
  <c r="I171" i="1"/>
  <c r="J171" i="1"/>
  <c r="V170" i="1"/>
  <c r="W170" i="1"/>
  <c r="X170" i="1"/>
  <c r="B171" i="1"/>
  <c r="C171" i="1"/>
  <c r="D171" i="1"/>
  <c r="P170" i="1"/>
  <c r="Q170" i="1"/>
  <c r="R170" i="1"/>
  <c r="S170" i="1"/>
  <c r="T170" i="1"/>
  <c r="U170" i="1"/>
  <c r="J170" i="1"/>
  <c r="K170" i="1"/>
  <c r="L170" i="1"/>
  <c r="M170" i="1"/>
  <c r="N170" i="1"/>
  <c r="O170" i="1"/>
  <c r="D170" i="1"/>
  <c r="E170" i="1"/>
  <c r="F170" i="1"/>
  <c r="G170" i="1"/>
  <c r="H170" i="1"/>
  <c r="I170" i="1"/>
  <c r="U169" i="1"/>
  <c r="V169" i="1"/>
  <c r="W169" i="1"/>
  <c r="X169" i="1"/>
  <c r="B170" i="1"/>
  <c r="C170" i="1"/>
  <c r="O169" i="1"/>
  <c r="P169" i="1"/>
  <c r="Q169" i="1"/>
  <c r="R169" i="1"/>
  <c r="S169" i="1"/>
  <c r="T169" i="1"/>
  <c r="I169" i="1"/>
  <c r="J169" i="1"/>
  <c r="K169" i="1"/>
  <c r="L169" i="1"/>
  <c r="M169" i="1"/>
  <c r="N169" i="1"/>
  <c r="C169" i="1"/>
  <c r="D169" i="1"/>
  <c r="E169" i="1"/>
  <c r="F169" i="1"/>
  <c r="G169" i="1"/>
  <c r="H169" i="1"/>
  <c r="T168" i="1"/>
  <c r="U168" i="1"/>
  <c r="V168" i="1"/>
  <c r="W168" i="1"/>
  <c r="X168" i="1"/>
  <c r="B169" i="1"/>
  <c r="N168" i="1"/>
  <c r="O168" i="1"/>
  <c r="P168" i="1"/>
  <c r="Q168" i="1"/>
  <c r="R168" i="1"/>
  <c r="S168" i="1"/>
  <c r="H168" i="1"/>
  <c r="I168" i="1"/>
  <c r="J168" i="1"/>
  <c r="K168" i="1"/>
  <c r="L168" i="1"/>
  <c r="M168" i="1"/>
  <c r="B168" i="1"/>
  <c r="C168" i="1"/>
  <c r="D168" i="1"/>
  <c r="E168" i="1"/>
  <c r="F168" i="1"/>
  <c r="G168" i="1"/>
  <c r="S167" i="1"/>
  <c r="T167" i="1"/>
  <c r="U167" i="1"/>
  <c r="V167" i="1"/>
  <c r="W167" i="1"/>
  <c r="X167" i="1"/>
  <c r="M167" i="1"/>
  <c r="N167" i="1"/>
  <c r="O167" i="1"/>
  <c r="P167" i="1"/>
  <c r="Q167" i="1"/>
  <c r="R167" i="1"/>
  <c r="G167" i="1"/>
  <c r="H167" i="1"/>
  <c r="I167" i="1"/>
  <c r="J167" i="1"/>
  <c r="K167" i="1"/>
  <c r="L167" i="1"/>
  <c r="X166" i="1"/>
  <c r="B167" i="1"/>
  <c r="C167" i="1"/>
  <c r="D167" i="1"/>
  <c r="E167" i="1"/>
  <c r="F167" i="1"/>
  <c r="R166" i="1"/>
  <c r="S166" i="1"/>
  <c r="T166" i="1"/>
  <c r="U166" i="1"/>
  <c r="V166" i="1"/>
  <c r="W166" i="1"/>
  <c r="L166" i="1"/>
  <c r="M166" i="1"/>
  <c r="N166" i="1"/>
  <c r="O166" i="1"/>
  <c r="P166" i="1"/>
  <c r="Q166" i="1"/>
  <c r="F166" i="1"/>
  <c r="G166" i="1"/>
  <c r="H166" i="1"/>
  <c r="I166" i="1"/>
  <c r="J166" i="1"/>
  <c r="K166" i="1"/>
  <c r="W165" i="1"/>
  <c r="X165" i="1"/>
  <c r="B166" i="1"/>
  <c r="C166" i="1"/>
  <c r="D166" i="1"/>
  <c r="E166" i="1"/>
  <c r="Q165" i="1"/>
  <c r="R165" i="1"/>
  <c r="S165" i="1"/>
  <c r="T165" i="1"/>
  <c r="U165" i="1"/>
  <c r="V165" i="1"/>
  <c r="K165" i="1"/>
  <c r="L165" i="1"/>
  <c r="M165" i="1"/>
  <c r="N165" i="1"/>
  <c r="O165" i="1"/>
  <c r="P165" i="1"/>
  <c r="E165" i="1"/>
  <c r="F165" i="1"/>
  <c r="G165" i="1"/>
  <c r="H165" i="1"/>
  <c r="I165" i="1"/>
  <c r="J165" i="1"/>
  <c r="V164" i="1"/>
  <c r="W164" i="1"/>
  <c r="X164" i="1"/>
  <c r="B165" i="1"/>
  <c r="C165" i="1"/>
  <c r="D165" i="1"/>
  <c r="P164" i="1"/>
  <c r="Q164" i="1"/>
  <c r="R164" i="1"/>
  <c r="S164" i="1"/>
  <c r="T164" i="1"/>
  <c r="U164" i="1"/>
  <c r="J164" i="1"/>
  <c r="K164" i="1"/>
  <c r="L164" i="1"/>
  <c r="M164" i="1"/>
  <c r="N164" i="1"/>
  <c r="O164" i="1"/>
  <c r="D164" i="1"/>
  <c r="E164" i="1"/>
  <c r="F164" i="1"/>
  <c r="G164" i="1"/>
  <c r="H164" i="1"/>
  <c r="I164" i="1"/>
  <c r="U163" i="1"/>
  <c r="V163" i="1"/>
  <c r="W163" i="1"/>
  <c r="X163" i="1"/>
  <c r="B164" i="1"/>
  <c r="C164" i="1"/>
  <c r="O163" i="1"/>
  <c r="P163" i="1"/>
  <c r="Q163" i="1"/>
  <c r="R163" i="1"/>
  <c r="S163" i="1"/>
  <c r="T163" i="1"/>
  <c r="I163" i="1"/>
  <c r="J163" i="1"/>
  <c r="K163" i="1"/>
  <c r="L163" i="1"/>
  <c r="M163" i="1"/>
  <c r="N163" i="1"/>
  <c r="C163" i="1"/>
  <c r="D163" i="1"/>
  <c r="E163" i="1"/>
  <c r="F163" i="1"/>
  <c r="G163" i="1"/>
  <c r="H163" i="1"/>
  <c r="T162" i="1"/>
  <c r="U162" i="1"/>
  <c r="V162" i="1"/>
  <c r="W162" i="1"/>
  <c r="X162" i="1"/>
  <c r="B163" i="1"/>
  <c r="N162" i="1"/>
  <c r="O162" i="1"/>
  <c r="P162" i="1"/>
  <c r="Q162" i="1"/>
  <c r="R162" i="1"/>
  <c r="S162" i="1"/>
  <c r="H162" i="1"/>
  <c r="I162" i="1"/>
  <c r="J162" i="1"/>
  <c r="K162" i="1"/>
  <c r="L162" i="1"/>
  <c r="M162" i="1"/>
  <c r="B162" i="1"/>
  <c r="C162" i="1"/>
  <c r="D162" i="1"/>
  <c r="E162" i="1"/>
  <c r="F162" i="1"/>
  <c r="G162" i="1"/>
  <c r="S161" i="1"/>
  <c r="T161" i="1"/>
  <c r="U161" i="1"/>
  <c r="V161" i="1"/>
  <c r="W161" i="1"/>
  <c r="X161" i="1"/>
  <c r="M161" i="1"/>
  <c r="N161" i="1"/>
  <c r="O161" i="1"/>
  <c r="P161" i="1"/>
  <c r="Q161" i="1"/>
  <c r="R161" i="1"/>
  <c r="G161" i="1"/>
  <c r="H161" i="1"/>
  <c r="I161" i="1"/>
  <c r="J161" i="1"/>
  <c r="K161" i="1"/>
  <c r="L161" i="1"/>
  <c r="X160" i="1"/>
  <c r="B161" i="1"/>
  <c r="C161" i="1"/>
  <c r="D161" i="1"/>
  <c r="E161" i="1"/>
  <c r="F161" i="1"/>
  <c r="R160" i="1"/>
  <c r="S160" i="1"/>
  <c r="T160" i="1"/>
  <c r="U160" i="1"/>
  <c r="V160" i="1"/>
  <c r="W160" i="1"/>
  <c r="L160" i="1"/>
  <c r="M160" i="1"/>
  <c r="N160" i="1"/>
  <c r="O160" i="1"/>
  <c r="P160" i="1"/>
  <c r="Q160" i="1"/>
  <c r="F160" i="1"/>
  <c r="G160" i="1"/>
  <c r="H160" i="1"/>
  <c r="I160" i="1"/>
  <c r="J160" i="1"/>
  <c r="K160" i="1"/>
  <c r="W159" i="1"/>
  <c r="X159" i="1"/>
  <c r="B160" i="1"/>
  <c r="C160" i="1"/>
  <c r="D160" i="1"/>
  <c r="E160" i="1"/>
  <c r="Q159" i="1"/>
  <c r="R159" i="1"/>
  <c r="S159" i="1"/>
  <c r="T159" i="1"/>
  <c r="U159" i="1"/>
  <c r="V159" i="1"/>
  <c r="K159" i="1"/>
  <c r="L159" i="1"/>
  <c r="M159" i="1"/>
  <c r="N159" i="1"/>
  <c r="O159" i="1"/>
  <c r="P159" i="1"/>
  <c r="E159" i="1"/>
  <c r="F159" i="1"/>
  <c r="G159" i="1"/>
  <c r="H159" i="1"/>
  <c r="I159" i="1"/>
  <c r="J159" i="1"/>
  <c r="V158" i="1"/>
  <c r="W158" i="1"/>
  <c r="X158" i="1"/>
  <c r="B159" i="1"/>
  <c r="C159" i="1"/>
  <c r="D159" i="1"/>
  <c r="P158" i="1"/>
  <c r="Q158" i="1"/>
  <c r="R158" i="1"/>
  <c r="S158" i="1"/>
  <c r="T158" i="1"/>
  <c r="U158" i="1"/>
  <c r="J158" i="1"/>
  <c r="K158" i="1"/>
  <c r="L158" i="1"/>
  <c r="M158" i="1"/>
  <c r="N158" i="1"/>
  <c r="O158" i="1"/>
  <c r="D158" i="1"/>
  <c r="E158" i="1"/>
  <c r="F158" i="1"/>
  <c r="G158" i="1"/>
  <c r="H158" i="1"/>
  <c r="I158" i="1"/>
  <c r="U157" i="1"/>
  <c r="V157" i="1"/>
  <c r="W157" i="1"/>
  <c r="X157" i="1"/>
  <c r="B158" i="1"/>
  <c r="C158" i="1"/>
  <c r="O157" i="1"/>
  <c r="P157" i="1"/>
  <c r="Q157" i="1"/>
  <c r="R157" i="1"/>
  <c r="S157" i="1"/>
  <c r="T157" i="1"/>
  <c r="I157" i="1"/>
  <c r="J157" i="1"/>
  <c r="K157" i="1"/>
  <c r="L157" i="1"/>
  <c r="M157" i="1"/>
  <c r="N157" i="1"/>
  <c r="C157" i="1"/>
  <c r="D157" i="1"/>
  <c r="E157" i="1"/>
  <c r="F157" i="1"/>
  <c r="G157" i="1"/>
  <c r="H157" i="1"/>
  <c r="T156" i="1"/>
  <c r="U156" i="1"/>
  <c r="V156" i="1"/>
  <c r="W156" i="1"/>
  <c r="X156" i="1"/>
  <c r="B157" i="1"/>
  <c r="N156" i="1"/>
  <c r="O156" i="1"/>
  <c r="P156" i="1"/>
  <c r="Q156" i="1"/>
  <c r="R156" i="1"/>
  <c r="S156" i="1"/>
  <c r="H156" i="1"/>
  <c r="I156" i="1"/>
  <c r="J156" i="1"/>
  <c r="K156" i="1"/>
  <c r="L156" i="1"/>
  <c r="M156" i="1"/>
  <c r="B156" i="1"/>
  <c r="C156" i="1"/>
  <c r="D156" i="1"/>
  <c r="E156" i="1"/>
  <c r="F156" i="1"/>
  <c r="G156" i="1"/>
  <c r="S155" i="1"/>
  <c r="T155" i="1"/>
  <c r="U155" i="1"/>
  <c r="V155" i="1"/>
  <c r="W155" i="1"/>
  <c r="X155" i="1"/>
  <c r="M155" i="1"/>
  <c r="N155" i="1"/>
  <c r="O155" i="1"/>
  <c r="P155" i="1"/>
  <c r="Q155" i="1"/>
  <c r="R155" i="1"/>
  <c r="G155" i="1"/>
  <c r="H155" i="1"/>
  <c r="I155" i="1"/>
  <c r="J155" i="1"/>
  <c r="K155" i="1"/>
  <c r="L155" i="1"/>
  <c r="X154" i="1"/>
  <c r="B155" i="1"/>
  <c r="C155" i="1"/>
  <c r="D155" i="1"/>
  <c r="E155" i="1"/>
  <c r="F155" i="1"/>
  <c r="R154" i="1"/>
  <c r="S154" i="1"/>
  <c r="T154" i="1"/>
  <c r="U154" i="1"/>
  <c r="V154" i="1"/>
  <c r="W154" i="1"/>
  <c r="L154" i="1"/>
  <c r="M154" i="1"/>
  <c r="N154" i="1"/>
  <c r="O154" i="1"/>
  <c r="P154" i="1"/>
  <c r="Q154" i="1"/>
  <c r="F154" i="1"/>
  <c r="G154" i="1"/>
  <c r="H154" i="1"/>
  <c r="I154" i="1"/>
  <c r="J154" i="1"/>
  <c r="K154" i="1"/>
  <c r="W153" i="1"/>
  <c r="X153" i="1"/>
  <c r="B154" i="1"/>
  <c r="C154" i="1"/>
  <c r="D154" i="1"/>
  <c r="E154" i="1"/>
  <c r="Q153" i="1"/>
  <c r="R153" i="1"/>
  <c r="S153" i="1"/>
  <c r="T153" i="1"/>
  <c r="U153" i="1"/>
  <c r="V153" i="1"/>
  <c r="K153" i="1"/>
  <c r="L153" i="1"/>
  <c r="M153" i="1"/>
  <c r="N153" i="1"/>
  <c r="O153" i="1"/>
  <c r="P153" i="1"/>
  <c r="E153" i="1"/>
  <c r="F153" i="1"/>
  <c r="G153" i="1"/>
  <c r="H153" i="1"/>
  <c r="I153" i="1"/>
  <c r="J153" i="1"/>
  <c r="V152" i="1"/>
  <c r="W152" i="1"/>
  <c r="X152" i="1"/>
  <c r="B153" i="1"/>
  <c r="C153" i="1"/>
  <c r="D153" i="1"/>
  <c r="P152" i="1"/>
  <c r="Q152" i="1"/>
  <c r="R152" i="1"/>
  <c r="S152" i="1"/>
  <c r="T152" i="1"/>
  <c r="U152" i="1"/>
  <c r="J152" i="1"/>
  <c r="K152" i="1"/>
  <c r="L152" i="1"/>
  <c r="M152" i="1"/>
  <c r="N152" i="1"/>
  <c r="O152" i="1"/>
  <c r="D152" i="1"/>
  <c r="E152" i="1"/>
  <c r="F152" i="1"/>
  <c r="G152" i="1"/>
  <c r="H152" i="1"/>
  <c r="I152" i="1"/>
  <c r="U151" i="1"/>
  <c r="V151" i="1"/>
  <c r="W151" i="1"/>
  <c r="X151" i="1"/>
  <c r="B152" i="1"/>
  <c r="C152" i="1"/>
  <c r="O151" i="1"/>
  <c r="P151" i="1"/>
  <c r="Q151" i="1"/>
  <c r="R151" i="1"/>
  <c r="S151" i="1"/>
  <c r="T151" i="1"/>
  <c r="I151" i="1"/>
  <c r="J151" i="1"/>
  <c r="K151" i="1"/>
  <c r="L151" i="1"/>
  <c r="M151" i="1"/>
  <c r="N151" i="1"/>
  <c r="C151" i="1"/>
  <c r="D151" i="1"/>
  <c r="E151" i="1"/>
  <c r="F151" i="1"/>
  <c r="G151" i="1"/>
  <c r="H151" i="1"/>
  <c r="T150" i="1"/>
  <c r="U150" i="1"/>
  <c r="V150" i="1"/>
  <c r="W150" i="1"/>
  <c r="X150" i="1"/>
  <c r="B151" i="1"/>
  <c r="N150" i="1"/>
  <c r="O150" i="1"/>
  <c r="P150" i="1"/>
  <c r="Q150" i="1"/>
  <c r="R150" i="1"/>
  <c r="S150" i="1"/>
  <c r="H150" i="1"/>
  <c r="I150" i="1"/>
  <c r="J150" i="1"/>
  <c r="K150" i="1"/>
  <c r="L150" i="1"/>
  <c r="M150" i="1"/>
  <c r="B150" i="1"/>
  <c r="C150" i="1"/>
  <c r="D150" i="1"/>
  <c r="E150" i="1"/>
  <c r="F150" i="1"/>
  <c r="G150" i="1"/>
  <c r="S149" i="1"/>
  <c r="T149" i="1"/>
  <c r="U149" i="1"/>
  <c r="V149" i="1"/>
  <c r="W149" i="1"/>
  <c r="X149" i="1"/>
  <c r="M149" i="1"/>
  <c r="N149" i="1"/>
  <c r="O149" i="1"/>
  <c r="P149" i="1"/>
  <c r="Q149" i="1"/>
  <c r="R149" i="1"/>
  <c r="G149" i="1"/>
  <c r="H149" i="1"/>
  <c r="I149" i="1"/>
  <c r="J149" i="1"/>
  <c r="K149" i="1"/>
  <c r="L149" i="1"/>
  <c r="X148" i="1"/>
  <c r="B149" i="1"/>
  <c r="C149" i="1"/>
  <c r="D149" i="1"/>
  <c r="E149" i="1"/>
  <c r="F149" i="1"/>
  <c r="R148" i="1"/>
  <c r="S148" i="1"/>
  <c r="T148" i="1"/>
  <c r="U148" i="1"/>
  <c r="V148" i="1"/>
  <c r="W148" i="1"/>
  <c r="L148" i="1"/>
  <c r="M148" i="1"/>
  <c r="N148" i="1"/>
  <c r="O148" i="1"/>
  <c r="P148" i="1"/>
  <c r="Q148" i="1"/>
  <c r="F148" i="1"/>
  <c r="G148" i="1"/>
  <c r="H148" i="1"/>
  <c r="I148" i="1"/>
  <c r="J148" i="1"/>
  <c r="K148" i="1"/>
  <c r="W147" i="1"/>
  <c r="X147" i="1"/>
  <c r="B148" i="1"/>
  <c r="C148" i="1"/>
  <c r="D148" i="1"/>
  <c r="E148" i="1"/>
  <c r="Q147" i="1"/>
  <c r="R147" i="1"/>
  <c r="S147" i="1"/>
  <c r="T147" i="1"/>
  <c r="U147" i="1"/>
  <c r="V147" i="1"/>
  <c r="K147" i="1"/>
  <c r="L147" i="1"/>
  <c r="M147" i="1"/>
  <c r="N147" i="1"/>
  <c r="O147" i="1"/>
  <c r="P147" i="1"/>
  <c r="E147" i="1"/>
  <c r="F147" i="1"/>
  <c r="G147" i="1"/>
  <c r="H147" i="1"/>
  <c r="I147" i="1"/>
  <c r="J147" i="1"/>
  <c r="V146" i="1"/>
  <c r="W146" i="1"/>
  <c r="X146" i="1"/>
  <c r="B147" i="1"/>
  <c r="C147" i="1"/>
  <c r="D147" i="1"/>
  <c r="P146" i="1"/>
  <c r="Q146" i="1"/>
  <c r="R146" i="1"/>
  <c r="S146" i="1"/>
  <c r="T146" i="1"/>
  <c r="U146" i="1"/>
  <c r="J146" i="1"/>
  <c r="K146" i="1"/>
  <c r="L146" i="1"/>
  <c r="M146" i="1"/>
  <c r="N146" i="1"/>
  <c r="O146" i="1"/>
  <c r="D146" i="1"/>
  <c r="E146" i="1"/>
  <c r="F146" i="1"/>
  <c r="G146" i="1"/>
  <c r="H146" i="1"/>
  <c r="I146" i="1"/>
  <c r="U145" i="1"/>
  <c r="V145" i="1"/>
  <c r="W145" i="1"/>
  <c r="X145" i="1"/>
  <c r="B146" i="1"/>
  <c r="C146" i="1"/>
  <c r="O145" i="1"/>
  <c r="P145" i="1"/>
  <c r="Q145" i="1"/>
  <c r="R145" i="1"/>
  <c r="S145" i="1"/>
  <c r="T145" i="1"/>
  <c r="I145" i="1"/>
  <c r="J145" i="1"/>
  <c r="K145" i="1"/>
  <c r="L145" i="1"/>
  <c r="M145" i="1"/>
  <c r="N145" i="1"/>
  <c r="C145" i="1"/>
  <c r="D145" i="1"/>
  <c r="E145" i="1"/>
  <c r="F145" i="1"/>
  <c r="G145" i="1"/>
  <c r="H145" i="1"/>
  <c r="T144" i="1"/>
  <c r="U144" i="1"/>
  <c r="V144" i="1"/>
  <c r="W144" i="1"/>
  <c r="X144" i="1"/>
  <c r="B145" i="1"/>
  <c r="N144" i="1"/>
  <c r="O144" i="1"/>
  <c r="P144" i="1"/>
  <c r="Q144" i="1"/>
  <c r="R144" i="1"/>
  <c r="S144" i="1"/>
  <c r="H144" i="1"/>
  <c r="I144" i="1"/>
  <c r="J144" i="1"/>
  <c r="K144" i="1"/>
  <c r="L144" i="1"/>
  <c r="M144" i="1"/>
  <c r="B144" i="1"/>
  <c r="C144" i="1"/>
  <c r="D144" i="1"/>
  <c r="E144" i="1"/>
  <c r="F144" i="1"/>
  <c r="G144" i="1"/>
  <c r="S143" i="1"/>
  <c r="T143" i="1"/>
  <c r="U143" i="1"/>
  <c r="V143" i="1"/>
  <c r="W143" i="1"/>
  <c r="X143" i="1"/>
  <c r="M143" i="1"/>
  <c r="N143" i="1"/>
  <c r="O143" i="1"/>
  <c r="P143" i="1"/>
  <c r="Q143" i="1"/>
  <c r="R143" i="1"/>
  <c r="G143" i="1"/>
  <c r="H143" i="1"/>
  <c r="I143" i="1"/>
  <c r="J143" i="1"/>
  <c r="K143" i="1"/>
  <c r="L143" i="1"/>
  <c r="X142" i="1"/>
  <c r="B143" i="1"/>
  <c r="C143" i="1"/>
  <c r="D143" i="1"/>
  <c r="E143" i="1"/>
  <c r="F143" i="1"/>
  <c r="R142" i="1"/>
  <c r="S142" i="1"/>
  <c r="T142" i="1"/>
  <c r="U142" i="1"/>
  <c r="V142" i="1"/>
  <c r="W142" i="1"/>
  <c r="L142" i="1"/>
  <c r="M142" i="1"/>
  <c r="N142" i="1"/>
  <c r="O142" i="1"/>
  <c r="P142" i="1"/>
  <c r="Q142" i="1"/>
  <c r="F142" i="1"/>
  <c r="G142" i="1"/>
  <c r="H142" i="1"/>
  <c r="I142" i="1"/>
  <c r="J142" i="1"/>
  <c r="K142" i="1"/>
  <c r="W141" i="1"/>
  <c r="X141" i="1"/>
  <c r="B142" i="1"/>
  <c r="C142" i="1"/>
  <c r="D142" i="1"/>
  <c r="E142" i="1"/>
  <c r="Q141" i="1"/>
  <c r="R141" i="1"/>
  <c r="S141" i="1"/>
  <c r="T141" i="1"/>
  <c r="U141" i="1"/>
  <c r="V141" i="1"/>
  <c r="K141" i="1"/>
  <c r="L141" i="1"/>
  <c r="M141" i="1"/>
  <c r="N141" i="1"/>
  <c r="O141" i="1"/>
  <c r="P141" i="1"/>
  <c r="E141" i="1"/>
  <c r="F141" i="1"/>
  <c r="G141" i="1"/>
  <c r="H141" i="1"/>
  <c r="I141" i="1"/>
  <c r="J141" i="1"/>
  <c r="V140" i="1"/>
  <c r="W140" i="1"/>
  <c r="X140" i="1"/>
  <c r="B141" i="1"/>
  <c r="C141" i="1"/>
  <c r="D141" i="1"/>
  <c r="P140" i="1"/>
  <c r="Q140" i="1"/>
  <c r="R140" i="1"/>
  <c r="S140" i="1"/>
  <c r="T140" i="1"/>
  <c r="U140" i="1"/>
  <c r="J140" i="1"/>
  <c r="K140" i="1"/>
  <c r="L140" i="1"/>
  <c r="M140" i="1"/>
  <c r="N140" i="1"/>
  <c r="O140" i="1"/>
  <c r="D140" i="1"/>
  <c r="E140" i="1"/>
  <c r="F140" i="1"/>
  <c r="G140" i="1"/>
  <c r="H140" i="1"/>
  <c r="I140" i="1"/>
  <c r="U139" i="1"/>
  <c r="V139" i="1"/>
  <c r="W139" i="1"/>
  <c r="X139" i="1"/>
  <c r="B140" i="1"/>
  <c r="C140" i="1"/>
  <c r="O139" i="1"/>
  <c r="P139" i="1"/>
  <c r="Q139" i="1"/>
  <c r="R139" i="1"/>
  <c r="S139" i="1"/>
  <c r="T139" i="1"/>
  <c r="I139" i="1"/>
  <c r="J139" i="1"/>
  <c r="K139" i="1"/>
  <c r="L139" i="1"/>
  <c r="M139" i="1"/>
  <c r="N139" i="1"/>
  <c r="C139" i="1"/>
  <c r="D139" i="1"/>
  <c r="E139" i="1"/>
  <c r="F139" i="1"/>
  <c r="G139" i="1"/>
  <c r="H139" i="1"/>
  <c r="T138" i="1"/>
  <c r="U138" i="1"/>
  <c r="V138" i="1"/>
  <c r="W138" i="1"/>
  <c r="X138" i="1"/>
  <c r="B139" i="1"/>
  <c r="N138" i="1"/>
  <c r="O138" i="1"/>
  <c r="P138" i="1"/>
  <c r="Q138" i="1"/>
  <c r="R138" i="1"/>
  <c r="S138" i="1"/>
  <c r="H138" i="1"/>
  <c r="I138" i="1"/>
  <c r="J138" i="1"/>
  <c r="K138" i="1"/>
  <c r="L138" i="1"/>
  <c r="M138" i="1"/>
  <c r="B138" i="1"/>
  <c r="C138" i="1"/>
  <c r="D138" i="1"/>
  <c r="E138" i="1"/>
  <c r="F138" i="1"/>
  <c r="G138" i="1"/>
  <c r="S137" i="1"/>
  <c r="T137" i="1"/>
  <c r="U137" i="1"/>
  <c r="V137" i="1"/>
  <c r="W137" i="1"/>
  <c r="X137" i="1"/>
  <c r="M137" i="1"/>
  <c r="N137" i="1"/>
  <c r="O137" i="1"/>
  <c r="P137" i="1"/>
  <c r="Q137" i="1"/>
  <c r="R137" i="1"/>
  <c r="G137" i="1"/>
  <c r="H137" i="1"/>
  <c r="I137" i="1"/>
  <c r="J137" i="1"/>
  <c r="K137" i="1"/>
  <c r="L137" i="1"/>
  <c r="X136" i="1"/>
  <c r="B137" i="1"/>
  <c r="C137" i="1"/>
  <c r="D137" i="1"/>
  <c r="E137" i="1"/>
  <c r="F137" i="1"/>
  <c r="R136" i="1"/>
  <c r="S136" i="1"/>
  <c r="T136" i="1"/>
  <c r="U136" i="1"/>
  <c r="V136" i="1"/>
  <c r="W136" i="1"/>
  <c r="L136" i="1"/>
  <c r="M136" i="1"/>
  <c r="N136" i="1"/>
  <c r="O136" i="1"/>
  <c r="P136" i="1"/>
  <c r="Q136" i="1"/>
  <c r="F136" i="1"/>
  <c r="G136" i="1"/>
  <c r="H136" i="1"/>
  <c r="I136" i="1"/>
  <c r="J136" i="1"/>
  <c r="K136" i="1"/>
  <c r="W135" i="1"/>
  <c r="X135" i="1"/>
  <c r="B136" i="1"/>
  <c r="C136" i="1"/>
  <c r="D136" i="1"/>
  <c r="E136" i="1"/>
  <c r="Q135" i="1"/>
  <c r="R135" i="1"/>
  <c r="S135" i="1"/>
  <c r="T135" i="1"/>
  <c r="U135" i="1"/>
  <c r="V135" i="1"/>
  <c r="K135" i="1"/>
  <c r="L135" i="1"/>
  <c r="M135" i="1"/>
  <c r="N135" i="1"/>
  <c r="O135" i="1"/>
  <c r="P135" i="1"/>
  <c r="E135" i="1"/>
  <c r="F135" i="1"/>
  <c r="G135" i="1"/>
  <c r="H135" i="1"/>
  <c r="I135" i="1"/>
  <c r="J135" i="1"/>
  <c r="V134" i="1"/>
  <c r="W134" i="1"/>
  <c r="X134" i="1"/>
  <c r="B135" i="1"/>
  <c r="C135" i="1"/>
  <c r="D135" i="1"/>
  <c r="P134" i="1"/>
  <c r="Q134" i="1"/>
  <c r="R134" i="1"/>
  <c r="S134" i="1"/>
  <c r="T134" i="1"/>
  <c r="U134" i="1"/>
  <c r="J134" i="1"/>
  <c r="K134" i="1"/>
  <c r="L134" i="1"/>
  <c r="M134" i="1"/>
  <c r="N134" i="1"/>
  <c r="O134" i="1"/>
  <c r="D134" i="1"/>
  <c r="E134" i="1"/>
  <c r="F134" i="1"/>
  <c r="G134" i="1"/>
  <c r="H134" i="1"/>
  <c r="I134" i="1"/>
  <c r="U133" i="1"/>
  <c r="V133" i="1"/>
  <c r="W133" i="1"/>
  <c r="X133" i="1"/>
  <c r="B134" i="1"/>
  <c r="C134" i="1"/>
  <c r="O133" i="1"/>
  <c r="P133" i="1"/>
  <c r="Q133" i="1"/>
  <c r="R133" i="1"/>
  <c r="S133" i="1"/>
  <c r="T133" i="1"/>
  <c r="I133" i="1"/>
  <c r="J133" i="1"/>
  <c r="K133" i="1"/>
  <c r="L133" i="1"/>
  <c r="M133" i="1"/>
  <c r="N133" i="1"/>
  <c r="C133" i="1"/>
  <c r="D133" i="1"/>
  <c r="E133" i="1"/>
  <c r="F133" i="1"/>
  <c r="G133" i="1"/>
  <c r="H133" i="1"/>
  <c r="T132" i="1"/>
  <c r="U132" i="1"/>
  <c r="V132" i="1"/>
  <c r="W132" i="1"/>
  <c r="X132" i="1"/>
  <c r="B133" i="1"/>
  <c r="N132" i="1"/>
  <c r="O132" i="1"/>
  <c r="P132" i="1"/>
  <c r="Q132" i="1"/>
  <c r="R132" i="1"/>
  <c r="S132" i="1"/>
  <c r="H132" i="1"/>
  <c r="I132" i="1"/>
  <c r="J132" i="1"/>
  <c r="K132" i="1"/>
  <c r="L132" i="1"/>
  <c r="M132" i="1"/>
  <c r="B132" i="1"/>
  <c r="C132" i="1"/>
  <c r="D132" i="1"/>
  <c r="E132" i="1"/>
  <c r="F132" i="1"/>
  <c r="G132" i="1"/>
  <c r="S131" i="1"/>
  <c r="T131" i="1"/>
  <c r="U131" i="1"/>
  <c r="V131" i="1"/>
  <c r="W131" i="1"/>
  <c r="X131" i="1"/>
  <c r="M131" i="1"/>
  <c r="N131" i="1"/>
  <c r="O131" i="1"/>
  <c r="P131" i="1"/>
  <c r="Q131" i="1"/>
  <c r="R131" i="1"/>
  <c r="G131" i="1"/>
  <c r="H131" i="1"/>
  <c r="I131" i="1"/>
  <c r="J131" i="1"/>
  <c r="K131" i="1"/>
  <c r="L131" i="1"/>
  <c r="X130" i="1"/>
  <c r="B131" i="1"/>
  <c r="C131" i="1"/>
  <c r="D131" i="1"/>
  <c r="E131" i="1"/>
  <c r="F131" i="1"/>
  <c r="R130" i="1"/>
  <c r="S130" i="1"/>
  <c r="T130" i="1"/>
  <c r="U130" i="1"/>
  <c r="V130" i="1"/>
  <c r="W130" i="1"/>
  <c r="L130" i="1"/>
  <c r="M130" i="1"/>
  <c r="N130" i="1"/>
  <c r="O130" i="1"/>
  <c r="P130" i="1"/>
  <c r="Q130" i="1"/>
  <c r="F130" i="1"/>
  <c r="G130" i="1"/>
  <c r="H130" i="1"/>
  <c r="I130" i="1"/>
  <c r="J130" i="1"/>
  <c r="K130" i="1"/>
  <c r="W129" i="1"/>
  <c r="X129" i="1"/>
  <c r="B130" i="1"/>
  <c r="C130" i="1"/>
  <c r="D130" i="1"/>
  <c r="E130" i="1"/>
  <c r="Q129" i="1"/>
  <c r="R129" i="1"/>
  <c r="S129" i="1"/>
  <c r="T129" i="1"/>
  <c r="U129" i="1"/>
  <c r="V129" i="1"/>
  <c r="K129" i="1"/>
  <c r="L129" i="1"/>
  <c r="M129" i="1"/>
  <c r="N129" i="1"/>
  <c r="O129" i="1"/>
  <c r="P129" i="1"/>
  <c r="E129" i="1"/>
  <c r="F129" i="1"/>
  <c r="G129" i="1"/>
  <c r="H129" i="1"/>
  <c r="I129" i="1"/>
  <c r="J129" i="1"/>
  <c r="V128" i="1"/>
  <c r="W128" i="1"/>
  <c r="X128" i="1"/>
  <c r="B129" i="1"/>
  <c r="C129" i="1"/>
  <c r="D129" i="1"/>
  <c r="P128" i="1"/>
  <c r="Q128" i="1"/>
  <c r="R128" i="1"/>
  <c r="S128" i="1"/>
  <c r="T128" i="1"/>
  <c r="U128" i="1"/>
  <c r="J128" i="1"/>
  <c r="K128" i="1"/>
  <c r="L128" i="1"/>
  <c r="M128" i="1"/>
  <c r="N128" i="1"/>
  <c r="O128" i="1"/>
  <c r="D128" i="1"/>
  <c r="E128" i="1"/>
  <c r="F128" i="1"/>
  <c r="G128" i="1"/>
  <c r="H128" i="1"/>
  <c r="I128" i="1"/>
  <c r="U127" i="1"/>
  <c r="V127" i="1"/>
  <c r="W127" i="1"/>
  <c r="X127" i="1"/>
  <c r="B128" i="1"/>
  <c r="C128" i="1"/>
  <c r="O127" i="1"/>
  <c r="P127" i="1"/>
  <c r="Q127" i="1"/>
  <c r="R127" i="1"/>
  <c r="S127" i="1"/>
  <c r="T127" i="1"/>
  <c r="I127" i="1"/>
  <c r="J127" i="1"/>
  <c r="K127" i="1"/>
  <c r="L127" i="1"/>
  <c r="M127" i="1"/>
  <c r="N127" i="1"/>
  <c r="C127" i="1"/>
  <c r="D127" i="1"/>
  <c r="E127" i="1"/>
  <c r="F127" i="1"/>
  <c r="G127" i="1"/>
  <c r="H127" i="1"/>
  <c r="T126" i="1"/>
  <c r="U126" i="1"/>
  <c r="V126" i="1"/>
  <c r="W126" i="1"/>
  <c r="X126" i="1"/>
  <c r="B127" i="1"/>
  <c r="N126" i="1"/>
  <c r="O126" i="1"/>
  <c r="P126" i="1"/>
  <c r="Q126" i="1"/>
  <c r="R126" i="1"/>
  <c r="S126" i="1"/>
  <c r="H126" i="1"/>
  <c r="I126" i="1"/>
  <c r="J126" i="1"/>
  <c r="K126" i="1"/>
  <c r="L126" i="1"/>
  <c r="M126" i="1"/>
  <c r="B126" i="1"/>
  <c r="C126" i="1"/>
  <c r="D126" i="1"/>
  <c r="E126" i="1"/>
  <c r="F126" i="1"/>
  <c r="G126" i="1"/>
  <c r="S125" i="1"/>
  <c r="T125" i="1"/>
  <c r="U125" i="1"/>
  <c r="V125" i="1"/>
  <c r="W125" i="1"/>
  <c r="X125" i="1"/>
  <c r="M125" i="1"/>
  <c r="N125" i="1"/>
  <c r="O125" i="1"/>
  <c r="P125" i="1"/>
  <c r="Q125" i="1"/>
  <c r="R125" i="1"/>
  <c r="G125" i="1"/>
  <c r="H125" i="1"/>
  <c r="I125" i="1"/>
  <c r="J125" i="1"/>
  <c r="K125" i="1"/>
  <c r="L125" i="1"/>
  <c r="X124" i="1"/>
  <c r="B125" i="1"/>
  <c r="C125" i="1"/>
  <c r="D125" i="1"/>
  <c r="E125" i="1"/>
  <c r="F125" i="1"/>
  <c r="R124" i="1"/>
  <c r="S124" i="1"/>
  <c r="T124" i="1"/>
  <c r="U124" i="1"/>
  <c r="V124" i="1"/>
  <c r="W124" i="1"/>
  <c r="L124" i="1"/>
  <c r="M124" i="1"/>
  <c r="N124" i="1"/>
  <c r="O124" i="1"/>
  <c r="P124" i="1"/>
  <c r="Q124" i="1"/>
  <c r="F124" i="1"/>
  <c r="G124" i="1"/>
  <c r="H124" i="1"/>
  <c r="I124" i="1"/>
  <c r="J124" i="1"/>
  <c r="K124" i="1"/>
  <c r="W123" i="1"/>
  <c r="X123" i="1"/>
  <c r="B124" i="1"/>
  <c r="C124" i="1"/>
  <c r="D124" i="1"/>
  <c r="E124" i="1"/>
  <c r="Q123" i="1"/>
  <c r="R123" i="1"/>
  <c r="S123" i="1"/>
  <c r="T123" i="1"/>
  <c r="U123" i="1"/>
  <c r="V123" i="1"/>
  <c r="K123" i="1"/>
  <c r="L123" i="1"/>
  <c r="M123" i="1"/>
  <c r="N123" i="1"/>
  <c r="O123" i="1"/>
  <c r="P123" i="1"/>
  <c r="E123" i="1"/>
  <c r="F123" i="1"/>
  <c r="G123" i="1"/>
  <c r="H123" i="1"/>
  <c r="I123" i="1"/>
  <c r="J123" i="1"/>
  <c r="V122" i="1"/>
  <c r="W122" i="1"/>
  <c r="X122" i="1"/>
  <c r="B123" i="1"/>
  <c r="C123" i="1"/>
  <c r="D123" i="1"/>
  <c r="P122" i="1"/>
  <c r="Q122" i="1"/>
  <c r="R122" i="1"/>
  <c r="S122" i="1"/>
  <c r="T122" i="1"/>
  <c r="U122" i="1"/>
  <c r="J122" i="1"/>
  <c r="K122" i="1"/>
  <c r="L122" i="1"/>
  <c r="M122" i="1"/>
  <c r="N122" i="1"/>
  <c r="O122" i="1"/>
  <c r="D122" i="1"/>
  <c r="E122" i="1"/>
  <c r="F122" i="1"/>
  <c r="G122" i="1"/>
  <c r="H122" i="1"/>
  <c r="I122" i="1"/>
  <c r="U121" i="1"/>
  <c r="V121" i="1"/>
  <c r="W121" i="1"/>
  <c r="X121" i="1"/>
  <c r="B122" i="1"/>
  <c r="C122" i="1"/>
  <c r="O121" i="1"/>
  <c r="P121" i="1"/>
  <c r="Q121" i="1"/>
  <c r="R121" i="1"/>
  <c r="S121" i="1"/>
  <c r="T121" i="1"/>
  <c r="I121" i="1"/>
  <c r="J121" i="1"/>
  <c r="K121" i="1"/>
  <c r="L121" i="1"/>
  <c r="M121" i="1"/>
  <c r="N121" i="1"/>
  <c r="C121" i="1"/>
  <c r="D121" i="1"/>
  <c r="E121" i="1"/>
  <c r="F121" i="1"/>
  <c r="G121" i="1"/>
  <c r="H121" i="1"/>
  <c r="T120" i="1"/>
  <c r="U120" i="1"/>
  <c r="V120" i="1"/>
  <c r="W120" i="1"/>
  <c r="X120" i="1"/>
  <c r="B121" i="1"/>
  <c r="N120" i="1"/>
  <c r="O120" i="1"/>
  <c r="P120" i="1"/>
  <c r="Q120" i="1"/>
  <c r="R120" i="1"/>
  <c r="S120" i="1"/>
  <c r="H120" i="1"/>
  <c r="I120" i="1"/>
  <c r="J120" i="1"/>
  <c r="K120" i="1"/>
  <c r="L120" i="1"/>
  <c r="M120" i="1"/>
  <c r="B120" i="1"/>
  <c r="C120" i="1"/>
  <c r="D120" i="1"/>
  <c r="E120" i="1"/>
  <c r="F120" i="1"/>
  <c r="G120" i="1"/>
  <c r="S119" i="1"/>
  <c r="T119" i="1"/>
  <c r="U119" i="1"/>
  <c r="V119" i="1"/>
  <c r="W119" i="1"/>
  <c r="X119" i="1"/>
  <c r="M119" i="1"/>
  <c r="N119" i="1"/>
  <c r="O119" i="1"/>
  <c r="P119" i="1"/>
  <c r="Q119" i="1"/>
  <c r="R119" i="1"/>
  <c r="G119" i="1"/>
  <c r="H119" i="1"/>
  <c r="I119" i="1"/>
  <c r="J119" i="1"/>
  <c r="K119" i="1"/>
  <c r="L119" i="1"/>
  <c r="X118" i="1"/>
  <c r="B119" i="1"/>
  <c r="C119" i="1"/>
  <c r="D119" i="1"/>
  <c r="E119" i="1"/>
  <c r="F119" i="1"/>
  <c r="R118" i="1"/>
  <c r="S118" i="1"/>
  <c r="T118" i="1"/>
  <c r="U118" i="1"/>
  <c r="V118" i="1"/>
  <c r="W118" i="1"/>
  <c r="L118" i="1"/>
  <c r="M118" i="1"/>
  <c r="N118" i="1"/>
  <c r="O118" i="1"/>
  <c r="P118" i="1"/>
  <c r="Q118" i="1"/>
  <c r="F118" i="1"/>
  <c r="G118" i="1"/>
  <c r="H118" i="1"/>
  <c r="I118" i="1"/>
  <c r="J118" i="1"/>
  <c r="K118" i="1"/>
  <c r="W117" i="1"/>
  <c r="X117" i="1"/>
  <c r="B118" i="1"/>
  <c r="C118" i="1"/>
  <c r="D118" i="1"/>
  <c r="E118" i="1"/>
  <c r="Q117" i="1"/>
  <c r="R117" i="1"/>
  <c r="S117" i="1"/>
  <c r="T117" i="1"/>
  <c r="U117" i="1"/>
  <c r="V117" i="1"/>
  <c r="K117" i="1"/>
  <c r="L117" i="1"/>
  <c r="M117" i="1"/>
  <c r="N117" i="1"/>
  <c r="O117" i="1"/>
  <c r="P117" i="1"/>
  <c r="E117" i="1"/>
  <c r="F117" i="1"/>
  <c r="G117" i="1"/>
  <c r="H117" i="1"/>
  <c r="I117" i="1"/>
  <c r="J117" i="1"/>
  <c r="V116" i="1"/>
  <c r="W116" i="1"/>
  <c r="X116" i="1"/>
  <c r="B117" i="1"/>
  <c r="C117" i="1"/>
  <c r="D117" i="1"/>
  <c r="P116" i="1"/>
  <c r="Q116" i="1"/>
  <c r="R116" i="1"/>
  <c r="S116" i="1"/>
  <c r="T116" i="1"/>
  <c r="U116" i="1"/>
  <c r="J116" i="1"/>
  <c r="K116" i="1"/>
  <c r="L116" i="1"/>
  <c r="M116" i="1"/>
  <c r="N116" i="1"/>
  <c r="O116" i="1"/>
  <c r="D116" i="1"/>
  <c r="E116" i="1"/>
  <c r="F116" i="1"/>
  <c r="G116" i="1"/>
  <c r="H116" i="1"/>
  <c r="I116" i="1"/>
  <c r="U115" i="1"/>
  <c r="V115" i="1"/>
  <c r="W115" i="1"/>
  <c r="X115" i="1"/>
  <c r="B116" i="1"/>
  <c r="C116" i="1"/>
  <c r="O115" i="1"/>
  <c r="P115" i="1"/>
  <c r="Q115" i="1"/>
  <c r="R115" i="1"/>
  <c r="S115" i="1"/>
  <c r="T115" i="1"/>
  <c r="I115" i="1"/>
  <c r="J115" i="1"/>
  <c r="K115" i="1"/>
  <c r="L115" i="1"/>
  <c r="M115" i="1"/>
  <c r="N115" i="1"/>
  <c r="C115" i="1"/>
  <c r="D115" i="1"/>
  <c r="E115" i="1"/>
  <c r="F115" i="1"/>
  <c r="G115" i="1"/>
  <c r="H115" i="1"/>
  <c r="T114" i="1"/>
  <c r="U114" i="1"/>
  <c r="V114" i="1"/>
  <c r="W114" i="1"/>
  <c r="X114" i="1"/>
  <c r="B115" i="1"/>
  <c r="N114" i="1"/>
  <c r="O114" i="1"/>
  <c r="P114" i="1"/>
  <c r="Q114" i="1"/>
  <c r="R114" i="1"/>
  <c r="S114" i="1"/>
  <c r="H114" i="1"/>
  <c r="I114" i="1"/>
  <c r="J114" i="1"/>
  <c r="K114" i="1"/>
  <c r="L114" i="1"/>
  <c r="M114" i="1"/>
  <c r="B114" i="1"/>
  <c r="C114" i="1"/>
  <c r="D114" i="1"/>
  <c r="E114" i="1"/>
  <c r="F114" i="1"/>
  <c r="G114" i="1"/>
  <c r="S113" i="1"/>
  <c r="T113" i="1"/>
  <c r="U113" i="1"/>
  <c r="V113" i="1"/>
  <c r="W113" i="1"/>
  <c r="X113" i="1"/>
  <c r="M113" i="1"/>
  <c r="N113" i="1"/>
  <c r="O113" i="1"/>
  <c r="P113" i="1"/>
  <c r="Q113" i="1"/>
  <c r="R113" i="1"/>
  <c r="G113" i="1"/>
  <c r="H113" i="1"/>
  <c r="I113" i="1"/>
  <c r="J113" i="1"/>
  <c r="K113" i="1"/>
  <c r="L113" i="1"/>
  <c r="X112" i="1"/>
  <c r="B113" i="1"/>
  <c r="C113" i="1"/>
  <c r="D113" i="1"/>
  <c r="E113" i="1"/>
  <c r="F113" i="1"/>
  <c r="R112" i="1"/>
  <c r="S112" i="1"/>
  <c r="T112" i="1"/>
  <c r="U112" i="1"/>
  <c r="V112" i="1"/>
  <c r="W112" i="1"/>
  <c r="L112" i="1"/>
  <c r="M112" i="1"/>
  <c r="N112" i="1"/>
  <c r="O112" i="1"/>
  <c r="P112" i="1"/>
  <c r="Q112" i="1"/>
  <c r="F112" i="1"/>
  <c r="G112" i="1"/>
  <c r="H112" i="1"/>
  <c r="I112" i="1"/>
  <c r="J112" i="1"/>
  <c r="K112" i="1"/>
  <c r="W111" i="1"/>
  <c r="X111" i="1"/>
  <c r="B112" i="1"/>
  <c r="C112" i="1"/>
  <c r="D112" i="1"/>
  <c r="E112" i="1"/>
  <c r="Q111" i="1"/>
  <c r="R111" i="1"/>
  <c r="S111" i="1"/>
  <c r="T111" i="1"/>
  <c r="U111" i="1"/>
  <c r="V111" i="1"/>
  <c r="K111" i="1"/>
  <c r="L111" i="1"/>
  <c r="M111" i="1"/>
  <c r="N111" i="1"/>
  <c r="O111" i="1"/>
  <c r="P111" i="1"/>
  <c r="E111" i="1"/>
  <c r="F111" i="1"/>
  <c r="G111" i="1"/>
  <c r="H111" i="1"/>
  <c r="I111" i="1"/>
  <c r="J111" i="1"/>
  <c r="V110" i="1"/>
  <c r="W110" i="1"/>
  <c r="X110" i="1"/>
  <c r="B111" i="1"/>
  <c r="C111" i="1"/>
  <c r="D111" i="1"/>
  <c r="P110" i="1"/>
  <c r="Q110" i="1"/>
  <c r="R110" i="1"/>
  <c r="S110" i="1"/>
  <c r="T110" i="1"/>
  <c r="U110" i="1"/>
  <c r="J110" i="1"/>
  <c r="K110" i="1"/>
  <c r="L110" i="1"/>
  <c r="M110" i="1"/>
  <c r="N110" i="1"/>
  <c r="O110" i="1"/>
  <c r="D110" i="1"/>
  <c r="E110" i="1"/>
  <c r="F110" i="1"/>
  <c r="G110" i="1"/>
  <c r="H110" i="1"/>
  <c r="I110" i="1"/>
  <c r="U109" i="1"/>
  <c r="V109" i="1"/>
  <c r="W109" i="1"/>
  <c r="X109" i="1"/>
  <c r="B110" i="1"/>
  <c r="C110" i="1"/>
  <c r="O109" i="1"/>
  <c r="P109" i="1"/>
  <c r="Q109" i="1"/>
  <c r="R109" i="1"/>
  <c r="S109" i="1"/>
  <c r="T109" i="1"/>
  <c r="I109" i="1"/>
  <c r="J109" i="1"/>
  <c r="K109" i="1"/>
  <c r="L109" i="1"/>
  <c r="M109" i="1"/>
  <c r="N109" i="1"/>
  <c r="C109" i="1"/>
  <c r="D109" i="1"/>
  <c r="E109" i="1"/>
  <c r="F109" i="1"/>
  <c r="G109" i="1"/>
  <c r="H109" i="1"/>
  <c r="T108" i="1"/>
  <c r="U108" i="1"/>
  <c r="V108" i="1"/>
  <c r="W108" i="1"/>
  <c r="X108" i="1"/>
  <c r="B109" i="1"/>
  <c r="N108" i="1"/>
  <c r="O108" i="1"/>
  <c r="P108" i="1"/>
  <c r="Q108" i="1"/>
  <c r="R108" i="1"/>
  <c r="S108" i="1"/>
  <c r="H108" i="1"/>
  <c r="I108" i="1"/>
  <c r="J108" i="1"/>
  <c r="K108" i="1"/>
  <c r="L108" i="1"/>
  <c r="M108" i="1"/>
  <c r="B108" i="1"/>
  <c r="C108" i="1"/>
  <c r="D108" i="1"/>
  <c r="E108" i="1"/>
  <c r="F108" i="1"/>
  <c r="G108" i="1"/>
  <c r="S107" i="1"/>
  <c r="T107" i="1"/>
  <c r="U107" i="1"/>
  <c r="V107" i="1"/>
  <c r="W107" i="1"/>
  <c r="X107" i="1"/>
  <c r="M107" i="1"/>
  <c r="N107" i="1"/>
  <c r="O107" i="1"/>
  <c r="P107" i="1"/>
  <c r="Q107" i="1"/>
  <c r="R107" i="1"/>
  <c r="G107" i="1"/>
  <c r="H107" i="1"/>
  <c r="I107" i="1"/>
  <c r="J107" i="1"/>
  <c r="K107" i="1"/>
  <c r="L107" i="1"/>
  <c r="X106" i="1"/>
  <c r="B107" i="1"/>
  <c r="C107" i="1"/>
  <c r="D107" i="1"/>
  <c r="E107" i="1"/>
  <c r="F107" i="1"/>
  <c r="R106" i="1"/>
  <c r="S106" i="1"/>
  <c r="T106" i="1"/>
  <c r="U106" i="1"/>
  <c r="V106" i="1"/>
  <c r="W106" i="1"/>
  <c r="L106" i="1"/>
  <c r="M106" i="1"/>
  <c r="N106" i="1"/>
  <c r="O106" i="1"/>
  <c r="P106" i="1"/>
  <c r="Q106" i="1"/>
  <c r="F106" i="1"/>
  <c r="G106" i="1"/>
  <c r="H106" i="1"/>
  <c r="I106" i="1"/>
  <c r="J106" i="1"/>
  <c r="K106" i="1"/>
  <c r="W105" i="1"/>
  <c r="X105" i="1"/>
  <c r="B106" i="1"/>
  <c r="C106" i="1"/>
  <c r="D106" i="1"/>
  <c r="E106" i="1"/>
  <c r="Q105" i="1"/>
  <c r="R105" i="1"/>
  <c r="S105" i="1"/>
  <c r="T105" i="1"/>
  <c r="U105" i="1"/>
  <c r="V105" i="1"/>
  <c r="K105" i="1"/>
  <c r="L105" i="1"/>
  <c r="M105" i="1"/>
  <c r="N105" i="1"/>
  <c r="O105" i="1"/>
  <c r="P105" i="1"/>
  <c r="E105" i="1"/>
  <c r="F105" i="1"/>
  <c r="G105" i="1"/>
  <c r="H105" i="1"/>
  <c r="I105" i="1"/>
  <c r="J105" i="1"/>
  <c r="V104" i="1"/>
  <c r="W104" i="1"/>
  <c r="X104" i="1"/>
  <c r="B105" i="1"/>
  <c r="C105" i="1"/>
  <c r="D105" i="1"/>
  <c r="P104" i="1"/>
  <c r="Q104" i="1"/>
  <c r="R104" i="1"/>
  <c r="S104" i="1"/>
  <c r="T104" i="1"/>
  <c r="U104" i="1"/>
  <c r="J104" i="1"/>
  <c r="K104" i="1"/>
  <c r="L104" i="1"/>
  <c r="M104" i="1"/>
  <c r="N104" i="1"/>
  <c r="O104" i="1"/>
  <c r="D104" i="1"/>
  <c r="E104" i="1"/>
  <c r="F104" i="1"/>
  <c r="G104" i="1"/>
  <c r="H104" i="1"/>
  <c r="I104" i="1"/>
  <c r="U103" i="1"/>
  <c r="V103" i="1"/>
  <c r="W103" i="1"/>
  <c r="X103" i="1"/>
  <c r="B104" i="1"/>
  <c r="C104" i="1"/>
  <c r="O103" i="1"/>
  <c r="P103" i="1"/>
  <c r="Q103" i="1"/>
  <c r="R103" i="1"/>
  <c r="S103" i="1"/>
  <c r="T103" i="1"/>
  <c r="I103" i="1"/>
  <c r="J103" i="1"/>
  <c r="K103" i="1"/>
  <c r="L103" i="1"/>
  <c r="M103" i="1"/>
  <c r="N103" i="1"/>
  <c r="C103" i="1"/>
  <c r="D103" i="1"/>
  <c r="E103" i="1"/>
  <c r="F103" i="1"/>
  <c r="G103" i="1"/>
  <c r="H103" i="1"/>
  <c r="T102" i="1"/>
  <c r="U102" i="1"/>
  <c r="V102" i="1"/>
  <c r="W102" i="1"/>
  <c r="X102" i="1"/>
  <c r="B103" i="1"/>
  <c r="N102" i="1"/>
  <c r="O102" i="1"/>
  <c r="P102" i="1"/>
  <c r="Q102" i="1"/>
  <c r="R102" i="1"/>
  <c r="S102" i="1"/>
  <c r="H102" i="1"/>
  <c r="I102" i="1"/>
  <c r="J102" i="1"/>
  <c r="K102" i="1"/>
  <c r="L102" i="1"/>
  <c r="M102" i="1"/>
  <c r="B102" i="1"/>
  <c r="C102" i="1"/>
  <c r="D102" i="1"/>
  <c r="E102" i="1"/>
  <c r="F102" i="1"/>
  <c r="G102" i="1"/>
  <c r="S101" i="1"/>
  <c r="T101" i="1"/>
  <c r="U101" i="1"/>
  <c r="V101" i="1"/>
  <c r="W101" i="1"/>
  <c r="X101" i="1"/>
  <c r="M101" i="1"/>
  <c r="N101" i="1"/>
  <c r="O101" i="1"/>
  <c r="P101" i="1"/>
  <c r="Q101" i="1"/>
  <c r="R101" i="1"/>
  <c r="G101" i="1"/>
  <c r="H101" i="1"/>
  <c r="I101" i="1"/>
  <c r="J101" i="1"/>
  <c r="K101" i="1"/>
  <c r="L101" i="1"/>
  <c r="X100" i="1"/>
  <c r="B101" i="1"/>
  <c r="C101" i="1"/>
  <c r="D101" i="1"/>
  <c r="E101" i="1"/>
  <c r="F101" i="1"/>
  <c r="R100" i="1"/>
  <c r="S100" i="1"/>
  <c r="T100" i="1"/>
  <c r="U100" i="1"/>
  <c r="V100" i="1"/>
  <c r="W100" i="1"/>
  <c r="L100" i="1"/>
  <c r="M100" i="1"/>
  <c r="N100" i="1"/>
  <c r="O100" i="1"/>
  <c r="P100" i="1"/>
  <c r="Q100" i="1"/>
  <c r="F100" i="1"/>
  <c r="G100" i="1"/>
  <c r="H100" i="1"/>
  <c r="I100" i="1"/>
  <c r="J100" i="1"/>
  <c r="K100" i="1"/>
  <c r="W99" i="1"/>
  <c r="X99" i="1"/>
  <c r="B100" i="1"/>
  <c r="C100" i="1"/>
  <c r="D100" i="1"/>
  <c r="E100" i="1"/>
  <c r="Q99" i="1"/>
  <c r="R99" i="1"/>
  <c r="S99" i="1"/>
  <c r="T99" i="1"/>
  <c r="U99" i="1"/>
  <c r="V99" i="1"/>
  <c r="K99" i="1"/>
  <c r="L99" i="1"/>
  <c r="M99" i="1"/>
  <c r="N99" i="1"/>
  <c r="O99" i="1"/>
  <c r="P99" i="1"/>
  <c r="E99" i="1"/>
  <c r="F99" i="1"/>
  <c r="G99" i="1"/>
  <c r="H99" i="1"/>
  <c r="I99" i="1"/>
  <c r="J99" i="1"/>
  <c r="V98" i="1"/>
  <c r="W98" i="1"/>
  <c r="X98" i="1"/>
  <c r="B99" i="1"/>
  <c r="C99" i="1"/>
  <c r="D99" i="1"/>
  <c r="P98" i="1"/>
  <c r="Q98" i="1"/>
  <c r="R98" i="1"/>
  <c r="S98" i="1"/>
  <c r="T98" i="1"/>
  <c r="U98" i="1"/>
  <c r="J98" i="1"/>
  <c r="K98" i="1"/>
  <c r="L98" i="1"/>
  <c r="M98" i="1"/>
  <c r="N98" i="1"/>
  <c r="O98" i="1"/>
  <c r="D98" i="1"/>
  <c r="E98" i="1"/>
  <c r="F98" i="1"/>
  <c r="G98" i="1"/>
  <c r="H98" i="1"/>
  <c r="I98" i="1"/>
  <c r="U97" i="1"/>
  <c r="V97" i="1"/>
  <c r="W97" i="1"/>
  <c r="X97" i="1"/>
  <c r="B98" i="1"/>
  <c r="C98" i="1"/>
  <c r="O97" i="1"/>
  <c r="P97" i="1"/>
  <c r="Q97" i="1"/>
  <c r="R97" i="1"/>
  <c r="S97" i="1"/>
  <c r="T97" i="1"/>
  <c r="I97" i="1"/>
  <c r="J97" i="1"/>
  <c r="K97" i="1"/>
  <c r="L97" i="1"/>
  <c r="M97" i="1"/>
  <c r="N97" i="1"/>
  <c r="C97" i="1"/>
  <c r="D97" i="1"/>
  <c r="E97" i="1"/>
  <c r="F97" i="1"/>
  <c r="G97" i="1"/>
  <c r="H97" i="1"/>
  <c r="T96" i="1"/>
  <c r="U96" i="1"/>
  <c r="V96" i="1"/>
  <c r="W96" i="1"/>
  <c r="X96" i="1"/>
  <c r="B97" i="1"/>
  <c r="N96" i="1"/>
  <c r="O96" i="1"/>
  <c r="P96" i="1"/>
  <c r="Q96" i="1"/>
  <c r="R96" i="1"/>
  <c r="S96" i="1"/>
  <c r="H96" i="1"/>
  <c r="I96" i="1"/>
  <c r="J96" i="1"/>
  <c r="K96" i="1"/>
  <c r="L96" i="1"/>
  <c r="M96" i="1"/>
  <c r="B96" i="1"/>
  <c r="C96" i="1"/>
  <c r="D96" i="1"/>
  <c r="E96" i="1"/>
  <c r="F96" i="1"/>
  <c r="G96" i="1"/>
  <c r="S95" i="1"/>
  <c r="T95" i="1"/>
  <c r="U95" i="1"/>
  <c r="V95" i="1"/>
  <c r="W95" i="1"/>
  <c r="X95" i="1"/>
  <c r="M95" i="1"/>
  <c r="N95" i="1"/>
  <c r="O95" i="1"/>
  <c r="P95" i="1"/>
  <c r="Q95" i="1"/>
  <c r="R95" i="1"/>
  <c r="G95" i="1"/>
  <c r="H95" i="1"/>
  <c r="I95" i="1"/>
  <c r="J95" i="1"/>
  <c r="K95" i="1"/>
  <c r="L95" i="1"/>
  <c r="X94" i="1"/>
  <c r="B95" i="1"/>
  <c r="C95" i="1"/>
  <c r="D95" i="1"/>
  <c r="E95" i="1"/>
  <c r="F95" i="1"/>
  <c r="R94" i="1"/>
  <c r="S94" i="1"/>
  <c r="T94" i="1"/>
  <c r="U94" i="1"/>
  <c r="V94" i="1"/>
  <c r="W94" i="1"/>
  <c r="L94" i="1"/>
  <c r="M94" i="1"/>
  <c r="N94" i="1"/>
  <c r="O94" i="1"/>
  <c r="P94" i="1"/>
  <c r="Q94" i="1"/>
  <c r="F94" i="1"/>
  <c r="G94" i="1"/>
  <c r="H94" i="1"/>
  <c r="I94" i="1"/>
  <c r="J94" i="1"/>
  <c r="K94" i="1"/>
  <c r="W93" i="1"/>
  <c r="X93" i="1"/>
  <c r="B94" i="1"/>
  <c r="C94" i="1"/>
  <c r="D94" i="1"/>
  <c r="E94" i="1"/>
  <c r="Q93" i="1"/>
  <c r="R93" i="1"/>
  <c r="S93" i="1"/>
  <c r="T93" i="1"/>
  <c r="U93" i="1"/>
  <c r="V93" i="1"/>
  <c r="K93" i="1"/>
  <c r="L93" i="1"/>
  <c r="M93" i="1"/>
  <c r="N93" i="1"/>
  <c r="O93" i="1"/>
  <c r="P93" i="1"/>
  <c r="E93" i="1"/>
  <c r="F93" i="1"/>
  <c r="G93" i="1"/>
  <c r="H93" i="1"/>
  <c r="I93" i="1"/>
  <c r="J93" i="1"/>
  <c r="V92" i="1"/>
  <c r="W92" i="1"/>
  <c r="X92" i="1"/>
  <c r="B93" i="1"/>
  <c r="C93" i="1"/>
  <c r="D93" i="1"/>
  <c r="P92" i="1"/>
  <c r="Q92" i="1"/>
  <c r="R92" i="1"/>
  <c r="S92" i="1"/>
  <c r="T92" i="1"/>
  <c r="U92" i="1"/>
  <c r="J92" i="1"/>
  <c r="K92" i="1"/>
  <c r="L92" i="1"/>
  <c r="M92" i="1"/>
  <c r="N92" i="1"/>
  <c r="O92" i="1"/>
  <c r="D92" i="1"/>
  <c r="E92" i="1"/>
  <c r="F92" i="1"/>
  <c r="G92" i="1"/>
  <c r="H92" i="1"/>
  <c r="I92" i="1"/>
  <c r="U91" i="1"/>
  <c r="V91" i="1"/>
  <c r="W91" i="1"/>
  <c r="X91" i="1"/>
  <c r="B92" i="1"/>
  <c r="C92" i="1"/>
  <c r="O91" i="1"/>
  <c r="P91" i="1"/>
  <c r="Q91" i="1"/>
  <c r="R91" i="1"/>
  <c r="S91" i="1"/>
  <c r="T91" i="1"/>
  <c r="I91" i="1"/>
  <c r="J91" i="1"/>
  <c r="K91" i="1"/>
  <c r="L91" i="1"/>
  <c r="M91" i="1"/>
  <c r="N91" i="1"/>
  <c r="C91" i="1"/>
  <c r="D91" i="1"/>
  <c r="E91" i="1"/>
  <c r="F91" i="1"/>
  <c r="G91" i="1"/>
  <c r="H91" i="1"/>
  <c r="T90" i="1"/>
  <c r="U90" i="1"/>
  <c r="V90" i="1"/>
  <c r="W90" i="1"/>
  <c r="X90" i="1"/>
  <c r="B91" i="1"/>
  <c r="N90" i="1"/>
  <c r="O90" i="1"/>
  <c r="P90" i="1"/>
  <c r="Q90" i="1"/>
  <c r="R90" i="1"/>
  <c r="S90" i="1"/>
  <c r="H90" i="1"/>
  <c r="I90" i="1"/>
  <c r="J90" i="1"/>
  <c r="K90" i="1"/>
  <c r="L90" i="1"/>
  <c r="M90" i="1"/>
  <c r="B90" i="1"/>
  <c r="C90" i="1"/>
  <c r="D90" i="1"/>
  <c r="E90" i="1"/>
  <c r="F90" i="1"/>
  <c r="G90" i="1"/>
  <c r="S89" i="1"/>
  <c r="T89" i="1"/>
  <c r="U89" i="1"/>
  <c r="V89" i="1"/>
  <c r="W89" i="1"/>
  <c r="X89" i="1"/>
  <c r="M89" i="1"/>
  <c r="N89" i="1"/>
  <c r="O89" i="1"/>
  <c r="P89" i="1"/>
  <c r="Q89" i="1"/>
  <c r="R89" i="1"/>
  <c r="G89" i="1"/>
  <c r="H89" i="1"/>
  <c r="I89" i="1"/>
  <c r="J89" i="1"/>
  <c r="K89" i="1"/>
  <c r="L89" i="1"/>
  <c r="X88" i="1"/>
  <c r="B89" i="1"/>
  <c r="C89" i="1"/>
  <c r="D89" i="1"/>
  <c r="E89" i="1"/>
  <c r="F89" i="1"/>
  <c r="R88" i="1"/>
  <c r="S88" i="1"/>
  <c r="T88" i="1"/>
  <c r="U88" i="1"/>
  <c r="V88" i="1"/>
  <c r="W88" i="1"/>
  <c r="L88" i="1"/>
  <c r="M88" i="1"/>
  <c r="N88" i="1"/>
  <c r="O88" i="1"/>
  <c r="P88" i="1"/>
  <c r="Q88" i="1"/>
  <c r="F88" i="1"/>
  <c r="G88" i="1"/>
  <c r="H88" i="1"/>
  <c r="I88" i="1"/>
  <c r="J88" i="1"/>
  <c r="K88" i="1"/>
  <c r="W87" i="1"/>
  <c r="X87" i="1"/>
  <c r="B88" i="1"/>
  <c r="C88" i="1"/>
  <c r="D88" i="1"/>
  <c r="E88" i="1"/>
  <c r="Q87" i="1"/>
  <c r="R87" i="1"/>
  <c r="S87" i="1"/>
  <c r="T87" i="1"/>
  <c r="U87" i="1"/>
  <c r="V87" i="1"/>
  <c r="K87" i="1"/>
  <c r="L87" i="1"/>
  <c r="M87" i="1"/>
  <c r="N87" i="1"/>
  <c r="O87" i="1"/>
  <c r="P87" i="1"/>
  <c r="E87" i="1"/>
  <c r="F87" i="1"/>
  <c r="G87" i="1"/>
  <c r="H87" i="1"/>
  <c r="I87" i="1"/>
  <c r="J87" i="1"/>
  <c r="V86" i="1"/>
  <c r="W86" i="1"/>
  <c r="X86" i="1"/>
  <c r="B87" i="1"/>
  <c r="C87" i="1"/>
  <c r="D87" i="1"/>
  <c r="P86" i="1"/>
  <c r="Q86" i="1"/>
  <c r="R86" i="1"/>
  <c r="S86" i="1"/>
  <c r="T86" i="1"/>
  <c r="U86" i="1"/>
  <c r="J86" i="1"/>
  <c r="K86" i="1"/>
  <c r="L86" i="1"/>
  <c r="M86" i="1"/>
  <c r="N86" i="1"/>
  <c r="O86" i="1"/>
  <c r="D86" i="1"/>
  <c r="E86" i="1"/>
  <c r="F86" i="1"/>
  <c r="G86" i="1"/>
  <c r="H86" i="1"/>
  <c r="I86" i="1"/>
  <c r="U85" i="1"/>
  <c r="V85" i="1"/>
  <c r="W85" i="1"/>
  <c r="X85" i="1"/>
  <c r="B86" i="1"/>
  <c r="C86" i="1"/>
  <c r="O85" i="1"/>
  <c r="P85" i="1"/>
  <c r="Q85" i="1"/>
  <c r="R85" i="1"/>
  <c r="S85" i="1"/>
  <c r="T85" i="1"/>
  <c r="I85" i="1"/>
  <c r="J85" i="1"/>
  <c r="K85" i="1"/>
  <c r="L85" i="1"/>
  <c r="M85" i="1"/>
  <c r="N85" i="1"/>
  <c r="C85" i="1"/>
  <c r="D85" i="1"/>
  <c r="E85" i="1"/>
  <c r="F85" i="1"/>
  <c r="G85" i="1"/>
  <c r="H85" i="1"/>
  <c r="T84" i="1"/>
  <c r="U84" i="1"/>
  <c r="V84" i="1"/>
  <c r="W84" i="1"/>
  <c r="X84" i="1"/>
  <c r="B85" i="1"/>
  <c r="N84" i="1"/>
  <c r="O84" i="1"/>
  <c r="P84" i="1"/>
  <c r="Q84" i="1"/>
  <c r="R84" i="1"/>
  <c r="S84" i="1"/>
  <c r="H84" i="1"/>
  <c r="I84" i="1"/>
  <c r="J84" i="1"/>
  <c r="K84" i="1"/>
  <c r="L84" i="1"/>
  <c r="M84" i="1"/>
  <c r="B84" i="1"/>
  <c r="C84" i="1"/>
  <c r="D84" i="1"/>
  <c r="E84" i="1"/>
  <c r="F84" i="1"/>
  <c r="G84" i="1"/>
  <c r="S83" i="1"/>
  <c r="T83" i="1"/>
  <c r="U83" i="1"/>
  <c r="V83" i="1"/>
  <c r="W83" i="1"/>
  <c r="X83" i="1"/>
  <c r="M83" i="1"/>
  <c r="N83" i="1"/>
  <c r="O83" i="1"/>
  <c r="P83" i="1"/>
  <c r="Q83" i="1"/>
  <c r="R83" i="1"/>
  <c r="G83" i="1"/>
  <c r="H83" i="1"/>
  <c r="I83" i="1"/>
  <c r="J83" i="1"/>
  <c r="K83" i="1"/>
  <c r="L83" i="1"/>
  <c r="X82" i="1"/>
  <c r="B83" i="1"/>
  <c r="C83" i="1"/>
  <c r="D83" i="1"/>
  <c r="E83" i="1"/>
  <c r="F83" i="1"/>
  <c r="R82" i="1"/>
  <c r="S82" i="1"/>
  <c r="T82" i="1"/>
  <c r="U82" i="1"/>
  <c r="V82" i="1"/>
  <c r="W82" i="1"/>
  <c r="L82" i="1"/>
  <c r="M82" i="1"/>
  <c r="N82" i="1"/>
  <c r="O82" i="1"/>
  <c r="P82" i="1"/>
  <c r="Q82" i="1"/>
  <c r="F82" i="1"/>
  <c r="G82" i="1"/>
  <c r="H82" i="1"/>
  <c r="I82" i="1"/>
  <c r="J82" i="1"/>
  <c r="K82" i="1"/>
  <c r="W81" i="1"/>
  <c r="X81" i="1"/>
  <c r="B82" i="1"/>
  <c r="C82" i="1"/>
  <c r="D82" i="1"/>
  <c r="E82" i="1"/>
  <c r="Q81" i="1"/>
  <c r="R81" i="1"/>
  <c r="S81" i="1"/>
  <c r="T81" i="1"/>
  <c r="U81" i="1"/>
  <c r="V81" i="1"/>
  <c r="K81" i="1"/>
  <c r="L81" i="1"/>
  <c r="M81" i="1"/>
  <c r="N81" i="1"/>
  <c r="O81" i="1"/>
  <c r="P81" i="1"/>
  <c r="E81" i="1"/>
  <c r="F81" i="1"/>
  <c r="G81" i="1"/>
  <c r="H81" i="1"/>
  <c r="I81" i="1"/>
  <c r="J81" i="1"/>
  <c r="V80" i="1"/>
  <c r="W80" i="1"/>
  <c r="X80" i="1"/>
  <c r="B81" i="1"/>
  <c r="C81" i="1"/>
  <c r="D81" i="1"/>
  <c r="P80" i="1"/>
  <c r="Q80" i="1"/>
  <c r="R80" i="1"/>
  <c r="S80" i="1"/>
  <c r="T80" i="1"/>
  <c r="U80" i="1"/>
  <c r="J80" i="1"/>
  <c r="K80" i="1"/>
  <c r="L80" i="1"/>
  <c r="M80" i="1"/>
  <c r="N80" i="1"/>
  <c r="O80" i="1"/>
  <c r="D80" i="1"/>
  <c r="E80" i="1"/>
  <c r="F80" i="1"/>
  <c r="G80" i="1"/>
  <c r="H80" i="1"/>
  <c r="I80" i="1"/>
  <c r="U79" i="1"/>
  <c r="V79" i="1"/>
  <c r="W79" i="1"/>
  <c r="X79" i="1"/>
  <c r="B80" i="1"/>
  <c r="C80" i="1"/>
  <c r="O79" i="1"/>
  <c r="P79" i="1"/>
  <c r="Q79" i="1"/>
  <c r="R79" i="1"/>
  <c r="S79" i="1"/>
  <c r="T79" i="1"/>
  <c r="I79" i="1"/>
  <c r="J79" i="1"/>
  <c r="K79" i="1"/>
  <c r="L79" i="1"/>
  <c r="M79" i="1"/>
  <c r="N79" i="1"/>
  <c r="C79" i="1"/>
  <c r="D79" i="1"/>
  <c r="E79" i="1"/>
  <c r="F79" i="1"/>
  <c r="G79" i="1"/>
  <c r="H79" i="1"/>
  <c r="T78" i="1"/>
  <c r="U78" i="1"/>
  <c r="V78" i="1"/>
  <c r="W78" i="1"/>
  <c r="X78" i="1"/>
  <c r="B79" i="1"/>
  <c r="N78" i="1"/>
  <c r="O78" i="1"/>
  <c r="P78" i="1"/>
  <c r="Q78" i="1"/>
  <c r="R78" i="1"/>
  <c r="S78" i="1"/>
  <c r="H78" i="1"/>
  <c r="I78" i="1"/>
  <c r="J78" i="1"/>
  <c r="K78" i="1"/>
  <c r="L78" i="1"/>
  <c r="M78" i="1"/>
  <c r="B78" i="1"/>
  <c r="C78" i="1"/>
  <c r="D78" i="1"/>
  <c r="E78" i="1"/>
  <c r="F78" i="1"/>
  <c r="G78" i="1"/>
  <c r="S77" i="1"/>
  <c r="T77" i="1"/>
  <c r="U77" i="1"/>
  <c r="V77" i="1"/>
  <c r="W77" i="1"/>
  <c r="X77" i="1"/>
  <c r="M77" i="1"/>
  <c r="N77" i="1"/>
  <c r="O77" i="1"/>
  <c r="P77" i="1"/>
  <c r="Q77" i="1"/>
  <c r="R77" i="1"/>
  <c r="G77" i="1"/>
  <c r="H77" i="1"/>
  <c r="I77" i="1"/>
  <c r="J77" i="1"/>
  <c r="K77" i="1"/>
  <c r="L77" i="1"/>
  <c r="X76" i="1"/>
  <c r="B77" i="1"/>
  <c r="C77" i="1"/>
  <c r="D77" i="1"/>
  <c r="E77" i="1"/>
  <c r="F77" i="1"/>
  <c r="R76" i="1"/>
  <c r="S76" i="1"/>
  <c r="T76" i="1"/>
  <c r="U76" i="1"/>
  <c r="V76" i="1"/>
  <c r="W76" i="1"/>
  <c r="L76" i="1"/>
  <c r="M76" i="1"/>
  <c r="N76" i="1"/>
  <c r="O76" i="1"/>
  <c r="P76" i="1"/>
  <c r="Q76" i="1"/>
  <c r="F76" i="1"/>
  <c r="G76" i="1"/>
  <c r="H76" i="1"/>
  <c r="I76" i="1"/>
  <c r="J76" i="1"/>
  <c r="K76" i="1"/>
  <c r="W75" i="1"/>
  <c r="X75" i="1"/>
  <c r="B76" i="1"/>
  <c r="C76" i="1"/>
  <c r="D76" i="1"/>
  <c r="E76" i="1"/>
  <c r="Q75" i="1"/>
  <c r="R75" i="1"/>
  <c r="S75" i="1"/>
  <c r="T75" i="1"/>
  <c r="U75" i="1"/>
  <c r="V75" i="1"/>
  <c r="K75" i="1"/>
  <c r="L75" i="1"/>
  <c r="M75" i="1"/>
  <c r="N75" i="1"/>
  <c r="O75" i="1"/>
  <c r="P75" i="1"/>
  <c r="E75" i="1"/>
  <c r="F75" i="1"/>
  <c r="G75" i="1"/>
  <c r="H75" i="1"/>
  <c r="I75" i="1"/>
  <c r="J75" i="1"/>
  <c r="V74" i="1"/>
  <c r="W74" i="1"/>
  <c r="X74" i="1"/>
  <c r="B75" i="1"/>
  <c r="C75" i="1"/>
  <c r="D75" i="1"/>
  <c r="P74" i="1"/>
  <c r="Q74" i="1"/>
  <c r="R74" i="1"/>
  <c r="S74" i="1"/>
  <c r="T74" i="1"/>
  <c r="U74" i="1"/>
  <c r="J74" i="1"/>
  <c r="K74" i="1"/>
  <c r="L74" i="1"/>
  <c r="M74" i="1"/>
  <c r="N74" i="1"/>
  <c r="O74" i="1"/>
  <c r="D74" i="1"/>
  <c r="E74" i="1"/>
  <c r="F74" i="1"/>
  <c r="G74" i="1"/>
  <c r="H74" i="1"/>
  <c r="I74" i="1"/>
  <c r="U73" i="1"/>
  <c r="V73" i="1"/>
  <c r="W73" i="1"/>
  <c r="X73" i="1"/>
  <c r="B74" i="1"/>
  <c r="C74" i="1"/>
  <c r="O73" i="1"/>
  <c r="P73" i="1"/>
  <c r="Q73" i="1"/>
  <c r="R73" i="1"/>
  <c r="S73" i="1"/>
  <c r="T73" i="1"/>
  <c r="I73" i="1"/>
  <c r="J73" i="1"/>
  <c r="K73" i="1"/>
  <c r="L73" i="1"/>
  <c r="M73" i="1"/>
  <c r="N73" i="1"/>
  <c r="C73" i="1"/>
  <c r="D73" i="1"/>
  <c r="E73" i="1"/>
  <c r="F73" i="1"/>
  <c r="G73" i="1"/>
  <c r="H73" i="1"/>
  <c r="T72" i="1"/>
  <c r="U72" i="1"/>
  <c r="V72" i="1"/>
  <c r="W72" i="1"/>
  <c r="X72" i="1"/>
  <c r="B73" i="1"/>
  <c r="N72" i="1"/>
  <c r="O72" i="1"/>
  <c r="P72" i="1"/>
  <c r="Q72" i="1"/>
  <c r="R72" i="1"/>
  <c r="S72" i="1"/>
  <c r="H72" i="1"/>
  <c r="I72" i="1"/>
  <c r="J72" i="1"/>
  <c r="K72" i="1"/>
  <c r="L72" i="1"/>
  <c r="M72" i="1"/>
  <c r="B72" i="1"/>
  <c r="C72" i="1"/>
  <c r="D72" i="1"/>
  <c r="E72" i="1"/>
  <c r="F72" i="1"/>
  <c r="G72" i="1"/>
  <c r="S71" i="1"/>
  <c r="T71" i="1"/>
  <c r="U71" i="1"/>
  <c r="V71" i="1"/>
  <c r="W71" i="1"/>
  <c r="X71" i="1"/>
  <c r="M71" i="1"/>
  <c r="N71" i="1"/>
  <c r="O71" i="1"/>
  <c r="P71" i="1"/>
  <c r="Q71" i="1"/>
  <c r="R71" i="1"/>
  <c r="G71" i="1"/>
  <c r="H71" i="1"/>
  <c r="I71" i="1"/>
  <c r="J71" i="1"/>
  <c r="K71" i="1"/>
  <c r="L71" i="1"/>
  <c r="X70" i="1"/>
  <c r="B71" i="1"/>
  <c r="C71" i="1"/>
  <c r="D71" i="1"/>
  <c r="E71" i="1"/>
  <c r="F71" i="1"/>
  <c r="R70" i="1"/>
  <c r="S70" i="1"/>
  <c r="T70" i="1"/>
  <c r="U70" i="1"/>
  <c r="V70" i="1"/>
  <c r="W70" i="1"/>
  <c r="L70" i="1"/>
  <c r="M70" i="1"/>
  <c r="N70" i="1"/>
  <c r="O70" i="1"/>
  <c r="P70" i="1"/>
  <c r="Q70" i="1"/>
  <c r="F70" i="1"/>
  <c r="G70" i="1"/>
  <c r="H70" i="1"/>
  <c r="I70" i="1"/>
  <c r="J70" i="1"/>
  <c r="K70" i="1"/>
  <c r="W69" i="1"/>
  <c r="X69" i="1"/>
  <c r="B70" i="1"/>
  <c r="C70" i="1"/>
  <c r="D70" i="1"/>
  <c r="E70" i="1"/>
  <c r="Q69" i="1"/>
  <c r="R69" i="1"/>
  <c r="S69" i="1"/>
  <c r="T69" i="1"/>
  <c r="U69" i="1"/>
  <c r="V69" i="1"/>
  <c r="K69" i="1"/>
  <c r="L69" i="1"/>
  <c r="M69" i="1"/>
  <c r="N69" i="1"/>
  <c r="O69" i="1"/>
  <c r="P69" i="1"/>
  <c r="E69" i="1"/>
  <c r="F69" i="1"/>
  <c r="G69" i="1"/>
  <c r="H69" i="1"/>
  <c r="I69" i="1"/>
  <c r="J69" i="1"/>
  <c r="V68" i="1"/>
  <c r="W68" i="1"/>
  <c r="X68" i="1"/>
  <c r="B69" i="1"/>
  <c r="C69" i="1"/>
  <c r="D69" i="1"/>
  <c r="P68" i="1"/>
  <c r="Q68" i="1"/>
  <c r="R68" i="1"/>
  <c r="S68" i="1"/>
  <c r="T68" i="1"/>
  <c r="U68" i="1"/>
  <c r="J68" i="1"/>
  <c r="K68" i="1"/>
  <c r="L68" i="1"/>
  <c r="M68" i="1"/>
  <c r="N68" i="1"/>
  <c r="O68" i="1"/>
  <c r="D68" i="1"/>
  <c r="E68" i="1"/>
  <c r="F68" i="1"/>
  <c r="G68" i="1"/>
  <c r="H68" i="1"/>
  <c r="I68" i="1"/>
  <c r="U67" i="1"/>
  <c r="V67" i="1"/>
  <c r="W67" i="1"/>
  <c r="X67" i="1"/>
  <c r="B68" i="1"/>
  <c r="C68" i="1"/>
  <c r="O67" i="1"/>
  <c r="P67" i="1"/>
  <c r="Q67" i="1"/>
  <c r="R67" i="1"/>
  <c r="S67" i="1"/>
  <c r="T67" i="1"/>
  <c r="I67" i="1"/>
  <c r="J67" i="1"/>
  <c r="K67" i="1"/>
  <c r="L67" i="1"/>
  <c r="M67" i="1"/>
  <c r="N67" i="1"/>
  <c r="C67" i="1"/>
  <c r="D67" i="1"/>
  <c r="E67" i="1"/>
  <c r="F67" i="1"/>
  <c r="G67" i="1"/>
  <c r="H67" i="1"/>
  <c r="T66" i="1"/>
  <c r="U66" i="1"/>
  <c r="V66" i="1"/>
  <c r="W66" i="1"/>
  <c r="X66" i="1"/>
  <c r="B67" i="1"/>
  <c r="N66" i="1"/>
  <c r="O66" i="1"/>
  <c r="P66" i="1"/>
  <c r="Q66" i="1"/>
  <c r="R66" i="1"/>
  <c r="S66" i="1"/>
  <c r="H66" i="1"/>
  <c r="I66" i="1"/>
  <c r="J66" i="1"/>
  <c r="K66" i="1"/>
  <c r="L66" i="1"/>
  <c r="M66" i="1"/>
  <c r="B66" i="1"/>
  <c r="C66" i="1"/>
  <c r="D66" i="1"/>
  <c r="E66" i="1"/>
  <c r="F66" i="1"/>
  <c r="G66" i="1"/>
  <c r="S65" i="1"/>
  <c r="T65" i="1"/>
  <c r="U65" i="1"/>
  <c r="V65" i="1"/>
  <c r="W65" i="1"/>
  <c r="X65" i="1"/>
  <c r="M65" i="1"/>
  <c r="N65" i="1"/>
  <c r="O65" i="1"/>
  <c r="P65" i="1"/>
  <c r="Q65" i="1"/>
  <c r="R65" i="1"/>
  <c r="G65" i="1"/>
  <c r="H65" i="1"/>
  <c r="I65" i="1"/>
  <c r="J65" i="1"/>
  <c r="K65" i="1"/>
  <c r="L65" i="1"/>
  <c r="X64" i="1"/>
  <c r="B65" i="1"/>
  <c r="C65" i="1"/>
  <c r="D65" i="1"/>
  <c r="E65" i="1"/>
  <c r="F65" i="1"/>
  <c r="R64" i="1"/>
  <c r="S64" i="1"/>
  <c r="T64" i="1"/>
  <c r="U64" i="1"/>
  <c r="V64" i="1"/>
  <c r="W64" i="1"/>
  <c r="L64" i="1"/>
  <c r="M64" i="1"/>
  <c r="N64" i="1"/>
  <c r="O64" i="1"/>
  <c r="P64" i="1"/>
  <c r="Q64" i="1"/>
  <c r="F64" i="1"/>
  <c r="G64" i="1"/>
  <c r="H64" i="1"/>
  <c r="I64" i="1"/>
  <c r="J64" i="1"/>
  <c r="K64" i="1"/>
  <c r="W63" i="1"/>
  <c r="X63" i="1"/>
  <c r="B64" i="1"/>
  <c r="C64" i="1"/>
  <c r="D64" i="1"/>
  <c r="E64" i="1"/>
  <c r="Q63" i="1"/>
  <c r="R63" i="1"/>
  <c r="S63" i="1"/>
  <c r="T63" i="1"/>
  <c r="U63" i="1"/>
  <c r="V63" i="1"/>
  <c r="K63" i="1"/>
  <c r="L63" i="1"/>
  <c r="M63" i="1"/>
  <c r="N63" i="1"/>
  <c r="O63" i="1"/>
  <c r="P63" i="1"/>
  <c r="E63" i="1"/>
  <c r="F63" i="1"/>
  <c r="G63" i="1"/>
  <c r="H63" i="1"/>
  <c r="I63" i="1"/>
  <c r="J63" i="1"/>
  <c r="V62" i="1"/>
  <c r="W62" i="1"/>
  <c r="X62" i="1"/>
  <c r="B63" i="1"/>
  <c r="C63" i="1"/>
  <c r="D63" i="1"/>
  <c r="P62" i="1"/>
  <c r="Q62" i="1"/>
  <c r="R62" i="1"/>
  <c r="S62" i="1"/>
  <c r="T62" i="1"/>
  <c r="U62" i="1"/>
  <c r="J62" i="1"/>
  <c r="K62" i="1"/>
  <c r="L62" i="1"/>
  <c r="M62" i="1"/>
  <c r="N62" i="1"/>
  <c r="O62" i="1"/>
  <c r="D62" i="1"/>
  <c r="E62" i="1"/>
  <c r="F62" i="1"/>
  <c r="G62" i="1"/>
  <c r="H62" i="1"/>
  <c r="I62" i="1"/>
  <c r="U61" i="1"/>
  <c r="V61" i="1"/>
  <c r="W61" i="1"/>
  <c r="X61" i="1"/>
  <c r="B62" i="1"/>
  <c r="C62" i="1"/>
  <c r="O61" i="1"/>
  <c r="P61" i="1"/>
  <c r="Q61" i="1"/>
  <c r="R61" i="1"/>
  <c r="S61" i="1"/>
  <c r="T61" i="1"/>
  <c r="I61" i="1"/>
  <c r="J61" i="1"/>
  <c r="K61" i="1"/>
  <c r="L61" i="1"/>
  <c r="M61" i="1"/>
  <c r="N61" i="1"/>
  <c r="C61" i="1"/>
  <c r="D61" i="1"/>
  <c r="E61" i="1"/>
  <c r="F61" i="1"/>
  <c r="G61" i="1"/>
  <c r="H61" i="1"/>
  <c r="T60" i="1"/>
  <c r="U60" i="1"/>
  <c r="V60" i="1"/>
  <c r="W60" i="1"/>
  <c r="X60" i="1"/>
  <c r="B61" i="1"/>
  <c r="N60" i="1"/>
  <c r="O60" i="1"/>
  <c r="P60" i="1"/>
  <c r="Q60" i="1"/>
  <c r="R60" i="1"/>
  <c r="S60" i="1"/>
  <c r="H60" i="1"/>
  <c r="I60" i="1"/>
  <c r="J60" i="1"/>
  <c r="K60" i="1"/>
  <c r="L60" i="1"/>
  <c r="M60" i="1"/>
  <c r="B60" i="1"/>
  <c r="C60" i="1"/>
  <c r="D60" i="1"/>
  <c r="E60" i="1"/>
  <c r="F60" i="1"/>
  <c r="G60" i="1"/>
  <c r="S59" i="1"/>
  <c r="T59" i="1"/>
  <c r="U59" i="1"/>
  <c r="V59" i="1"/>
  <c r="W59" i="1"/>
  <c r="X59" i="1"/>
  <c r="M59" i="1"/>
  <c r="N59" i="1"/>
  <c r="O59" i="1"/>
  <c r="P59" i="1"/>
  <c r="Q59" i="1"/>
  <c r="R59" i="1"/>
  <c r="G59" i="1"/>
  <c r="H59" i="1"/>
  <c r="I59" i="1"/>
  <c r="J59" i="1"/>
  <c r="K59" i="1"/>
  <c r="L59" i="1"/>
  <c r="X58" i="1"/>
  <c r="B59" i="1"/>
  <c r="C59" i="1"/>
  <c r="D59" i="1"/>
  <c r="E59" i="1"/>
  <c r="F59" i="1"/>
  <c r="R58" i="1"/>
  <c r="S58" i="1"/>
  <c r="T58" i="1"/>
  <c r="U58" i="1"/>
  <c r="V58" i="1"/>
  <c r="W58" i="1"/>
  <c r="L58" i="1"/>
  <c r="M58" i="1"/>
  <c r="N58" i="1"/>
  <c r="O58" i="1"/>
  <c r="P58" i="1"/>
  <c r="Q58" i="1"/>
  <c r="F58" i="1"/>
  <c r="G58" i="1"/>
  <c r="H58" i="1"/>
  <c r="I58" i="1"/>
  <c r="J58" i="1"/>
  <c r="K58" i="1"/>
  <c r="W57" i="1"/>
  <c r="X57" i="1"/>
  <c r="B58" i="1"/>
  <c r="C58" i="1"/>
  <c r="D58" i="1"/>
  <c r="E58" i="1"/>
  <c r="Q57" i="1"/>
  <c r="R57" i="1"/>
  <c r="S57" i="1"/>
  <c r="T57" i="1"/>
  <c r="U57" i="1"/>
  <c r="V57" i="1"/>
  <c r="K57" i="1"/>
  <c r="L57" i="1"/>
  <c r="M57" i="1"/>
  <c r="N57" i="1"/>
  <c r="O57" i="1"/>
  <c r="P57" i="1"/>
  <c r="E57" i="1"/>
  <c r="F57" i="1"/>
  <c r="G57" i="1"/>
  <c r="H57" i="1"/>
  <c r="I57" i="1"/>
  <c r="J57" i="1"/>
  <c r="V56" i="1"/>
  <c r="W56" i="1"/>
  <c r="X56" i="1"/>
  <c r="B57" i="1"/>
  <c r="C57" i="1"/>
  <c r="D57" i="1"/>
  <c r="P56" i="1"/>
  <c r="Q56" i="1"/>
  <c r="R56" i="1"/>
  <c r="S56" i="1"/>
  <c r="T56" i="1"/>
  <c r="U56" i="1"/>
  <c r="J56" i="1"/>
  <c r="K56" i="1"/>
  <c r="L56" i="1"/>
  <c r="M56" i="1"/>
  <c r="N56" i="1"/>
  <c r="O56" i="1"/>
  <c r="D56" i="1"/>
  <c r="E56" i="1"/>
  <c r="F56" i="1"/>
  <c r="G56" i="1"/>
  <c r="H56" i="1"/>
  <c r="I56" i="1"/>
  <c r="U55" i="1"/>
  <c r="V55" i="1"/>
  <c r="W55" i="1"/>
  <c r="X55" i="1"/>
  <c r="B56" i="1"/>
  <c r="C56" i="1"/>
  <c r="O55" i="1"/>
  <c r="P55" i="1"/>
  <c r="Q55" i="1"/>
  <c r="R55" i="1"/>
  <c r="S55" i="1"/>
  <c r="T55" i="1"/>
  <c r="I55" i="1"/>
  <c r="J55" i="1"/>
  <c r="K55" i="1"/>
  <c r="L55" i="1"/>
  <c r="M55" i="1"/>
  <c r="N55" i="1"/>
  <c r="C55" i="1"/>
  <c r="D55" i="1"/>
  <c r="E55" i="1"/>
  <c r="F55" i="1"/>
  <c r="G55" i="1"/>
  <c r="H55" i="1"/>
  <c r="T54" i="1"/>
  <c r="U54" i="1"/>
  <c r="V54" i="1"/>
  <c r="W54" i="1"/>
  <c r="X54" i="1"/>
  <c r="B55" i="1"/>
  <c r="N54" i="1"/>
  <c r="O54" i="1"/>
  <c r="P54" i="1"/>
  <c r="Q54" i="1"/>
  <c r="R54" i="1"/>
  <c r="S54" i="1"/>
  <c r="H54" i="1"/>
  <c r="I54" i="1"/>
  <c r="J54" i="1"/>
  <c r="K54" i="1"/>
  <c r="L54" i="1"/>
  <c r="M54" i="1"/>
  <c r="B54" i="1"/>
  <c r="C54" i="1"/>
  <c r="D54" i="1"/>
  <c r="E54" i="1"/>
  <c r="F54" i="1"/>
  <c r="G54" i="1"/>
  <c r="S53" i="1"/>
  <c r="T53" i="1"/>
  <c r="U53" i="1"/>
  <c r="V53" i="1"/>
  <c r="W53" i="1"/>
  <c r="X53" i="1"/>
  <c r="M53" i="1"/>
  <c r="N53" i="1"/>
  <c r="O53" i="1"/>
  <c r="P53" i="1"/>
  <c r="Q53" i="1"/>
  <c r="R53" i="1"/>
  <c r="G53" i="1"/>
  <c r="H53" i="1"/>
  <c r="I53" i="1"/>
  <c r="J53" i="1"/>
  <c r="K53" i="1"/>
  <c r="L53" i="1"/>
  <c r="X52" i="1"/>
  <c r="B53" i="1"/>
  <c r="C53" i="1"/>
  <c r="D53" i="1"/>
  <c r="E53" i="1"/>
  <c r="F53" i="1"/>
  <c r="R52" i="1"/>
  <c r="S52" i="1"/>
  <c r="T52" i="1"/>
  <c r="U52" i="1"/>
  <c r="V52" i="1"/>
  <c r="W52" i="1"/>
  <c r="L52" i="1"/>
  <c r="M52" i="1"/>
  <c r="N52" i="1"/>
  <c r="O52" i="1"/>
  <c r="P52" i="1"/>
  <c r="Q52" i="1"/>
  <c r="F52" i="1"/>
  <c r="G52" i="1"/>
  <c r="H52" i="1"/>
  <c r="I52" i="1"/>
  <c r="J52" i="1"/>
  <c r="K52" i="1"/>
  <c r="W51" i="1"/>
  <c r="X51" i="1"/>
  <c r="B52" i="1"/>
  <c r="C52" i="1"/>
  <c r="D52" i="1"/>
  <c r="E52" i="1"/>
  <c r="Q51" i="1"/>
  <c r="R51" i="1"/>
  <c r="S51" i="1"/>
  <c r="T51" i="1"/>
  <c r="U51" i="1"/>
  <c r="V51" i="1"/>
  <c r="K51" i="1"/>
  <c r="L51" i="1"/>
  <c r="M51" i="1"/>
  <c r="N51" i="1"/>
  <c r="O51" i="1"/>
  <c r="P51" i="1"/>
  <c r="E51" i="1"/>
  <c r="F51" i="1"/>
  <c r="G51" i="1"/>
  <c r="H51" i="1"/>
  <c r="I51" i="1"/>
  <c r="J51" i="1"/>
  <c r="V50" i="1"/>
  <c r="W50" i="1"/>
  <c r="X50" i="1"/>
  <c r="B51" i="1"/>
  <c r="C51" i="1"/>
  <c r="D51" i="1"/>
  <c r="P50" i="1"/>
  <c r="Q50" i="1"/>
  <c r="R50" i="1"/>
  <c r="S50" i="1"/>
  <c r="T50" i="1"/>
  <c r="U50" i="1"/>
  <c r="J50" i="1"/>
  <c r="K50" i="1"/>
  <c r="L50" i="1"/>
  <c r="M50" i="1"/>
  <c r="N50" i="1"/>
  <c r="O50" i="1"/>
  <c r="D50" i="1"/>
  <c r="E50" i="1"/>
  <c r="F50" i="1"/>
  <c r="G50" i="1"/>
  <c r="H50" i="1"/>
  <c r="I50" i="1"/>
  <c r="U49" i="1"/>
  <c r="V49" i="1"/>
  <c r="W49" i="1"/>
  <c r="X49" i="1"/>
  <c r="B50" i="1"/>
  <c r="C50" i="1"/>
  <c r="O49" i="1"/>
  <c r="P49" i="1"/>
  <c r="Q49" i="1"/>
  <c r="R49" i="1"/>
  <c r="S49" i="1"/>
  <c r="T49" i="1"/>
  <c r="I49" i="1"/>
  <c r="J49" i="1"/>
  <c r="K49" i="1"/>
  <c r="L49" i="1"/>
  <c r="M49" i="1"/>
  <c r="N49" i="1"/>
  <c r="C49" i="1"/>
  <c r="D49" i="1"/>
  <c r="E49" i="1"/>
  <c r="F49" i="1"/>
  <c r="G49" i="1"/>
  <c r="H49" i="1"/>
  <c r="T48" i="1"/>
  <c r="U48" i="1"/>
  <c r="V48" i="1"/>
  <c r="W48" i="1"/>
  <c r="X48" i="1"/>
  <c r="B49" i="1"/>
  <c r="N48" i="1"/>
  <c r="O48" i="1"/>
  <c r="P48" i="1"/>
  <c r="Q48" i="1"/>
  <c r="R48" i="1"/>
  <c r="S48" i="1"/>
  <c r="H48" i="1"/>
  <c r="I48" i="1"/>
  <c r="J48" i="1"/>
  <c r="K48" i="1"/>
  <c r="L48" i="1"/>
  <c r="M48" i="1"/>
  <c r="B48" i="1"/>
  <c r="C48" i="1"/>
  <c r="D48" i="1"/>
  <c r="E48" i="1"/>
  <c r="F48" i="1"/>
  <c r="G48" i="1"/>
  <c r="S47" i="1"/>
  <c r="T47" i="1"/>
  <c r="U47" i="1"/>
  <c r="V47" i="1"/>
  <c r="W47" i="1"/>
  <c r="X47" i="1"/>
  <c r="M47" i="1"/>
  <c r="N47" i="1"/>
  <c r="O47" i="1"/>
  <c r="P47" i="1"/>
  <c r="Q47" i="1"/>
  <c r="R47" i="1"/>
  <c r="G47" i="1"/>
  <c r="H47" i="1"/>
  <c r="I47" i="1"/>
  <c r="J47" i="1"/>
  <c r="K47" i="1"/>
  <c r="L47" i="1"/>
  <c r="X46" i="1"/>
  <c r="B47" i="1"/>
  <c r="C47" i="1"/>
  <c r="D47" i="1"/>
  <c r="E47" i="1"/>
  <c r="F47" i="1"/>
  <c r="R46" i="1"/>
  <c r="S46" i="1"/>
  <c r="T46" i="1"/>
  <c r="U46" i="1"/>
  <c r="V46" i="1"/>
  <c r="W46" i="1"/>
  <c r="L46" i="1"/>
  <c r="M46" i="1"/>
  <c r="N46" i="1"/>
  <c r="O46" i="1"/>
  <c r="P46" i="1"/>
  <c r="Q46" i="1"/>
  <c r="F46" i="1"/>
  <c r="G46" i="1"/>
  <c r="H46" i="1"/>
  <c r="I46" i="1"/>
  <c r="J46" i="1"/>
  <c r="K46" i="1"/>
  <c r="W45" i="1"/>
  <c r="X45" i="1"/>
  <c r="B46" i="1"/>
  <c r="C46" i="1"/>
  <c r="D46" i="1"/>
  <c r="E46" i="1"/>
  <c r="Q45" i="1"/>
  <c r="R45" i="1"/>
  <c r="S45" i="1"/>
  <c r="T45" i="1"/>
  <c r="U45" i="1"/>
  <c r="V45" i="1"/>
  <c r="K45" i="1"/>
  <c r="L45" i="1"/>
  <c r="M45" i="1"/>
  <c r="N45" i="1"/>
  <c r="O45" i="1"/>
  <c r="P45" i="1"/>
  <c r="E45" i="1"/>
  <c r="F45" i="1"/>
  <c r="G45" i="1"/>
  <c r="H45" i="1"/>
  <c r="I45" i="1"/>
  <c r="J45" i="1"/>
  <c r="V44" i="1"/>
  <c r="W44" i="1"/>
  <c r="X44" i="1"/>
  <c r="B45" i="1"/>
  <c r="C45" i="1"/>
  <c r="D45" i="1"/>
  <c r="P44" i="1"/>
  <c r="Q44" i="1"/>
  <c r="R44" i="1"/>
  <c r="S44" i="1"/>
  <c r="T44" i="1"/>
  <c r="U44" i="1"/>
  <c r="J44" i="1"/>
  <c r="K44" i="1"/>
  <c r="L44" i="1"/>
  <c r="M44" i="1"/>
  <c r="N44" i="1"/>
  <c r="O44" i="1"/>
  <c r="D44" i="1"/>
  <c r="E44" i="1"/>
  <c r="F44" i="1"/>
  <c r="G44" i="1"/>
  <c r="H44" i="1"/>
  <c r="I44" i="1"/>
  <c r="U43" i="1"/>
  <c r="V43" i="1"/>
  <c r="W43" i="1"/>
  <c r="X43" i="1"/>
  <c r="B44" i="1"/>
  <c r="C44" i="1"/>
  <c r="O43" i="1"/>
  <c r="P43" i="1"/>
  <c r="Q43" i="1"/>
  <c r="R43" i="1"/>
  <c r="S43" i="1"/>
  <c r="T43" i="1"/>
  <c r="I43" i="1"/>
  <c r="J43" i="1"/>
  <c r="K43" i="1"/>
  <c r="L43" i="1"/>
  <c r="M43" i="1"/>
  <c r="N43" i="1"/>
  <c r="C43" i="1"/>
  <c r="D43" i="1"/>
  <c r="E43" i="1"/>
  <c r="F43" i="1"/>
  <c r="G43" i="1"/>
  <c r="H43" i="1"/>
  <c r="T42" i="1"/>
  <c r="U42" i="1"/>
  <c r="V42" i="1"/>
  <c r="W42" i="1"/>
  <c r="X42" i="1"/>
  <c r="B43" i="1"/>
  <c r="N42" i="1"/>
  <c r="O42" i="1"/>
  <c r="P42" i="1"/>
  <c r="Q42" i="1"/>
  <c r="R42" i="1"/>
  <c r="S42" i="1"/>
  <c r="H42" i="1"/>
  <c r="I42" i="1"/>
  <c r="J42" i="1"/>
  <c r="K42" i="1"/>
  <c r="L42" i="1"/>
  <c r="M42" i="1"/>
  <c r="B42" i="1"/>
  <c r="C42" i="1"/>
  <c r="D42" i="1"/>
  <c r="E42" i="1"/>
  <c r="F42" i="1"/>
  <c r="G42" i="1"/>
  <c r="S41" i="1"/>
  <c r="T41" i="1"/>
  <c r="U41" i="1"/>
  <c r="V41" i="1"/>
  <c r="W41" i="1"/>
  <c r="X41" i="1"/>
  <c r="M41" i="1"/>
  <c r="N41" i="1"/>
  <c r="O41" i="1"/>
  <c r="P41" i="1"/>
  <c r="Q41" i="1"/>
  <c r="R41" i="1"/>
  <c r="G41" i="1"/>
  <c r="H41" i="1"/>
  <c r="I41" i="1"/>
  <c r="J41" i="1"/>
  <c r="K41" i="1"/>
  <c r="L41" i="1"/>
  <c r="X40" i="1"/>
  <c r="B41" i="1"/>
  <c r="C41" i="1"/>
  <c r="D41" i="1"/>
  <c r="E41" i="1"/>
  <c r="F41" i="1"/>
  <c r="R40" i="1"/>
  <c r="S40" i="1"/>
  <c r="T40" i="1"/>
  <c r="U40" i="1"/>
  <c r="V40" i="1"/>
  <c r="W40" i="1"/>
  <c r="L40" i="1"/>
  <c r="M40" i="1"/>
  <c r="N40" i="1"/>
  <c r="O40" i="1"/>
  <c r="P40" i="1"/>
  <c r="Q40" i="1"/>
  <c r="F40" i="1"/>
  <c r="G40" i="1"/>
  <c r="H40" i="1"/>
  <c r="I40" i="1"/>
  <c r="J40" i="1"/>
  <c r="K40" i="1"/>
  <c r="W39" i="1"/>
  <c r="X39" i="1"/>
  <c r="B40" i="1"/>
  <c r="C40" i="1"/>
  <c r="D40" i="1"/>
  <c r="E40" i="1"/>
  <c r="Q39" i="1"/>
  <c r="R39" i="1"/>
  <c r="S39" i="1"/>
  <c r="T39" i="1"/>
  <c r="U39" i="1"/>
  <c r="V39" i="1"/>
  <c r="K39" i="1"/>
  <c r="L39" i="1"/>
  <c r="M39" i="1"/>
  <c r="N39" i="1"/>
  <c r="O39" i="1"/>
  <c r="P39" i="1"/>
  <c r="E39" i="1"/>
  <c r="F39" i="1"/>
  <c r="G39" i="1"/>
  <c r="H39" i="1"/>
  <c r="I39" i="1"/>
  <c r="J39" i="1"/>
  <c r="V38" i="1"/>
  <c r="W38" i="1"/>
  <c r="X38" i="1"/>
  <c r="B39" i="1"/>
  <c r="C39" i="1"/>
  <c r="D39" i="1"/>
  <c r="P38" i="1"/>
  <c r="Q38" i="1"/>
  <c r="R38" i="1"/>
  <c r="S38" i="1"/>
  <c r="T38" i="1"/>
  <c r="U38" i="1"/>
  <c r="J38" i="1"/>
  <c r="K38" i="1"/>
  <c r="L38" i="1"/>
  <c r="M38" i="1"/>
  <c r="N38" i="1"/>
  <c r="O38" i="1"/>
  <c r="D38" i="1"/>
  <c r="E38" i="1"/>
  <c r="F38" i="1"/>
  <c r="G38" i="1"/>
  <c r="H38" i="1"/>
  <c r="I38" i="1"/>
  <c r="U37" i="1"/>
  <c r="V37" i="1"/>
  <c r="W37" i="1"/>
  <c r="X37" i="1"/>
  <c r="B38" i="1"/>
  <c r="C38" i="1"/>
  <c r="O37" i="1"/>
  <c r="P37" i="1"/>
  <c r="Q37" i="1"/>
  <c r="R37" i="1"/>
  <c r="S37" i="1"/>
  <c r="T37" i="1"/>
  <c r="I37" i="1"/>
  <c r="J37" i="1"/>
  <c r="K37" i="1"/>
  <c r="L37" i="1"/>
  <c r="M37" i="1"/>
  <c r="N37" i="1"/>
  <c r="C37" i="1"/>
  <c r="D37" i="1"/>
  <c r="E37" i="1"/>
  <c r="F37" i="1"/>
  <c r="G37" i="1"/>
  <c r="H37" i="1"/>
  <c r="T36" i="1"/>
  <c r="U36" i="1"/>
  <c r="V36" i="1"/>
  <c r="W36" i="1"/>
  <c r="X36" i="1"/>
  <c r="B37" i="1"/>
  <c r="N36" i="1"/>
  <c r="O36" i="1"/>
  <c r="P36" i="1"/>
  <c r="Q36" i="1"/>
  <c r="R36" i="1"/>
  <c r="S36" i="1"/>
  <c r="H36" i="1"/>
  <c r="I36" i="1"/>
  <c r="J36" i="1"/>
  <c r="K36" i="1"/>
  <c r="L36" i="1"/>
  <c r="M36" i="1"/>
  <c r="B36" i="1"/>
  <c r="C36" i="1"/>
  <c r="D36" i="1"/>
  <c r="E36" i="1"/>
  <c r="F36" i="1"/>
  <c r="G36" i="1"/>
  <c r="S35" i="1"/>
  <c r="T35" i="1"/>
  <c r="U35" i="1"/>
  <c r="V35" i="1"/>
  <c r="W35" i="1"/>
  <c r="X35" i="1"/>
  <c r="M35" i="1"/>
  <c r="N35" i="1"/>
  <c r="O35" i="1"/>
  <c r="P35" i="1"/>
  <c r="Q35" i="1"/>
  <c r="R35" i="1"/>
  <c r="G35" i="1"/>
  <c r="H35" i="1"/>
  <c r="I35" i="1"/>
  <c r="J35" i="1"/>
  <c r="K35" i="1"/>
  <c r="L35" i="1"/>
  <c r="X34" i="1"/>
  <c r="B35" i="1"/>
  <c r="C35" i="1"/>
  <c r="D35" i="1"/>
  <c r="E35" i="1"/>
  <c r="F35" i="1"/>
  <c r="R34" i="1"/>
  <c r="S34" i="1"/>
  <c r="T34" i="1"/>
  <c r="U34" i="1"/>
  <c r="V34" i="1"/>
  <c r="W34" i="1"/>
  <c r="L34" i="1"/>
  <c r="M34" i="1"/>
  <c r="N34" i="1"/>
  <c r="O34" i="1"/>
  <c r="P34" i="1"/>
  <c r="Q34" i="1"/>
  <c r="F34" i="1"/>
  <c r="G34" i="1"/>
  <c r="H34" i="1"/>
  <c r="I34" i="1"/>
  <c r="J34" i="1"/>
  <c r="K34" i="1"/>
  <c r="W33" i="1"/>
  <c r="X33" i="1"/>
  <c r="B34" i="1"/>
  <c r="C34" i="1"/>
  <c r="D34" i="1"/>
  <c r="E34" i="1"/>
  <c r="Q33" i="1"/>
  <c r="R33" i="1"/>
  <c r="S33" i="1"/>
  <c r="T33" i="1"/>
  <c r="U33" i="1"/>
  <c r="V33" i="1"/>
  <c r="K33" i="1"/>
  <c r="L33" i="1"/>
  <c r="M33" i="1"/>
  <c r="N33" i="1"/>
  <c r="O33" i="1"/>
  <c r="P33" i="1"/>
  <c r="E33" i="1"/>
  <c r="F33" i="1"/>
  <c r="G33" i="1"/>
  <c r="H33" i="1"/>
  <c r="I33" i="1"/>
  <c r="J33" i="1"/>
  <c r="V32" i="1"/>
  <c r="W32" i="1"/>
  <c r="X32" i="1"/>
  <c r="B33" i="1"/>
  <c r="C33" i="1"/>
  <c r="D33" i="1"/>
  <c r="P32" i="1"/>
  <c r="Q32" i="1"/>
  <c r="R32" i="1"/>
  <c r="S32" i="1"/>
  <c r="T32" i="1"/>
  <c r="U32" i="1"/>
  <c r="J32" i="1"/>
  <c r="K32" i="1"/>
  <c r="L32" i="1"/>
  <c r="M32" i="1"/>
  <c r="N32" i="1"/>
  <c r="O32" i="1"/>
  <c r="D32" i="1"/>
  <c r="E32" i="1"/>
  <c r="F32" i="1"/>
  <c r="G32" i="1"/>
  <c r="H32" i="1"/>
  <c r="I32" i="1"/>
  <c r="U31" i="1"/>
  <c r="V31" i="1"/>
  <c r="W31" i="1"/>
  <c r="X31" i="1"/>
  <c r="B32" i="1"/>
  <c r="C32" i="1"/>
  <c r="O31" i="1"/>
  <c r="P31" i="1"/>
  <c r="Q31" i="1"/>
  <c r="R31" i="1"/>
  <c r="S31" i="1"/>
  <c r="T31" i="1"/>
  <c r="I31" i="1"/>
  <c r="J31" i="1"/>
  <c r="K31" i="1"/>
  <c r="L31" i="1"/>
  <c r="M31" i="1"/>
  <c r="N31" i="1"/>
  <c r="C31" i="1"/>
  <c r="D31" i="1"/>
  <c r="E31" i="1"/>
  <c r="F31" i="1"/>
  <c r="G31" i="1"/>
  <c r="H31" i="1"/>
  <c r="T30" i="1"/>
  <c r="U30" i="1"/>
  <c r="V30" i="1"/>
  <c r="W30" i="1"/>
  <c r="X30" i="1"/>
  <c r="B31" i="1"/>
  <c r="N30" i="1"/>
  <c r="O30" i="1"/>
  <c r="P30" i="1"/>
  <c r="Q30" i="1"/>
  <c r="R30" i="1"/>
  <c r="S30" i="1"/>
  <c r="H30" i="1"/>
  <c r="I30" i="1"/>
  <c r="J30" i="1"/>
  <c r="K30" i="1"/>
  <c r="L30" i="1"/>
  <c r="M30" i="1"/>
  <c r="B30" i="1"/>
  <c r="C30" i="1"/>
  <c r="D30" i="1"/>
  <c r="E30" i="1"/>
  <c r="F30" i="1"/>
  <c r="G30" i="1"/>
  <c r="S29" i="1"/>
  <c r="T29" i="1"/>
  <c r="U29" i="1"/>
  <c r="V29" i="1"/>
  <c r="W29" i="1"/>
  <c r="X29" i="1"/>
  <c r="M29" i="1"/>
  <c r="N29" i="1"/>
  <c r="O29" i="1"/>
  <c r="P29" i="1"/>
  <c r="Q29" i="1"/>
  <c r="R29" i="1"/>
  <c r="G29" i="1"/>
  <c r="H29" i="1"/>
  <c r="I29" i="1"/>
  <c r="J29" i="1"/>
  <c r="K29" i="1"/>
  <c r="L29" i="1"/>
  <c r="X28" i="1"/>
  <c r="B29" i="1"/>
  <c r="C29" i="1"/>
  <c r="D29" i="1"/>
  <c r="E29" i="1"/>
  <c r="F29" i="1"/>
  <c r="R28" i="1"/>
  <c r="S28" i="1"/>
  <c r="T28" i="1"/>
  <c r="U28" i="1"/>
  <c r="V28" i="1"/>
  <c r="W28" i="1"/>
  <c r="L28" i="1"/>
  <c r="M28" i="1"/>
  <c r="N28" i="1"/>
  <c r="O28" i="1"/>
  <c r="P28" i="1"/>
  <c r="Q28" i="1"/>
  <c r="F28" i="1"/>
  <c r="G28" i="1"/>
  <c r="H28" i="1"/>
  <c r="I28" i="1"/>
  <c r="J28" i="1"/>
  <c r="K28" i="1"/>
  <c r="W27" i="1"/>
  <c r="X27" i="1"/>
  <c r="B28" i="1"/>
  <c r="C28" i="1"/>
  <c r="D28" i="1"/>
  <c r="E28" i="1"/>
  <c r="Q27" i="1"/>
  <c r="R27" i="1"/>
  <c r="S27" i="1"/>
  <c r="T27" i="1"/>
  <c r="U27" i="1"/>
  <c r="V27" i="1"/>
  <c r="K27" i="1"/>
  <c r="L27" i="1"/>
  <c r="M27" i="1"/>
  <c r="N27" i="1"/>
  <c r="O27" i="1"/>
  <c r="P27" i="1"/>
  <c r="E27" i="1"/>
  <c r="F27" i="1"/>
  <c r="G27" i="1"/>
  <c r="H27" i="1"/>
  <c r="I27" i="1"/>
  <c r="J27" i="1"/>
  <c r="V26" i="1"/>
  <c r="W26" i="1"/>
  <c r="X26" i="1"/>
  <c r="B27" i="1"/>
  <c r="C27" i="1"/>
  <c r="D27" i="1"/>
  <c r="P26" i="1"/>
  <c r="Q26" i="1"/>
  <c r="R26" i="1"/>
  <c r="S26" i="1"/>
  <c r="T26" i="1"/>
  <c r="U26" i="1"/>
  <c r="J26" i="1"/>
  <c r="K26" i="1"/>
  <c r="L26" i="1"/>
  <c r="M26" i="1"/>
  <c r="N26" i="1"/>
  <c r="O26" i="1"/>
  <c r="D26" i="1"/>
  <c r="E26" i="1"/>
  <c r="F26" i="1"/>
  <c r="G26" i="1"/>
  <c r="H26" i="1"/>
  <c r="I26" i="1"/>
  <c r="U25" i="1"/>
  <c r="V25" i="1"/>
  <c r="W25" i="1"/>
  <c r="X25" i="1"/>
  <c r="B26" i="1"/>
  <c r="C26" i="1"/>
  <c r="O25" i="1"/>
  <c r="P25" i="1"/>
  <c r="Q25" i="1"/>
  <c r="R25" i="1"/>
  <c r="S25" i="1"/>
  <c r="T25" i="1"/>
  <c r="I25" i="1"/>
  <c r="J25" i="1"/>
  <c r="K25" i="1"/>
  <c r="L25" i="1"/>
  <c r="M25" i="1"/>
  <c r="N25" i="1"/>
  <c r="C25" i="1"/>
  <c r="D25" i="1"/>
  <c r="E25" i="1"/>
  <c r="F25" i="1"/>
  <c r="G25" i="1"/>
  <c r="H25" i="1"/>
  <c r="T24" i="1"/>
  <c r="U24" i="1"/>
  <c r="V24" i="1"/>
  <c r="W24" i="1"/>
  <c r="X24" i="1"/>
  <c r="B25" i="1"/>
  <c r="N24" i="1"/>
  <c r="O24" i="1"/>
  <c r="P24" i="1"/>
  <c r="Q24" i="1"/>
  <c r="R24" i="1"/>
  <c r="S24" i="1"/>
  <c r="H24" i="1"/>
  <c r="I24" i="1"/>
  <c r="J24" i="1"/>
  <c r="K24" i="1"/>
  <c r="L24" i="1"/>
  <c r="M24" i="1"/>
  <c r="B24" i="1"/>
  <c r="C24" i="1"/>
  <c r="D24" i="1"/>
  <c r="E24" i="1"/>
  <c r="F24" i="1"/>
  <c r="G24" i="1"/>
  <c r="S23" i="1"/>
  <c r="T23" i="1"/>
  <c r="U23" i="1"/>
  <c r="V23" i="1"/>
  <c r="W23" i="1"/>
  <c r="X23" i="1"/>
  <c r="M23" i="1"/>
  <c r="N23" i="1"/>
  <c r="O23" i="1"/>
  <c r="P23" i="1"/>
  <c r="Q23" i="1"/>
  <c r="R23" i="1"/>
  <c r="G23" i="1"/>
  <c r="H23" i="1"/>
  <c r="I23" i="1"/>
  <c r="J23" i="1"/>
  <c r="K23" i="1"/>
  <c r="L23" i="1"/>
  <c r="X22" i="1"/>
  <c r="B23" i="1"/>
  <c r="C23" i="1"/>
  <c r="D23" i="1"/>
  <c r="E23" i="1"/>
  <c r="F23" i="1"/>
  <c r="R22" i="1"/>
  <c r="S22" i="1"/>
  <c r="T22" i="1"/>
  <c r="U22" i="1"/>
  <c r="V22" i="1"/>
  <c r="W22" i="1"/>
  <c r="L22" i="1"/>
  <c r="M22" i="1"/>
  <c r="N22" i="1"/>
  <c r="O22" i="1"/>
  <c r="P22" i="1"/>
  <c r="Q22" i="1"/>
  <c r="F22" i="1"/>
  <c r="G22" i="1"/>
  <c r="H22" i="1"/>
  <c r="I22" i="1"/>
  <c r="J22" i="1"/>
  <c r="K22" i="1"/>
  <c r="W21" i="1"/>
  <c r="X21" i="1"/>
  <c r="B22" i="1"/>
  <c r="C22" i="1"/>
  <c r="D22" i="1"/>
  <c r="E22" i="1"/>
  <c r="Q21" i="1"/>
  <c r="R21" i="1"/>
  <c r="S21" i="1"/>
  <c r="T21" i="1"/>
  <c r="U21" i="1"/>
  <c r="V21" i="1"/>
  <c r="K21" i="1"/>
  <c r="L21" i="1"/>
  <c r="M21" i="1"/>
  <c r="N21" i="1"/>
  <c r="O21" i="1"/>
  <c r="P21" i="1"/>
  <c r="E21" i="1"/>
  <c r="F21" i="1"/>
  <c r="G21" i="1"/>
  <c r="H21" i="1"/>
  <c r="I21" i="1"/>
  <c r="J21" i="1"/>
  <c r="V20" i="1"/>
  <c r="W20" i="1"/>
  <c r="X20" i="1"/>
  <c r="B21" i="1"/>
  <c r="C21" i="1"/>
  <c r="D21" i="1"/>
  <c r="P20" i="1"/>
  <c r="Q20" i="1"/>
  <c r="R20" i="1"/>
  <c r="S20" i="1"/>
  <c r="T20" i="1"/>
  <c r="U20" i="1"/>
  <c r="J20" i="1"/>
  <c r="K20" i="1"/>
  <c r="L20" i="1"/>
  <c r="M20" i="1"/>
  <c r="N20" i="1"/>
  <c r="O20" i="1"/>
  <c r="D20" i="1"/>
  <c r="E20" i="1"/>
  <c r="F20" i="1"/>
  <c r="G20" i="1"/>
  <c r="H20" i="1"/>
  <c r="I20" i="1"/>
  <c r="U19" i="1"/>
  <c r="V19" i="1"/>
  <c r="W19" i="1"/>
  <c r="X19" i="1"/>
  <c r="B20" i="1"/>
  <c r="C20" i="1"/>
  <c r="O19" i="1"/>
  <c r="P19" i="1"/>
  <c r="Q19" i="1"/>
  <c r="R19" i="1"/>
  <c r="S19" i="1"/>
  <c r="T19" i="1"/>
  <c r="I19" i="1"/>
  <c r="J19" i="1"/>
  <c r="K19" i="1"/>
  <c r="L19" i="1"/>
  <c r="M19" i="1"/>
  <c r="N19" i="1"/>
  <c r="C19" i="1"/>
  <c r="D19" i="1"/>
  <c r="E19" i="1"/>
  <c r="F19" i="1"/>
  <c r="G19" i="1"/>
  <c r="H19" i="1"/>
  <c r="T18" i="1"/>
  <c r="U18" i="1"/>
  <c r="V18" i="1"/>
  <c r="W18" i="1"/>
  <c r="X18" i="1"/>
  <c r="B19" i="1"/>
  <c r="N18" i="1"/>
  <c r="O18" i="1"/>
  <c r="P18" i="1"/>
  <c r="Q18" i="1"/>
  <c r="R18" i="1"/>
  <c r="S18" i="1"/>
  <c r="H18" i="1"/>
  <c r="I18" i="1"/>
  <c r="J18" i="1"/>
  <c r="K18" i="1"/>
  <c r="L18" i="1"/>
  <c r="M18" i="1"/>
  <c r="B18" i="1"/>
  <c r="C18" i="1"/>
  <c r="D18" i="1"/>
  <c r="E18" i="1"/>
  <c r="F18" i="1"/>
  <c r="G18" i="1"/>
  <c r="S17" i="1"/>
  <c r="T17" i="1"/>
  <c r="U17" i="1"/>
  <c r="V17" i="1"/>
  <c r="W17" i="1"/>
  <c r="X17" i="1"/>
  <c r="M17" i="1"/>
  <c r="N17" i="1"/>
  <c r="O17" i="1"/>
  <c r="P17" i="1"/>
  <c r="Q17" i="1"/>
  <c r="R17" i="1"/>
  <c r="G17" i="1"/>
  <c r="H17" i="1"/>
  <c r="I17" i="1"/>
  <c r="J17" i="1"/>
  <c r="K17" i="1"/>
  <c r="L17" i="1"/>
  <c r="X16" i="1"/>
  <c r="B17" i="1"/>
  <c r="C17" i="1"/>
  <c r="D17" i="1"/>
  <c r="E17" i="1"/>
  <c r="F17" i="1"/>
  <c r="R16" i="1"/>
  <c r="S16" i="1"/>
  <c r="T16" i="1"/>
  <c r="U16" i="1"/>
  <c r="V16" i="1"/>
  <c r="W16" i="1"/>
  <c r="L16" i="1"/>
  <c r="M16" i="1"/>
  <c r="N16" i="1"/>
  <c r="O16" i="1"/>
  <c r="P16" i="1"/>
  <c r="Q16" i="1"/>
  <c r="F16" i="1"/>
  <c r="G16" i="1"/>
  <c r="H16" i="1"/>
  <c r="I16" i="1"/>
  <c r="J16" i="1"/>
  <c r="K16" i="1"/>
  <c r="W15" i="1"/>
  <c r="X15" i="1"/>
  <c r="B16" i="1"/>
  <c r="C16" i="1"/>
  <c r="D16" i="1"/>
  <c r="E16" i="1"/>
  <c r="Q15" i="1"/>
  <c r="R15" i="1"/>
  <c r="S15" i="1"/>
  <c r="T15" i="1"/>
  <c r="U15" i="1"/>
  <c r="V15" i="1"/>
  <c r="K15" i="1"/>
  <c r="L15" i="1"/>
  <c r="M15" i="1"/>
  <c r="N15" i="1"/>
  <c r="O15" i="1"/>
  <c r="P15" i="1"/>
  <c r="E15" i="1"/>
  <c r="F15" i="1"/>
  <c r="G15" i="1"/>
  <c r="H15" i="1"/>
  <c r="I15" i="1"/>
  <c r="J15" i="1"/>
  <c r="V14" i="1"/>
  <c r="W14" i="1"/>
  <c r="X14" i="1"/>
  <c r="B15" i="1"/>
  <c r="C15" i="1"/>
  <c r="D15" i="1"/>
  <c r="P14" i="1"/>
  <c r="Q14" i="1"/>
  <c r="R14" i="1"/>
  <c r="S14" i="1"/>
  <c r="T14" i="1"/>
  <c r="U14" i="1"/>
  <c r="J14" i="1"/>
  <c r="K14" i="1"/>
  <c r="L14" i="1"/>
  <c r="M14" i="1"/>
  <c r="N14" i="1"/>
  <c r="O14" i="1"/>
  <c r="D14" i="1"/>
  <c r="E14" i="1"/>
  <c r="F14" i="1"/>
  <c r="G14" i="1"/>
  <c r="H14" i="1"/>
  <c r="I14" i="1"/>
  <c r="U13" i="1"/>
  <c r="V13" i="1"/>
  <c r="W13" i="1"/>
  <c r="X13" i="1"/>
  <c r="B14" i="1"/>
  <c r="C14" i="1"/>
  <c r="O13" i="1"/>
  <c r="P13" i="1"/>
  <c r="Q13" i="1"/>
  <c r="R13" i="1"/>
  <c r="S13" i="1"/>
  <c r="T13" i="1"/>
  <c r="I13" i="1"/>
  <c r="J13" i="1"/>
  <c r="K13" i="1"/>
  <c r="L13" i="1"/>
  <c r="M13" i="1"/>
  <c r="N13" i="1"/>
  <c r="C13" i="1"/>
  <c r="D13" i="1"/>
  <c r="E13" i="1"/>
  <c r="F13" i="1"/>
  <c r="G13" i="1"/>
  <c r="H13" i="1"/>
  <c r="T12" i="1"/>
  <c r="U12" i="1"/>
  <c r="V12" i="1"/>
  <c r="W12" i="1"/>
  <c r="X12" i="1"/>
  <c r="B13" i="1"/>
  <c r="N12" i="1"/>
  <c r="O12" i="1"/>
  <c r="P12" i="1"/>
  <c r="Q12" i="1"/>
  <c r="R12" i="1"/>
  <c r="S12" i="1"/>
  <c r="H12" i="1"/>
  <c r="I12" i="1"/>
  <c r="J12" i="1"/>
  <c r="K12" i="1"/>
  <c r="L12" i="1"/>
  <c r="M12" i="1"/>
  <c r="B12" i="1"/>
  <c r="C12" i="1"/>
  <c r="D12" i="1"/>
  <c r="E12" i="1"/>
  <c r="F12" i="1"/>
  <c r="G12" i="1"/>
  <c r="S11" i="1"/>
  <c r="T11" i="1"/>
  <c r="U11" i="1"/>
  <c r="V11" i="1"/>
  <c r="W11" i="1"/>
  <c r="X11" i="1"/>
  <c r="M11" i="1"/>
  <c r="N11" i="1"/>
  <c r="O11" i="1"/>
  <c r="P11" i="1"/>
  <c r="Q11" i="1"/>
  <c r="R11" i="1"/>
  <c r="G11" i="1"/>
  <c r="H11" i="1"/>
  <c r="I11" i="1"/>
  <c r="J11" i="1"/>
  <c r="K11" i="1"/>
  <c r="L11" i="1"/>
  <c r="X10" i="1"/>
  <c r="B11" i="1"/>
  <c r="C11" i="1"/>
  <c r="D11" i="1"/>
  <c r="E11" i="1"/>
  <c r="F11" i="1"/>
  <c r="R10" i="1"/>
  <c r="S10" i="1"/>
  <c r="T10" i="1"/>
  <c r="U10" i="1"/>
  <c r="V10" i="1"/>
  <c r="W10" i="1"/>
  <c r="L10" i="1"/>
  <c r="M10" i="1"/>
  <c r="N10" i="1"/>
  <c r="O10" i="1"/>
  <c r="P10" i="1"/>
  <c r="Q10" i="1"/>
  <c r="F10" i="1"/>
  <c r="G10" i="1"/>
  <c r="H10" i="1"/>
  <c r="I10" i="1"/>
  <c r="J10" i="1"/>
  <c r="K10" i="1"/>
  <c r="W9" i="1"/>
  <c r="X9" i="1"/>
  <c r="B10" i="1"/>
  <c r="C10" i="1"/>
  <c r="D10" i="1"/>
  <c r="E10" i="1"/>
  <c r="Q9" i="1"/>
  <c r="R9" i="1"/>
  <c r="S9" i="1"/>
  <c r="T9" i="1"/>
  <c r="U9" i="1"/>
  <c r="V9" i="1"/>
  <c r="K9" i="1"/>
  <c r="L9" i="1"/>
  <c r="M9" i="1"/>
  <c r="N9" i="1"/>
  <c r="O9" i="1"/>
  <c r="P9" i="1"/>
  <c r="E9" i="1"/>
  <c r="F9" i="1"/>
  <c r="G9" i="1"/>
  <c r="H9" i="1"/>
  <c r="I9" i="1"/>
  <c r="J9" i="1"/>
  <c r="V8" i="1"/>
  <c r="W8" i="1"/>
  <c r="X8" i="1"/>
  <c r="B9" i="1"/>
  <c r="C9" i="1"/>
  <c r="D9" i="1"/>
  <c r="P8" i="1"/>
  <c r="Q8" i="1"/>
  <c r="R8" i="1"/>
  <c r="S8" i="1"/>
  <c r="T8" i="1"/>
  <c r="U8" i="1"/>
  <c r="J8" i="1"/>
  <c r="K8" i="1"/>
  <c r="L8" i="1"/>
  <c r="M8" i="1"/>
  <c r="N8" i="1"/>
  <c r="O8" i="1"/>
  <c r="D8" i="1"/>
  <c r="E8" i="1"/>
  <c r="F8" i="1"/>
  <c r="G8" i="1"/>
  <c r="H8" i="1"/>
  <c r="I8" i="1"/>
  <c r="U7" i="1"/>
  <c r="V7" i="1"/>
  <c r="W7" i="1"/>
  <c r="X7" i="1"/>
  <c r="B8" i="1"/>
  <c r="C8" i="1"/>
  <c r="O7" i="1"/>
  <c r="P7" i="1"/>
  <c r="Q7" i="1"/>
  <c r="R7" i="1"/>
  <c r="S7" i="1"/>
  <c r="T7" i="1"/>
  <c r="I7" i="1"/>
  <c r="J7" i="1"/>
  <c r="K7" i="1"/>
  <c r="L7" i="1"/>
  <c r="M7" i="1"/>
  <c r="N7" i="1"/>
  <c r="C7" i="1"/>
  <c r="D7" i="1"/>
  <c r="E7" i="1"/>
  <c r="F7" i="1"/>
  <c r="G7" i="1"/>
  <c r="H7" i="1"/>
  <c r="T6" i="1"/>
  <c r="U6" i="1"/>
  <c r="V6" i="1"/>
  <c r="W6" i="1"/>
  <c r="X6" i="1"/>
  <c r="B7" i="1"/>
  <c r="N6" i="1"/>
  <c r="O6" i="1"/>
  <c r="P6" i="1"/>
  <c r="Q6" i="1"/>
  <c r="R6" i="1"/>
  <c r="S6" i="1"/>
  <c r="H6" i="1"/>
  <c r="I6" i="1"/>
  <c r="J6" i="1"/>
  <c r="K6" i="1"/>
  <c r="L6" i="1"/>
  <c r="M6" i="1"/>
  <c r="B6" i="1"/>
  <c r="C6" i="1"/>
  <c r="D6" i="1"/>
  <c r="E6" i="1"/>
  <c r="F6" i="1"/>
  <c r="G6" i="1"/>
  <c r="S5" i="1"/>
  <c r="T5" i="1"/>
  <c r="U5" i="1"/>
  <c r="V5" i="1"/>
  <c r="W5" i="1"/>
  <c r="X5" i="1"/>
  <c r="M5" i="1"/>
  <c r="N5" i="1"/>
  <c r="O5" i="1"/>
  <c r="P5" i="1"/>
  <c r="Q5" i="1"/>
  <c r="R5" i="1"/>
  <c r="G5" i="1"/>
  <c r="H5" i="1"/>
  <c r="I5" i="1"/>
  <c r="J5" i="1"/>
  <c r="K5" i="1"/>
  <c r="L5" i="1"/>
  <c r="X4" i="1"/>
  <c r="B5" i="1"/>
  <c r="C5" i="1"/>
  <c r="D5" i="1"/>
  <c r="E5" i="1"/>
  <c r="F5" i="1"/>
  <c r="R4" i="1"/>
  <c r="S4" i="1"/>
  <c r="T4" i="1"/>
  <c r="U4" i="1"/>
  <c r="V4" i="1"/>
  <c r="W4" i="1"/>
  <c r="L4" i="1"/>
  <c r="M4" i="1"/>
  <c r="N4" i="1"/>
  <c r="O4" i="1"/>
  <c r="P4" i="1"/>
  <c r="Q4" i="1"/>
  <c r="F4" i="1"/>
  <c r="G4" i="1"/>
  <c r="H4" i="1"/>
  <c r="I4" i="1"/>
  <c r="J4" i="1"/>
  <c r="K4" i="1"/>
  <c r="W3" i="1"/>
  <c r="X3" i="1"/>
  <c r="B4" i="1"/>
  <c r="C4" i="1"/>
  <c r="D4" i="1"/>
  <c r="E4" i="1"/>
  <c r="Q3" i="1"/>
  <c r="R3" i="1"/>
  <c r="S3" i="1"/>
  <c r="T3" i="1"/>
  <c r="U3" i="1"/>
  <c r="V3" i="1"/>
  <c r="K3" i="1"/>
  <c r="L3" i="1"/>
  <c r="M3" i="1"/>
  <c r="N3" i="1"/>
  <c r="O3" i="1"/>
  <c r="P3" i="1"/>
  <c r="E3" i="1"/>
  <c r="F3" i="1"/>
  <c r="G3" i="1"/>
  <c r="H3" i="1"/>
  <c r="I3" i="1"/>
  <c r="J3" i="1"/>
  <c r="V2" i="1"/>
  <c r="W2" i="1"/>
  <c r="X2" i="1"/>
  <c r="B3" i="1"/>
  <c r="C3" i="1"/>
  <c r="D3" i="1"/>
  <c r="P2" i="1"/>
  <c r="Q2" i="1"/>
  <c r="R2" i="1"/>
  <c r="S2" i="1"/>
  <c r="T2" i="1"/>
  <c r="U2" i="1"/>
  <c r="J2" i="1"/>
  <c r="K2" i="1"/>
  <c r="L2" i="1"/>
  <c r="M2" i="1"/>
  <c r="N2" i="1"/>
  <c r="O2" i="1"/>
  <c r="D2" i="1"/>
  <c r="E2" i="1"/>
  <c r="F2" i="1"/>
  <c r="G2" i="1"/>
  <c r="H2" i="1"/>
  <c r="I2" i="1"/>
  <c r="B2" i="1"/>
  <c r="C2" i="1"/>
</calcChain>
</file>

<file path=xl/sharedStrings.xml><?xml version="1.0" encoding="utf-8"?>
<sst xmlns="http://schemas.openxmlformats.org/spreadsheetml/2006/main" count="194" uniqueCount="194">
  <si>
    <t>Date</t>
  </si>
  <si>
    <t>NasdaqGM:QQQ</t>
  </si>
  <si>
    <t>NasdaqGM:AGIX</t>
  </si>
  <si>
    <t>NasdaqGM:SMH</t>
  </si>
  <si>
    <t>BATS:IGV</t>
  </si>
  <si>
    <t>NasdaqGM:BOTZ</t>
  </si>
  <si>
    <t>NasdaqGM:AIQ</t>
  </si>
  <si>
    <t>ARCA:ARTY</t>
  </si>
  <si>
    <t>NasdaqGM:ROBT</t>
  </si>
  <si>
    <t>ARCA:IGPT</t>
  </si>
  <si>
    <t>BATS:WTAI</t>
  </si>
  <si>
    <t>ARCA:THNQ</t>
  </si>
  <si>
    <t>NasdaqGM:FDTX</t>
  </si>
  <si>
    <t>ARCA:CHAT</t>
  </si>
  <si>
    <t>ARCA:LOUP</t>
  </si>
  <si>
    <t>ARCA:LRNZ</t>
  </si>
  <si>
    <t>ARCA:AIS</t>
  </si>
  <si>
    <t>NasdaqGM:WISE</t>
  </si>
  <si>
    <t>LSE:RBOT</t>
  </si>
  <si>
    <t>XTRA:XAIX</t>
  </si>
  <si>
    <t>BIT:WTAI</t>
  </si>
  <si>
    <t>LSE:AIAG</t>
  </si>
  <si>
    <t>ASX:RBTZ</t>
  </si>
  <si>
    <t>DB:XB0T</t>
  </si>
  <si>
    <t>2025-08-14</t>
  </si>
  <si>
    <t>2025-08-13</t>
  </si>
  <si>
    <t>2025-08-12</t>
  </si>
  <si>
    <t>2025-08-11</t>
  </si>
  <si>
    <t>2025-08-08</t>
  </si>
  <si>
    <t>2025-08-07</t>
  </si>
  <si>
    <t>2025-08-06</t>
  </si>
  <si>
    <t>2025-08-05</t>
  </si>
  <si>
    <t>2025-08-04</t>
  </si>
  <si>
    <t>2025-08-01</t>
  </si>
  <si>
    <t>2025-07-31</t>
  </si>
  <si>
    <t>2025-07-30</t>
  </si>
  <si>
    <t>2025-07-29</t>
  </si>
  <si>
    <t>2025-07-28</t>
  </si>
  <si>
    <t>2025-07-25</t>
  </si>
  <si>
    <t>2025-07-24</t>
  </si>
  <si>
    <t>2025-07-23</t>
  </si>
  <si>
    <t>2025-07-22</t>
  </si>
  <si>
    <t>2025-07-21</t>
  </si>
  <si>
    <t>2025-07-18</t>
  </si>
  <si>
    <t>2025-07-17</t>
  </si>
  <si>
    <t>2025-07-16</t>
  </si>
  <si>
    <t>2025-07-15</t>
  </si>
  <si>
    <t>2025-07-14</t>
  </si>
  <si>
    <t>2025-07-11</t>
  </si>
  <si>
    <t>2025-07-10</t>
  </si>
  <si>
    <t>2025-07-09</t>
  </si>
  <si>
    <t>2025-07-08</t>
  </si>
  <si>
    <t>2025-07-07</t>
  </si>
  <si>
    <t>2025-07-04</t>
  </si>
  <si>
    <t>2025-07-03</t>
  </si>
  <si>
    <t>2025-07-02</t>
  </si>
  <si>
    <t>2025-07-01</t>
  </si>
  <si>
    <t>2025-06-30</t>
  </si>
  <si>
    <t>2025-06-27</t>
  </si>
  <si>
    <t>2025-06-26</t>
  </si>
  <si>
    <t>2025-06-25</t>
  </si>
  <si>
    <t>2025-06-24</t>
  </si>
  <si>
    <t>2025-06-23</t>
  </si>
  <si>
    <t>2025-06-20</t>
  </si>
  <si>
    <t>2025-06-19</t>
  </si>
  <si>
    <t>2025-06-18</t>
  </si>
  <si>
    <t>2025-06-17</t>
  </si>
  <si>
    <t>2025-06-16</t>
  </si>
  <si>
    <t>2025-06-13</t>
  </si>
  <si>
    <t>2025-06-12</t>
  </si>
  <si>
    <t>2025-06-11</t>
  </si>
  <si>
    <t>2025-06-10</t>
  </si>
  <si>
    <t>2025-06-09</t>
  </si>
  <si>
    <t>2025-06-06</t>
  </si>
  <si>
    <t>2025-06-05</t>
  </si>
  <si>
    <t>2025-06-04</t>
  </si>
  <si>
    <t>2025-06-03</t>
  </si>
  <si>
    <t>2025-06-02</t>
  </si>
  <si>
    <t>2025-05-30</t>
  </si>
  <si>
    <t>2025-05-29</t>
  </si>
  <si>
    <t>2025-05-28</t>
  </si>
  <si>
    <t>2025-05-27</t>
  </si>
  <si>
    <t>2025-05-26</t>
  </si>
  <si>
    <t>2025-05-23</t>
  </si>
  <si>
    <t>2025-05-22</t>
  </si>
  <si>
    <t>2025-05-21</t>
  </si>
  <si>
    <t>2025-05-20</t>
  </si>
  <si>
    <t>2025-05-19</t>
  </si>
  <si>
    <t>2025-05-16</t>
  </si>
  <si>
    <t>2025-05-15</t>
  </si>
  <si>
    <t>2025-05-14</t>
  </si>
  <si>
    <t>2025-05-13</t>
  </si>
  <si>
    <t>2025-05-12</t>
  </si>
  <si>
    <t>2025-05-09</t>
  </si>
  <si>
    <t>2025-05-08</t>
  </si>
  <si>
    <t>2025-05-07</t>
  </si>
  <si>
    <t>2025-05-06</t>
  </si>
  <si>
    <t>2025-05-05</t>
  </si>
  <si>
    <t>2025-05-02</t>
  </si>
  <si>
    <t>2025-05-01</t>
  </si>
  <si>
    <t>2025-04-30</t>
  </si>
  <si>
    <t>2025-04-29</t>
  </si>
  <si>
    <t>2025-04-28</t>
  </si>
  <si>
    <t>2025-04-25</t>
  </si>
  <si>
    <t>2025-04-24</t>
  </si>
  <si>
    <t>2025-04-23</t>
  </si>
  <si>
    <t>2025-04-22</t>
  </si>
  <si>
    <t>2025-04-21</t>
  </si>
  <si>
    <t>2025-04-18</t>
  </si>
  <si>
    <t>2025-04-17</t>
  </si>
  <si>
    <t>2025-04-16</t>
  </si>
  <si>
    <t>2025-04-15</t>
  </si>
  <si>
    <t>2025-04-14</t>
  </si>
  <si>
    <t>2025-04-11</t>
  </si>
  <si>
    <t>2025-04-10</t>
  </si>
  <si>
    <t>2025-04-09</t>
  </si>
  <si>
    <t>2025-04-08</t>
  </si>
  <si>
    <t>2025-04-07</t>
  </si>
  <si>
    <t>2025-04-04</t>
  </si>
  <si>
    <t>2025-04-03</t>
  </si>
  <si>
    <t>2025-04-02</t>
  </si>
  <si>
    <t>2025-04-01</t>
  </si>
  <si>
    <t>2025-03-31</t>
  </si>
  <si>
    <t>2025-03-28</t>
  </si>
  <si>
    <t>2025-03-27</t>
  </si>
  <si>
    <t>2025-03-26</t>
  </si>
  <si>
    <t>2025-03-25</t>
  </si>
  <si>
    <t>2025-03-24</t>
  </si>
  <si>
    <t>2025-03-21</t>
  </si>
  <si>
    <t>2025-03-20</t>
  </si>
  <si>
    <t>2025-03-19</t>
  </si>
  <si>
    <t>2025-03-18</t>
  </si>
  <si>
    <t>2025-03-17</t>
  </si>
  <si>
    <t>2025-03-14</t>
  </si>
  <si>
    <t>2025-03-13</t>
  </si>
  <si>
    <t>2025-03-12</t>
  </si>
  <si>
    <t>2025-03-11</t>
  </si>
  <si>
    <t>2025-03-10</t>
  </si>
  <si>
    <t>2025-03-07</t>
  </si>
  <si>
    <t>2025-03-06</t>
  </si>
  <si>
    <t>2025-03-05</t>
  </si>
  <si>
    <t>2025-03-04</t>
  </si>
  <si>
    <t>2025-03-03</t>
  </si>
  <si>
    <t>2025-02-28</t>
  </si>
  <si>
    <t>2025-02-27</t>
  </si>
  <si>
    <t>2025-02-26</t>
  </si>
  <si>
    <t>2025-02-25</t>
  </si>
  <si>
    <t>2025-02-24</t>
  </si>
  <si>
    <t>2025-02-21</t>
  </si>
  <si>
    <t>2025-02-20</t>
  </si>
  <si>
    <t>2025-02-19</t>
  </si>
  <si>
    <t>2025-02-18</t>
  </si>
  <si>
    <t>2025-02-17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</si>
  <si>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</si>
  <si>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</si>
  <si>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</si>
  <si>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</si>
  <si>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</si>
  <si>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</si>
  <si>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</si>
  <si>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</si>
  <si>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</si>
  <si>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</si>
  <si>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2025-01-31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</si>
  <si>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</si>
  <si>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</si>
  <si>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</si>
  <si>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</si>
  <si>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</si>
  <si>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</si>
  <si>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</si>
  <si>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</si>
  <si>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2025-01-20</t>
  </si>
  <si>
    <t>2025-01-17</t>
  </si>
  <si>
    <t>2025-01-16</t>
  </si>
  <si>
    <t>2025-01-15</t>
  </si>
  <si>
    <t>2025-01-14</t>
  </si>
  <si>
    <t>2025-01-13</t>
  </si>
  <si>
    <t>2025-01-10</t>
  </si>
  <si>
    <t>2025-01-09</t>
  </si>
  <si>
    <t>2025-01-08</t>
  </si>
  <si>
    <t>2025-01-07</t>
  </si>
  <si>
    <t>2025-01-06</t>
  </si>
  <si>
    <t>2025-01-03</t>
  </si>
  <si>
    <t>2025-01-02</t>
  </si>
  <si>
    <t>2025-01-01</t>
  </si>
  <si>
    <t>2024-12-31</t>
  </si>
  <si>
    <t>2024-12-30</t>
  </si>
  <si>
    <t>2024-12-27</t>
  </si>
  <si>
    <t>2024-12-26</t>
  </si>
  <si>
    <t>2024-12-25</t>
  </si>
  <si>
    <t>2024-12-24</t>
  </si>
  <si>
    <t>2024-12-23</t>
  </si>
  <si>
    <t>2024-12-20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</si>
</sst>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1"/>
  <sheetViews>
    <sheetView tabSelected="1" workbookViewId="0"/>
  </sheetViews>
  <sheetFormatPr defaultRowHeight="14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t="s">
        <v>24</v>
      </c>
      <c r="B2">
        <f>_xll.ciqfunctions.udf.CIQ("NasdaqGM:QQQ", "IQ_CLOSEPRICE", "2025-08-14", "USD")</f>
        <v>579.89</v>
      </c>
      <c r="C2">
        <f>_xll.ciqfunctions.udf.CIQ("NasdaqGM:AGIX", "IQ_CLOSEPRICE", "2025-08-14", "USD")</f>
        <v>32.76</v>
      </c>
      <c r="D2">
        <f>_xll.ciqfunctions.udf.CIQ("NasdaqGM:SMH", "IQ_CLOSEPRICE", "2025-08-14", "USD")</f>
        <v>301.92</v>
      </c>
      <c r="E2">
        <f>_xll.ciqfunctions.udf.CIQ("BATS:IGV", "IQ_CLOSEPRICE", "2025-08-14", "USD")</f>
        <v>108.34</v>
      </c>
      <c r="F2">
        <f>_xll.ciqfunctions.udf.CIQ("NasdaqGM:BOTZ", "IQ_CLOSEPRICE", "2025-08-14", "USD")</f>
        <v>33.909999999999997</v>
      </c>
      <c r="G2">
        <f>_xll.ciqfunctions.udf.CIQ("NasdaqGM:AIQ", "IQ_CLOSEPRICE", "2025-08-14", "USD")</f>
        <v>45.23</v>
      </c>
      <c r="H2">
        <f>_xll.ciqfunctions.udf.CIQ("ARCA:ARTY", "IQ_CLOSEPRICE", "2025-08-14", "USD")</f>
        <v>42.88</v>
      </c>
      <c r="I2">
        <f>_xll.ciqfunctions.udf.CIQ("NasdaqGM:ROBT", "IQ_CLOSEPRICE", "2025-08-14", "USD")</f>
        <v>50.48</v>
      </c>
      <c r="J2">
        <f>_xll.ciqfunctions.udf.CIQ("ARCA:IGPT", "IQ_CLOSEPRICE", "2025-08-14", "USD")</f>
        <v>51.247999999999998</v>
      </c>
      <c r="K2">
        <f>_xll.ciqfunctions.udf.CIQ("BATS:WTAI", "IQ_CLOSEPRICE", "2025-08-14", "USD")</f>
        <v>25.78</v>
      </c>
      <c r="L2">
        <f>_xll.ciqfunctions.udf.CIQ("ARCA:THNQ", "IQ_CLOSEPRICE", "2025-08-14", "USD")</f>
        <v>57.204999999999998</v>
      </c>
      <c r="M2">
        <f>_xll.ciqfunctions.udf.CIQ("NasdaqGM:FDTX", "IQ_CLOSEPRICE", "2025-08-14", "USD")</f>
        <v>39.277200000000001</v>
      </c>
      <c r="N2">
        <f>_xll.ciqfunctions.udf.CIQ("ARCA:CHAT", "IQ_CLOSEPRICE", "2025-08-14", "USD")</f>
        <v>54.25</v>
      </c>
      <c r="O2">
        <f>_xll.ciqfunctions.udf.CIQ("ARCA:LOUP", "IQ_CLOSEPRICE", "2025-08-14", "USD")</f>
        <v>64.166399999999996</v>
      </c>
      <c r="P2">
        <f>_xll.ciqfunctions.udf.CIQ("ARCA:LRNZ", "IQ_CLOSEPRICE", "2025-08-14", "USD")</f>
        <v>41.804200000000002</v>
      </c>
      <c r="Q2">
        <f>_xll.ciqfunctions.udf.CIQ("ARCA:AIS", "IQ_CLOSEPRICE", "2025-08-14", "USD")</f>
        <v>30.373999999999999</v>
      </c>
      <c r="R2">
        <f>_xll.ciqfunctions.udf.CIQ("NasdaqGM:WISE", "IQ_CLOSEPRICE", "2025-08-14", "USD")</f>
        <v>40.155299999999997</v>
      </c>
      <c r="S2">
        <f>_xll.ciqfunctions.udf.CIQ("LSE:RBOT", "IQ_CLOSEPRICE", "2025-08-14", "USD")</f>
        <v>15.17</v>
      </c>
      <c r="T2">
        <f>_xll.ciqfunctions.udf.CIQ("XTRA:XAIX", "IQ_CLOSEPRICE", "2025-08-14", "USD")</f>
        <v>163.85879</v>
      </c>
      <c r="U2">
        <f>_xll.ciqfunctions.udf.CIQ("BIT:WTAI", "IQ_CLOSEPRICE", "2025-08-14", "USD")</f>
        <v>77.234070000000003</v>
      </c>
      <c r="V2">
        <f>_xll.ciqfunctions.udf.CIQ("LSE:AIAG", "IQ_CLOSEPRICE", "2025-08-14", "USD")</f>
        <v>25.076170000000001</v>
      </c>
      <c r="W2">
        <f>_xll.ciqfunctions.udf.CIQ("ASX:RBTZ", "IQ_CLOSEPRICE", "2025-08-14", "USD")</f>
        <v>9.5442199999999993</v>
      </c>
      <c r="X2">
        <f>_xll.ciqfunctions.udf.CIQ("DB:XB0T", "IQ_CLOSEPRICE", "2025-08-14", "USD")</f>
        <v>22.380510000000001</v>
      </c>
    </row>
    <row r="3" spans="1:24" x14ac:dyDescent="0.25">
      <c r="A3" t="s">
        <v>25</v>
      </c>
      <c r="B3">
        <f>_xll.ciqfunctions.udf.CIQ("NasdaqGM:QQQ", "IQ_CLOSEPRICE", "2025-08-13", "USD")</f>
        <v>580.34</v>
      </c>
      <c r="C3">
        <f>_xll.ciqfunctions.udf.CIQ("NasdaqGM:AGIX", "IQ_CLOSEPRICE", "2025-08-13", "USD")</f>
        <v>32.99</v>
      </c>
      <c r="D3">
        <f>_xll.ciqfunctions.udf.CIQ("NasdaqGM:SMH", "IQ_CLOSEPRICE", "2025-08-13", "USD")</f>
        <v>301.27999999999997</v>
      </c>
      <c r="E3">
        <f>_xll.ciqfunctions.udf.CIQ("BATS:IGV", "IQ_CLOSEPRICE", "2025-08-13", "USD")</f>
        <v>109.54</v>
      </c>
      <c r="F3">
        <f>_xll.ciqfunctions.udf.CIQ("NasdaqGM:BOTZ", "IQ_CLOSEPRICE", "2025-08-13", "USD")</f>
        <v>34.270000000000003</v>
      </c>
      <c r="G3">
        <f>_xll.ciqfunctions.udf.CIQ("NasdaqGM:AIQ", "IQ_CLOSEPRICE", "2025-08-13", "USD")</f>
        <v>45.59</v>
      </c>
      <c r="H3">
        <f>_xll.ciqfunctions.udf.CIQ("ARCA:ARTY", "IQ_CLOSEPRICE", "2025-08-13", "USD")</f>
        <v>43.19</v>
      </c>
      <c r="I3">
        <f>_xll.ciqfunctions.udf.CIQ("NasdaqGM:ROBT", "IQ_CLOSEPRICE", "2025-08-13", "USD")</f>
        <v>51</v>
      </c>
      <c r="J3">
        <f>_xll.ciqfunctions.udf.CIQ("ARCA:IGPT", "IQ_CLOSEPRICE", "2025-08-13", "USD")</f>
        <v>51.46</v>
      </c>
      <c r="K3">
        <f>_xll.ciqfunctions.udf.CIQ("BATS:WTAI", "IQ_CLOSEPRICE", "2025-08-13", "USD")</f>
        <v>25.95</v>
      </c>
      <c r="L3">
        <f>_xll.ciqfunctions.udf.CIQ("ARCA:THNQ", "IQ_CLOSEPRICE", "2025-08-13", "USD")</f>
        <v>57.62</v>
      </c>
      <c r="M3">
        <f>_xll.ciqfunctions.udf.CIQ("NasdaqGM:FDTX", "IQ_CLOSEPRICE", "2025-08-13", "USD")</f>
        <v>39.460999999999999</v>
      </c>
      <c r="N3">
        <f>_xll.ciqfunctions.udf.CIQ("ARCA:CHAT", "IQ_CLOSEPRICE", "2025-08-13", "USD")</f>
        <v>54.75</v>
      </c>
      <c r="O3">
        <f>_xll.ciqfunctions.udf.CIQ("ARCA:LOUP", "IQ_CLOSEPRICE", "2025-08-13", "USD")</f>
        <v>65.599800000000002</v>
      </c>
      <c r="P3">
        <f>_xll.ciqfunctions.udf.CIQ("ARCA:LRNZ", "IQ_CLOSEPRICE", "2025-08-13", "USD")</f>
        <v>42.279499999999999</v>
      </c>
      <c r="Q3">
        <f>_xll.ciqfunctions.udf.CIQ("ARCA:AIS", "IQ_CLOSEPRICE", "2025-08-13", "USD")</f>
        <v>30.65</v>
      </c>
      <c r="R3">
        <f>_xll.ciqfunctions.udf.CIQ("NasdaqGM:WISE", "IQ_CLOSEPRICE", "2025-08-13", "USD")</f>
        <v>40.171700000000001</v>
      </c>
      <c r="S3">
        <f>_xll.ciqfunctions.udf.CIQ("LSE:RBOT", "IQ_CLOSEPRICE", "2025-08-13", "USD")</f>
        <v>15.27</v>
      </c>
      <c r="T3">
        <f>_xll.ciqfunctions.udf.CIQ("XTRA:XAIX", "IQ_CLOSEPRICE", "2025-08-13", "USD")</f>
        <v>164.76101</v>
      </c>
      <c r="U3">
        <f>_xll.ciqfunctions.udf.CIQ("BIT:WTAI", "IQ_CLOSEPRICE", "2025-08-13", "USD")</f>
        <v>77.764759999999995</v>
      </c>
      <c r="V3">
        <f>_xll.ciqfunctions.udf.CIQ("LSE:AIAG", "IQ_CLOSEPRICE", "2025-08-13", "USD")</f>
        <v>25.28293</v>
      </c>
      <c r="W3">
        <f>_xll.ciqfunctions.udf.CIQ("ASX:RBTZ", "IQ_CLOSEPRICE", "2025-08-13", "USD")</f>
        <v>9.6092200000000005</v>
      </c>
      <c r="X3">
        <f>_xll.ciqfunctions.udf.CIQ("DB:XB0T", "IQ_CLOSEPRICE", "2025-08-13", "USD")</f>
        <v>22.380510000000001</v>
      </c>
    </row>
    <row r="4" spans="1:24" x14ac:dyDescent="0.25">
      <c r="A4" t="s">
        <v>26</v>
      </c>
      <c r="B4">
        <f>_xll.ciqfunctions.udf.CIQ("NasdaqGM:QQQ", "IQ_CLOSEPRICE", "2025-08-12", "USD")</f>
        <v>580.04999999999995</v>
      </c>
      <c r="C4">
        <f>_xll.ciqfunctions.udf.CIQ("NasdaqGM:AGIX", "IQ_CLOSEPRICE", "2025-08-12", "USD")</f>
        <v>33.140599999999999</v>
      </c>
      <c r="D4">
        <f>_xll.ciqfunctions.udf.CIQ("NasdaqGM:SMH", "IQ_CLOSEPRICE", "2025-08-12", "USD")</f>
        <v>300.10000000000002</v>
      </c>
      <c r="E4">
        <f>_xll.ciqfunctions.udf.CIQ("BATS:IGV", "IQ_CLOSEPRICE", "2025-08-12", "USD")</f>
        <v>109.56</v>
      </c>
      <c r="F4">
        <f>_xll.ciqfunctions.udf.CIQ("NasdaqGM:BOTZ", "IQ_CLOSEPRICE", "2025-08-12", "USD")</f>
        <v>33.880000000000003</v>
      </c>
      <c r="G4">
        <f>_xll.ciqfunctions.udf.CIQ("NasdaqGM:AIQ", "IQ_CLOSEPRICE", "2025-08-12", "USD")</f>
        <v>45.34</v>
      </c>
      <c r="H4">
        <f>_xll.ciqfunctions.udf.CIQ("ARCA:ARTY", "IQ_CLOSEPRICE", "2025-08-12", "USD")</f>
        <v>43.04</v>
      </c>
      <c r="I4">
        <f>_xll.ciqfunctions.udf.CIQ("NasdaqGM:ROBT", "IQ_CLOSEPRICE", "2025-08-12", "USD")</f>
        <v>50.0822</v>
      </c>
      <c r="J4">
        <f>_xll.ciqfunctions.udf.CIQ("ARCA:IGPT", "IQ_CLOSEPRICE", "2025-08-12", "USD")</f>
        <v>50.98</v>
      </c>
      <c r="K4">
        <f>_xll.ciqfunctions.udf.CIQ("BATS:WTAI", "IQ_CLOSEPRICE", "2025-08-12", "USD")</f>
        <v>25.89</v>
      </c>
      <c r="L4">
        <f>_xll.ciqfunctions.udf.CIQ("ARCA:THNQ", "IQ_CLOSEPRICE", "2025-08-12", "USD")</f>
        <v>56.97</v>
      </c>
      <c r="M4">
        <f>_xll.ciqfunctions.udf.CIQ("NasdaqGM:FDTX", "IQ_CLOSEPRICE", "2025-08-12", "USD")</f>
        <v>39.445399999999999</v>
      </c>
      <c r="N4">
        <f>_xll.ciqfunctions.udf.CIQ("ARCA:CHAT", "IQ_CLOSEPRICE", "2025-08-12", "USD")</f>
        <v>55.14</v>
      </c>
      <c r="O4">
        <f>_xll.ciqfunctions.udf.CIQ("ARCA:LOUP", "IQ_CLOSEPRICE", "2025-08-12", "USD")</f>
        <v>65.56</v>
      </c>
      <c r="P4">
        <f>_xll.ciqfunctions.udf.CIQ("ARCA:LRNZ", "IQ_CLOSEPRICE", "2025-08-12", "USD")</f>
        <v>42.089199999999998</v>
      </c>
      <c r="Q4">
        <f>_xll.ciqfunctions.udf.CIQ("ARCA:AIS", "IQ_CLOSEPRICE", "2025-08-12", "USD")</f>
        <v>30.515000000000001</v>
      </c>
      <c r="R4">
        <f>_xll.ciqfunctions.udf.CIQ("NasdaqGM:WISE", "IQ_CLOSEPRICE", "2025-08-12", "USD")</f>
        <v>39.602499999999999</v>
      </c>
      <c r="S4">
        <f>_xll.ciqfunctions.udf.CIQ("LSE:RBOT", "IQ_CLOSEPRICE", "2025-08-12", "USD")</f>
        <v>15.145</v>
      </c>
      <c r="T4">
        <f>_xll.ciqfunctions.udf.CIQ("XTRA:XAIX", "IQ_CLOSEPRICE", "2025-08-12", "USD")</f>
        <v>163.95050000000001</v>
      </c>
      <c r="U4">
        <f>_xll.ciqfunctions.udf.CIQ("BIT:WTAI", "IQ_CLOSEPRICE", "2025-08-12", "USD")</f>
        <v>76.803640000000001</v>
      </c>
      <c r="V4">
        <f>_xll.ciqfunctions.udf.CIQ("LSE:AIAG", "IQ_CLOSEPRICE", "2025-08-12", "USD")</f>
        <v>24.989190000000001</v>
      </c>
      <c r="W4">
        <f>_xll.ciqfunctions.udf.CIQ("ASX:RBTZ", "IQ_CLOSEPRICE", "2025-08-12", "USD")</f>
        <v>9.4425899999999992</v>
      </c>
      <c r="X4">
        <f>_xll.ciqfunctions.udf.CIQ("DB:XB0T", "IQ_CLOSEPRICE", "2025-08-12", "USD")</f>
        <v>22.355830000000001</v>
      </c>
    </row>
    <row r="5" spans="1:24" x14ac:dyDescent="0.25">
      <c r="A5" t="s">
        <v>27</v>
      </c>
      <c r="B5">
        <f>_xll.ciqfunctions.udf.CIQ("NasdaqGM:QQQ", "IQ_CLOSEPRICE", "2025-08-11", "USD")</f>
        <v>572.85</v>
      </c>
      <c r="C5">
        <f>_xll.ciqfunctions.udf.CIQ("NasdaqGM:AGIX", "IQ_CLOSEPRICE", "2025-08-11", "USD")</f>
        <v>32.658299999999997</v>
      </c>
      <c r="D5">
        <f>_xll.ciqfunctions.udf.CIQ("NasdaqGM:SMH", "IQ_CLOSEPRICE", "2025-08-11", "USD")</f>
        <v>293.39999999999998</v>
      </c>
      <c r="E5">
        <f>_xll.ciqfunctions.udf.CIQ("BATS:IGV", "IQ_CLOSEPRICE", "2025-08-11", "USD")</f>
        <v>108.37</v>
      </c>
      <c r="F5">
        <f>_xll.ciqfunctions.udf.CIQ("NasdaqGM:BOTZ", "IQ_CLOSEPRICE", "2025-08-11", "USD")</f>
        <v>33.31</v>
      </c>
      <c r="G5">
        <f>_xll.ciqfunctions.udf.CIQ("NasdaqGM:AIQ", "IQ_CLOSEPRICE", "2025-08-11", "USD")</f>
        <v>44.68</v>
      </c>
      <c r="H5">
        <f>_xll.ciqfunctions.udf.CIQ("ARCA:ARTY", "IQ_CLOSEPRICE", "2025-08-11", "USD")</f>
        <v>42.39</v>
      </c>
      <c r="I5">
        <f>_xll.ciqfunctions.udf.CIQ("NasdaqGM:ROBT", "IQ_CLOSEPRICE", "2025-08-11", "USD")</f>
        <v>49.07</v>
      </c>
      <c r="J5">
        <f>_xll.ciqfunctions.udf.CIQ("ARCA:IGPT", "IQ_CLOSEPRICE", "2025-08-11", "USD")</f>
        <v>50.22</v>
      </c>
      <c r="K5">
        <f>_xll.ciqfunctions.udf.CIQ("BATS:WTAI", "IQ_CLOSEPRICE", "2025-08-11", "USD")</f>
        <v>25.4</v>
      </c>
      <c r="L5">
        <f>_xll.ciqfunctions.udf.CIQ("ARCA:THNQ", "IQ_CLOSEPRICE", "2025-08-11", "USD")</f>
        <v>55.81</v>
      </c>
      <c r="M5">
        <f>_xll.ciqfunctions.udf.CIQ("NasdaqGM:FDTX", "IQ_CLOSEPRICE", "2025-08-11", "USD")</f>
        <v>38.770899999999997</v>
      </c>
      <c r="N5">
        <f>_xll.ciqfunctions.udf.CIQ("ARCA:CHAT", "IQ_CLOSEPRICE", "2025-08-11", "USD")</f>
        <v>53.87</v>
      </c>
      <c r="O5">
        <f>_xll.ciqfunctions.udf.CIQ("ARCA:LOUP", "IQ_CLOSEPRICE", "2025-08-11", "USD")</f>
        <v>64.093599999999995</v>
      </c>
      <c r="P5">
        <f>_xll.ciqfunctions.udf.CIQ("ARCA:LRNZ", "IQ_CLOSEPRICE", "2025-08-11", "USD")</f>
        <v>41.57</v>
      </c>
      <c r="Q5">
        <f>_xll.ciqfunctions.udf.CIQ("ARCA:AIS", "IQ_CLOSEPRICE", "2025-08-11", "USD")</f>
        <v>29.7376</v>
      </c>
      <c r="R5">
        <f>_xll.ciqfunctions.udf.CIQ("NasdaqGM:WISE", "IQ_CLOSEPRICE", "2025-08-11", "USD")</f>
        <v>38.9634</v>
      </c>
      <c r="S5">
        <f>_xll.ciqfunctions.udf.CIQ("LSE:RBOT", "IQ_CLOSEPRICE", "2025-08-11", "USD")</f>
        <v>15.07</v>
      </c>
      <c r="T5">
        <f>_xll.ciqfunctions.udf.CIQ("XTRA:XAIX", "IQ_CLOSEPRICE", "2025-08-11", "USD")</f>
        <v>163.7987</v>
      </c>
      <c r="U5">
        <f>_xll.ciqfunctions.udf.CIQ("BIT:WTAI", "IQ_CLOSEPRICE", "2025-08-11", "USD")</f>
        <v>76.020409999999998</v>
      </c>
      <c r="V5">
        <f>_xll.ciqfunctions.udf.CIQ("LSE:AIAG", "IQ_CLOSEPRICE", "2025-08-11", "USD")</f>
        <v>24.816970000000001</v>
      </c>
      <c r="W5">
        <f>_xll.ciqfunctions.udf.CIQ("ASX:RBTZ", "IQ_CLOSEPRICE", "2025-08-11", "USD")</f>
        <v>9.4583999999999993</v>
      </c>
      <c r="X5">
        <f>_xll.ciqfunctions.udf.CIQ("DB:XB0T", "IQ_CLOSEPRICE", "2025-08-11", "USD")</f>
        <v>21.931819999999998</v>
      </c>
    </row>
    <row r="6" spans="1:24" x14ac:dyDescent="0.25">
      <c r="A6" t="s">
        <v>28</v>
      </c>
      <c r="B6">
        <f>_xll.ciqfunctions.udf.CIQ("NasdaqGM:QQQ", "IQ_CLOSEPRICE", "2025-08-08", "USD")</f>
        <v>574.54999999999995</v>
      </c>
      <c r="C6">
        <f>_xll.ciqfunctions.udf.CIQ("NasdaqGM:AGIX", "IQ_CLOSEPRICE", "2025-08-08", "USD")</f>
        <v>32.858499999999999</v>
      </c>
      <c r="D6">
        <f>_xll.ciqfunctions.udf.CIQ("NasdaqGM:SMH", "IQ_CLOSEPRICE", "2025-08-08", "USD")</f>
        <v>293.52999999999997</v>
      </c>
      <c r="E6">
        <f>_xll.ciqfunctions.udf.CIQ("BATS:IGV", "IQ_CLOSEPRICE", "2025-08-08", "USD")</f>
        <v>109.63</v>
      </c>
      <c r="F6">
        <f>_xll.ciqfunctions.udf.CIQ("NasdaqGM:BOTZ", "IQ_CLOSEPRICE", "2025-08-08", "USD")</f>
        <v>33.6</v>
      </c>
      <c r="G6">
        <f>_xll.ciqfunctions.udf.CIQ("NasdaqGM:AIQ", "IQ_CLOSEPRICE", "2025-08-08", "USD")</f>
        <v>44.91</v>
      </c>
      <c r="H6">
        <f>_xll.ciqfunctions.udf.CIQ("ARCA:ARTY", "IQ_CLOSEPRICE", "2025-08-08", "USD")</f>
        <v>42.51</v>
      </c>
      <c r="I6">
        <f>_xll.ciqfunctions.udf.CIQ("NasdaqGM:ROBT", "IQ_CLOSEPRICE", "2025-08-08", "USD")</f>
        <v>49.96</v>
      </c>
      <c r="J6">
        <f>_xll.ciqfunctions.udf.CIQ("ARCA:IGPT", "IQ_CLOSEPRICE", "2025-08-08", "USD")</f>
        <v>50.164999999999999</v>
      </c>
      <c r="K6">
        <f>_xll.ciqfunctions.udf.CIQ("BATS:WTAI", "IQ_CLOSEPRICE", "2025-08-08", "USD")</f>
        <v>25.53</v>
      </c>
      <c r="L6">
        <f>_xll.ciqfunctions.udf.CIQ("ARCA:THNQ", "IQ_CLOSEPRICE", "2025-08-08", "USD")</f>
        <v>56.21</v>
      </c>
      <c r="M6">
        <f>_xll.ciqfunctions.udf.CIQ("NasdaqGM:FDTX", "IQ_CLOSEPRICE", "2025-08-08", "USD")</f>
        <v>39.527099999999997</v>
      </c>
      <c r="N6">
        <f>_xll.ciqfunctions.udf.CIQ("ARCA:CHAT", "IQ_CLOSEPRICE", "2025-08-08", "USD")</f>
        <v>53.8</v>
      </c>
      <c r="O6">
        <f>_xll.ciqfunctions.udf.CIQ("ARCA:LOUP", "IQ_CLOSEPRICE", "2025-08-08", "USD")</f>
        <v>64.569999999999993</v>
      </c>
      <c r="P6">
        <f>_xll.ciqfunctions.udf.CIQ("ARCA:LRNZ", "IQ_CLOSEPRICE", "2025-08-08", "USD")</f>
        <v>41.682000000000002</v>
      </c>
      <c r="Q6">
        <f>_xll.ciqfunctions.udf.CIQ("ARCA:AIS", "IQ_CLOSEPRICE", "2025-08-08", "USD")</f>
        <v>29.729199999999999</v>
      </c>
      <c r="R6">
        <f>_xll.ciqfunctions.udf.CIQ("NasdaqGM:WISE", "IQ_CLOSEPRICE", "2025-08-08", "USD")</f>
        <v>38.94</v>
      </c>
      <c r="S6">
        <f>_xll.ciqfunctions.udf.CIQ("LSE:RBOT", "IQ_CLOSEPRICE", "2025-08-08", "USD")</f>
        <v>15.164999999999999</v>
      </c>
      <c r="T6">
        <f>_xll.ciqfunctions.udf.CIQ("XTRA:XAIX", "IQ_CLOSEPRICE", "2025-08-08", "USD")</f>
        <v>163.64909</v>
      </c>
      <c r="U6">
        <f>_xll.ciqfunctions.udf.CIQ("BIT:WTAI", "IQ_CLOSEPRICE", "2025-08-08", "USD")</f>
        <v>76.341579999999993</v>
      </c>
      <c r="V6">
        <f>_xll.ciqfunctions.udf.CIQ("LSE:AIAG", "IQ_CLOSEPRICE", "2025-08-08", "USD")</f>
        <v>24.686209999999999</v>
      </c>
      <c r="W6">
        <f>_xll.ciqfunctions.udf.CIQ("ASX:RBTZ", "IQ_CLOSEPRICE", "2025-08-08", "USD")</f>
        <v>9.4973899999999993</v>
      </c>
      <c r="X6">
        <f>_xll.ciqfunctions.udf.CIQ("DB:XB0T", "IQ_CLOSEPRICE", "2025-08-08", "USD")</f>
        <v>22.162859999999998</v>
      </c>
    </row>
    <row r="7" spans="1:24" x14ac:dyDescent="0.25">
      <c r="A7" t="s">
        <v>29</v>
      </c>
      <c r="B7">
        <f>_xll.ciqfunctions.udf.CIQ("NasdaqGM:QQQ", "IQ_CLOSEPRICE", "2025-08-07", "USD")</f>
        <v>569.24</v>
      </c>
      <c r="C7">
        <f>_xll.ciqfunctions.udf.CIQ("NasdaqGM:AGIX", "IQ_CLOSEPRICE", "2025-08-07", "USD")</f>
        <v>32.817399999999999</v>
      </c>
      <c r="D7">
        <f>_xll.ciqfunctions.udf.CIQ("NasdaqGM:SMH", "IQ_CLOSEPRICE", "2025-08-07", "USD")</f>
        <v>291.12</v>
      </c>
      <c r="E7">
        <f>_xll.ciqfunctions.udf.CIQ("BATS:IGV", "IQ_CLOSEPRICE", "2025-08-07", "USD")</f>
        <v>109.6</v>
      </c>
      <c r="F7">
        <f>_xll.ciqfunctions.udf.CIQ("NasdaqGM:BOTZ", "IQ_CLOSEPRICE", "2025-08-07", "USD")</f>
        <v>33.43</v>
      </c>
      <c r="G7">
        <f>_xll.ciqfunctions.udf.CIQ("NasdaqGM:AIQ", "IQ_CLOSEPRICE", "2025-08-07", "USD")</f>
        <v>44.71</v>
      </c>
      <c r="H7">
        <f>_xll.ciqfunctions.udf.CIQ("ARCA:ARTY", "IQ_CLOSEPRICE", "2025-08-07", "USD")</f>
        <v>42.5</v>
      </c>
      <c r="I7">
        <f>_xll.ciqfunctions.udf.CIQ("NasdaqGM:ROBT", "IQ_CLOSEPRICE", "2025-08-07", "USD")</f>
        <v>49.738100000000003</v>
      </c>
      <c r="J7">
        <f>_xll.ciqfunctions.udf.CIQ("ARCA:IGPT", "IQ_CLOSEPRICE", "2025-08-07", "USD")</f>
        <v>50.24</v>
      </c>
      <c r="K7">
        <f>_xll.ciqfunctions.udf.CIQ("BATS:WTAI", "IQ_CLOSEPRICE", "2025-08-07", "USD")</f>
        <v>25.47</v>
      </c>
      <c r="L7">
        <f>_xll.ciqfunctions.udf.CIQ("ARCA:THNQ", "IQ_CLOSEPRICE", "2025-08-07", "USD")</f>
        <v>56.2</v>
      </c>
      <c r="M7">
        <f>_xll.ciqfunctions.udf.CIQ("NasdaqGM:FDTX", "IQ_CLOSEPRICE", "2025-08-07", "USD")</f>
        <v>39.639099999999999</v>
      </c>
      <c r="N7">
        <f>_xll.ciqfunctions.udf.CIQ("ARCA:CHAT", "IQ_CLOSEPRICE", "2025-08-07", "USD")</f>
        <v>53.08</v>
      </c>
      <c r="O7">
        <f>_xll.ciqfunctions.udf.CIQ("ARCA:LOUP", "IQ_CLOSEPRICE", "2025-08-07", "USD")</f>
        <v>64.913700000000006</v>
      </c>
      <c r="P7">
        <f>_xll.ciqfunctions.udf.CIQ("ARCA:LRNZ", "IQ_CLOSEPRICE", "2025-08-07", "USD")</f>
        <v>42.349400000000003</v>
      </c>
      <c r="Q7">
        <f>_xll.ciqfunctions.udf.CIQ("ARCA:AIS", "IQ_CLOSEPRICE", "2025-08-07", "USD")</f>
        <v>29.529800000000002</v>
      </c>
      <c r="R7">
        <f>_xll.ciqfunctions.udf.CIQ("NasdaqGM:WISE", "IQ_CLOSEPRICE", "2025-08-07", "USD")</f>
        <v>38.087400000000002</v>
      </c>
      <c r="S7">
        <f>_xll.ciqfunctions.udf.CIQ("LSE:RBOT", "IQ_CLOSEPRICE", "2025-08-07", "USD")</f>
        <v>15.14</v>
      </c>
      <c r="T7">
        <f>_xll.ciqfunctions.udf.CIQ("XTRA:XAIX", "IQ_CLOSEPRICE", "2025-08-07", "USD")</f>
        <v>163.13095999999999</v>
      </c>
      <c r="U7">
        <f>_xll.ciqfunctions.udf.CIQ("BIT:WTAI", "IQ_CLOSEPRICE", "2025-08-07", "USD")</f>
        <v>76.133979999999994</v>
      </c>
      <c r="V7">
        <f>_xll.ciqfunctions.udf.CIQ("LSE:AIAG", "IQ_CLOSEPRICE", "2025-08-07", "USD")</f>
        <v>24.814540000000001</v>
      </c>
      <c r="W7">
        <f>_xll.ciqfunctions.udf.CIQ("ASX:RBTZ", "IQ_CLOSEPRICE", "2025-08-07", "USD")</f>
        <v>9.4631500000000006</v>
      </c>
      <c r="X7">
        <f>_xll.ciqfunctions.udf.CIQ("DB:XB0T", "IQ_CLOSEPRICE", "2025-08-07", "USD")</f>
        <v>22.100490000000001</v>
      </c>
    </row>
    <row r="8" spans="1:24" x14ac:dyDescent="0.25">
      <c r="A8" t="s">
        <v>30</v>
      </c>
      <c r="B8">
        <f>_xll.ciqfunctions.udf.CIQ("NasdaqGM:QQQ", "IQ_CLOSEPRICE", "2025-08-06", "USD")</f>
        <v>567.32000000000005</v>
      </c>
      <c r="C8">
        <f>_xll.ciqfunctions.udf.CIQ("NasdaqGM:AGIX", "IQ_CLOSEPRICE", "2025-08-06", "USD")</f>
        <v>32.700200000000002</v>
      </c>
      <c r="D8">
        <f>_xll.ciqfunctions.udf.CIQ("NasdaqGM:SMH", "IQ_CLOSEPRICE", "2025-08-06", "USD")</f>
        <v>286.62</v>
      </c>
      <c r="E8">
        <f>_xll.ciqfunctions.udf.CIQ("BATS:IGV", "IQ_CLOSEPRICE", "2025-08-06", "USD")</f>
        <v>111.81</v>
      </c>
      <c r="F8">
        <f>_xll.ciqfunctions.udf.CIQ("NasdaqGM:BOTZ", "IQ_CLOSEPRICE", "2025-08-06", "USD")</f>
        <v>33.6</v>
      </c>
      <c r="G8">
        <f>_xll.ciqfunctions.udf.CIQ("NasdaqGM:AIQ", "IQ_CLOSEPRICE", "2025-08-06", "USD")</f>
        <v>44.64</v>
      </c>
      <c r="H8">
        <f>_xll.ciqfunctions.udf.CIQ("ARCA:ARTY", "IQ_CLOSEPRICE", "2025-08-06", "USD")</f>
        <v>42.57</v>
      </c>
      <c r="I8">
        <f>_xll.ciqfunctions.udf.CIQ("NasdaqGM:ROBT", "IQ_CLOSEPRICE", "2025-08-06", "USD")</f>
        <v>49.89</v>
      </c>
      <c r="J8">
        <f>_xll.ciqfunctions.udf.CIQ("ARCA:IGPT", "IQ_CLOSEPRICE", "2025-08-06", "USD")</f>
        <v>50.07</v>
      </c>
      <c r="K8">
        <f>_xll.ciqfunctions.udf.CIQ("BATS:WTAI", "IQ_CLOSEPRICE", "2025-08-06", "USD")</f>
        <v>25.66</v>
      </c>
      <c r="L8">
        <f>_xll.ciqfunctions.udf.CIQ("ARCA:THNQ", "IQ_CLOSEPRICE", "2025-08-06", "USD")</f>
        <v>56.11</v>
      </c>
      <c r="M8">
        <f>_xll.ciqfunctions.udf.CIQ("NasdaqGM:FDTX", "IQ_CLOSEPRICE", "2025-08-06", "USD")</f>
        <v>39.813099999999999</v>
      </c>
      <c r="N8">
        <f>_xll.ciqfunctions.udf.CIQ("ARCA:CHAT", "IQ_CLOSEPRICE", "2025-08-06", "USD")</f>
        <v>52.48</v>
      </c>
      <c r="O8">
        <f>_xll.ciqfunctions.udf.CIQ("ARCA:LOUP", "IQ_CLOSEPRICE", "2025-08-06", "USD")</f>
        <v>65.27</v>
      </c>
      <c r="P8">
        <f>_xll.ciqfunctions.udf.CIQ("ARCA:LRNZ", "IQ_CLOSEPRICE", "2025-08-06", "USD")</f>
        <v>43.582700000000003</v>
      </c>
      <c r="Q8">
        <f>_xll.ciqfunctions.udf.CIQ("ARCA:AIS", "IQ_CLOSEPRICE", "2025-08-06", "USD")</f>
        <v>29.424499999999998</v>
      </c>
      <c r="R8">
        <f>_xll.ciqfunctions.udf.CIQ("NasdaqGM:WISE", "IQ_CLOSEPRICE", "2025-08-06", "USD")</f>
        <v>38.01</v>
      </c>
      <c r="S8">
        <f>_xll.ciqfunctions.udf.CIQ("LSE:RBOT", "IQ_CLOSEPRICE", "2025-08-06", "USD")</f>
        <v>14.984999999999999</v>
      </c>
      <c r="T8">
        <f>_xll.ciqfunctions.udf.CIQ("XTRA:XAIX", "IQ_CLOSEPRICE", "2025-08-06", "USD")</f>
        <v>162.80694</v>
      </c>
      <c r="U8">
        <f>_xll.ciqfunctions.udf.CIQ("BIT:WTAI", "IQ_CLOSEPRICE", "2025-08-06", "USD")</f>
        <v>75.736059999999995</v>
      </c>
      <c r="V8">
        <f>_xll.ciqfunctions.udf.CIQ("LSE:AIAG", "IQ_CLOSEPRICE", "2025-08-06", "USD")</f>
        <v>24.564350000000001</v>
      </c>
      <c r="W8">
        <f>_xll.ciqfunctions.udf.CIQ("ASX:RBTZ", "IQ_CLOSEPRICE", "2025-08-06", "USD")</f>
        <v>9.6522600000000001</v>
      </c>
      <c r="X8">
        <f>_xll.ciqfunctions.udf.CIQ("DB:XB0T", "IQ_CLOSEPRICE", "2025-08-06", "USD")</f>
        <v>22.46247</v>
      </c>
    </row>
    <row r="9" spans="1:24" x14ac:dyDescent="0.25">
      <c r="A9" t="s">
        <v>31</v>
      </c>
      <c r="B9">
        <f>_xll.ciqfunctions.udf.CIQ("NasdaqGM:QQQ", "IQ_CLOSEPRICE", "2025-08-05", "USD")</f>
        <v>560.27</v>
      </c>
      <c r="C9">
        <f>_xll.ciqfunctions.udf.CIQ("NasdaqGM:AGIX", "IQ_CLOSEPRICE", "2025-08-05", "USD")</f>
        <v>31.953099999999999</v>
      </c>
      <c r="D9">
        <f>_xll.ciqfunctions.udf.CIQ("NasdaqGM:SMH", "IQ_CLOSEPRICE", "2025-08-05", "USD")</f>
        <v>287.10000000000002</v>
      </c>
      <c r="E9">
        <f>_xll.ciqfunctions.udf.CIQ("BATS:IGV", "IQ_CLOSEPRICE", "2025-08-05", "USD")</f>
        <v>110.55</v>
      </c>
      <c r="F9">
        <f>_xll.ciqfunctions.udf.CIQ("NasdaqGM:BOTZ", "IQ_CLOSEPRICE", "2025-08-05", "USD")</f>
        <v>33.93</v>
      </c>
      <c r="G9">
        <f>_xll.ciqfunctions.udf.CIQ("NasdaqGM:AIQ", "IQ_CLOSEPRICE", "2025-08-05", "USD")</f>
        <v>44.17</v>
      </c>
      <c r="H9">
        <f>_xll.ciqfunctions.udf.CIQ("ARCA:ARTY", "IQ_CLOSEPRICE", "2025-08-05", "USD")</f>
        <v>42.67</v>
      </c>
      <c r="I9">
        <f>_xll.ciqfunctions.udf.CIQ("NasdaqGM:ROBT", "IQ_CLOSEPRICE", "2025-08-05", "USD")</f>
        <v>50.0169</v>
      </c>
      <c r="J9">
        <f>_xll.ciqfunctions.udf.CIQ("ARCA:IGPT", "IQ_CLOSEPRICE", "2025-08-05", "USD")</f>
        <v>50.22</v>
      </c>
      <c r="K9">
        <f>_xll.ciqfunctions.udf.CIQ("BATS:WTAI", "IQ_CLOSEPRICE", "2025-08-05", "USD")</f>
        <v>25.18</v>
      </c>
      <c r="L9">
        <f>_xll.ciqfunctions.udf.CIQ("ARCA:THNQ", "IQ_CLOSEPRICE", "2025-08-05", "USD")</f>
        <v>55.53</v>
      </c>
      <c r="M9">
        <f>_xll.ciqfunctions.udf.CIQ("NasdaqGM:FDTX", "IQ_CLOSEPRICE", "2025-08-05", "USD")</f>
        <v>39.034700000000001</v>
      </c>
      <c r="N9">
        <f>_xll.ciqfunctions.udf.CIQ("ARCA:CHAT", "IQ_CLOSEPRICE", "2025-08-05", "USD")</f>
        <v>51.2</v>
      </c>
      <c r="O9">
        <f>_xll.ciqfunctions.udf.CIQ("ARCA:LOUP", "IQ_CLOSEPRICE", "2025-08-05", "USD")</f>
        <v>62.938000000000002</v>
      </c>
      <c r="P9">
        <f>_xll.ciqfunctions.udf.CIQ("ARCA:LRNZ", "IQ_CLOSEPRICE", "2025-08-05", "USD")</f>
        <v>42.924100000000003</v>
      </c>
      <c r="Q9">
        <f>_xll.ciqfunctions.udf.CIQ("ARCA:AIS", "IQ_CLOSEPRICE", "2025-08-05", "USD")</f>
        <v>29.177800000000001</v>
      </c>
      <c r="R9">
        <f>_xll.ciqfunctions.udf.CIQ("NasdaqGM:WISE", "IQ_CLOSEPRICE", "2025-08-05", "USD")</f>
        <v>38.28</v>
      </c>
      <c r="S9">
        <f>_xll.ciqfunctions.udf.CIQ("LSE:RBOT", "IQ_CLOSEPRICE", "2025-08-05", "USD")</f>
        <v>15.11</v>
      </c>
      <c r="T9">
        <f>_xll.ciqfunctions.udf.CIQ("XTRA:XAIX", "IQ_CLOSEPRICE", "2025-08-05", "USD")</f>
        <v>160.93550999999999</v>
      </c>
      <c r="U9">
        <f>_xll.ciqfunctions.udf.CIQ("BIT:WTAI", "IQ_CLOSEPRICE", "2025-08-05", "USD")</f>
        <v>75.199719999999999</v>
      </c>
      <c r="V9">
        <f>_xll.ciqfunctions.udf.CIQ("LSE:AIAG", "IQ_CLOSEPRICE", "2025-08-05", "USD")</f>
        <v>24.41808</v>
      </c>
      <c r="W9">
        <f>_xll.ciqfunctions.udf.CIQ("ASX:RBTZ", "IQ_CLOSEPRICE", "2025-08-05", "USD")</f>
        <v>9.6617700000000006</v>
      </c>
      <c r="X9">
        <f>_xll.ciqfunctions.udf.CIQ("DB:XB0T", "IQ_CLOSEPRICE", "2025-08-05", "USD")</f>
        <v>22.361930000000001</v>
      </c>
    </row>
    <row r="10" spans="1:24" x14ac:dyDescent="0.25">
      <c r="A10" t="s">
        <v>32</v>
      </c>
      <c r="B10">
        <f>_xll.ciqfunctions.udf.CIQ("NasdaqGM:QQQ", "IQ_CLOSEPRICE", "2025-08-04", "USD")</f>
        <v>564.1</v>
      </c>
      <c r="C10">
        <f>_xll.ciqfunctions.udf.CIQ("NasdaqGM:AGIX", "IQ_CLOSEPRICE", "2025-08-04", "USD")</f>
        <v>32.0227</v>
      </c>
      <c r="D10">
        <f>_xll.ciqfunctions.udf.CIQ("NasdaqGM:SMH", "IQ_CLOSEPRICE", "2025-08-04", "USD")</f>
        <v>290.19</v>
      </c>
      <c r="E10">
        <f>_xll.ciqfunctions.udf.CIQ("BATS:IGV", "IQ_CLOSEPRICE", "2025-08-04", "USD")</f>
        <v>110.98</v>
      </c>
      <c r="F10">
        <f>_xll.ciqfunctions.udf.CIQ("NasdaqGM:BOTZ", "IQ_CLOSEPRICE", "2025-08-04", "USD")</f>
        <v>33.97</v>
      </c>
      <c r="G10">
        <f>_xll.ciqfunctions.udf.CIQ("NasdaqGM:AIQ", "IQ_CLOSEPRICE", "2025-08-04", "USD")</f>
        <v>44.33</v>
      </c>
      <c r="H10">
        <f>_xll.ciqfunctions.udf.CIQ("ARCA:ARTY", "IQ_CLOSEPRICE", "2025-08-04", "USD")</f>
        <v>43.13</v>
      </c>
      <c r="I10">
        <f>_xll.ciqfunctions.udf.CIQ("NasdaqGM:ROBT", "IQ_CLOSEPRICE", "2025-08-04", "USD")</f>
        <v>50.11</v>
      </c>
      <c r="J10">
        <f>_xll.ciqfunctions.udf.CIQ("ARCA:IGPT", "IQ_CLOSEPRICE", "2025-08-04", "USD")</f>
        <v>50.64</v>
      </c>
      <c r="K10">
        <f>_xll.ciqfunctions.udf.CIQ("BATS:WTAI", "IQ_CLOSEPRICE", "2025-08-04", "USD")</f>
        <v>25.31</v>
      </c>
      <c r="L10">
        <f>_xll.ciqfunctions.udf.CIQ("ARCA:THNQ", "IQ_CLOSEPRICE", "2025-08-04", "USD")</f>
        <v>55.5139</v>
      </c>
      <c r="M10">
        <f>_xll.ciqfunctions.udf.CIQ("NasdaqGM:FDTX", "IQ_CLOSEPRICE", "2025-08-04", "USD")</f>
        <v>39.265000000000001</v>
      </c>
      <c r="N10">
        <f>_xll.ciqfunctions.udf.CIQ("ARCA:CHAT", "IQ_CLOSEPRICE", "2025-08-04", "USD")</f>
        <v>51.11</v>
      </c>
      <c r="O10">
        <f>_xll.ciqfunctions.udf.CIQ("ARCA:LOUP", "IQ_CLOSEPRICE", "2025-08-04", "USD")</f>
        <v>63.451300000000003</v>
      </c>
      <c r="P10">
        <f>_xll.ciqfunctions.udf.CIQ("ARCA:LRNZ", "IQ_CLOSEPRICE", "2025-08-04", "USD")</f>
        <v>43.62</v>
      </c>
      <c r="Q10">
        <f>_xll.ciqfunctions.udf.CIQ("ARCA:AIS", "IQ_CLOSEPRICE", "2025-08-04", "USD")</f>
        <v>29.483899999999998</v>
      </c>
      <c r="R10">
        <f>_xll.ciqfunctions.udf.CIQ("NasdaqGM:WISE", "IQ_CLOSEPRICE", "2025-08-04", "USD")</f>
        <v>37.979700000000001</v>
      </c>
      <c r="S10">
        <f>_xll.ciqfunctions.udf.CIQ("LSE:RBOT", "IQ_CLOSEPRICE", "2025-08-04", "USD")</f>
        <v>15.135</v>
      </c>
      <c r="T10">
        <f>_xll.ciqfunctions.udf.CIQ("XTRA:XAIX", "IQ_CLOSEPRICE", "2025-08-04", "USD")</f>
        <v>160.80972</v>
      </c>
      <c r="U10">
        <f>_xll.ciqfunctions.udf.CIQ("BIT:WTAI", "IQ_CLOSEPRICE", "2025-08-04", "USD")</f>
        <v>75.083860000000001</v>
      </c>
      <c r="V10">
        <f>_xll.ciqfunctions.udf.CIQ("LSE:AIAG", "IQ_CLOSEPRICE", "2025-08-04", "USD")</f>
        <v>24.402750000000001</v>
      </c>
      <c r="W10">
        <f>_xll.ciqfunctions.udf.CIQ("ASX:RBTZ", "IQ_CLOSEPRICE", "2025-08-04", "USD")</f>
        <v>9.39602</v>
      </c>
      <c r="X10">
        <f>_xll.ciqfunctions.udf.CIQ("DB:XB0T", "IQ_CLOSEPRICE", "2025-08-04", "USD")</f>
        <v>22.082129999999999</v>
      </c>
    </row>
    <row r="11" spans="1:24" x14ac:dyDescent="0.25">
      <c r="A11" t="s">
        <v>33</v>
      </c>
      <c r="B11">
        <f>_xll.ciqfunctions.udf.CIQ("NasdaqGM:QQQ", "IQ_CLOSEPRICE", "2025-08-01", "USD")</f>
        <v>553.88</v>
      </c>
      <c r="C11">
        <f>_xll.ciqfunctions.udf.CIQ("NasdaqGM:AGIX", "IQ_CLOSEPRICE", "2025-08-01", "USD")</f>
        <v>31.3901</v>
      </c>
      <c r="D11">
        <f>_xll.ciqfunctions.udf.CIQ("NasdaqGM:SMH", "IQ_CLOSEPRICE", "2025-08-01", "USD")</f>
        <v>283.95</v>
      </c>
      <c r="E11">
        <f>_xll.ciqfunctions.udf.CIQ("BATS:IGV", "IQ_CLOSEPRICE", "2025-08-01", "USD")</f>
        <v>108.63</v>
      </c>
      <c r="F11">
        <f>_xll.ciqfunctions.udf.CIQ("NasdaqGM:BOTZ", "IQ_CLOSEPRICE", "2025-08-01", "USD")</f>
        <v>33.119999999999997</v>
      </c>
      <c r="G11">
        <f>_xll.ciqfunctions.udf.CIQ("NasdaqGM:AIQ", "IQ_CLOSEPRICE", "2025-08-01", "USD")</f>
        <v>43.47</v>
      </c>
      <c r="H11">
        <f>_xll.ciqfunctions.udf.CIQ("ARCA:ARTY", "IQ_CLOSEPRICE", "2025-08-01", "USD")</f>
        <v>42.26</v>
      </c>
      <c r="I11">
        <f>_xll.ciqfunctions.udf.CIQ("NasdaqGM:ROBT", "IQ_CLOSEPRICE", "2025-08-01", "USD")</f>
        <v>49.023200000000003</v>
      </c>
      <c r="J11">
        <f>_xll.ciqfunctions.udf.CIQ("ARCA:IGPT", "IQ_CLOSEPRICE", "2025-08-01", "USD")</f>
        <v>49.578000000000003</v>
      </c>
      <c r="K11">
        <f>_xll.ciqfunctions.udf.CIQ("BATS:WTAI", "IQ_CLOSEPRICE", "2025-08-01", "USD")</f>
        <v>24.66</v>
      </c>
      <c r="L11">
        <f>_xll.ciqfunctions.udf.CIQ("ARCA:THNQ", "IQ_CLOSEPRICE", "2025-08-01", "USD")</f>
        <v>54.43</v>
      </c>
      <c r="M11">
        <f>_xll.ciqfunctions.udf.CIQ("NasdaqGM:FDTX", "IQ_CLOSEPRICE", "2025-08-01", "USD")</f>
        <v>38.459800000000001</v>
      </c>
      <c r="N11">
        <f>_xll.ciqfunctions.udf.CIQ("ARCA:CHAT", "IQ_CLOSEPRICE", "2025-08-01", "USD")</f>
        <v>49.91</v>
      </c>
      <c r="O11">
        <f>_xll.ciqfunctions.udf.CIQ("ARCA:LOUP", "IQ_CLOSEPRICE", "2025-08-01", "USD")</f>
        <v>62.07</v>
      </c>
      <c r="P11">
        <f>_xll.ciqfunctions.udf.CIQ("ARCA:LRNZ", "IQ_CLOSEPRICE", "2025-08-01", "USD")</f>
        <v>43.659300000000002</v>
      </c>
      <c r="Q11">
        <f>_xll.ciqfunctions.udf.CIQ("ARCA:AIS", "IQ_CLOSEPRICE", "2025-08-01", "USD")</f>
        <v>28.9833</v>
      </c>
      <c r="R11">
        <f>_xll.ciqfunctions.udf.CIQ("NasdaqGM:WISE", "IQ_CLOSEPRICE", "2025-08-01", "USD")</f>
        <v>36.890900000000002</v>
      </c>
      <c r="S11">
        <f>_xll.ciqfunctions.udf.CIQ("LSE:RBOT", "IQ_CLOSEPRICE", "2025-08-01", "USD")</f>
        <v>14.88</v>
      </c>
      <c r="T11">
        <f>_xll.ciqfunctions.udf.CIQ("XTRA:XAIX", "IQ_CLOSEPRICE", "2025-08-01", "USD")</f>
        <v>159.03475</v>
      </c>
      <c r="U11">
        <f>_xll.ciqfunctions.udf.CIQ("BIT:WTAI", "IQ_CLOSEPRICE", "2025-08-01", "USD")</f>
        <v>73.617369999999994</v>
      </c>
      <c r="V11">
        <f>_xll.ciqfunctions.udf.CIQ("LSE:AIAG", "IQ_CLOSEPRICE", "2025-08-01", "USD")</f>
        <v>23.93038</v>
      </c>
      <c r="W11">
        <f>_xll.ciqfunctions.udf.CIQ("ASX:RBTZ", "IQ_CLOSEPRICE", "2025-08-01", "USD")</f>
        <v>9.4992300000000007</v>
      </c>
      <c r="X11">
        <f>_xll.ciqfunctions.udf.CIQ("DB:XB0T", "IQ_CLOSEPRICE", "2025-08-01", "USD")</f>
        <v>22.193739999999998</v>
      </c>
    </row>
    <row r="12" spans="1:24" x14ac:dyDescent="0.25">
      <c r="A12" t="s">
        <v>34</v>
      </c>
      <c r="B12">
        <f>_xll.ciqfunctions.udf.CIQ("NasdaqGM:QQQ", "IQ_CLOSEPRICE", "2025-07-31", "USD")</f>
        <v>565.01</v>
      </c>
      <c r="C12">
        <f>_xll.ciqfunctions.udf.CIQ("NasdaqGM:AGIX", "IQ_CLOSEPRICE", "2025-07-31", "USD")</f>
        <v>32.459499999999998</v>
      </c>
      <c r="D12">
        <f>_xll.ciqfunctions.udf.CIQ("NasdaqGM:SMH", "IQ_CLOSEPRICE", "2025-07-31", "USD")</f>
        <v>288.77999999999997</v>
      </c>
      <c r="E12">
        <f>_xll.ciqfunctions.udf.CIQ("BATS:IGV", "IQ_CLOSEPRICE", "2025-07-31", "USD")</f>
        <v>111.66</v>
      </c>
      <c r="F12">
        <f>_xll.ciqfunctions.udf.CIQ("NasdaqGM:BOTZ", "IQ_CLOSEPRICE", "2025-07-31", "USD")</f>
        <v>33.47</v>
      </c>
      <c r="G12">
        <f>_xll.ciqfunctions.udf.CIQ("NasdaqGM:AIQ", "IQ_CLOSEPRICE", "2025-07-31", "USD")</f>
        <v>44.57</v>
      </c>
      <c r="H12">
        <f>_xll.ciqfunctions.udf.CIQ("ARCA:ARTY", "IQ_CLOSEPRICE", "2025-07-31", "USD")</f>
        <v>43.45</v>
      </c>
      <c r="I12">
        <f>_xll.ciqfunctions.udf.CIQ("NasdaqGM:ROBT", "IQ_CLOSEPRICE", "2025-07-31", "USD")</f>
        <v>49.965499999999999</v>
      </c>
      <c r="J12">
        <f>_xll.ciqfunctions.udf.CIQ("ARCA:IGPT", "IQ_CLOSEPRICE", "2025-07-31", "USD")</f>
        <v>50.67</v>
      </c>
      <c r="K12">
        <f>_xll.ciqfunctions.udf.CIQ("BATS:WTAI", "IQ_CLOSEPRICE", "2025-07-31", "USD")</f>
        <v>25.46</v>
      </c>
      <c r="L12">
        <f>_xll.ciqfunctions.udf.CIQ("ARCA:THNQ", "IQ_CLOSEPRICE", "2025-07-31", "USD")</f>
        <v>56.12</v>
      </c>
      <c r="M12">
        <f>_xll.ciqfunctions.udf.CIQ("NasdaqGM:FDTX", "IQ_CLOSEPRICE", "2025-07-31", "USD")</f>
        <v>39.646500000000003</v>
      </c>
      <c r="N12">
        <f>_xll.ciqfunctions.udf.CIQ("ARCA:CHAT", "IQ_CLOSEPRICE", "2025-07-31", "USD")</f>
        <v>51.54</v>
      </c>
      <c r="O12">
        <f>_xll.ciqfunctions.udf.CIQ("ARCA:LOUP", "IQ_CLOSEPRICE", "2025-07-31", "USD")</f>
        <v>64.25</v>
      </c>
      <c r="P12">
        <f>_xll.ciqfunctions.udf.CIQ("ARCA:LRNZ", "IQ_CLOSEPRICE", "2025-07-31", "USD")</f>
        <v>44.423200000000001</v>
      </c>
      <c r="Q12">
        <f>_xll.ciqfunctions.udf.CIQ("ARCA:AIS", "IQ_CLOSEPRICE", "2025-07-31", "USD")</f>
        <v>29.67</v>
      </c>
      <c r="R12">
        <f>_xll.ciqfunctions.udf.CIQ("NasdaqGM:WISE", "IQ_CLOSEPRICE", "2025-07-31", "USD")</f>
        <v>37.836300000000001</v>
      </c>
      <c r="S12">
        <f>_xll.ciqfunctions.udf.CIQ("LSE:RBOT", "IQ_CLOSEPRICE", "2025-07-31", "USD")</f>
        <v>15.32</v>
      </c>
      <c r="T12">
        <f>_xll.ciqfunctions.udf.CIQ("XTRA:XAIX", "IQ_CLOSEPRICE", "2025-07-31", "USD")</f>
        <v>164.44748999999999</v>
      </c>
      <c r="U12">
        <f>_xll.ciqfunctions.udf.CIQ("BIT:WTAI", "IQ_CLOSEPRICE", "2025-07-31", "USD")</f>
        <v>76.527109999999993</v>
      </c>
      <c r="V12">
        <f>_xll.ciqfunctions.udf.CIQ("LSE:AIAG", "IQ_CLOSEPRICE", "2025-07-31", "USD")</f>
        <v>24.957350000000002</v>
      </c>
      <c r="W12">
        <f>_xll.ciqfunctions.udf.CIQ("ASX:RBTZ", "IQ_CLOSEPRICE", "2025-07-31", "USD")</f>
        <v>9.6006699999999991</v>
      </c>
      <c r="X12">
        <f>_xll.ciqfunctions.udf.CIQ("DB:XB0T", "IQ_CLOSEPRICE", "2025-07-31", "USD")</f>
        <v>22.326699999999999</v>
      </c>
    </row>
    <row r="13" spans="1:24" x14ac:dyDescent="0.25">
      <c r="A13" t="s">
        <v>35</v>
      </c>
      <c r="B13">
        <f>_xll.ciqfunctions.udf.CIQ("NasdaqGM:QQQ", "IQ_CLOSEPRICE", "2025-07-30", "USD")</f>
        <v>568.02</v>
      </c>
      <c r="C13">
        <f>_xll.ciqfunctions.udf.CIQ("NasdaqGM:AGIX", "IQ_CLOSEPRICE", "2025-07-30", "USD")</f>
        <v>32.416200000000003</v>
      </c>
      <c r="D13">
        <f>_xll.ciqfunctions.udf.CIQ("NasdaqGM:SMH", "IQ_CLOSEPRICE", "2025-07-30", "USD")</f>
        <v>296.26</v>
      </c>
      <c r="E13">
        <f>_xll.ciqfunctions.udf.CIQ("BATS:IGV", "IQ_CLOSEPRICE", "2025-07-30", "USD")</f>
        <v>112.72</v>
      </c>
      <c r="F13">
        <f>_xll.ciqfunctions.udf.CIQ("NasdaqGM:BOTZ", "IQ_CLOSEPRICE", "2025-07-30", "USD")</f>
        <v>33.700000000000003</v>
      </c>
      <c r="G13">
        <f>_xll.ciqfunctions.udf.CIQ("NasdaqGM:AIQ", "IQ_CLOSEPRICE", "2025-07-30", "USD")</f>
        <v>44.82</v>
      </c>
      <c r="H13">
        <f>_xll.ciqfunctions.udf.CIQ("ARCA:ARTY", "IQ_CLOSEPRICE", "2025-07-30", "USD")</f>
        <v>43.79</v>
      </c>
      <c r="I13">
        <f>_xll.ciqfunctions.udf.CIQ("NasdaqGM:ROBT", "IQ_CLOSEPRICE", "2025-07-30", "USD")</f>
        <v>50.32</v>
      </c>
      <c r="J13">
        <f>_xll.ciqfunctions.udf.CIQ("ARCA:IGPT", "IQ_CLOSEPRICE", "2025-07-30", "USD")</f>
        <v>51</v>
      </c>
      <c r="K13">
        <f>_xll.ciqfunctions.udf.CIQ("BATS:WTAI", "IQ_CLOSEPRICE", "2025-07-30", "USD")</f>
        <v>25.81</v>
      </c>
      <c r="L13">
        <f>_xll.ciqfunctions.udf.CIQ("ARCA:THNQ", "IQ_CLOSEPRICE", "2025-07-30", "USD")</f>
        <v>56.49</v>
      </c>
      <c r="M13">
        <f>_xll.ciqfunctions.udf.CIQ("NasdaqGM:FDTX", "IQ_CLOSEPRICE", "2025-07-30", "USD")</f>
        <v>39.866300000000003</v>
      </c>
      <c r="N13">
        <f>_xll.ciqfunctions.udf.CIQ("ARCA:CHAT", "IQ_CLOSEPRICE", "2025-07-30", "USD")</f>
        <v>51.27</v>
      </c>
      <c r="O13">
        <f>_xll.ciqfunctions.udf.CIQ("ARCA:LOUP", "IQ_CLOSEPRICE", "2025-07-30", "USD")</f>
        <v>65.14</v>
      </c>
      <c r="P13">
        <f>_xll.ciqfunctions.udf.CIQ("ARCA:LRNZ", "IQ_CLOSEPRICE", "2025-07-30", "USD")</f>
        <v>45.151699999999998</v>
      </c>
      <c r="Q13">
        <f>_xll.ciqfunctions.udf.CIQ("ARCA:AIS", "IQ_CLOSEPRICE", "2025-07-30", "USD")</f>
        <v>29.7743</v>
      </c>
      <c r="R13">
        <f>_xll.ciqfunctions.udf.CIQ("NasdaqGM:WISE", "IQ_CLOSEPRICE", "2025-07-30", "USD")</f>
        <v>37.908499999999997</v>
      </c>
      <c r="S13">
        <f>_xll.ciqfunctions.udf.CIQ("LSE:RBOT", "IQ_CLOSEPRICE", "2025-07-30", "USD")</f>
        <v>15.41</v>
      </c>
      <c r="T13">
        <f>_xll.ciqfunctions.udf.CIQ("XTRA:XAIX", "IQ_CLOSEPRICE", "2025-07-30", "USD")</f>
        <v>163.99126999999999</v>
      </c>
      <c r="U13">
        <f>_xll.ciqfunctions.udf.CIQ("BIT:WTAI", "IQ_CLOSEPRICE", "2025-07-30", "USD")</f>
        <v>76.530029999999996</v>
      </c>
      <c r="V13">
        <f>_xll.ciqfunctions.udf.CIQ("LSE:AIAG", "IQ_CLOSEPRICE", "2025-07-30", "USD")</f>
        <v>24.942869999999999</v>
      </c>
      <c r="W13">
        <f>_xll.ciqfunctions.udf.CIQ("ASX:RBTZ", "IQ_CLOSEPRICE", "2025-07-30", "USD")</f>
        <v>9.423</v>
      </c>
      <c r="X13">
        <f>_xll.ciqfunctions.udf.CIQ("DB:XB0T", "IQ_CLOSEPRICE", "2025-07-30", "USD")</f>
        <v>22.181650000000001</v>
      </c>
    </row>
    <row r="14" spans="1:24" x14ac:dyDescent="0.25">
      <c r="A14" t="s">
        <v>36</v>
      </c>
      <c r="B14">
        <f>_xll.ciqfunctions.udf.CIQ("NasdaqGM:QQQ", "IQ_CLOSEPRICE", "2025-07-29", "USD")</f>
        <v>567.26</v>
      </c>
      <c r="C14">
        <f>_xll.ciqfunctions.udf.CIQ("NasdaqGM:AGIX", "IQ_CLOSEPRICE", "2025-07-29", "USD")</f>
        <v>32.6053</v>
      </c>
      <c r="D14">
        <f>_xll.ciqfunctions.udf.CIQ("NasdaqGM:SMH", "IQ_CLOSEPRICE", "2025-07-29", "USD")</f>
        <v>292.89999999999998</v>
      </c>
      <c r="E14">
        <f>_xll.ciqfunctions.udf.CIQ("BATS:IGV", "IQ_CLOSEPRICE", "2025-07-29", "USD")</f>
        <v>113.01</v>
      </c>
      <c r="F14">
        <f>_xll.ciqfunctions.udf.CIQ("NasdaqGM:BOTZ", "IQ_CLOSEPRICE", "2025-07-29", "USD")</f>
        <v>33.86</v>
      </c>
      <c r="G14">
        <f>_xll.ciqfunctions.udf.CIQ("NasdaqGM:AIQ", "IQ_CLOSEPRICE", "2025-07-29", "USD")</f>
        <v>44.88</v>
      </c>
      <c r="H14">
        <f>_xll.ciqfunctions.udf.CIQ("ARCA:ARTY", "IQ_CLOSEPRICE", "2025-07-29", "USD")</f>
        <v>43.65</v>
      </c>
      <c r="I14">
        <f>_xll.ciqfunctions.udf.CIQ("NasdaqGM:ROBT", "IQ_CLOSEPRICE", "2025-07-29", "USD")</f>
        <v>50.490299999999998</v>
      </c>
      <c r="J14">
        <f>_xll.ciqfunctions.udf.CIQ("ARCA:IGPT", "IQ_CLOSEPRICE", "2025-07-29", "USD")</f>
        <v>50.88</v>
      </c>
      <c r="K14">
        <f>_xll.ciqfunctions.udf.CIQ("BATS:WTAI", "IQ_CLOSEPRICE", "2025-07-29", "USD")</f>
        <v>25.64</v>
      </c>
      <c r="L14">
        <f>_xll.ciqfunctions.udf.CIQ("ARCA:THNQ", "IQ_CLOSEPRICE", "2025-07-29", "USD")</f>
        <v>56.24</v>
      </c>
      <c r="M14">
        <f>_xll.ciqfunctions.udf.CIQ("NasdaqGM:FDTX", "IQ_CLOSEPRICE", "2025-07-29", "USD")</f>
        <v>39.7502</v>
      </c>
      <c r="N14">
        <f>_xll.ciqfunctions.udf.CIQ("ARCA:CHAT", "IQ_CLOSEPRICE", "2025-07-29", "USD")</f>
        <v>50.95</v>
      </c>
      <c r="O14">
        <f>_xll.ciqfunctions.udf.CIQ("ARCA:LOUP", "IQ_CLOSEPRICE", "2025-07-29", "USD")</f>
        <v>64.552099999999996</v>
      </c>
      <c r="P14">
        <f>_xll.ciqfunctions.udf.CIQ("ARCA:LRNZ", "IQ_CLOSEPRICE", "2025-07-29", "USD")</f>
        <v>45.132599999999996</v>
      </c>
      <c r="Q14">
        <f>_xll.ciqfunctions.udf.CIQ("ARCA:AIS", "IQ_CLOSEPRICE", "2025-07-29", "USD")</f>
        <v>29.625499999999999</v>
      </c>
      <c r="R14">
        <f>_xll.ciqfunctions.udf.CIQ("NasdaqGM:WISE", "IQ_CLOSEPRICE", "2025-07-29", "USD")</f>
        <v>37.933500000000002</v>
      </c>
      <c r="S14">
        <f>_xll.ciqfunctions.udf.CIQ("LSE:RBOT", "IQ_CLOSEPRICE", "2025-07-29", "USD")</f>
        <v>15.43</v>
      </c>
      <c r="T14">
        <f>_xll.ciqfunctions.udf.CIQ("XTRA:XAIX", "IQ_CLOSEPRICE", "2025-07-29", "USD")</f>
        <v>163.58815000000001</v>
      </c>
      <c r="U14">
        <f>_xll.ciqfunctions.udf.CIQ("BIT:WTAI", "IQ_CLOSEPRICE", "2025-07-29", "USD")</f>
        <v>75.994470000000007</v>
      </c>
      <c r="V14">
        <f>_xll.ciqfunctions.udf.CIQ("LSE:AIAG", "IQ_CLOSEPRICE", "2025-07-29", "USD")</f>
        <v>24.732230000000001</v>
      </c>
      <c r="W14">
        <f>_xll.ciqfunctions.udf.CIQ("ASX:RBTZ", "IQ_CLOSEPRICE", "2025-07-29", "USD")</f>
        <v>9.6329100000000007</v>
      </c>
      <c r="X14">
        <f>_xll.ciqfunctions.udf.CIQ("DB:XB0T", "IQ_CLOSEPRICE", "2025-07-29", "USD")</f>
        <v>22.527380000000001</v>
      </c>
    </row>
    <row r="15" spans="1:24" x14ac:dyDescent="0.25">
      <c r="A15" t="s">
        <v>37</v>
      </c>
      <c r="B15">
        <f>_xll.ciqfunctions.udf.CIQ("NasdaqGM:QQQ", "IQ_CLOSEPRICE", "2025-07-28", "USD")</f>
        <v>568.14</v>
      </c>
      <c r="C15">
        <f>_xll.ciqfunctions.udf.CIQ("NasdaqGM:AGIX", "IQ_CLOSEPRICE", "2025-07-28", "USD")</f>
        <v>32.7346</v>
      </c>
      <c r="D15">
        <f>_xll.ciqfunctions.udf.CIQ("NasdaqGM:SMH", "IQ_CLOSEPRICE", "2025-07-28", "USD")</f>
        <v>291.41000000000003</v>
      </c>
      <c r="E15">
        <f>_xll.ciqfunctions.udf.CIQ("BATS:IGV", "IQ_CLOSEPRICE", "2025-07-28", "USD")</f>
        <v>112.88</v>
      </c>
      <c r="F15">
        <f>_xll.ciqfunctions.udf.CIQ("NasdaqGM:BOTZ", "IQ_CLOSEPRICE", "2025-07-28", "USD")</f>
        <v>34.26</v>
      </c>
      <c r="G15">
        <f>_xll.ciqfunctions.udf.CIQ("NasdaqGM:AIQ", "IQ_CLOSEPRICE", "2025-07-28", "USD")</f>
        <v>44.93</v>
      </c>
      <c r="H15">
        <f>_xll.ciqfunctions.udf.CIQ("ARCA:ARTY", "IQ_CLOSEPRICE", "2025-07-28", "USD")</f>
        <v>43.47</v>
      </c>
      <c r="I15">
        <f>_xll.ciqfunctions.udf.CIQ("NasdaqGM:ROBT", "IQ_CLOSEPRICE", "2025-07-28", "USD")</f>
        <v>51.057600000000001</v>
      </c>
      <c r="J15">
        <f>_xll.ciqfunctions.udf.CIQ("ARCA:IGPT", "IQ_CLOSEPRICE", "2025-07-28", "USD")</f>
        <v>50.82</v>
      </c>
      <c r="K15">
        <f>_xll.ciqfunctions.udf.CIQ("BATS:WTAI", "IQ_CLOSEPRICE", "2025-07-28", "USD")</f>
        <v>25.63</v>
      </c>
      <c r="L15">
        <f>_xll.ciqfunctions.udf.CIQ("ARCA:THNQ", "IQ_CLOSEPRICE", "2025-07-28", "USD")</f>
        <v>56.91</v>
      </c>
      <c r="M15">
        <f>_xll.ciqfunctions.udf.CIQ("NasdaqGM:FDTX", "IQ_CLOSEPRICE", "2025-07-28", "USD")</f>
        <v>40.005000000000003</v>
      </c>
      <c r="N15">
        <f>_xll.ciqfunctions.udf.CIQ("ARCA:CHAT", "IQ_CLOSEPRICE", "2025-07-28", "USD")</f>
        <v>51.3</v>
      </c>
      <c r="O15">
        <f>_xll.ciqfunctions.udf.CIQ("ARCA:LOUP", "IQ_CLOSEPRICE", "2025-07-28", "USD")</f>
        <v>64.288600000000002</v>
      </c>
      <c r="P15">
        <f>_xll.ciqfunctions.udf.CIQ("ARCA:LRNZ", "IQ_CLOSEPRICE", "2025-07-28", "USD")</f>
        <v>45.777900000000002</v>
      </c>
      <c r="Q15">
        <f>_xll.ciqfunctions.udf.CIQ("ARCA:AIS", "IQ_CLOSEPRICE", "2025-07-28", "USD")</f>
        <v>29.3626</v>
      </c>
      <c r="R15">
        <f>_xll.ciqfunctions.udf.CIQ("NasdaqGM:WISE", "IQ_CLOSEPRICE", "2025-07-28", "USD")</f>
        <v>38.4803</v>
      </c>
      <c r="S15">
        <f>_xll.ciqfunctions.udf.CIQ("LSE:RBOT", "IQ_CLOSEPRICE", "2025-07-28", "USD")</f>
        <v>15.475</v>
      </c>
      <c r="T15">
        <f>_xll.ciqfunctions.udf.CIQ("XTRA:XAIX", "IQ_CLOSEPRICE", "2025-07-28", "USD")</f>
        <v>163.65326999999999</v>
      </c>
      <c r="U15">
        <f>_xll.ciqfunctions.udf.CIQ("BIT:WTAI", "IQ_CLOSEPRICE", "2025-07-28", "USD")</f>
        <v>76.074830000000006</v>
      </c>
      <c r="V15">
        <f>_xll.ciqfunctions.udf.CIQ("LSE:AIAG", "IQ_CLOSEPRICE", "2025-07-28", "USD")</f>
        <v>24.91488</v>
      </c>
      <c r="W15">
        <f>_xll.ciqfunctions.udf.CIQ("ASX:RBTZ", "IQ_CLOSEPRICE", "2025-07-28", "USD")</f>
        <v>9.7247599999999998</v>
      </c>
      <c r="X15">
        <f>_xll.ciqfunctions.udf.CIQ("DB:XB0T", "IQ_CLOSEPRICE", "2025-07-28", "USD")</f>
        <v>22.579599999999999</v>
      </c>
    </row>
    <row r="16" spans="1:24" x14ac:dyDescent="0.25">
      <c r="A16" t="s">
        <v>38</v>
      </c>
      <c r="B16">
        <f>_xll.ciqfunctions.udf.CIQ("NasdaqGM:QQQ", "IQ_CLOSEPRICE", "2025-07-25", "USD")</f>
        <v>566.37</v>
      </c>
      <c r="C16">
        <f>_xll.ciqfunctions.udf.CIQ("NasdaqGM:AGIX", "IQ_CLOSEPRICE", "2025-07-25", "USD")</f>
        <v>32.468200000000003</v>
      </c>
      <c r="D16">
        <f>_xll.ciqfunctions.udf.CIQ("NasdaqGM:SMH", "IQ_CLOSEPRICE", "2025-07-25", "USD")</f>
        <v>287.49</v>
      </c>
      <c r="E16">
        <f>_xll.ciqfunctions.udf.CIQ("BATS:IGV", "IQ_CLOSEPRICE", "2025-07-25", "USD")</f>
        <v>112.69</v>
      </c>
      <c r="F16">
        <f>_xll.ciqfunctions.udf.CIQ("NasdaqGM:BOTZ", "IQ_CLOSEPRICE", "2025-07-25", "USD")</f>
        <v>34.33</v>
      </c>
      <c r="G16">
        <f>_xll.ciqfunctions.udf.CIQ("NasdaqGM:AIQ", "IQ_CLOSEPRICE", "2025-07-25", "USD")</f>
        <v>44.74</v>
      </c>
      <c r="H16">
        <f>_xll.ciqfunctions.udf.CIQ("ARCA:ARTY", "IQ_CLOSEPRICE", "2025-07-25", "USD")</f>
        <v>43.04</v>
      </c>
      <c r="I16">
        <f>_xll.ciqfunctions.udf.CIQ("NasdaqGM:ROBT", "IQ_CLOSEPRICE", "2025-07-25", "USD")</f>
        <v>51.16</v>
      </c>
      <c r="J16">
        <f>_xll.ciqfunctions.udf.CIQ("ARCA:IGPT", "IQ_CLOSEPRICE", "2025-07-25", "USD")</f>
        <v>50.55</v>
      </c>
      <c r="K16">
        <f>_xll.ciqfunctions.udf.CIQ("BATS:WTAI", "IQ_CLOSEPRICE", "2025-07-25", "USD")</f>
        <v>25.5</v>
      </c>
      <c r="L16">
        <f>_xll.ciqfunctions.udf.CIQ("ARCA:THNQ", "IQ_CLOSEPRICE", "2025-07-25", "USD")</f>
        <v>56.5</v>
      </c>
      <c r="M16">
        <f>_xll.ciqfunctions.udf.CIQ("NasdaqGM:FDTX", "IQ_CLOSEPRICE", "2025-07-25", "USD")</f>
        <v>39.921700000000001</v>
      </c>
      <c r="N16">
        <f>_xll.ciqfunctions.udf.CIQ("ARCA:CHAT", "IQ_CLOSEPRICE", "2025-07-25", "USD")</f>
        <v>51.15</v>
      </c>
      <c r="O16">
        <f>_xll.ciqfunctions.udf.CIQ("ARCA:LOUP", "IQ_CLOSEPRICE", "2025-07-25", "USD")</f>
        <v>63.933999999999997</v>
      </c>
      <c r="P16">
        <f>_xll.ciqfunctions.udf.CIQ("ARCA:LRNZ", "IQ_CLOSEPRICE", "2025-07-25", "USD")</f>
        <v>45.462400000000002</v>
      </c>
      <c r="Q16">
        <f>_xll.ciqfunctions.udf.CIQ("ARCA:AIS", "IQ_CLOSEPRICE", "2025-07-25", "USD")</f>
        <v>29.107199999999999</v>
      </c>
      <c r="R16">
        <f>_xll.ciqfunctions.udf.CIQ("NasdaqGM:WISE", "IQ_CLOSEPRICE", "2025-07-25", "USD")</f>
        <v>38.56</v>
      </c>
      <c r="S16">
        <f>_xll.ciqfunctions.udf.CIQ("LSE:RBOT", "IQ_CLOSEPRICE", "2025-07-25", "USD")</f>
        <v>15.484999999999999</v>
      </c>
      <c r="T16">
        <f>_xll.ciqfunctions.udf.CIQ("XTRA:XAIX", "IQ_CLOSEPRICE", "2025-07-25", "USD")</f>
        <v>163.75586999999999</v>
      </c>
      <c r="U16">
        <f>_xll.ciqfunctions.udf.CIQ("BIT:WTAI", "IQ_CLOSEPRICE", "2025-07-25", "USD")</f>
        <v>75.645539999999997</v>
      </c>
      <c r="V16">
        <f>_xll.ciqfunctions.udf.CIQ("LSE:AIAG", "IQ_CLOSEPRICE", "2025-07-25", "USD")</f>
        <v>24.754760000000001</v>
      </c>
      <c r="W16">
        <f>_xll.ciqfunctions.udf.CIQ("ASX:RBTZ", "IQ_CLOSEPRICE", "2025-07-25", "USD")</f>
        <v>9.6734000000000009</v>
      </c>
      <c r="X16">
        <f>_xll.ciqfunctions.udf.CIQ("DB:XB0T", "IQ_CLOSEPRICE", "2025-07-25", "USD")</f>
        <v>22.542249999999999</v>
      </c>
    </row>
    <row r="17" spans="1:24" x14ac:dyDescent="0.25">
      <c r="A17" t="s">
        <v>39</v>
      </c>
      <c r="B17">
        <f>_xll.ciqfunctions.udf.CIQ("NasdaqGM:QQQ", "IQ_CLOSEPRICE", "2025-07-24", "USD")</f>
        <v>565.01</v>
      </c>
      <c r="C17">
        <f>_xll.ciqfunctions.udf.CIQ("NasdaqGM:AGIX", "IQ_CLOSEPRICE", "2025-07-24", "USD")</f>
        <v>32.28</v>
      </c>
      <c r="D17">
        <f>_xll.ciqfunctions.udf.CIQ("NasdaqGM:SMH", "IQ_CLOSEPRICE", "2025-07-24", "USD")</f>
        <v>287.8</v>
      </c>
      <c r="E17">
        <f>_xll.ciqfunctions.udf.CIQ("BATS:IGV", "IQ_CLOSEPRICE", "2025-07-24", "USD")</f>
        <v>112.09</v>
      </c>
      <c r="F17">
        <f>_xll.ciqfunctions.udf.CIQ("NasdaqGM:BOTZ", "IQ_CLOSEPRICE", "2025-07-24", "USD")</f>
        <v>34.49</v>
      </c>
      <c r="G17">
        <f>_xll.ciqfunctions.udf.CIQ("NasdaqGM:AIQ", "IQ_CLOSEPRICE", "2025-07-24", "USD")</f>
        <v>44.59</v>
      </c>
      <c r="H17">
        <f>_xll.ciqfunctions.udf.CIQ("ARCA:ARTY", "IQ_CLOSEPRICE", "2025-07-24", "USD")</f>
        <v>42.62</v>
      </c>
      <c r="I17">
        <f>_xll.ciqfunctions.udf.CIQ("NasdaqGM:ROBT", "IQ_CLOSEPRICE", "2025-07-24", "USD")</f>
        <v>50.84</v>
      </c>
      <c r="J17">
        <f>_xll.ciqfunctions.udf.CIQ("ARCA:IGPT", "IQ_CLOSEPRICE", "2025-07-24", "USD")</f>
        <v>50.45</v>
      </c>
      <c r="K17">
        <f>_xll.ciqfunctions.udf.CIQ("BATS:WTAI", "IQ_CLOSEPRICE", "2025-07-24", "USD")</f>
        <v>25.36</v>
      </c>
      <c r="L17">
        <f>_xll.ciqfunctions.udf.CIQ("ARCA:THNQ", "IQ_CLOSEPRICE", "2025-07-24", "USD")</f>
        <v>55.8598</v>
      </c>
      <c r="M17">
        <f>_xll.ciqfunctions.udf.CIQ("NasdaqGM:FDTX", "IQ_CLOSEPRICE", "2025-07-24", "USD")</f>
        <v>39.754800000000003</v>
      </c>
      <c r="N17">
        <f>_xll.ciqfunctions.udf.CIQ("ARCA:CHAT", "IQ_CLOSEPRICE", "2025-07-24", "USD")</f>
        <v>50.91</v>
      </c>
      <c r="O17">
        <f>_xll.ciqfunctions.udf.CIQ("ARCA:LOUP", "IQ_CLOSEPRICE", "2025-07-24", "USD")</f>
        <v>63.442</v>
      </c>
      <c r="P17">
        <f>_xll.ciqfunctions.udf.CIQ("ARCA:LRNZ", "IQ_CLOSEPRICE", "2025-07-24", "USD")</f>
        <v>44.902099999999997</v>
      </c>
      <c r="Q17">
        <f>_xll.ciqfunctions.udf.CIQ("ARCA:AIS", "IQ_CLOSEPRICE", "2025-07-24", "USD")</f>
        <v>29.0581</v>
      </c>
      <c r="R17">
        <f>_xll.ciqfunctions.udf.CIQ("NasdaqGM:WISE", "IQ_CLOSEPRICE", "2025-07-24", "USD")</f>
        <v>38.703800000000001</v>
      </c>
      <c r="S17">
        <f>_xll.ciqfunctions.udf.CIQ("LSE:RBOT", "IQ_CLOSEPRICE", "2025-07-24", "USD")</f>
        <v>15.54</v>
      </c>
      <c r="T17">
        <f>_xll.ciqfunctions.udf.CIQ("XTRA:XAIX", "IQ_CLOSEPRICE", "2025-07-24", "USD")</f>
        <v>163.58286000000001</v>
      </c>
      <c r="U17">
        <f>_xll.ciqfunctions.udf.CIQ("BIT:WTAI", "IQ_CLOSEPRICE", "2025-07-24", "USD")</f>
        <v>75.647360000000006</v>
      </c>
      <c r="V17">
        <f>_xll.ciqfunctions.udf.CIQ("LSE:AIAG", "IQ_CLOSEPRICE", "2025-07-24", "USD")</f>
        <v>24.62032</v>
      </c>
      <c r="W17">
        <f>_xll.ciqfunctions.udf.CIQ("ASX:RBTZ", "IQ_CLOSEPRICE", "2025-07-24", "USD")</f>
        <v>9.8434299999999997</v>
      </c>
      <c r="X17">
        <f>_xll.ciqfunctions.udf.CIQ("DB:XB0T", "IQ_CLOSEPRICE", "2025-07-24", "USD")</f>
        <v>22.843689999999999</v>
      </c>
    </row>
    <row r="18" spans="1:24" x14ac:dyDescent="0.25">
      <c r="A18" t="s">
        <v>40</v>
      </c>
      <c r="B18">
        <f>_xll.ciqfunctions.udf.CIQ("NasdaqGM:QQQ", "IQ_CLOSEPRICE", "2025-07-23", "USD")</f>
        <v>563.80999999999995</v>
      </c>
      <c r="C18">
        <f>_xll.ciqfunctions.udf.CIQ("NasdaqGM:AGIX", "IQ_CLOSEPRICE", "2025-07-23", "USD")</f>
        <v>32.263800000000003</v>
      </c>
      <c r="D18">
        <f>_xll.ciqfunctions.udf.CIQ("NasdaqGM:SMH", "IQ_CLOSEPRICE", "2025-07-23", "USD")</f>
        <v>286.61</v>
      </c>
      <c r="E18">
        <f>_xll.ciqfunctions.udf.CIQ("BATS:IGV", "IQ_CLOSEPRICE", "2025-07-23", "USD")</f>
        <v>111.81</v>
      </c>
      <c r="F18">
        <f>_xll.ciqfunctions.udf.CIQ("NasdaqGM:BOTZ", "IQ_CLOSEPRICE", "2025-07-23", "USD")</f>
        <v>34.53</v>
      </c>
      <c r="G18">
        <f>_xll.ciqfunctions.udf.CIQ("NasdaqGM:AIQ", "IQ_CLOSEPRICE", "2025-07-23", "USD")</f>
        <v>44.77</v>
      </c>
      <c r="H18">
        <f>_xll.ciqfunctions.udf.CIQ("ARCA:ARTY", "IQ_CLOSEPRICE", "2025-07-23", "USD")</f>
        <v>42.65</v>
      </c>
      <c r="I18">
        <f>_xll.ciqfunctions.udf.CIQ("NasdaqGM:ROBT", "IQ_CLOSEPRICE", "2025-07-23", "USD")</f>
        <v>51.38</v>
      </c>
      <c r="J18">
        <f>_xll.ciqfunctions.udf.CIQ("ARCA:IGPT", "IQ_CLOSEPRICE", "2025-07-23", "USD")</f>
        <v>50.44</v>
      </c>
      <c r="K18">
        <f>_xll.ciqfunctions.udf.CIQ("BATS:WTAI", "IQ_CLOSEPRICE", "2025-07-23", "USD")</f>
        <v>25.31</v>
      </c>
      <c r="L18">
        <f>_xll.ciqfunctions.udf.CIQ("ARCA:THNQ", "IQ_CLOSEPRICE", "2025-07-23", "USD")</f>
        <v>55.87</v>
      </c>
      <c r="M18">
        <f>_xll.ciqfunctions.udf.CIQ("NasdaqGM:FDTX", "IQ_CLOSEPRICE", "2025-07-23", "USD")</f>
        <v>39.577199999999998</v>
      </c>
      <c r="N18">
        <f>_xll.ciqfunctions.udf.CIQ("ARCA:CHAT", "IQ_CLOSEPRICE", "2025-07-23", "USD")</f>
        <v>50.59</v>
      </c>
      <c r="O18">
        <f>_xll.ciqfunctions.udf.CIQ("ARCA:LOUP", "IQ_CLOSEPRICE", "2025-07-23", "USD")</f>
        <v>63.353499999999997</v>
      </c>
      <c r="P18">
        <f>_xll.ciqfunctions.udf.CIQ("ARCA:LRNZ", "IQ_CLOSEPRICE", "2025-07-23", "USD")</f>
        <v>44.4084</v>
      </c>
      <c r="Q18">
        <f>_xll.ciqfunctions.udf.CIQ("ARCA:AIS", "IQ_CLOSEPRICE", "2025-07-23", "USD")</f>
        <v>29.055700000000002</v>
      </c>
      <c r="R18">
        <f>_xll.ciqfunctions.udf.CIQ("NasdaqGM:WISE", "IQ_CLOSEPRICE", "2025-07-23", "USD")</f>
        <v>39.119999999999997</v>
      </c>
      <c r="S18">
        <f>_xll.ciqfunctions.udf.CIQ("LSE:RBOT", "IQ_CLOSEPRICE", "2025-07-23", "USD")</f>
        <v>15.525</v>
      </c>
      <c r="T18">
        <f>_xll.ciqfunctions.udf.CIQ("XTRA:XAIX", "IQ_CLOSEPRICE", "2025-07-23", "USD")</f>
        <v>163.02816999999999</v>
      </c>
      <c r="U18">
        <f>_xll.ciqfunctions.udf.CIQ("BIT:WTAI", "IQ_CLOSEPRICE", "2025-07-23", "USD")</f>
        <v>75.892020000000002</v>
      </c>
      <c r="V18">
        <f>_xll.ciqfunctions.udf.CIQ("LSE:AIAG", "IQ_CLOSEPRICE", "2025-07-23", "USD")</f>
        <v>24.51502</v>
      </c>
      <c r="W18">
        <f>_xll.ciqfunctions.udf.CIQ("ASX:RBTZ", "IQ_CLOSEPRICE", "2025-07-23", "USD")</f>
        <v>9.5692799999999991</v>
      </c>
      <c r="X18">
        <f>_xll.ciqfunctions.udf.CIQ("DB:XB0T", "IQ_CLOSEPRICE", "2025-07-23", "USD")</f>
        <v>22.16432</v>
      </c>
    </row>
    <row r="19" spans="1:24" x14ac:dyDescent="0.25">
      <c r="A19" t="s">
        <v>41</v>
      </c>
      <c r="B19">
        <f>_xll.ciqfunctions.udf.CIQ("NasdaqGM:QQQ", "IQ_CLOSEPRICE", "2025-07-22", "USD")</f>
        <v>561.25</v>
      </c>
      <c r="C19">
        <f>_xll.ciqfunctions.udf.CIQ("NasdaqGM:AGIX", "IQ_CLOSEPRICE", "2025-07-22", "USD")</f>
        <v>31.974900000000002</v>
      </c>
      <c r="D19">
        <f>_xll.ciqfunctions.udf.CIQ("NasdaqGM:SMH", "IQ_CLOSEPRICE", "2025-07-22", "USD")</f>
        <v>285.37</v>
      </c>
      <c r="E19">
        <f>_xll.ciqfunctions.udf.CIQ("BATS:IGV", "IQ_CLOSEPRICE", "2025-07-22", "USD")</f>
        <v>110.9</v>
      </c>
      <c r="F19">
        <f>_xll.ciqfunctions.udf.CIQ("NasdaqGM:BOTZ", "IQ_CLOSEPRICE", "2025-07-22", "USD")</f>
        <v>32.880000000000003</v>
      </c>
      <c r="G19">
        <f>_xll.ciqfunctions.udf.CIQ("NasdaqGM:AIQ", "IQ_CLOSEPRICE", "2025-07-22", "USD")</f>
        <v>44.18</v>
      </c>
      <c r="H19">
        <f>_xll.ciqfunctions.udf.CIQ("ARCA:ARTY", "IQ_CLOSEPRICE", "2025-07-22", "USD")</f>
        <v>41.95</v>
      </c>
      <c r="I19">
        <f>_xll.ciqfunctions.udf.CIQ("NasdaqGM:ROBT", "IQ_CLOSEPRICE", "2025-07-22", "USD")</f>
        <v>49.84</v>
      </c>
      <c r="J19">
        <f>_xll.ciqfunctions.udf.CIQ("ARCA:IGPT", "IQ_CLOSEPRICE", "2025-07-22", "USD")</f>
        <v>49.94</v>
      </c>
      <c r="K19">
        <f>_xll.ciqfunctions.udf.CIQ("BATS:WTAI", "IQ_CLOSEPRICE", "2025-07-22", "USD")</f>
        <v>24.875</v>
      </c>
      <c r="L19">
        <f>_xll.ciqfunctions.udf.CIQ("ARCA:THNQ", "IQ_CLOSEPRICE", "2025-07-22", "USD")</f>
        <v>55.38</v>
      </c>
      <c r="M19">
        <f>_xll.ciqfunctions.udf.CIQ("NasdaqGM:FDTX", "IQ_CLOSEPRICE", "2025-07-22", "USD")</f>
        <v>39.369599999999998</v>
      </c>
      <c r="N19">
        <f>_xll.ciqfunctions.udf.CIQ("ARCA:CHAT", "IQ_CLOSEPRICE", "2025-07-22", "USD")</f>
        <v>49.8</v>
      </c>
      <c r="O19">
        <f>_xll.ciqfunctions.udf.CIQ("ARCA:LOUP", "IQ_CLOSEPRICE", "2025-07-22", "USD")</f>
        <v>62.801699999999997</v>
      </c>
      <c r="P19">
        <f>_xll.ciqfunctions.udf.CIQ("ARCA:LRNZ", "IQ_CLOSEPRICE", "2025-07-22", "USD")</f>
        <v>44.241399999999999</v>
      </c>
      <c r="Q19">
        <f>_xll.ciqfunctions.udf.CIQ("ARCA:AIS", "IQ_CLOSEPRICE", "2025-07-22", "USD")</f>
        <v>28.26</v>
      </c>
      <c r="R19">
        <f>_xll.ciqfunctions.udf.CIQ("NasdaqGM:WISE", "IQ_CLOSEPRICE", "2025-07-22", "USD")</f>
        <v>38.256599999999999</v>
      </c>
      <c r="S19">
        <f>_xll.ciqfunctions.udf.CIQ("LSE:RBOT", "IQ_CLOSEPRICE", "2025-07-22", "USD")</f>
        <v>15.355</v>
      </c>
      <c r="T19">
        <f>_xll.ciqfunctions.udf.CIQ("XTRA:XAIX", "IQ_CLOSEPRICE", "2025-07-22", "USD")</f>
        <v>162.51174</v>
      </c>
      <c r="U19">
        <f>_xll.ciqfunctions.udf.CIQ("BIT:WTAI", "IQ_CLOSEPRICE", "2025-07-22", "USD")</f>
        <v>75.117369999999994</v>
      </c>
      <c r="V19">
        <f>_xll.ciqfunctions.udf.CIQ("LSE:AIAG", "IQ_CLOSEPRICE", "2025-07-22", "USD")</f>
        <v>24.43676</v>
      </c>
      <c r="W19">
        <f>_xll.ciqfunctions.udf.CIQ("ASX:RBTZ", "IQ_CLOSEPRICE", "2025-07-22", "USD")</f>
        <v>9.3670200000000001</v>
      </c>
      <c r="X19">
        <f>_xll.ciqfunctions.udf.CIQ("DB:XB0T", "IQ_CLOSEPRICE", "2025-07-22", "USD")</f>
        <v>21.711269999999999</v>
      </c>
    </row>
    <row r="20" spans="1:24" x14ac:dyDescent="0.25">
      <c r="A20" t="s">
        <v>42</v>
      </c>
      <c r="B20">
        <f>_xll.ciqfunctions.udf.CIQ("NasdaqGM:QQQ", "IQ_CLOSEPRICE", "2025-07-21", "USD")</f>
        <v>564.16999999999996</v>
      </c>
      <c r="C20">
        <f>_xll.ciqfunctions.udf.CIQ("NasdaqGM:AGIX", "IQ_CLOSEPRICE", "2025-07-21", "USD")</f>
        <v>32.26</v>
      </c>
      <c r="D20">
        <f>_xll.ciqfunctions.udf.CIQ("NasdaqGM:SMH", "IQ_CLOSEPRICE", "2025-07-21", "USD")</f>
        <v>290.51</v>
      </c>
      <c r="E20">
        <f>_xll.ciqfunctions.udf.CIQ("BATS:IGV", "IQ_CLOSEPRICE", "2025-07-21", "USD")</f>
        <v>111.21</v>
      </c>
      <c r="F20">
        <f>_xll.ciqfunctions.udf.CIQ("NasdaqGM:BOTZ", "IQ_CLOSEPRICE", "2025-07-21", "USD")</f>
        <v>33.01</v>
      </c>
      <c r="G20">
        <f>_xll.ciqfunctions.udf.CIQ("NasdaqGM:AIQ", "IQ_CLOSEPRICE", "2025-07-21", "USD")</f>
        <v>44.53</v>
      </c>
      <c r="H20">
        <f>_xll.ciqfunctions.udf.CIQ("ARCA:ARTY", "IQ_CLOSEPRICE", "2025-07-21", "USD")</f>
        <v>42.28</v>
      </c>
      <c r="I20">
        <f>_xll.ciqfunctions.udf.CIQ("NasdaqGM:ROBT", "IQ_CLOSEPRICE", "2025-07-21", "USD")</f>
        <v>49.6218</v>
      </c>
      <c r="J20">
        <f>_xll.ciqfunctions.udf.CIQ("ARCA:IGPT", "IQ_CLOSEPRICE", "2025-07-21", "USD")</f>
        <v>50.17</v>
      </c>
      <c r="K20">
        <f>_xll.ciqfunctions.udf.CIQ("BATS:WTAI", "IQ_CLOSEPRICE", "2025-07-21", "USD")</f>
        <v>25.21</v>
      </c>
      <c r="L20">
        <f>_xll.ciqfunctions.udf.CIQ("ARCA:THNQ", "IQ_CLOSEPRICE", "2025-07-21", "USD")</f>
        <v>55.89</v>
      </c>
      <c r="M20">
        <f>_xll.ciqfunctions.udf.CIQ("NasdaqGM:FDTX", "IQ_CLOSEPRICE", "2025-07-21", "USD")</f>
        <v>39.676499999999997</v>
      </c>
      <c r="N20">
        <f>_xll.ciqfunctions.udf.CIQ("ARCA:CHAT", "IQ_CLOSEPRICE", "2025-07-21", "USD")</f>
        <v>50.46</v>
      </c>
      <c r="O20">
        <f>_xll.ciqfunctions.udf.CIQ("ARCA:LOUP", "IQ_CLOSEPRICE", "2025-07-21", "USD")</f>
        <v>63.622799999999998</v>
      </c>
      <c r="P20">
        <f>_xll.ciqfunctions.udf.CIQ("ARCA:LRNZ", "IQ_CLOSEPRICE", "2025-07-21", "USD")</f>
        <v>44.839100000000002</v>
      </c>
      <c r="Q20">
        <f>_xll.ciqfunctions.udf.CIQ("ARCA:AIS", "IQ_CLOSEPRICE", "2025-07-21", "USD")</f>
        <v>28.88</v>
      </c>
      <c r="R20">
        <f>_xll.ciqfunctions.udf.CIQ("NasdaqGM:WISE", "IQ_CLOSEPRICE", "2025-07-21", "USD")</f>
        <v>38.524999999999999</v>
      </c>
      <c r="S20">
        <f>_xll.ciqfunctions.udf.CIQ("LSE:RBOT", "IQ_CLOSEPRICE", "2025-07-21", "USD")</f>
        <v>15.455</v>
      </c>
      <c r="T20">
        <f>_xll.ciqfunctions.udf.CIQ("XTRA:XAIX", "IQ_CLOSEPRICE", "2025-07-21", "USD")</f>
        <v>164.17106000000001</v>
      </c>
      <c r="U20">
        <f>_xll.ciqfunctions.udf.CIQ("BIT:WTAI", "IQ_CLOSEPRICE", "2025-07-21", "USD")</f>
        <v>76.262450000000001</v>
      </c>
      <c r="V20">
        <f>_xll.ciqfunctions.udf.CIQ("LSE:AIAG", "IQ_CLOSEPRICE", "2025-07-21", "USD")</f>
        <v>24.729209999999998</v>
      </c>
      <c r="W20">
        <f>_xll.ciqfunctions.udf.CIQ("ASX:RBTZ", "IQ_CLOSEPRICE", "2025-07-21", "USD")</f>
        <v>9.4830400000000008</v>
      </c>
      <c r="X20">
        <f>_xll.ciqfunctions.udf.CIQ("DB:XB0T", "IQ_CLOSEPRICE", "2025-07-21", "USD")</f>
        <v>22.087869999999999</v>
      </c>
    </row>
    <row r="21" spans="1:24" x14ac:dyDescent="0.25">
      <c r="A21" t="s">
        <v>43</v>
      </c>
      <c r="B21">
        <f>_xll.ciqfunctions.udf.CIQ("NasdaqGM:QQQ", "IQ_CLOSEPRICE", "2025-07-18", "USD")</f>
        <v>561.26</v>
      </c>
      <c r="C21">
        <f>_xll.ciqfunctions.udf.CIQ("NasdaqGM:AGIX", "IQ_CLOSEPRICE", "2025-07-18", "USD")</f>
        <v>32.119500000000002</v>
      </c>
      <c r="D21">
        <f>_xll.ciqfunctions.udf.CIQ("NasdaqGM:SMH", "IQ_CLOSEPRICE", "2025-07-18", "USD")</f>
        <v>290.31</v>
      </c>
      <c r="E21">
        <f>_xll.ciqfunctions.udf.CIQ("BATS:IGV", "IQ_CLOSEPRICE", "2025-07-18", "USD")</f>
        <v>111.06</v>
      </c>
      <c r="F21">
        <f>_xll.ciqfunctions.udf.CIQ("NasdaqGM:BOTZ", "IQ_CLOSEPRICE", "2025-07-18", "USD")</f>
        <v>33.159999999999997</v>
      </c>
      <c r="G21">
        <f>_xll.ciqfunctions.udf.CIQ("NasdaqGM:AIQ", "IQ_CLOSEPRICE", "2025-07-18", "USD")</f>
        <v>44.36</v>
      </c>
      <c r="H21">
        <f>_xll.ciqfunctions.udf.CIQ("ARCA:ARTY", "IQ_CLOSEPRICE", "2025-07-18", "USD")</f>
        <v>42.25</v>
      </c>
      <c r="I21">
        <f>_xll.ciqfunctions.udf.CIQ("NasdaqGM:ROBT", "IQ_CLOSEPRICE", "2025-07-18", "USD")</f>
        <v>49.445399999999999</v>
      </c>
      <c r="J21">
        <f>_xll.ciqfunctions.udf.CIQ("ARCA:IGPT", "IQ_CLOSEPRICE", "2025-07-18", "USD")</f>
        <v>49.88</v>
      </c>
      <c r="K21">
        <f>_xll.ciqfunctions.udf.CIQ("BATS:WTAI", "IQ_CLOSEPRICE", "2025-07-18", "USD")</f>
        <v>25.06</v>
      </c>
      <c r="L21">
        <f>_xll.ciqfunctions.udf.CIQ("ARCA:THNQ", "IQ_CLOSEPRICE", "2025-07-18", "USD")</f>
        <v>55.51</v>
      </c>
      <c r="M21">
        <f>_xll.ciqfunctions.udf.CIQ("NasdaqGM:FDTX", "IQ_CLOSEPRICE", "2025-07-18", "USD")</f>
        <v>39.575000000000003</v>
      </c>
      <c r="N21">
        <f>_xll.ciqfunctions.udf.CIQ("ARCA:CHAT", "IQ_CLOSEPRICE", "2025-07-18", "USD")</f>
        <v>49.91</v>
      </c>
      <c r="O21">
        <f>_xll.ciqfunctions.udf.CIQ("ARCA:LOUP", "IQ_CLOSEPRICE", "2025-07-18", "USD")</f>
        <v>62.863999999999997</v>
      </c>
      <c r="P21">
        <f>_xll.ciqfunctions.udf.CIQ("ARCA:LRNZ", "IQ_CLOSEPRICE", "2025-07-18", "USD")</f>
        <v>44.539400000000001</v>
      </c>
      <c r="Q21">
        <f>_xll.ciqfunctions.udf.CIQ("ARCA:AIS", "IQ_CLOSEPRICE", "2025-07-18", "USD")</f>
        <v>28.594999999999999</v>
      </c>
      <c r="R21">
        <f>_xll.ciqfunctions.udf.CIQ("NasdaqGM:WISE", "IQ_CLOSEPRICE", "2025-07-18", "USD")</f>
        <v>38.514899999999997</v>
      </c>
      <c r="S21">
        <f>_xll.ciqfunctions.udf.CIQ("LSE:RBOT", "IQ_CLOSEPRICE", "2025-07-18", "USD")</f>
        <v>15.395</v>
      </c>
      <c r="T21">
        <f>_xll.ciqfunctions.udf.CIQ("XTRA:XAIX", "IQ_CLOSEPRICE", "2025-07-18", "USD")</f>
        <v>162.84381999999999</v>
      </c>
      <c r="U21">
        <f>_xll.ciqfunctions.udf.CIQ("BIT:WTAI", "IQ_CLOSEPRICE", "2025-07-18", "USD")</f>
        <v>74.930070000000001</v>
      </c>
      <c r="V21">
        <f>_xll.ciqfunctions.udf.CIQ("LSE:AIAG", "IQ_CLOSEPRICE", "2025-07-18", "USD")</f>
        <v>24.39264</v>
      </c>
      <c r="W21">
        <f>_xll.ciqfunctions.udf.CIQ("ASX:RBTZ", "IQ_CLOSEPRICE", "2025-07-18", "USD")</f>
        <v>9.3323800000000006</v>
      </c>
      <c r="X21">
        <f>_xll.ciqfunctions.udf.CIQ("DB:XB0T", "IQ_CLOSEPRICE", "2025-07-18", "USD")</f>
        <v>21.916080000000001</v>
      </c>
    </row>
    <row r="22" spans="1:24" x14ac:dyDescent="0.25">
      <c r="A22" t="s">
        <v>44</v>
      </c>
      <c r="B22">
        <f>_xll.ciqfunctions.udf.CIQ("NasdaqGM:QQQ", "IQ_CLOSEPRICE", "2025-07-17", "USD")</f>
        <v>561.79999999999995</v>
      </c>
      <c r="C22">
        <f>_xll.ciqfunctions.udf.CIQ("NasdaqGM:AGIX", "IQ_CLOSEPRICE", "2025-07-17", "USD")</f>
        <v>31.954999999999998</v>
      </c>
      <c r="D22">
        <f>_xll.ciqfunctions.udf.CIQ("NasdaqGM:SMH", "IQ_CLOSEPRICE", "2025-07-17", "USD")</f>
        <v>291.70999999999998</v>
      </c>
      <c r="E22">
        <f>_xll.ciqfunctions.udf.CIQ("BATS:IGV", "IQ_CLOSEPRICE", "2025-07-17", "USD")</f>
        <v>111.31</v>
      </c>
      <c r="F22">
        <f>_xll.ciqfunctions.udf.CIQ("NasdaqGM:BOTZ", "IQ_CLOSEPRICE", "2025-07-17", "USD")</f>
        <v>33.22</v>
      </c>
      <c r="G22">
        <f>_xll.ciqfunctions.udf.CIQ("NasdaqGM:AIQ", "IQ_CLOSEPRICE", "2025-07-17", "USD")</f>
        <v>44.43</v>
      </c>
      <c r="H22">
        <f>_xll.ciqfunctions.udf.CIQ("ARCA:ARTY", "IQ_CLOSEPRICE", "2025-07-17", "USD")</f>
        <v>42.3</v>
      </c>
      <c r="I22">
        <f>_xll.ciqfunctions.udf.CIQ("NasdaqGM:ROBT", "IQ_CLOSEPRICE", "2025-07-17", "USD")</f>
        <v>49.3508</v>
      </c>
      <c r="J22">
        <f>_xll.ciqfunctions.udf.CIQ("ARCA:IGPT", "IQ_CLOSEPRICE", "2025-07-17", "USD")</f>
        <v>49.91</v>
      </c>
      <c r="K22">
        <f>_xll.ciqfunctions.udf.CIQ("BATS:WTAI", "IQ_CLOSEPRICE", "2025-07-17", "USD")</f>
        <v>24.99</v>
      </c>
      <c r="L22">
        <f>_xll.ciqfunctions.udf.CIQ("ARCA:THNQ", "IQ_CLOSEPRICE", "2025-07-17", "USD")</f>
        <v>55.15</v>
      </c>
      <c r="M22">
        <f>_xll.ciqfunctions.udf.CIQ("NasdaqGM:FDTX", "IQ_CLOSEPRICE", "2025-07-17", "USD")</f>
        <v>39.604500000000002</v>
      </c>
      <c r="N22">
        <f>_xll.ciqfunctions.udf.CIQ("ARCA:CHAT", "IQ_CLOSEPRICE", "2025-07-17", "USD")</f>
        <v>49.85</v>
      </c>
      <c r="O22">
        <f>_xll.ciqfunctions.udf.CIQ("ARCA:LOUP", "IQ_CLOSEPRICE", "2025-07-17", "USD")</f>
        <v>62.7117</v>
      </c>
      <c r="P22">
        <f>_xll.ciqfunctions.udf.CIQ("ARCA:LRNZ", "IQ_CLOSEPRICE", "2025-07-17", "USD")</f>
        <v>44.1</v>
      </c>
      <c r="Q22">
        <f>_xll.ciqfunctions.udf.CIQ("ARCA:AIS", "IQ_CLOSEPRICE", "2025-07-17", "USD")</f>
        <v>28.53</v>
      </c>
      <c r="R22">
        <f>_xll.ciqfunctions.udf.CIQ("NasdaqGM:WISE", "IQ_CLOSEPRICE", "2025-07-17", "USD")</f>
        <v>38.5244</v>
      </c>
      <c r="S22">
        <f>_xll.ciqfunctions.udf.CIQ("LSE:RBOT", "IQ_CLOSEPRICE", "2025-07-17", "USD")</f>
        <v>15.42</v>
      </c>
      <c r="T22">
        <f>_xll.ciqfunctions.udf.CIQ("XTRA:XAIX", "IQ_CLOSEPRICE", "2025-07-17", "USD")</f>
        <v>162.52172999999999</v>
      </c>
      <c r="U22">
        <f>_xll.ciqfunctions.udf.CIQ("BIT:WTAI", "IQ_CLOSEPRICE", "2025-07-17", "USD")</f>
        <v>74.701589999999996</v>
      </c>
      <c r="V22">
        <f>_xll.ciqfunctions.udf.CIQ("LSE:AIAG", "IQ_CLOSEPRICE", "2025-07-17", "USD")</f>
        <v>24.315329999999999</v>
      </c>
      <c r="W22">
        <f>_xll.ciqfunctions.udf.CIQ("ASX:RBTZ", "IQ_CLOSEPRICE", "2025-07-17", "USD")</f>
        <v>9.2382500000000007</v>
      </c>
      <c r="X22">
        <f>_xll.ciqfunctions.udf.CIQ("DB:XB0T", "IQ_CLOSEPRICE", "2025-07-17", "USD")</f>
        <v>21.576080000000001</v>
      </c>
    </row>
    <row r="23" spans="1:24" x14ac:dyDescent="0.25">
      <c r="A23" t="s">
        <v>45</v>
      </c>
      <c r="B23">
        <f>_xll.ciqfunctions.udf.CIQ("NasdaqGM:QQQ", "IQ_CLOSEPRICE", "2025-07-16", "USD")</f>
        <v>557.29</v>
      </c>
      <c r="C23">
        <f>_xll.ciqfunctions.udf.CIQ("NasdaqGM:AGIX", "IQ_CLOSEPRICE", "2025-07-16", "USD")</f>
        <v>31.7712</v>
      </c>
      <c r="D23">
        <f>_xll.ciqfunctions.udf.CIQ("NasdaqGM:SMH", "IQ_CLOSEPRICE", "2025-07-16", "USD")</f>
        <v>289.27999999999997</v>
      </c>
      <c r="E23">
        <f>_xll.ciqfunctions.udf.CIQ("BATS:IGV", "IQ_CLOSEPRICE", "2025-07-16", "USD")</f>
        <v>109.81</v>
      </c>
      <c r="F23">
        <f>_xll.ciqfunctions.udf.CIQ("NasdaqGM:BOTZ", "IQ_CLOSEPRICE", "2025-07-16", "USD")</f>
        <v>32.56</v>
      </c>
      <c r="G23">
        <f>_xll.ciqfunctions.udf.CIQ("NasdaqGM:AIQ", "IQ_CLOSEPRICE", "2025-07-16", "USD")</f>
        <v>43.98</v>
      </c>
      <c r="H23">
        <f>_xll.ciqfunctions.udf.CIQ("ARCA:ARTY", "IQ_CLOSEPRICE", "2025-07-16", "USD")</f>
        <v>41.83</v>
      </c>
      <c r="I23">
        <f>_xll.ciqfunctions.udf.CIQ("NasdaqGM:ROBT", "IQ_CLOSEPRICE", "2025-07-16", "USD")</f>
        <v>48.5</v>
      </c>
      <c r="J23">
        <f>_xll.ciqfunctions.udf.CIQ("ARCA:IGPT", "IQ_CLOSEPRICE", "2025-07-16", "USD")</f>
        <v>49.75</v>
      </c>
      <c r="K23">
        <f>_xll.ciqfunctions.udf.CIQ("BATS:WTAI", "IQ_CLOSEPRICE", "2025-07-16", "USD")</f>
        <v>24.75</v>
      </c>
      <c r="L23">
        <f>_xll.ciqfunctions.udf.CIQ("ARCA:THNQ", "IQ_CLOSEPRICE", "2025-07-16", "USD")</f>
        <v>54.61</v>
      </c>
      <c r="M23">
        <f>_xll.ciqfunctions.udf.CIQ("NasdaqGM:FDTX", "IQ_CLOSEPRICE", "2025-07-16", "USD")</f>
        <v>39.045000000000002</v>
      </c>
      <c r="N23">
        <f>_xll.ciqfunctions.udf.CIQ("ARCA:CHAT", "IQ_CLOSEPRICE", "2025-07-16", "USD")</f>
        <v>49.5</v>
      </c>
      <c r="O23">
        <f>_xll.ciqfunctions.udf.CIQ("ARCA:LOUP", "IQ_CLOSEPRICE", "2025-07-16", "USD")</f>
        <v>62.089599999999997</v>
      </c>
      <c r="P23">
        <f>_xll.ciqfunctions.udf.CIQ("ARCA:LRNZ", "IQ_CLOSEPRICE", "2025-07-16", "USD")</f>
        <v>43.942999999999998</v>
      </c>
      <c r="Q23">
        <f>_xll.ciqfunctions.udf.CIQ("ARCA:AIS", "IQ_CLOSEPRICE", "2025-07-16", "USD")</f>
        <v>28.15</v>
      </c>
      <c r="R23">
        <f>_xll.ciqfunctions.udf.CIQ("NasdaqGM:WISE", "IQ_CLOSEPRICE", "2025-07-16", "USD")</f>
        <v>37.558700000000002</v>
      </c>
      <c r="S23">
        <f>_xll.ciqfunctions.udf.CIQ("LSE:RBOT", "IQ_CLOSEPRICE", "2025-07-16", "USD")</f>
        <v>15.13</v>
      </c>
      <c r="T23">
        <f>_xll.ciqfunctions.udf.CIQ("XTRA:XAIX", "IQ_CLOSEPRICE", "2025-07-16", "USD")</f>
        <v>159.35092</v>
      </c>
      <c r="U23">
        <f>_xll.ciqfunctions.udf.CIQ("BIT:WTAI", "IQ_CLOSEPRICE", "2025-07-16", "USD")</f>
        <v>72.741069999999993</v>
      </c>
      <c r="V23">
        <f>_xll.ciqfunctions.udf.CIQ("LSE:AIAG", "IQ_CLOSEPRICE", "2025-07-16", "USD")</f>
        <v>23.802990000000001</v>
      </c>
      <c r="W23">
        <f>_xll.ciqfunctions.udf.CIQ("ASX:RBTZ", "IQ_CLOSEPRICE", "2025-07-16", "USD")</f>
        <v>9.1016200000000005</v>
      </c>
      <c r="X23">
        <f>_xll.ciqfunctions.udf.CIQ("DB:XB0T", "IQ_CLOSEPRICE", "2025-07-16", "USD")</f>
        <v>21.335509999999999</v>
      </c>
    </row>
    <row r="24" spans="1:24" x14ac:dyDescent="0.25">
      <c r="A24" t="s">
        <v>46</v>
      </c>
      <c r="B24">
        <f>_xll.ciqfunctions.udf.CIQ("NasdaqGM:QQQ", "IQ_CLOSEPRICE", "2025-07-15", "USD")</f>
        <v>556.72</v>
      </c>
      <c r="C24">
        <f>_xll.ciqfunctions.udf.CIQ("NasdaqGM:AGIX", "IQ_CLOSEPRICE", "2025-07-15", "USD")</f>
        <v>31.79</v>
      </c>
      <c r="D24">
        <f>_xll.ciqfunctions.udf.CIQ("NasdaqGM:SMH", "IQ_CLOSEPRICE", "2025-07-15", "USD")</f>
        <v>290.8</v>
      </c>
      <c r="E24">
        <f>_xll.ciqfunctions.udf.CIQ("BATS:IGV", "IQ_CLOSEPRICE", "2025-07-15", "USD")</f>
        <v>108.99</v>
      </c>
      <c r="F24">
        <f>_xll.ciqfunctions.udf.CIQ("NasdaqGM:BOTZ", "IQ_CLOSEPRICE", "2025-07-15", "USD")</f>
        <v>32.33</v>
      </c>
      <c r="G24">
        <f>_xll.ciqfunctions.udf.CIQ("NasdaqGM:AIQ", "IQ_CLOSEPRICE", "2025-07-15", "USD")</f>
        <v>43.79</v>
      </c>
      <c r="H24">
        <f>_xll.ciqfunctions.udf.CIQ("ARCA:ARTY", "IQ_CLOSEPRICE", "2025-07-15", "USD")</f>
        <v>41.73</v>
      </c>
      <c r="I24">
        <f>_xll.ciqfunctions.udf.CIQ("NasdaqGM:ROBT", "IQ_CLOSEPRICE", "2025-07-15", "USD")</f>
        <v>48.14</v>
      </c>
      <c r="J24">
        <f>_xll.ciqfunctions.udf.CIQ("ARCA:IGPT", "IQ_CLOSEPRICE", "2025-07-15", "USD")</f>
        <v>49.6</v>
      </c>
      <c r="K24">
        <f>_xll.ciqfunctions.udf.CIQ("BATS:WTAI", "IQ_CLOSEPRICE", "2025-07-15", "USD")</f>
        <v>24.58</v>
      </c>
      <c r="L24">
        <f>_xll.ciqfunctions.udf.CIQ("ARCA:THNQ", "IQ_CLOSEPRICE", "2025-07-15", "USD")</f>
        <v>54.4</v>
      </c>
      <c r="M24">
        <f>_xll.ciqfunctions.udf.CIQ("NasdaqGM:FDTX", "IQ_CLOSEPRICE", "2025-07-15", "USD")</f>
        <v>38.9559</v>
      </c>
      <c r="N24">
        <f>_xll.ciqfunctions.udf.CIQ("ARCA:CHAT", "IQ_CLOSEPRICE", "2025-07-15", "USD")</f>
        <v>49.4</v>
      </c>
      <c r="O24">
        <f>_xll.ciqfunctions.udf.CIQ("ARCA:LOUP", "IQ_CLOSEPRICE", "2025-07-15", "USD")</f>
        <v>61.849699999999999</v>
      </c>
      <c r="P24">
        <f>_xll.ciqfunctions.udf.CIQ("ARCA:LRNZ", "IQ_CLOSEPRICE", "2025-07-15", "USD")</f>
        <v>43.695799999999998</v>
      </c>
      <c r="Q24">
        <f>_xll.ciqfunctions.udf.CIQ("ARCA:AIS", "IQ_CLOSEPRICE", "2025-07-15", "USD")</f>
        <v>28.2593</v>
      </c>
      <c r="R24">
        <f>_xll.ciqfunctions.udf.CIQ("NasdaqGM:WISE", "IQ_CLOSEPRICE", "2025-07-15", "USD")</f>
        <v>37.090000000000003</v>
      </c>
      <c r="S24">
        <f>_xll.ciqfunctions.udf.CIQ("LSE:RBOT", "IQ_CLOSEPRICE", "2025-07-15", "USD")</f>
        <v>15.244999999999999</v>
      </c>
      <c r="T24">
        <f>_xll.ciqfunctions.udf.CIQ("XTRA:XAIX", "IQ_CLOSEPRICE", "2025-07-15", "USD")</f>
        <v>161.40269000000001</v>
      </c>
      <c r="U24">
        <f>_xll.ciqfunctions.udf.CIQ("BIT:WTAI", "IQ_CLOSEPRICE", "2025-07-15", "USD")</f>
        <v>73.954949999999997</v>
      </c>
      <c r="V24">
        <f>_xll.ciqfunctions.udf.CIQ("LSE:AIAG", "IQ_CLOSEPRICE", "2025-07-15", "USD")</f>
        <v>24.02497</v>
      </c>
      <c r="W24">
        <f>_xll.ciqfunctions.udf.CIQ("ASX:RBTZ", "IQ_CLOSEPRICE", "2025-07-15", "USD")</f>
        <v>9.1282300000000003</v>
      </c>
      <c r="X24">
        <f>_xll.ciqfunctions.udf.CIQ("DB:XB0T", "IQ_CLOSEPRICE", "2025-07-15", "USD")</f>
        <v>21.105429999999998</v>
      </c>
    </row>
    <row r="25" spans="1:24" x14ac:dyDescent="0.25">
      <c r="A25" t="s">
        <v>47</v>
      </c>
      <c r="B25">
        <f>_xll.ciqfunctions.udf.CIQ("NasdaqGM:QQQ", "IQ_CLOSEPRICE", "2025-07-14", "USD")</f>
        <v>556.21</v>
      </c>
      <c r="C25">
        <f>_xll.ciqfunctions.udf.CIQ("NasdaqGM:AGIX", "IQ_CLOSEPRICE", "2025-07-14", "USD")</f>
        <v>31.55</v>
      </c>
      <c r="D25">
        <f>_xll.ciqfunctions.udf.CIQ("NasdaqGM:SMH", "IQ_CLOSEPRICE", "2025-07-14", "USD")</f>
        <v>285.32</v>
      </c>
      <c r="E25">
        <f>_xll.ciqfunctions.udf.CIQ("BATS:IGV", "IQ_CLOSEPRICE", "2025-07-14", "USD")</f>
        <v>109.05</v>
      </c>
      <c r="F25">
        <f>_xll.ciqfunctions.udf.CIQ("NasdaqGM:BOTZ", "IQ_CLOSEPRICE", "2025-07-14", "USD")</f>
        <v>32.28</v>
      </c>
      <c r="G25">
        <f>_xll.ciqfunctions.udf.CIQ("NasdaqGM:AIQ", "IQ_CLOSEPRICE", "2025-07-14", "USD")</f>
        <v>43.51</v>
      </c>
      <c r="H25">
        <f>_xll.ciqfunctions.udf.CIQ("ARCA:ARTY", "IQ_CLOSEPRICE", "2025-07-14", "USD")</f>
        <v>41.28</v>
      </c>
      <c r="I25">
        <f>_xll.ciqfunctions.udf.CIQ("NasdaqGM:ROBT", "IQ_CLOSEPRICE", "2025-07-14", "USD")</f>
        <v>48.28</v>
      </c>
      <c r="J25">
        <f>_xll.ciqfunctions.udf.CIQ("ARCA:IGPT", "IQ_CLOSEPRICE", "2025-07-14", "USD")</f>
        <v>49.234999999999999</v>
      </c>
      <c r="K25">
        <f>_xll.ciqfunctions.udf.CIQ("BATS:WTAI", "IQ_CLOSEPRICE", "2025-07-14", "USD")</f>
        <v>24.48</v>
      </c>
      <c r="L25">
        <f>_xll.ciqfunctions.udf.CIQ("ARCA:THNQ", "IQ_CLOSEPRICE", "2025-07-14", "USD")</f>
        <v>54.011699999999998</v>
      </c>
      <c r="M25">
        <f>_xll.ciqfunctions.udf.CIQ("NasdaqGM:FDTX", "IQ_CLOSEPRICE", "2025-07-14", "USD")</f>
        <v>38.700000000000003</v>
      </c>
      <c r="N25">
        <f>_xll.ciqfunctions.udf.CIQ("ARCA:CHAT", "IQ_CLOSEPRICE", "2025-07-14", "USD")</f>
        <v>48.5</v>
      </c>
      <c r="O25">
        <f>_xll.ciqfunctions.udf.CIQ("ARCA:LOUP", "IQ_CLOSEPRICE", "2025-07-14", "USD")</f>
        <v>61.6845</v>
      </c>
      <c r="P25">
        <f>_xll.ciqfunctions.udf.CIQ("ARCA:LRNZ", "IQ_CLOSEPRICE", "2025-07-14", "USD")</f>
        <v>43.468200000000003</v>
      </c>
      <c r="Q25">
        <f>_xll.ciqfunctions.udf.CIQ("ARCA:AIS", "IQ_CLOSEPRICE", "2025-07-14", "USD")</f>
        <v>27.929500000000001</v>
      </c>
      <c r="R25">
        <f>_xll.ciqfunctions.udf.CIQ("NasdaqGM:WISE", "IQ_CLOSEPRICE", "2025-07-14", "USD")</f>
        <v>36.74</v>
      </c>
      <c r="S25">
        <f>_xll.ciqfunctions.udf.CIQ("LSE:RBOT", "IQ_CLOSEPRICE", "2025-07-14", "USD")</f>
        <v>15.18</v>
      </c>
      <c r="T25">
        <f>_xll.ciqfunctions.udf.CIQ("XTRA:XAIX", "IQ_CLOSEPRICE", "2025-07-14", "USD")</f>
        <v>160.15889999999999</v>
      </c>
      <c r="U25">
        <f>_xll.ciqfunctions.udf.CIQ("BIT:WTAI", "IQ_CLOSEPRICE", "2025-07-14", "USD")</f>
        <v>73.080969999999994</v>
      </c>
      <c r="V25">
        <f>_xll.ciqfunctions.udf.CIQ("LSE:AIAG", "IQ_CLOSEPRICE", "2025-07-14", "USD")</f>
        <v>23.822590000000002</v>
      </c>
      <c r="W25">
        <f>_xll.ciqfunctions.udf.CIQ("ASX:RBTZ", "IQ_CLOSEPRICE", "2025-07-14", "USD")</f>
        <v>9.0509599999999999</v>
      </c>
      <c r="X25">
        <f>_xll.ciqfunctions.udf.CIQ("DB:XB0T", "IQ_CLOSEPRICE", "2025-07-14", "USD")</f>
        <v>21.12163</v>
      </c>
    </row>
    <row r="26" spans="1:24" x14ac:dyDescent="0.25">
      <c r="A26" t="s">
        <v>48</v>
      </c>
      <c r="B26">
        <f>_xll.ciqfunctions.udf.CIQ("NasdaqGM:QQQ", "IQ_CLOSEPRICE", "2025-07-11", "USD")</f>
        <v>554.20000000000005</v>
      </c>
      <c r="C26">
        <f>_xll.ciqfunctions.udf.CIQ("NasdaqGM:AGIX", "IQ_CLOSEPRICE", "2025-07-11", "USD")</f>
        <v>30.92</v>
      </c>
      <c r="D26">
        <f>_xll.ciqfunctions.udf.CIQ("NasdaqGM:SMH", "IQ_CLOSEPRICE", "2025-07-11", "USD")</f>
        <v>287.49</v>
      </c>
      <c r="E26">
        <f>_xll.ciqfunctions.udf.CIQ("BATS:IGV", "IQ_CLOSEPRICE", "2025-07-11", "USD")</f>
        <v>107.48</v>
      </c>
      <c r="F26">
        <f>_xll.ciqfunctions.udf.CIQ("NasdaqGM:BOTZ", "IQ_CLOSEPRICE", "2025-07-11", "USD")</f>
        <v>32.270000000000003</v>
      </c>
      <c r="G26">
        <f>_xll.ciqfunctions.udf.CIQ("NasdaqGM:AIQ", "IQ_CLOSEPRICE", "2025-07-11", "USD")</f>
        <v>43.28</v>
      </c>
      <c r="H26">
        <f>_xll.ciqfunctions.udf.CIQ("ARCA:ARTY", "IQ_CLOSEPRICE", "2025-07-11", "USD")</f>
        <v>41.19</v>
      </c>
      <c r="I26">
        <f>_xll.ciqfunctions.udf.CIQ("NasdaqGM:ROBT", "IQ_CLOSEPRICE", "2025-07-11", "USD")</f>
        <v>48.39</v>
      </c>
      <c r="J26">
        <f>_xll.ciqfunctions.udf.CIQ("ARCA:IGPT", "IQ_CLOSEPRICE", "2025-07-11", "USD")</f>
        <v>49.22</v>
      </c>
      <c r="K26">
        <f>_xll.ciqfunctions.udf.CIQ("BATS:WTAI", "IQ_CLOSEPRICE", "2025-07-11", "USD")</f>
        <v>24.37</v>
      </c>
      <c r="L26">
        <f>_xll.ciqfunctions.udf.CIQ("ARCA:THNQ", "IQ_CLOSEPRICE", "2025-07-11", "USD")</f>
        <v>53.95</v>
      </c>
      <c r="M26">
        <f>_xll.ciqfunctions.udf.CIQ("NasdaqGM:FDTX", "IQ_CLOSEPRICE", "2025-07-11", "USD")</f>
        <v>38.549999999999997</v>
      </c>
      <c r="N26">
        <f>_xll.ciqfunctions.udf.CIQ("ARCA:CHAT", "IQ_CLOSEPRICE", "2025-07-11", "USD")</f>
        <v>48.16</v>
      </c>
      <c r="O26">
        <f>_xll.ciqfunctions.udf.CIQ("ARCA:LOUP", "IQ_CLOSEPRICE", "2025-07-11", "USD")</f>
        <v>61.336399999999998</v>
      </c>
      <c r="P26">
        <f>_xll.ciqfunctions.udf.CIQ("ARCA:LRNZ", "IQ_CLOSEPRICE", "2025-07-11", "USD")</f>
        <v>43.268900000000002</v>
      </c>
      <c r="Q26">
        <f>_xll.ciqfunctions.udf.CIQ("ARCA:AIS", "IQ_CLOSEPRICE", "2025-07-11", "USD")</f>
        <v>28.024999999999999</v>
      </c>
      <c r="R26">
        <f>_xll.ciqfunctions.udf.CIQ("NasdaqGM:WISE", "IQ_CLOSEPRICE", "2025-07-11", "USD")</f>
        <v>36.585000000000001</v>
      </c>
      <c r="S26">
        <f>_xll.ciqfunctions.udf.CIQ("LSE:RBOT", "IQ_CLOSEPRICE", "2025-07-11", "USD")</f>
        <v>15.215</v>
      </c>
      <c r="T26">
        <f>_xll.ciqfunctions.udf.CIQ("XTRA:XAIX", "IQ_CLOSEPRICE", "2025-07-11", "USD")</f>
        <v>160.28534999999999</v>
      </c>
      <c r="U26">
        <f>_xll.ciqfunctions.udf.CIQ("BIT:WTAI", "IQ_CLOSEPRICE", "2025-07-11", "USD")</f>
        <v>73.921180000000007</v>
      </c>
      <c r="V26">
        <f>_xll.ciqfunctions.udf.CIQ("LSE:AIAG", "IQ_CLOSEPRICE", "2025-07-11", "USD")</f>
        <v>23.846550000000001</v>
      </c>
      <c r="W26">
        <f>_xll.ciqfunctions.udf.CIQ("ASX:RBTZ", "IQ_CLOSEPRICE", "2025-07-11", "USD")</f>
        <v>9.1703899999999994</v>
      </c>
      <c r="X26">
        <f>_xll.ciqfunctions.udf.CIQ("DB:XB0T", "IQ_CLOSEPRICE", "2025-07-11", "USD")</f>
        <v>21.358910000000002</v>
      </c>
    </row>
    <row r="27" spans="1:24" x14ac:dyDescent="0.25">
      <c r="A27" t="s">
        <v>49</v>
      </c>
      <c r="B27">
        <f>_xll.ciqfunctions.udf.CIQ("NasdaqGM:QQQ", "IQ_CLOSEPRICE", "2025-07-10", "USD")</f>
        <v>555.45000000000005</v>
      </c>
      <c r="C27">
        <f>_xll.ciqfunctions.udf.CIQ("NasdaqGM:AGIX", "IQ_CLOSEPRICE", "2025-07-10", "USD")</f>
        <v>31.38</v>
      </c>
      <c r="D27">
        <f>_xll.ciqfunctions.udf.CIQ("NasdaqGM:SMH", "IQ_CLOSEPRICE", "2025-07-10", "USD")</f>
        <v>287.52</v>
      </c>
      <c r="E27">
        <f>_xll.ciqfunctions.udf.CIQ("BATS:IGV", "IQ_CLOSEPRICE", "2025-07-10", "USD")</f>
        <v>109.15</v>
      </c>
      <c r="F27">
        <f>_xll.ciqfunctions.udf.CIQ("NasdaqGM:BOTZ", "IQ_CLOSEPRICE", "2025-07-10", "USD")</f>
        <v>32.54</v>
      </c>
      <c r="G27">
        <f>_xll.ciqfunctions.udf.CIQ("NasdaqGM:AIQ", "IQ_CLOSEPRICE", "2025-07-10", "USD")</f>
        <v>43.65</v>
      </c>
      <c r="H27">
        <f>_xll.ciqfunctions.udf.CIQ("ARCA:ARTY", "IQ_CLOSEPRICE", "2025-07-10", "USD")</f>
        <v>41.38</v>
      </c>
      <c r="I27">
        <f>_xll.ciqfunctions.udf.CIQ("NasdaqGM:ROBT", "IQ_CLOSEPRICE", "2025-07-10", "USD")</f>
        <v>48.93</v>
      </c>
      <c r="J27">
        <f>_xll.ciqfunctions.udf.CIQ("ARCA:IGPT", "IQ_CLOSEPRICE", "2025-07-10", "USD")</f>
        <v>49.46</v>
      </c>
      <c r="K27">
        <f>_xll.ciqfunctions.udf.CIQ("BATS:WTAI", "IQ_CLOSEPRICE", "2025-07-10", "USD")</f>
        <v>24.6</v>
      </c>
      <c r="L27">
        <f>_xll.ciqfunctions.udf.CIQ("ARCA:THNQ", "IQ_CLOSEPRICE", "2025-07-10", "USD")</f>
        <v>54.56</v>
      </c>
      <c r="M27">
        <f>_xll.ciqfunctions.udf.CIQ("NasdaqGM:FDTX", "IQ_CLOSEPRICE", "2025-07-10", "USD")</f>
        <v>38.862400000000001</v>
      </c>
      <c r="N27">
        <f>_xll.ciqfunctions.udf.CIQ("ARCA:CHAT", "IQ_CLOSEPRICE", "2025-07-10", "USD")</f>
        <v>48.49</v>
      </c>
      <c r="O27">
        <f>_xll.ciqfunctions.udf.CIQ("ARCA:LOUP", "IQ_CLOSEPRICE", "2025-07-10", "USD")</f>
        <v>61.433199999999999</v>
      </c>
      <c r="P27">
        <f>_xll.ciqfunctions.udf.CIQ("ARCA:LRNZ", "IQ_CLOSEPRICE", "2025-07-10", "USD")</f>
        <v>43.746099999999998</v>
      </c>
      <c r="Q27">
        <f>_xll.ciqfunctions.udf.CIQ("ARCA:AIS", "IQ_CLOSEPRICE", "2025-07-10", "USD")</f>
        <v>28.155000000000001</v>
      </c>
      <c r="R27">
        <f>_xll.ciqfunctions.udf.CIQ("NasdaqGM:WISE", "IQ_CLOSEPRICE", "2025-07-10", "USD")</f>
        <v>37.1</v>
      </c>
      <c r="S27">
        <f>_xll.ciqfunctions.udf.CIQ("LSE:RBOT", "IQ_CLOSEPRICE", "2025-07-10", "USD")</f>
        <v>15.31</v>
      </c>
      <c r="T27">
        <f>_xll.ciqfunctions.udf.CIQ("XTRA:XAIX", "IQ_CLOSEPRICE", "2025-07-10", "USD")</f>
        <v>161.43056999999999</v>
      </c>
      <c r="U27">
        <f>_xll.ciqfunctions.udf.CIQ("BIT:WTAI", "IQ_CLOSEPRICE", "2025-07-10", "USD")</f>
        <v>74.59093</v>
      </c>
      <c r="V27">
        <f>_xll.ciqfunctions.udf.CIQ("LSE:AIAG", "IQ_CLOSEPRICE", "2025-07-10", "USD")</f>
        <v>24.08719</v>
      </c>
      <c r="W27">
        <f>_xll.ciqfunctions.udf.CIQ("ASX:RBTZ", "IQ_CLOSEPRICE", "2025-07-10", "USD")</f>
        <v>9.2018900000000006</v>
      </c>
      <c r="X27">
        <f>_xll.ciqfunctions.udf.CIQ("DB:XB0T", "IQ_CLOSEPRICE", "2025-07-10", "USD")</f>
        <v>21.367460000000001</v>
      </c>
    </row>
    <row r="28" spans="1:24" x14ac:dyDescent="0.25">
      <c r="A28" t="s">
        <v>50</v>
      </c>
      <c r="B28">
        <f>_xll.ciqfunctions.udf.CIQ("NasdaqGM:QQQ", "IQ_CLOSEPRICE", "2025-07-09", "USD")</f>
        <v>556.25</v>
      </c>
      <c r="C28">
        <f>_xll.ciqfunctions.udf.CIQ("NasdaqGM:AGIX", "IQ_CLOSEPRICE", "2025-07-09", "USD")</f>
        <v>31.68</v>
      </c>
      <c r="D28">
        <f>_xll.ciqfunctions.udf.CIQ("NasdaqGM:SMH", "IQ_CLOSEPRICE", "2025-07-09", "USD")</f>
        <v>285.42</v>
      </c>
      <c r="E28">
        <f>_xll.ciqfunctions.udf.CIQ("BATS:IGV", "IQ_CLOSEPRICE", "2025-07-09", "USD")</f>
        <v>111.42</v>
      </c>
      <c r="F28">
        <f>_xll.ciqfunctions.udf.CIQ("NasdaqGM:BOTZ", "IQ_CLOSEPRICE", "2025-07-09", "USD")</f>
        <v>32.770000000000003</v>
      </c>
      <c r="G28">
        <f>_xll.ciqfunctions.udf.CIQ("NasdaqGM:AIQ", "IQ_CLOSEPRICE", "2025-07-09", "USD")</f>
        <v>43.77</v>
      </c>
      <c r="H28">
        <f>_xll.ciqfunctions.udf.CIQ("ARCA:ARTY", "IQ_CLOSEPRICE", "2025-07-09", "USD")</f>
        <v>41.67</v>
      </c>
      <c r="I28">
        <f>_xll.ciqfunctions.udf.CIQ("NasdaqGM:ROBT", "IQ_CLOSEPRICE", "2025-07-09", "USD")</f>
        <v>49.08</v>
      </c>
      <c r="J28">
        <f>_xll.ciqfunctions.udf.CIQ("ARCA:IGPT", "IQ_CLOSEPRICE", "2025-07-09", "USD")</f>
        <v>49.29</v>
      </c>
      <c r="K28">
        <f>_xll.ciqfunctions.udf.CIQ("BATS:WTAI", "IQ_CLOSEPRICE", "2025-07-09", "USD")</f>
        <v>24.83</v>
      </c>
      <c r="L28">
        <f>_xll.ciqfunctions.udf.CIQ("ARCA:THNQ", "IQ_CLOSEPRICE", "2025-07-09", "USD")</f>
        <v>55.05</v>
      </c>
      <c r="M28">
        <f>_xll.ciqfunctions.udf.CIQ("NasdaqGM:FDTX", "IQ_CLOSEPRICE", "2025-07-09", "USD")</f>
        <v>39.225000000000001</v>
      </c>
      <c r="N28">
        <f>_xll.ciqfunctions.udf.CIQ("ARCA:CHAT", "IQ_CLOSEPRICE", "2025-07-09", "USD")</f>
        <v>48.62</v>
      </c>
      <c r="O28">
        <f>_xll.ciqfunctions.udf.CIQ("ARCA:LOUP", "IQ_CLOSEPRICE", "2025-07-09", "USD")</f>
        <v>62.534500000000001</v>
      </c>
      <c r="P28">
        <f>_xll.ciqfunctions.udf.CIQ("ARCA:LRNZ", "IQ_CLOSEPRICE", "2025-07-09", "USD")</f>
        <v>44.898699999999998</v>
      </c>
      <c r="Q28">
        <f>_xll.ciqfunctions.udf.CIQ("ARCA:AIS", "IQ_CLOSEPRICE", "2025-07-09", "USD")</f>
        <v>28.06</v>
      </c>
      <c r="R28">
        <f>_xll.ciqfunctions.udf.CIQ("NasdaqGM:WISE", "IQ_CLOSEPRICE", "2025-07-09", "USD")</f>
        <v>37.51</v>
      </c>
      <c r="S28">
        <f>_xll.ciqfunctions.udf.CIQ("LSE:RBOT", "IQ_CLOSEPRICE", "2025-07-09", "USD")</f>
        <v>15.234999999999999</v>
      </c>
      <c r="T28">
        <f>_xll.ciqfunctions.udf.CIQ("XTRA:XAIX", "IQ_CLOSEPRICE", "2025-07-09", "USD")</f>
        <v>161.62491</v>
      </c>
      <c r="U28">
        <f>_xll.ciqfunctions.udf.CIQ("BIT:WTAI", "IQ_CLOSEPRICE", "2025-07-09", "USD")</f>
        <v>73.963939999999994</v>
      </c>
      <c r="V28">
        <f>_xll.ciqfunctions.udf.CIQ("LSE:AIAG", "IQ_CLOSEPRICE", "2025-07-09", "USD")</f>
        <v>24.119150000000001</v>
      </c>
      <c r="W28">
        <f>_xll.ciqfunctions.udf.CIQ("ASX:RBTZ", "IQ_CLOSEPRICE", "2025-07-09", "USD")</f>
        <v>9.1265199999999993</v>
      </c>
      <c r="X28">
        <f>_xll.ciqfunctions.udf.CIQ("DB:XB0T", "IQ_CLOSEPRICE", "2025-07-09", "USD")</f>
        <v>21.44229</v>
      </c>
    </row>
    <row r="29" spans="1:24" x14ac:dyDescent="0.25">
      <c r="A29" t="s">
        <v>51</v>
      </c>
      <c r="B29">
        <f>_xll.ciqfunctions.udf.CIQ("NasdaqGM:QQQ", "IQ_CLOSEPRICE", "2025-07-08", "USD")</f>
        <v>552.34</v>
      </c>
      <c r="C29">
        <f>_xll.ciqfunctions.udf.CIQ("NasdaqGM:AGIX", "IQ_CLOSEPRICE", "2025-07-08", "USD")</f>
        <v>31.28</v>
      </c>
      <c r="D29">
        <f>_xll.ciqfunctions.udf.CIQ("NasdaqGM:SMH", "IQ_CLOSEPRICE", "2025-07-08", "USD")</f>
        <v>283.48</v>
      </c>
      <c r="E29">
        <f>_xll.ciqfunctions.udf.CIQ("BATS:IGV", "IQ_CLOSEPRICE", "2025-07-08", "USD")</f>
        <v>111.08</v>
      </c>
      <c r="F29">
        <f>_xll.ciqfunctions.udf.CIQ("NasdaqGM:BOTZ", "IQ_CLOSEPRICE", "2025-07-08", "USD")</f>
        <v>32.36</v>
      </c>
      <c r="G29">
        <f>_xll.ciqfunctions.udf.CIQ("NasdaqGM:AIQ", "IQ_CLOSEPRICE", "2025-07-08", "USD")</f>
        <v>43.68</v>
      </c>
      <c r="H29">
        <f>_xll.ciqfunctions.udf.CIQ("ARCA:ARTY", "IQ_CLOSEPRICE", "2025-07-08", "USD")</f>
        <v>41.21</v>
      </c>
      <c r="I29">
        <f>_xll.ciqfunctions.udf.CIQ("NasdaqGM:ROBT", "IQ_CLOSEPRICE", "2025-07-08", "USD")</f>
        <v>48.72</v>
      </c>
      <c r="J29">
        <f>_xll.ciqfunctions.udf.CIQ("ARCA:IGPT", "IQ_CLOSEPRICE", "2025-07-08", "USD")</f>
        <v>48.97</v>
      </c>
      <c r="K29">
        <f>_xll.ciqfunctions.udf.CIQ("BATS:WTAI", "IQ_CLOSEPRICE", "2025-07-08", "USD")</f>
        <v>24.59</v>
      </c>
      <c r="L29">
        <f>_xll.ciqfunctions.udf.CIQ("ARCA:THNQ", "IQ_CLOSEPRICE", "2025-07-08", "USD")</f>
        <v>54.76</v>
      </c>
      <c r="M29">
        <f>_xll.ciqfunctions.udf.CIQ("NasdaqGM:FDTX", "IQ_CLOSEPRICE", "2025-07-08", "USD")</f>
        <v>39.06</v>
      </c>
      <c r="N29">
        <f>_xll.ciqfunctions.udf.CIQ("ARCA:CHAT", "IQ_CLOSEPRICE", "2025-07-08", "USD")</f>
        <v>48.24</v>
      </c>
      <c r="O29">
        <f>_xll.ciqfunctions.udf.CIQ("ARCA:LOUP", "IQ_CLOSEPRICE", "2025-07-08", "USD")</f>
        <v>61.844799999999999</v>
      </c>
      <c r="P29">
        <f>_xll.ciqfunctions.udf.CIQ("ARCA:LRNZ", "IQ_CLOSEPRICE", "2025-07-08", "USD")</f>
        <v>44.475499999999997</v>
      </c>
      <c r="Q29">
        <f>_xll.ciqfunctions.udf.CIQ("ARCA:AIS", "IQ_CLOSEPRICE", "2025-07-08", "USD")</f>
        <v>28.054600000000001</v>
      </c>
      <c r="R29">
        <f>_xll.ciqfunctions.udf.CIQ("NasdaqGM:WISE", "IQ_CLOSEPRICE", "2025-07-08", "USD")</f>
        <v>36.89</v>
      </c>
      <c r="S29">
        <f>_xll.ciqfunctions.udf.CIQ("LSE:RBOT", "IQ_CLOSEPRICE", "2025-07-08", "USD")</f>
        <v>15.19</v>
      </c>
      <c r="T29">
        <f>_xll.ciqfunctions.udf.CIQ("XTRA:XAIX", "IQ_CLOSEPRICE", "2025-07-08", "USD")</f>
        <v>160.96476000000001</v>
      </c>
      <c r="U29">
        <f>_xll.ciqfunctions.udf.CIQ("BIT:WTAI", "IQ_CLOSEPRICE", "2025-07-08", "USD")</f>
        <v>73.902349999999998</v>
      </c>
      <c r="V29">
        <f>_xll.ciqfunctions.udf.CIQ("LSE:AIAG", "IQ_CLOSEPRICE", "2025-07-08", "USD")</f>
        <v>23.97662</v>
      </c>
      <c r="W29">
        <f>_xll.ciqfunctions.udf.CIQ("ASX:RBTZ", "IQ_CLOSEPRICE", "2025-07-08", "USD")</f>
        <v>9.0808300000000006</v>
      </c>
      <c r="X29">
        <f>_xll.ciqfunctions.udf.CIQ("DB:XB0T", "IQ_CLOSEPRICE", "2025-07-08", "USD")</f>
        <v>21.222339999999999</v>
      </c>
    </row>
    <row r="30" spans="1:24" x14ac:dyDescent="0.25">
      <c r="A30" t="s">
        <v>52</v>
      </c>
      <c r="B30">
        <f>_xll.ciqfunctions.udf.CIQ("NasdaqGM:QQQ", "IQ_CLOSEPRICE", "2025-07-07", "USD")</f>
        <v>552.03</v>
      </c>
      <c r="C30">
        <f>_xll.ciqfunctions.udf.CIQ("NasdaqGM:AGIX", "IQ_CLOSEPRICE", "2025-07-07", "USD")</f>
        <v>31.44</v>
      </c>
      <c r="D30">
        <f>_xll.ciqfunctions.udf.CIQ("NasdaqGM:SMH", "IQ_CLOSEPRICE", "2025-07-07", "USD")</f>
        <v>279.76</v>
      </c>
      <c r="E30">
        <f>_xll.ciqfunctions.udf.CIQ("BATS:IGV", "IQ_CLOSEPRICE", "2025-07-07", "USD")</f>
        <v>110.71</v>
      </c>
      <c r="F30">
        <f>_xll.ciqfunctions.udf.CIQ("NasdaqGM:BOTZ", "IQ_CLOSEPRICE", "2025-07-07", "USD")</f>
        <v>32.159999999999997</v>
      </c>
      <c r="G30">
        <f>_xll.ciqfunctions.udf.CIQ("NasdaqGM:AIQ", "IQ_CLOSEPRICE", "2025-07-07", "USD")</f>
        <v>43.54</v>
      </c>
      <c r="H30">
        <f>_xll.ciqfunctions.udf.CIQ("ARCA:ARTY", "IQ_CLOSEPRICE", "2025-07-07", "USD")</f>
        <v>40.92</v>
      </c>
      <c r="I30">
        <f>_xll.ciqfunctions.udf.CIQ("NasdaqGM:ROBT", "IQ_CLOSEPRICE", "2025-07-07", "USD")</f>
        <v>48.51</v>
      </c>
      <c r="J30">
        <f>_xll.ciqfunctions.udf.CIQ("ARCA:IGPT", "IQ_CLOSEPRICE", "2025-07-07", "USD")</f>
        <v>48.44</v>
      </c>
      <c r="K30">
        <f>_xll.ciqfunctions.udf.CIQ("BATS:WTAI", "IQ_CLOSEPRICE", "2025-07-07", "USD")</f>
        <v>24.48</v>
      </c>
      <c r="L30">
        <f>_xll.ciqfunctions.udf.CIQ("ARCA:THNQ", "IQ_CLOSEPRICE", "2025-07-07", "USD")</f>
        <v>54.49</v>
      </c>
      <c r="M30">
        <f>_xll.ciqfunctions.udf.CIQ("NasdaqGM:FDTX", "IQ_CLOSEPRICE", "2025-07-07", "USD")</f>
        <v>38.93</v>
      </c>
      <c r="N30">
        <f>_xll.ciqfunctions.udf.CIQ("ARCA:CHAT", "IQ_CLOSEPRICE", "2025-07-07", "USD")</f>
        <v>48.1</v>
      </c>
      <c r="O30">
        <f>_xll.ciqfunctions.udf.CIQ("ARCA:LOUP", "IQ_CLOSEPRICE", "2025-07-07", "USD")</f>
        <v>61.799300000000002</v>
      </c>
      <c r="P30">
        <f>_xll.ciqfunctions.udf.CIQ("ARCA:LRNZ", "IQ_CLOSEPRICE", "2025-07-07", "USD")</f>
        <v>44.563499999999998</v>
      </c>
      <c r="Q30">
        <f>_xll.ciqfunctions.udf.CIQ("ARCA:AIS", "IQ_CLOSEPRICE", "2025-07-07", "USD")</f>
        <v>27.58</v>
      </c>
      <c r="R30">
        <f>_xll.ciqfunctions.udf.CIQ("NasdaqGM:WISE", "IQ_CLOSEPRICE", "2025-07-07", "USD")</f>
        <v>36.4</v>
      </c>
      <c r="S30">
        <f>_xll.ciqfunctions.udf.CIQ("LSE:RBOT", "IQ_CLOSEPRICE", "2025-07-07", "USD")</f>
        <v>15.135</v>
      </c>
      <c r="T30">
        <f>_xll.ciqfunctions.udf.CIQ("XTRA:XAIX", "IQ_CLOSEPRICE", "2025-07-07", "USD")</f>
        <v>161.3751</v>
      </c>
      <c r="U30">
        <f>_xll.ciqfunctions.udf.CIQ("BIT:WTAI", "IQ_CLOSEPRICE", "2025-07-07", "USD")</f>
        <v>72.861670000000004</v>
      </c>
      <c r="V30">
        <f>_xll.ciqfunctions.udf.CIQ("LSE:AIAG", "IQ_CLOSEPRICE", "2025-07-07", "USD")</f>
        <v>24.053100000000001</v>
      </c>
      <c r="W30">
        <f>_xll.ciqfunctions.udf.CIQ("ASX:RBTZ", "IQ_CLOSEPRICE", "2025-07-07", "USD")</f>
        <v>9.11341</v>
      </c>
      <c r="X30">
        <f>_xll.ciqfunctions.udf.CIQ("DB:XB0T", "IQ_CLOSEPRICE", "2025-07-07", "USD")</f>
        <v>21.192070000000001</v>
      </c>
    </row>
    <row r="31" spans="1:24" x14ac:dyDescent="0.25">
      <c r="A31" t="s">
        <v>53</v>
      </c>
      <c r="B31">
        <f>_xll.ciqfunctions.udf.CIQ("NasdaqGM:QQQ", "IQ_CLOSEPRICE", "2025-07-04", "USD")</f>
        <v>0</v>
      </c>
      <c r="C31">
        <f>_xll.ciqfunctions.udf.CIQ("NasdaqGM:AGIX", "IQ_CLOSEPRICE", "2025-07-04", "USD")</f>
        <v>0</v>
      </c>
      <c r="D31">
        <f>_xll.ciqfunctions.udf.CIQ("NasdaqGM:SMH", "IQ_CLOSEPRICE", "2025-07-04", "USD")</f>
        <v>0</v>
      </c>
      <c r="E31">
        <f>_xll.ciqfunctions.udf.CIQ("BATS:IGV", "IQ_CLOSEPRICE", "2025-07-04", "USD")</f>
        <v>0</v>
      </c>
      <c r="F31">
        <f>_xll.ciqfunctions.udf.CIQ("NasdaqGM:BOTZ", "IQ_CLOSEPRICE", "2025-07-04", "USD")</f>
        <v>0</v>
      </c>
      <c r="G31">
        <f>_xll.ciqfunctions.udf.CIQ("NasdaqGM:AIQ", "IQ_CLOSEPRICE", "2025-07-04", "USD")</f>
        <v>0</v>
      </c>
      <c r="H31">
        <f>_xll.ciqfunctions.udf.CIQ("ARCA:ARTY", "IQ_CLOSEPRICE", "2025-07-04", "USD")</f>
        <v>0</v>
      </c>
      <c r="I31">
        <f>_xll.ciqfunctions.udf.CIQ("NasdaqGM:ROBT", "IQ_CLOSEPRICE", "2025-07-04", "USD")</f>
        <v>0</v>
      </c>
      <c r="J31">
        <f>_xll.ciqfunctions.udf.CIQ("ARCA:IGPT", "IQ_CLOSEPRICE", "2025-07-04", "USD")</f>
        <v>0</v>
      </c>
      <c r="K31">
        <f>_xll.ciqfunctions.udf.CIQ("BATS:WTAI", "IQ_CLOSEPRICE", "2025-07-04", "USD")</f>
        <v>0</v>
      </c>
      <c r="L31">
        <f>_xll.ciqfunctions.udf.CIQ("ARCA:THNQ", "IQ_CLOSEPRICE", "2025-07-04", "USD")</f>
        <v>0</v>
      </c>
      <c r="M31">
        <f>_xll.ciqfunctions.udf.CIQ("NasdaqGM:FDTX", "IQ_CLOSEPRICE", "2025-07-04", "USD")</f>
        <v>0</v>
      </c>
      <c r="N31">
        <f>_xll.ciqfunctions.udf.CIQ("ARCA:CHAT", "IQ_CLOSEPRICE", "2025-07-04", "USD")</f>
        <v>0</v>
      </c>
      <c r="O31">
        <f>_xll.ciqfunctions.udf.CIQ("ARCA:LOUP", "IQ_CLOSEPRICE", "2025-07-04", "USD")</f>
        <v>0</v>
      </c>
      <c r="P31">
        <f>_xll.ciqfunctions.udf.CIQ("ARCA:LRNZ", "IQ_CLOSEPRICE", "2025-07-04", "USD")</f>
        <v>0</v>
      </c>
      <c r="Q31">
        <f>_xll.ciqfunctions.udf.CIQ("ARCA:AIS", "IQ_CLOSEPRICE", "2025-07-04", "USD")</f>
        <v>0</v>
      </c>
      <c r="R31">
        <f>_xll.ciqfunctions.udf.CIQ("NasdaqGM:WISE", "IQ_CLOSEPRICE", "2025-07-04", "USD")</f>
        <v>0</v>
      </c>
      <c r="S31">
        <f>_xll.ciqfunctions.udf.CIQ("LSE:RBOT", "IQ_CLOSEPRICE", "2025-07-04", "USD")</f>
        <v>15.175000000000001</v>
      </c>
      <c r="T31">
        <f>_xll.ciqfunctions.udf.CIQ("XTRA:XAIX", "IQ_CLOSEPRICE", "2025-07-04", "USD")</f>
        <v>161.12157999999999</v>
      </c>
      <c r="U31">
        <f>_xll.ciqfunctions.udf.CIQ("BIT:WTAI", "IQ_CLOSEPRICE", "2025-07-04", "USD")</f>
        <v>73.456639999999993</v>
      </c>
      <c r="V31">
        <f>_xll.ciqfunctions.udf.CIQ("LSE:AIAG", "IQ_CLOSEPRICE", "2025-07-04", "USD")</f>
        <v>24.138500000000001</v>
      </c>
      <c r="W31">
        <f>_xll.ciqfunctions.udf.CIQ("ASX:RBTZ", "IQ_CLOSEPRICE", "2025-07-04", "USD")</f>
        <v>9.2159600000000008</v>
      </c>
      <c r="X31">
        <f>_xll.ciqfunctions.udf.CIQ("DB:XB0T", "IQ_CLOSEPRICE", "2025-07-04", "USD")</f>
        <v>21.515080000000001</v>
      </c>
    </row>
    <row r="32" spans="1:24" x14ac:dyDescent="0.25">
      <c r="A32" t="s">
        <v>54</v>
      </c>
      <c r="B32">
        <f>_xll.ciqfunctions.udf.CIQ("NasdaqGM:QQQ", "IQ_CLOSEPRICE", "2025-07-03", "USD")</f>
        <v>556.22</v>
      </c>
      <c r="C32">
        <f>_xll.ciqfunctions.udf.CIQ("NasdaqGM:AGIX", "IQ_CLOSEPRICE", "2025-07-03", "USD")</f>
        <v>31.54</v>
      </c>
      <c r="D32">
        <f>_xll.ciqfunctions.udf.CIQ("NasdaqGM:SMH", "IQ_CLOSEPRICE", "2025-07-03", "USD")</f>
        <v>283.62</v>
      </c>
      <c r="E32">
        <f>_xll.ciqfunctions.udf.CIQ("BATS:IGV", "IQ_CLOSEPRICE", "2025-07-03", "USD")</f>
        <v>111.27</v>
      </c>
      <c r="F32">
        <f>_xll.ciqfunctions.udf.CIQ("NasdaqGM:BOTZ", "IQ_CLOSEPRICE", "2025-07-03", "USD")</f>
        <v>32.79</v>
      </c>
      <c r="G32">
        <f>_xll.ciqfunctions.udf.CIQ("NasdaqGM:AIQ", "IQ_CLOSEPRICE", "2025-07-03", "USD")</f>
        <v>44</v>
      </c>
      <c r="H32">
        <f>_xll.ciqfunctions.udf.CIQ("ARCA:ARTY", "IQ_CLOSEPRICE", "2025-07-03", "USD")</f>
        <v>41.3</v>
      </c>
      <c r="I32">
        <f>_xll.ciqfunctions.udf.CIQ("NasdaqGM:ROBT", "IQ_CLOSEPRICE", "2025-07-03", "USD")</f>
        <v>49.17</v>
      </c>
      <c r="J32">
        <f>_xll.ciqfunctions.udf.CIQ("ARCA:IGPT", "IQ_CLOSEPRICE", "2025-07-03", "USD")</f>
        <v>49.19</v>
      </c>
      <c r="K32">
        <f>_xll.ciqfunctions.udf.CIQ("BATS:WTAI", "IQ_CLOSEPRICE", "2025-07-03", "USD")</f>
        <v>24.79</v>
      </c>
      <c r="L32">
        <f>_xll.ciqfunctions.udf.CIQ("ARCA:THNQ", "IQ_CLOSEPRICE", "2025-07-03", "USD")</f>
        <v>55.35</v>
      </c>
      <c r="M32">
        <f>_xll.ciqfunctions.udf.CIQ("NasdaqGM:FDTX", "IQ_CLOSEPRICE", "2025-07-03", "USD")</f>
        <v>39.25</v>
      </c>
      <c r="N32">
        <f>_xll.ciqfunctions.udf.CIQ("ARCA:CHAT", "IQ_CLOSEPRICE", "2025-07-03", "USD")</f>
        <v>48.77</v>
      </c>
      <c r="O32">
        <f>_xll.ciqfunctions.udf.CIQ("ARCA:LOUP", "IQ_CLOSEPRICE", "2025-07-03", "USD")</f>
        <v>62.23</v>
      </c>
      <c r="P32">
        <f>_xll.ciqfunctions.udf.CIQ("ARCA:LRNZ", "IQ_CLOSEPRICE", "2025-07-03", "USD")</f>
        <v>44.875100000000003</v>
      </c>
      <c r="Q32">
        <f>_xll.ciqfunctions.udf.CIQ("ARCA:AIS", "IQ_CLOSEPRICE", "2025-07-03", "USD")</f>
        <v>28.087900000000001</v>
      </c>
      <c r="R32">
        <f>_xll.ciqfunctions.udf.CIQ("NasdaqGM:WISE", "IQ_CLOSEPRICE", "2025-07-03", "USD")</f>
        <v>36.5869</v>
      </c>
      <c r="S32">
        <f>_xll.ciqfunctions.udf.CIQ("LSE:RBOT", "IQ_CLOSEPRICE", "2025-07-03", "USD")</f>
        <v>15.32</v>
      </c>
      <c r="T32">
        <f>_xll.ciqfunctions.udf.CIQ("XTRA:XAIX", "IQ_CLOSEPRICE", "2025-07-03", "USD")</f>
        <v>162.31475</v>
      </c>
      <c r="U32">
        <f>_xll.ciqfunctions.udf.CIQ("BIT:WTAI", "IQ_CLOSEPRICE", "2025-07-03", "USD")</f>
        <v>74.311930000000004</v>
      </c>
      <c r="V32">
        <f>_xll.ciqfunctions.udf.CIQ("LSE:AIAG", "IQ_CLOSEPRICE", "2025-07-03", "USD")</f>
        <v>24.39367</v>
      </c>
      <c r="W32">
        <f>_xll.ciqfunctions.udf.CIQ("ASX:RBTZ", "IQ_CLOSEPRICE", "2025-07-03", "USD")</f>
        <v>9.2522000000000002</v>
      </c>
      <c r="X32">
        <f>_xll.ciqfunctions.udf.CIQ("DB:XB0T", "IQ_CLOSEPRICE", "2025-07-03", "USD")</f>
        <v>21.253820000000001</v>
      </c>
    </row>
    <row r="33" spans="1:24" x14ac:dyDescent="0.25">
      <c r="A33" t="s">
        <v>55</v>
      </c>
      <c r="B33">
        <f>_xll.ciqfunctions.udf.CIQ("NasdaqGM:QQQ", "IQ_CLOSEPRICE", "2025-07-02", "USD")</f>
        <v>550.79999999999995</v>
      </c>
      <c r="C33">
        <f>_xll.ciqfunctions.udf.CIQ("NasdaqGM:AGIX", "IQ_CLOSEPRICE", "2025-07-02", "USD")</f>
        <v>31.26</v>
      </c>
      <c r="D33">
        <f>_xll.ciqfunctions.udf.CIQ("NasdaqGM:SMH", "IQ_CLOSEPRICE", "2025-07-02", "USD")</f>
        <v>281.25</v>
      </c>
      <c r="E33">
        <f>_xll.ciqfunctions.udf.CIQ("BATS:IGV", "IQ_CLOSEPRICE", "2025-07-02", "USD")</f>
        <v>108.81</v>
      </c>
      <c r="F33">
        <f>_xll.ciqfunctions.udf.CIQ("NasdaqGM:BOTZ", "IQ_CLOSEPRICE", "2025-07-02", "USD")</f>
        <v>32.49</v>
      </c>
      <c r="G33">
        <f>_xll.ciqfunctions.udf.CIQ("NasdaqGM:AIQ", "IQ_CLOSEPRICE", "2025-07-02", "USD")</f>
        <v>43.49</v>
      </c>
      <c r="H33">
        <f>_xll.ciqfunctions.udf.CIQ("ARCA:ARTY", "IQ_CLOSEPRICE", "2025-07-02", "USD")</f>
        <v>40.700000000000003</v>
      </c>
      <c r="I33">
        <f>_xll.ciqfunctions.udf.CIQ("NasdaqGM:ROBT", "IQ_CLOSEPRICE", "2025-07-02", "USD")</f>
        <v>48.47</v>
      </c>
      <c r="J33">
        <f>_xll.ciqfunctions.udf.CIQ("ARCA:IGPT", "IQ_CLOSEPRICE", "2025-07-02", "USD")</f>
        <v>48.92</v>
      </c>
      <c r="K33">
        <f>_xll.ciqfunctions.udf.CIQ("BATS:WTAI", "IQ_CLOSEPRICE", "2025-07-02", "USD")</f>
        <v>24.36</v>
      </c>
      <c r="L33">
        <f>_xll.ciqfunctions.udf.CIQ("ARCA:THNQ", "IQ_CLOSEPRICE", "2025-07-02", "USD")</f>
        <v>54.61</v>
      </c>
      <c r="M33">
        <f>_xll.ciqfunctions.udf.CIQ("NasdaqGM:FDTX", "IQ_CLOSEPRICE", "2025-07-02", "USD")</f>
        <v>38.54</v>
      </c>
      <c r="N33">
        <f>_xll.ciqfunctions.udf.CIQ("ARCA:CHAT", "IQ_CLOSEPRICE", "2025-07-02", "USD")</f>
        <v>48.25</v>
      </c>
      <c r="O33">
        <f>_xll.ciqfunctions.udf.CIQ("ARCA:LOUP", "IQ_CLOSEPRICE", "2025-07-02", "USD")</f>
        <v>61.114400000000003</v>
      </c>
      <c r="P33">
        <f>_xll.ciqfunctions.udf.CIQ("ARCA:LRNZ", "IQ_CLOSEPRICE", "2025-07-02", "USD")</f>
        <v>43.842700000000001</v>
      </c>
      <c r="Q33">
        <f>_xll.ciqfunctions.udf.CIQ("ARCA:AIS", "IQ_CLOSEPRICE", "2025-07-02", "USD")</f>
        <v>27.7864</v>
      </c>
      <c r="R33">
        <f>_xll.ciqfunctions.udf.CIQ("NasdaqGM:WISE", "IQ_CLOSEPRICE", "2025-07-02", "USD")</f>
        <v>36.229999999999997</v>
      </c>
      <c r="S33">
        <f>_xll.ciqfunctions.udf.CIQ("LSE:RBOT", "IQ_CLOSEPRICE", "2025-07-02", "USD")</f>
        <v>15.08</v>
      </c>
      <c r="T33">
        <f>_xll.ciqfunctions.udf.CIQ("XTRA:XAIX", "IQ_CLOSEPRICE", "2025-07-02", "USD")</f>
        <v>159.46772999999999</v>
      </c>
      <c r="U33">
        <f>_xll.ciqfunctions.udf.CIQ("BIT:WTAI", "IQ_CLOSEPRICE", "2025-07-02", "USD")</f>
        <v>72.915689999999998</v>
      </c>
      <c r="V33">
        <f>_xll.ciqfunctions.udf.CIQ("LSE:AIAG", "IQ_CLOSEPRICE", "2025-07-02", "USD")</f>
        <v>23.935089999999999</v>
      </c>
      <c r="W33">
        <f>_xll.ciqfunctions.udf.CIQ("ASX:RBTZ", "IQ_CLOSEPRICE", "2025-07-02", "USD")</f>
        <v>9.14466</v>
      </c>
      <c r="X33">
        <f>_xll.ciqfunctions.udf.CIQ("DB:XB0T", "IQ_CLOSEPRICE", "2025-07-02", "USD")</f>
        <v>21.128119999999999</v>
      </c>
    </row>
    <row r="34" spans="1:24" x14ac:dyDescent="0.25">
      <c r="A34" t="s">
        <v>56</v>
      </c>
      <c r="B34">
        <f>_xll.ciqfunctions.udf.CIQ("NasdaqGM:QQQ", "IQ_CLOSEPRICE", "2025-07-01", "USD")</f>
        <v>546.99</v>
      </c>
      <c r="C34">
        <f>_xll.ciqfunctions.udf.CIQ("NasdaqGM:AGIX", "IQ_CLOSEPRICE", "2025-07-01", "USD")</f>
        <v>31.02</v>
      </c>
      <c r="D34">
        <f>_xll.ciqfunctions.udf.CIQ("NasdaqGM:SMH", "IQ_CLOSEPRICE", "2025-07-01", "USD")</f>
        <v>275.83999999999997</v>
      </c>
      <c r="E34">
        <f>_xll.ciqfunctions.udf.CIQ("BATS:IGV", "IQ_CLOSEPRICE", "2025-07-01", "USD")</f>
        <v>108.24</v>
      </c>
      <c r="F34">
        <f>_xll.ciqfunctions.udf.CIQ("NasdaqGM:BOTZ", "IQ_CLOSEPRICE", "2025-07-01", "USD")</f>
        <v>32.14</v>
      </c>
      <c r="G34">
        <f>_xll.ciqfunctions.udf.CIQ("NasdaqGM:AIQ", "IQ_CLOSEPRICE", "2025-07-01", "USD")</f>
        <v>43.2</v>
      </c>
      <c r="H34">
        <f>_xll.ciqfunctions.udf.CIQ("ARCA:ARTY", "IQ_CLOSEPRICE", "2025-07-01", "USD")</f>
        <v>40.42</v>
      </c>
      <c r="I34">
        <f>_xll.ciqfunctions.udf.CIQ("NasdaqGM:ROBT", "IQ_CLOSEPRICE", "2025-07-01", "USD")</f>
        <v>47.99</v>
      </c>
      <c r="J34">
        <f>_xll.ciqfunctions.udf.CIQ("ARCA:IGPT", "IQ_CLOSEPRICE", "2025-07-01", "USD")</f>
        <v>48.4</v>
      </c>
      <c r="K34">
        <f>_xll.ciqfunctions.udf.CIQ("BATS:WTAI", "IQ_CLOSEPRICE", "2025-07-01", "USD")</f>
        <v>24.134</v>
      </c>
      <c r="L34">
        <f>_xll.ciqfunctions.udf.CIQ("ARCA:THNQ", "IQ_CLOSEPRICE", "2025-07-01", "USD")</f>
        <v>53.94</v>
      </c>
      <c r="M34">
        <f>_xll.ciqfunctions.udf.CIQ("NasdaqGM:FDTX", "IQ_CLOSEPRICE", "2025-07-01", "USD")</f>
        <v>38.619999999999997</v>
      </c>
      <c r="N34">
        <f>_xll.ciqfunctions.udf.CIQ("ARCA:CHAT", "IQ_CLOSEPRICE", "2025-07-01", "USD")</f>
        <v>47.99</v>
      </c>
      <c r="O34">
        <f>_xll.ciqfunctions.udf.CIQ("ARCA:LOUP", "IQ_CLOSEPRICE", "2025-07-01", "USD")</f>
        <v>61.005899999999997</v>
      </c>
      <c r="P34">
        <f>_xll.ciqfunctions.udf.CIQ("ARCA:LRNZ", "IQ_CLOSEPRICE", "2025-07-01", "USD")</f>
        <v>43.651000000000003</v>
      </c>
      <c r="Q34">
        <f>_xll.ciqfunctions.udf.CIQ("ARCA:AIS", "IQ_CLOSEPRICE", "2025-07-01", "USD")</f>
        <v>27.62</v>
      </c>
      <c r="R34">
        <f>_xll.ciqfunctions.udf.CIQ("NasdaqGM:WISE", "IQ_CLOSEPRICE", "2025-07-01", "USD")</f>
        <v>35.799999999999997</v>
      </c>
      <c r="S34">
        <f>_xll.ciqfunctions.udf.CIQ("LSE:RBOT", "IQ_CLOSEPRICE", "2025-07-01", "USD")</f>
        <v>14.9925</v>
      </c>
      <c r="T34">
        <f>_xll.ciqfunctions.udf.CIQ("XTRA:XAIX", "IQ_CLOSEPRICE", "2025-07-01", "USD")</f>
        <v>158.98764</v>
      </c>
      <c r="U34">
        <f>_xll.ciqfunctions.udf.CIQ("BIT:WTAI", "IQ_CLOSEPRICE", "2025-07-01", "USD")</f>
        <v>71.924660000000003</v>
      </c>
      <c r="V34">
        <f>_xll.ciqfunctions.udf.CIQ("LSE:AIAG", "IQ_CLOSEPRICE", "2025-07-01", "USD")</f>
        <v>23.74849</v>
      </c>
      <c r="W34">
        <f>_xll.ciqfunctions.udf.CIQ("ASX:RBTZ", "IQ_CLOSEPRICE", "2025-07-01", "USD")</f>
        <v>9.1792499999999997</v>
      </c>
      <c r="X34">
        <f>_xll.ciqfunctions.udf.CIQ("DB:XB0T", "IQ_CLOSEPRICE", "2025-07-01", "USD")</f>
        <v>21.34667</v>
      </c>
    </row>
    <row r="35" spans="1:24" x14ac:dyDescent="0.25">
      <c r="A35" t="s">
        <v>57</v>
      </c>
      <c r="B35">
        <f>_xll.ciqfunctions.udf.CIQ("NasdaqGM:QQQ", "IQ_CLOSEPRICE", "2025-06-30", "USD")</f>
        <v>551.64</v>
      </c>
      <c r="C35">
        <f>_xll.ciqfunctions.udf.CIQ("NasdaqGM:AGIX", "IQ_CLOSEPRICE", "2025-06-30", "USD")</f>
        <v>31.715</v>
      </c>
      <c r="D35">
        <f>_xll.ciqfunctions.udf.CIQ("NasdaqGM:SMH", "IQ_CLOSEPRICE", "2025-06-30", "USD")</f>
        <v>278.88</v>
      </c>
      <c r="E35">
        <f>_xll.ciqfunctions.udf.CIQ("BATS:IGV", "IQ_CLOSEPRICE", "2025-06-30", "USD")</f>
        <v>109.5</v>
      </c>
      <c r="F35">
        <f>_xll.ciqfunctions.udf.CIQ("NasdaqGM:BOTZ", "IQ_CLOSEPRICE", "2025-06-30", "USD")</f>
        <v>32.65</v>
      </c>
      <c r="G35">
        <f>_xll.ciqfunctions.udf.CIQ("NasdaqGM:AIQ", "IQ_CLOSEPRICE", "2025-06-30", "USD")</f>
        <v>43.69</v>
      </c>
      <c r="H35">
        <f>_xll.ciqfunctions.udf.CIQ("ARCA:ARTY", "IQ_CLOSEPRICE", "2025-06-30", "USD")</f>
        <v>41</v>
      </c>
      <c r="I35">
        <f>_xll.ciqfunctions.udf.CIQ("NasdaqGM:ROBT", "IQ_CLOSEPRICE", "2025-06-30", "USD")</f>
        <v>48.3</v>
      </c>
      <c r="J35">
        <f>_xll.ciqfunctions.udf.CIQ("ARCA:IGPT", "IQ_CLOSEPRICE", "2025-06-30", "USD")</f>
        <v>49.145000000000003</v>
      </c>
      <c r="K35">
        <f>_xll.ciqfunctions.udf.CIQ("BATS:WTAI", "IQ_CLOSEPRICE", "2025-06-30", "USD")</f>
        <v>24.56</v>
      </c>
      <c r="L35">
        <f>_xll.ciqfunctions.udf.CIQ("ARCA:THNQ", "IQ_CLOSEPRICE", "2025-06-30", "USD")</f>
        <v>55</v>
      </c>
      <c r="M35">
        <f>_xll.ciqfunctions.udf.CIQ("NasdaqGM:FDTX", "IQ_CLOSEPRICE", "2025-06-30", "USD")</f>
        <v>39.01</v>
      </c>
      <c r="N35">
        <f>_xll.ciqfunctions.udf.CIQ("ARCA:CHAT", "IQ_CLOSEPRICE", "2025-06-30", "USD")</f>
        <v>48.78</v>
      </c>
      <c r="O35">
        <f>_xll.ciqfunctions.udf.CIQ("ARCA:LOUP", "IQ_CLOSEPRICE", "2025-06-30", "USD")</f>
        <v>62.61</v>
      </c>
      <c r="P35">
        <f>_xll.ciqfunctions.udf.CIQ("ARCA:LRNZ", "IQ_CLOSEPRICE", "2025-06-30", "USD")</f>
        <v>44.7288</v>
      </c>
      <c r="Q35">
        <f>_xll.ciqfunctions.udf.CIQ("ARCA:AIS", "IQ_CLOSEPRICE", "2025-06-30", "USD")</f>
        <v>28.125</v>
      </c>
      <c r="R35">
        <f>_xll.ciqfunctions.udf.CIQ("NasdaqGM:WISE", "IQ_CLOSEPRICE", "2025-06-30", "USD")</f>
        <v>36.159999999999997</v>
      </c>
      <c r="S35">
        <f>_xll.ciqfunctions.udf.CIQ("LSE:RBOT", "IQ_CLOSEPRICE", "2025-06-30", "USD")</f>
        <v>15.065</v>
      </c>
      <c r="T35">
        <f>_xll.ciqfunctions.udf.CIQ("XTRA:XAIX", "IQ_CLOSEPRICE", "2025-06-30", "USD")</f>
        <v>160.82208</v>
      </c>
      <c r="U35">
        <f>_xll.ciqfunctions.udf.CIQ("BIT:WTAI", "IQ_CLOSEPRICE", "2025-06-30", "USD")</f>
        <v>72.753960000000006</v>
      </c>
      <c r="V35">
        <f>_xll.ciqfunctions.udf.CIQ("LSE:AIAG", "IQ_CLOSEPRICE", "2025-06-30", "USD")</f>
        <v>24.186869999999999</v>
      </c>
      <c r="W35">
        <f>_xll.ciqfunctions.udf.CIQ("ASX:RBTZ", "IQ_CLOSEPRICE", "2025-06-30", "USD")</f>
        <v>9.4210999999999991</v>
      </c>
      <c r="X35">
        <f>_xll.ciqfunctions.udf.CIQ("DB:XB0T", "IQ_CLOSEPRICE", "2025-06-30", "USD")</f>
        <v>21.47504</v>
      </c>
    </row>
    <row r="36" spans="1:24" x14ac:dyDescent="0.25">
      <c r="A36" t="s">
        <v>58</v>
      </c>
      <c r="B36">
        <f>_xll.ciqfunctions.udf.CIQ("NasdaqGM:QQQ", "IQ_CLOSEPRICE", "2025-06-27", "USD")</f>
        <v>548.09</v>
      </c>
      <c r="C36">
        <f>_xll.ciqfunctions.udf.CIQ("NasdaqGM:AGIX", "IQ_CLOSEPRICE", "2025-06-27", "USD")</f>
        <v>31.65</v>
      </c>
      <c r="D36">
        <f>_xll.ciqfunctions.udf.CIQ("NasdaqGM:SMH", "IQ_CLOSEPRICE", "2025-06-27", "USD")</f>
        <v>278.42</v>
      </c>
      <c r="E36">
        <f>_xll.ciqfunctions.udf.CIQ("BATS:IGV", "IQ_CLOSEPRICE", "2025-06-27", "USD")</f>
        <v>107.78</v>
      </c>
      <c r="F36">
        <f>_xll.ciqfunctions.udf.CIQ("NasdaqGM:BOTZ", "IQ_CLOSEPRICE", "2025-06-27", "USD")</f>
        <v>32.520000000000003</v>
      </c>
      <c r="G36">
        <f>_xll.ciqfunctions.udf.CIQ("NasdaqGM:AIQ", "IQ_CLOSEPRICE", "2025-06-27", "USD")</f>
        <v>43.37</v>
      </c>
      <c r="H36">
        <f>_xll.ciqfunctions.udf.CIQ("ARCA:ARTY", "IQ_CLOSEPRICE", "2025-06-27", "USD")</f>
        <v>40.64</v>
      </c>
      <c r="I36">
        <f>_xll.ciqfunctions.udf.CIQ("NasdaqGM:ROBT", "IQ_CLOSEPRICE", "2025-06-27", "USD")</f>
        <v>48.08</v>
      </c>
      <c r="J36">
        <f>_xll.ciqfunctions.udf.CIQ("ARCA:IGPT", "IQ_CLOSEPRICE", "2025-06-27", "USD")</f>
        <v>48.85</v>
      </c>
      <c r="K36">
        <f>_xll.ciqfunctions.udf.CIQ("BATS:WTAI", "IQ_CLOSEPRICE", "2025-06-27", "USD")</f>
        <v>24.31</v>
      </c>
      <c r="L36">
        <f>_xll.ciqfunctions.udf.CIQ("ARCA:THNQ", "IQ_CLOSEPRICE", "2025-06-27", "USD")</f>
        <v>54.58</v>
      </c>
      <c r="M36">
        <f>_xll.ciqfunctions.udf.CIQ("NasdaqGM:FDTX", "IQ_CLOSEPRICE", "2025-06-27", "USD")</f>
        <v>38.9</v>
      </c>
      <c r="N36">
        <f>_xll.ciqfunctions.udf.CIQ("ARCA:CHAT", "IQ_CLOSEPRICE", "2025-06-27", "USD")</f>
        <v>48.26</v>
      </c>
      <c r="O36">
        <f>_xll.ciqfunctions.udf.CIQ("ARCA:LOUP", "IQ_CLOSEPRICE", "2025-06-27", "USD")</f>
        <v>61.338900000000002</v>
      </c>
      <c r="P36">
        <f>_xll.ciqfunctions.udf.CIQ("ARCA:LRNZ", "IQ_CLOSEPRICE", "2025-06-27", "USD")</f>
        <v>44.543500000000002</v>
      </c>
      <c r="Q36">
        <f>_xll.ciqfunctions.udf.CIQ("ARCA:AIS", "IQ_CLOSEPRICE", "2025-06-27", "USD")</f>
        <v>27.9284</v>
      </c>
      <c r="R36">
        <f>_xll.ciqfunctions.udf.CIQ("NasdaqGM:WISE", "IQ_CLOSEPRICE", "2025-06-27", "USD")</f>
        <v>35.954999999999998</v>
      </c>
      <c r="S36">
        <f>_xll.ciqfunctions.udf.CIQ("LSE:RBOT", "IQ_CLOSEPRICE", "2025-06-27", "USD")</f>
        <v>15.085000000000001</v>
      </c>
      <c r="T36">
        <f>_xll.ciqfunctions.udf.CIQ("XTRA:XAIX", "IQ_CLOSEPRICE", "2025-06-27", "USD")</f>
        <v>160.18745999999999</v>
      </c>
      <c r="U36">
        <f>_xll.ciqfunctions.udf.CIQ("BIT:WTAI", "IQ_CLOSEPRICE", "2025-06-27", "USD")</f>
        <v>72.724080000000001</v>
      </c>
      <c r="V36">
        <f>_xll.ciqfunctions.udf.CIQ("LSE:AIAG", "IQ_CLOSEPRICE", "2025-06-27", "USD")</f>
        <v>24.106200000000001</v>
      </c>
      <c r="W36">
        <f>_xll.ciqfunctions.udf.CIQ("ASX:RBTZ", "IQ_CLOSEPRICE", "2025-06-27", "USD")</f>
        <v>9.2904699999999991</v>
      </c>
      <c r="X36">
        <f>_xll.ciqfunctions.udf.CIQ("DB:XB0T", "IQ_CLOSEPRICE", "2025-06-27", "USD")</f>
        <v>21.319269999999999</v>
      </c>
    </row>
    <row r="37" spans="1:24" x14ac:dyDescent="0.25">
      <c r="A37" t="s">
        <v>59</v>
      </c>
      <c r="B37">
        <f>_xll.ciqfunctions.udf.CIQ("NasdaqGM:QQQ", "IQ_CLOSEPRICE", "2025-06-26", "USD")</f>
        <v>546.22</v>
      </c>
      <c r="C37">
        <f>_xll.ciqfunctions.udf.CIQ("NasdaqGM:AGIX", "IQ_CLOSEPRICE", "2025-06-26", "USD")</f>
        <v>31.47</v>
      </c>
      <c r="D37">
        <f>_xll.ciqfunctions.udf.CIQ("NasdaqGM:SMH", "IQ_CLOSEPRICE", "2025-06-26", "USD")</f>
        <v>277.2</v>
      </c>
      <c r="E37">
        <f>_xll.ciqfunctions.udf.CIQ("BATS:IGV", "IQ_CLOSEPRICE", "2025-06-26", "USD")</f>
        <v>108.71</v>
      </c>
      <c r="F37">
        <f>_xll.ciqfunctions.udf.CIQ("NasdaqGM:BOTZ", "IQ_CLOSEPRICE", "2025-06-26", "USD")</f>
        <v>32.28</v>
      </c>
      <c r="G37">
        <f>_xll.ciqfunctions.udf.CIQ("NasdaqGM:AIQ", "IQ_CLOSEPRICE", "2025-06-26", "USD")</f>
        <v>43.48</v>
      </c>
      <c r="H37">
        <f>_xll.ciqfunctions.udf.CIQ("ARCA:ARTY", "IQ_CLOSEPRICE", "2025-06-26", "USD")</f>
        <v>40.71</v>
      </c>
      <c r="I37">
        <f>_xll.ciqfunctions.udf.CIQ("NasdaqGM:ROBT", "IQ_CLOSEPRICE", "2025-06-26", "USD")</f>
        <v>48.02</v>
      </c>
      <c r="J37">
        <f>_xll.ciqfunctions.udf.CIQ("ARCA:IGPT", "IQ_CLOSEPRICE", "2025-06-26", "USD")</f>
        <v>48.59</v>
      </c>
      <c r="K37">
        <f>_xll.ciqfunctions.udf.CIQ("BATS:WTAI", "IQ_CLOSEPRICE", "2025-06-26", "USD")</f>
        <v>24.42</v>
      </c>
      <c r="L37">
        <f>_xll.ciqfunctions.udf.CIQ("ARCA:THNQ", "IQ_CLOSEPRICE", "2025-06-26", "USD")</f>
        <v>54.58</v>
      </c>
      <c r="M37">
        <f>_xll.ciqfunctions.udf.CIQ("NasdaqGM:FDTX", "IQ_CLOSEPRICE", "2025-06-26", "USD")</f>
        <v>38.619999999999997</v>
      </c>
      <c r="N37">
        <f>_xll.ciqfunctions.udf.CIQ("ARCA:CHAT", "IQ_CLOSEPRICE", "2025-06-26", "USD")</f>
        <v>48.58</v>
      </c>
      <c r="O37">
        <f>_xll.ciqfunctions.udf.CIQ("ARCA:LOUP", "IQ_CLOSEPRICE", "2025-06-26", "USD")</f>
        <v>61.688699999999997</v>
      </c>
      <c r="P37">
        <f>_xll.ciqfunctions.udf.CIQ("ARCA:LRNZ", "IQ_CLOSEPRICE", "2025-06-26", "USD")</f>
        <v>44.25</v>
      </c>
      <c r="Q37">
        <f>_xll.ciqfunctions.udf.CIQ("ARCA:AIS", "IQ_CLOSEPRICE", "2025-06-26", "USD")</f>
        <v>28.0062</v>
      </c>
      <c r="R37">
        <f>_xll.ciqfunctions.udf.CIQ("NasdaqGM:WISE", "IQ_CLOSEPRICE", "2025-06-26", "USD")</f>
        <v>35.86</v>
      </c>
      <c r="S37">
        <f>_xll.ciqfunctions.udf.CIQ("LSE:RBOT", "IQ_CLOSEPRICE", "2025-06-26", "USD")</f>
        <v>14.925000000000001</v>
      </c>
      <c r="T37">
        <f>_xll.ciqfunctions.udf.CIQ("XTRA:XAIX", "IQ_CLOSEPRICE", "2025-06-26", "USD")</f>
        <v>159.10154</v>
      </c>
      <c r="U37">
        <f>_xll.ciqfunctions.udf.CIQ("BIT:WTAI", "IQ_CLOSEPRICE", "2025-06-26", "USD")</f>
        <v>72.332710000000006</v>
      </c>
      <c r="V37">
        <f>_xll.ciqfunctions.udf.CIQ("LSE:AIAG", "IQ_CLOSEPRICE", "2025-06-26", "USD")</f>
        <v>23.922450000000001</v>
      </c>
      <c r="W37">
        <f>_xll.ciqfunctions.udf.CIQ("ASX:RBTZ", "IQ_CLOSEPRICE", "2025-06-26", "USD")</f>
        <v>9.1301799999999993</v>
      </c>
      <c r="X37">
        <f>_xll.ciqfunctions.udf.CIQ("DB:XB0T", "IQ_CLOSEPRICE", "2025-06-26", "USD")</f>
        <v>20.849319999999999</v>
      </c>
    </row>
    <row r="38" spans="1:24" x14ac:dyDescent="0.25">
      <c r="A38" t="s">
        <v>60</v>
      </c>
      <c r="B38">
        <f>_xll.ciqfunctions.udf.CIQ("NasdaqGM:QQQ", "IQ_CLOSEPRICE", "2025-06-25", "USD")</f>
        <v>541.16</v>
      </c>
      <c r="C38">
        <f>_xll.ciqfunctions.udf.CIQ("NasdaqGM:AGIX", "IQ_CLOSEPRICE", "2025-06-25", "USD")</f>
        <v>30.78</v>
      </c>
      <c r="D38">
        <f>_xll.ciqfunctions.udf.CIQ("NasdaqGM:SMH", "IQ_CLOSEPRICE", "2025-06-25", "USD")</f>
        <v>275.2</v>
      </c>
      <c r="E38">
        <f>_xll.ciqfunctions.udf.CIQ("BATS:IGV", "IQ_CLOSEPRICE", "2025-06-25", "USD")</f>
        <v>107.77</v>
      </c>
      <c r="F38">
        <f>_xll.ciqfunctions.udf.CIQ("NasdaqGM:BOTZ", "IQ_CLOSEPRICE", "2025-06-25", "USD")</f>
        <v>31.54</v>
      </c>
      <c r="G38">
        <f>_xll.ciqfunctions.udf.CIQ("NasdaqGM:AIQ", "IQ_CLOSEPRICE", "2025-06-25", "USD")</f>
        <v>43.08</v>
      </c>
      <c r="H38">
        <f>_xll.ciqfunctions.udf.CIQ("ARCA:ARTY", "IQ_CLOSEPRICE", "2025-06-25", "USD")</f>
        <v>40.04</v>
      </c>
      <c r="I38">
        <f>_xll.ciqfunctions.udf.CIQ("NasdaqGM:ROBT", "IQ_CLOSEPRICE", "2025-06-25", "USD")</f>
        <v>47.13</v>
      </c>
      <c r="J38">
        <f>_xll.ciqfunctions.udf.CIQ("ARCA:IGPT", "IQ_CLOSEPRICE", "2025-06-25", "USD")</f>
        <v>48.29</v>
      </c>
      <c r="K38">
        <f>_xll.ciqfunctions.udf.CIQ("BATS:WTAI", "IQ_CLOSEPRICE", "2025-06-25", "USD")</f>
        <v>24.05</v>
      </c>
      <c r="L38">
        <f>_xll.ciqfunctions.udf.CIQ("ARCA:THNQ", "IQ_CLOSEPRICE", "2025-06-25", "USD")</f>
        <v>53.749899999999997</v>
      </c>
      <c r="M38">
        <f>_xll.ciqfunctions.udf.CIQ("NasdaqGM:FDTX", "IQ_CLOSEPRICE", "2025-06-25", "USD")</f>
        <v>38.15</v>
      </c>
      <c r="N38">
        <f>_xll.ciqfunctions.udf.CIQ("ARCA:CHAT", "IQ_CLOSEPRICE", "2025-06-25", "USD")</f>
        <v>47.69</v>
      </c>
      <c r="O38">
        <f>_xll.ciqfunctions.udf.CIQ("ARCA:LOUP", "IQ_CLOSEPRICE", "2025-06-25", "USD")</f>
        <v>60.415100000000002</v>
      </c>
      <c r="P38">
        <f>_xll.ciqfunctions.udf.CIQ("ARCA:LRNZ", "IQ_CLOSEPRICE", "2025-06-25", "USD")</f>
        <v>43.837000000000003</v>
      </c>
      <c r="Q38">
        <f>_xll.ciqfunctions.udf.CIQ("ARCA:AIS", "IQ_CLOSEPRICE", "2025-06-25", "USD")</f>
        <v>27.6768</v>
      </c>
      <c r="R38">
        <f>_xll.ciqfunctions.udf.CIQ("NasdaqGM:WISE", "IQ_CLOSEPRICE", "2025-06-25", "USD")</f>
        <v>35.21</v>
      </c>
      <c r="S38">
        <f>_xll.ciqfunctions.udf.CIQ("LSE:RBOT", "IQ_CLOSEPRICE", "2025-06-25", "USD")</f>
        <v>14.734999999999999</v>
      </c>
      <c r="T38">
        <f>_xll.ciqfunctions.udf.CIQ("XTRA:XAIX", "IQ_CLOSEPRICE", "2025-06-25", "USD")</f>
        <v>158.21415999999999</v>
      </c>
      <c r="U38">
        <f>_xll.ciqfunctions.udf.CIQ("BIT:WTAI", "IQ_CLOSEPRICE", "2025-06-25", "USD")</f>
        <v>71.445179999999993</v>
      </c>
      <c r="V38">
        <f>_xll.ciqfunctions.udf.CIQ("LSE:AIAG", "IQ_CLOSEPRICE", "2025-06-25", "USD")</f>
        <v>23.589580000000002</v>
      </c>
      <c r="W38">
        <f>_xll.ciqfunctions.udf.CIQ("ASX:RBTZ", "IQ_CLOSEPRICE", "2025-06-25", "USD")</f>
        <v>8.9640400000000007</v>
      </c>
      <c r="X38">
        <f>_xll.ciqfunctions.udf.CIQ("DB:XB0T", "IQ_CLOSEPRICE", "2025-06-25", "USD")</f>
        <v>20.67201</v>
      </c>
    </row>
    <row r="39" spans="1:24" x14ac:dyDescent="0.25">
      <c r="A39" t="s">
        <v>61</v>
      </c>
      <c r="B39">
        <f>_xll.ciqfunctions.udf.CIQ("NasdaqGM:QQQ", "IQ_CLOSEPRICE", "2025-06-24", "USD")</f>
        <v>539.78</v>
      </c>
      <c r="C39">
        <f>_xll.ciqfunctions.udf.CIQ("NasdaqGM:AGIX", "IQ_CLOSEPRICE", "2025-06-24", "USD")</f>
        <v>30.94</v>
      </c>
      <c r="D39">
        <f>_xll.ciqfunctions.udf.CIQ("NasdaqGM:SMH", "IQ_CLOSEPRICE", "2025-06-24", "USD")</f>
        <v>271.54000000000002</v>
      </c>
      <c r="E39">
        <f>_xll.ciqfunctions.udf.CIQ("BATS:IGV", "IQ_CLOSEPRICE", "2025-06-24", "USD")</f>
        <v>108.05</v>
      </c>
      <c r="F39">
        <f>_xll.ciqfunctions.udf.CIQ("NasdaqGM:BOTZ", "IQ_CLOSEPRICE", "2025-06-24", "USD")</f>
        <v>31.44</v>
      </c>
      <c r="G39">
        <f>_xll.ciqfunctions.udf.CIQ("NasdaqGM:AIQ", "IQ_CLOSEPRICE", "2025-06-24", "USD")</f>
        <v>43.1</v>
      </c>
      <c r="H39">
        <f>_xll.ciqfunctions.udf.CIQ("ARCA:ARTY", "IQ_CLOSEPRICE", "2025-06-24", "USD")</f>
        <v>39.659999999999997</v>
      </c>
      <c r="I39">
        <f>_xll.ciqfunctions.udf.CIQ("NasdaqGM:ROBT", "IQ_CLOSEPRICE", "2025-06-24", "USD")</f>
        <v>46.95</v>
      </c>
      <c r="J39">
        <f>_xll.ciqfunctions.udf.CIQ("ARCA:IGPT", "IQ_CLOSEPRICE", "2025-06-24", "USD")</f>
        <v>47.93</v>
      </c>
      <c r="K39">
        <f>_xll.ciqfunctions.udf.CIQ("BATS:WTAI", "IQ_CLOSEPRICE", "2025-06-24", "USD")</f>
        <v>23.93</v>
      </c>
      <c r="L39">
        <f>_xll.ciqfunctions.udf.CIQ("ARCA:THNQ", "IQ_CLOSEPRICE", "2025-06-24", "USD")</f>
        <v>53.36</v>
      </c>
      <c r="M39">
        <f>_xll.ciqfunctions.udf.CIQ("NasdaqGM:FDTX", "IQ_CLOSEPRICE", "2025-06-24", "USD")</f>
        <v>38.041200000000003</v>
      </c>
      <c r="N39">
        <f>_xll.ciqfunctions.udf.CIQ("ARCA:CHAT", "IQ_CLOSEPRICE", "2025-06-24", "USD")</f>
        <v>47.53</v>
      </c>
      <c r="O39">
        <f>_xll.ciqfunctions.udf.CIQ("ARCA:LOUP", "IQ_CLOSEPRICE", "2025-06-24", "USD")</f>
        <v>59.938000000000002</v>
      </c>
      <c r="P39">
        <f>_xll.ciqfunctions.udf.CIQ("ARCA:LRNZ", "IQ_CLOSEPRICE", "2025-06-24", "USD")</f>
        <v>43.739699999999999</v>
      </c>
      <c r="Q39">
        <f>_xll.ciqfunctions.udf.CIQ("ARCA:AIS", "IQ_CLOSEPRICE", "2025-06-24", "USD")</f>
        <v>27.59</v>
      </c>
      <c r="R39">
        <f>_xll.ciqfunctions.udf.CIQ("NasdaqGM:WISE", "IQ_CLOSEPRICE", "2025-06-24", "USD")</f>
        <v>35.35</v>
      </c>
      <c r="S39">
        <f>_xll.ciqfunctions.udf.CIQ("LSE:RBOT", "IQ_CLOSEPRICE", "2025-06-24", "USD")</f>
        <v>14.705</v>
      </c>
      <c r="T39">
        <f>_xll.ciqfunctions.udf.CIQ("XTRA:XAIX", "IQ_CLOSEPRICE", "2025-06-24", "USD")</f>
        <v>157.76253</v>
      </c>
      <c r="U39">
        <f>_xll.ciqfunctions.udf.CIQ("BIT:WTAI", "IQ_CLOSEPRICE", "2025-06-24", "USD")</f>
        <v>71.601349999999996</v>
      </c>
      <c r="V39">
        <f>_xll.ciqfunctions.udf.CIQ("LSE:AIAG", "IQ_CLOSEPRICE", "2025-06-24", "USD")</f>
        <v>23.47587</v>
      </c>
      <c r="W39">
        <f>_xll.ciqfunctions.udf.CIQ("ASX:RBTZ", "IQ_CLOSEPRICE", "2025-06-24", "USD")</f>
        <v>8.9778599999999997</v>
      </c>
      <c r="X39">
        <f>_xll.ciqfunctions.udf.CIQ("DB:XB0T", "IQ_CLOSEPRICE", "2025-06-24", "USD")</f>
        <v>20.520990000000001</v>
      </c>
    </row>
    <row r="40" spans="1:24" x14ac:dyDescent="0.25">
      <c r="A40" t="s">
        <v>62</v>
      </c>
      <c r="B40">
        <f>_xll.ciqfunctions.udf.CIQ("NasdaqGM:QQQ", "IQ_CLOSEPRICE", "2025-06-23", "USD")</f>
        <v>531.65</v>
      </c>
      <c r="C40">
        <f>_xll.ciqfunctions.udf.CIQ("NasdaqGM:AGIX", "IQ_CLOSEPRICE", "2025-06-23", "USD")</f>
        <v>30.24</v>
      </c>
      <c r="D40">
        <f>_xll.ciqfunctions.udf.CIQ("NasdaqGM:SMH", "IQ_CLOSEPRICE", "2025-06-23", "USD")</f>
        <v>261.92</v>
      </c>
      <c r="E40">
        <f>_xll.ciqfunctions.udf.CIQ("BATS:IGV", "IQ_CLOSEPRICE", "2025-06-23", "USD")</f>
        <v>106.37</v>
      </c>
      <c r="F40">
        <f>_xll.ciqfunctions.udf.CIQ("NasdaqGM:BOTZ", "IQ_CLOSEPRICE", "2025-06-23", "USD")</f>
        <v>30.74</v>
      </c>
      <c r="G40">
        <f>_xll.ciqfunctions.udf.CIQ("NasdaqGM:AIQ", "IQ_CLOSEPRICE", "2025-06-23", "USD")</f>
        <v>41.96</v>
      </c>
      <c r="H40">
        <f>_xll.ciqfunctions.udf.CIQ("ARCA:ARTY", "IQ_CLOSEPRICE", "2025-06-23", "USD")</f>
        <v>38.56</v>
      </c>
      <c r="I40">
        <f>_xll.ciqfunctions.udf.CIQ("NasdaqGM:ROBT", "IQ_CLOSEPRICE", "2025-06-23", "USD")</f>
        <v>45.83</v>
      </c>
      <c r="J40">
        <f>_xll.ciqfunctions.udf.CIQ("ARCA:IGPT", "IQ_CLOSEPRICE", "2025-06-23", "USD")</f>
        <v>46.6</v>
      </c>
      <c r="K40">
        <f>_xll.ciqfunctions.udf.CIQ("BATS:WTAI", "IQ_CLOSEPRICE", "2025-06-23", "USD")</f>
        <v>23.2</v>
      </c>
      <c r="L40">
        <f>_xll.ciqfunctions.udf.CIQ("ARCA:THNQ", "IQ_CLOSEPRICE", "2025-06-23", "USD")</f>
        <v>52.03</v>
      </c>
      <c r="M40">
        <f>_xll.ciqfunctions.udf.CIQ("NasdaqGM:FDTX", "IQ_CLOSEPRICE", "2025-06-23", "USD")</f>
        <v>37.115000000000002</v>
      </c>
      <c r="N40">
        <f>_xll.ciqfunctions.udf.CIQ("ARCA:CHAT", "IQ_CLOSEPRICE", "2025-06-23", "USD")</f>
        <v>45.95</v>
      </c>
      <c r="O40">
        <f>_xll.ciqfunctions.udf.CIQ("ARCA:LOUP", "IQ_CLOSEPRICE", "2025-06-23", "USD")</f>
        <v>57.820099999999996</v>
      </c>
      <c r="P40">
        <f>_xll.ciqfunctions.udf.CIQ("ARCA:LRNZ", "IQ_CLOSEPRICE", "2025-06-23", "USD")</f>
        <v>42.945</v>
      </c>
      <c r="Q40">
        <f>_xll.ciqfunctions.udf.CIQ("ARCA:AIS", "IQ_CLOSEPRICE", "2025-06-23", "USD")</f>
        <v>26.426500000000001</v>
      </c>
      <c r="R40">
        <f>_xll.ciqfunctions.udf.CIQ("NasdaqGM:WISE", "IQ_CLOSEPRICE", "2025-06-23", "USD")</f>
        <v>33.895000000000003</v>
      </c>
      <c r="S40">
        <f>_xll.ciqfunctions.udf.CIQ("LSE:RBOT", "IQ_CLOSEPRICE", "2025-06-23", "USD")</f>
        <v>14.365</v>
      </c>
      <c r="T40">
        <f>_xll.ciqfunctions.udf.CIQ("XTRA:XAIX", "IQ_CLOSEPRICE", "2025-06-23", "USD")</f>
        <v>153.67035999999999</v>
      </c>
      <c r="U40">
        <f>_xll.ciqfunctions.udf.CIQ("BIT:WTAI", "IQ_CLOSEPRICE", "2025-06-23", "USD")</f>
        <v>69.344409999999996</v>
      </c>
      <c r="V40">
        <f>_xll.ciqfunctions.udf.CIQ("LSE:AIAG", "IQ_CLOSEPRICE", "2025-06-23", "USD")</f>
        <v>22.881679999999999</v>
      </c>
      <c r="W40">
        <f>_xll.ciqfunctions.udf.CIQ("ASX:RBTZ", "IQ_CLOSEPRICE", "2025-06-23", "USD")</f>
        <v>8.8064900000000002</v>
      </c>
      <c r="X40">
        <f>_xll.ciqfunctions.udf.CIQ("DB:XB0T", "IQ_CLOSEPRICE", "2025-06-23", "USD")</f>
        <v>20.16159</v>
      </c>
    </row>
    <row r="41" spans="1:24" x14ac:dyDescent="0.25">
      <c r="A41" t="s">
        <v>63</v>
      </c>
      <c r="B41">
        <f>_xll.ciqfunctions.udf.CIQ("NasdaqGM:QQQ", "IQ_CLOSEPRICE", "2025-06-20", "USD")</f>
        <v>526.83000000000004</v>
      </c>
      <c r="C41">
        <f>_xll.ciqfunctions.udf.CIQ("NasdaqGM:AGIX", "IQ_CLOSEPRICE", "2025-06-20", "USD")</f>
        <v>30</v>
      </c>
      <c r="D41">
        <f>_xll.ciqfunctions.udf.CIQ("NasdaqGM:SMH", "IQ_CLOSEPRICE", "2025-06-20", "USD")</f>
        <v>260.27</v>
      </c>
      <c r="E41">
        <f>_xll.ciqfunctions.udf.CIQ("BATS:IGV", "IQ_CLOSEPRICE", "2025-06-20", "USD")</f>
        <v>105.11</v>
      </c>
      <c r="F41">
        <f>_xll.ciqfunctions.udf.CIQ("NasdaqGM:BOTZ", "IQ_CLOSEPRICE", "2025-06-20", "USD")</f>
        <v>30.45</v>
      </c>
      <c r="G41">
        <f>_xll.ciqfunctions.udf.CIQ("NasdaqGM:AIQ", "IQ_CLOSEPRICE", "2025-06-20", "USD")</f>
        <v>41.5</v>
      </c>
      <c r="H41">
        <f>_xll.ciqfunctions.udf.CIQ("ARCA:ARTY", "IQ_CLOSEPRICE", "2025-06-20", "USD")</f>
        <v>38.44</v>
      </c>
      <c r="I41">
        <f>_xll.ciqfunctions.udf.CIQ("NasdaqGM:ROBT", "IQ_CLOSEPRICE", "2025-06-20", "USD")</f>
        <v>45.57</v>
      </c>
      <c r="J41">
        <f>_xll.ciqfunctions.udf.CIQ("ARCA:IGPT", "IQ_CLOSEPRICE", "2025-06-20", "USD")</f>
        <v>46.35</v>
      </c>
      <c r="K41">
        <f>_xll.ciqfunctions.udf.CIQ("BATS:WTAI", "IQ_CLOSEPRICE", "2025-06-20", "USD")</f>
        <v>23.06</v>
      </c>
      <c r="L41">
        <f>_xll.ciqfunctions.udf.CIQ("ARCA:THNQ", "IQ_CLOSEPRICE", "2025-06-20", "USD")</f>
        <v>51.72</v>
      </c>
      <c r="M41">
        <f>_xll.ciqfunctions.udf.CIQ("NasdaqGM:FDTX", "IQ_CLOSEPRICE", "2025-06-20", "USD")</f>
        <v>36.799999999999997</v>
      </c>
      <c r="N41">
        <f>_xll.ciqfunctions.udf.CIQ("ARCA:CHAT", "IQ_CLOSEPRICE", "2025-06-20", "USD")</f>
        <v>46.03</v>
      </c>
      <c r="O41">
        <f>_xll.ciqfunctions.udf.CIQ("ARCA:LOUP", "IQ_CLOSEPRICE", "2025-06-20", "USD")</f>
        <v>57.518300000000004</v>
      </c>
      <c r="P41">
        <f>_xll.ciqfunctions.udf.CIQ("ARCA:LRNZ", "IQ_CLOSEPRICE", "2025-06-20", "USD")</f>
        <v>42.484999999999999</v>
      </c>
      <c r="Q41">
        <f>_xll.ciqfunctions.udf.CIQ("ARCA:AIS", "IQ_CLOSEPRICE", "2025-06-20", "USD")</f>
        <v>26.334900000000001</v>
      </c>
      <c r="R41">
        <f>_xll.ciqfunctions.udf.CIQ("NasdaqGM:WISE", "IQ_CLOSEPRICE", "2025-06-20", "USD")</f>
        <v>34.03</v>
      </c>
      <c r="S41">
        <f>_xll.ciqfunctions.udf.CIQ("LSE:RBOT", "IQ_CLOSEPRICE", "2025-06-20", "USD")</f>
        <v>14.365</v>
      </c>
      <c r="T41">
        <f>_xll.ciqfunctions.udf.CIQ("XTRA:XAIX", "IQ_CLOSEPRICE", "2025-06-20", "USD")</f>
        <v>153.90823</v>
      </c>
      <c r="U41">
        <f>_xll.ciqfunctions.udf.CIQ("BIT:WTAI", "IQ_CLOSEPRICE", "2025-06-20", "USD")</f>
        <v>69.518100000000004</v>
      </c>
      <c r="V41">
        <f>_xll.ciqfunctions.udf.CIQ("LSE:AIAG", "IQ_CLOSEPRICE", "2025-06-20", "USD")</f>
        <v>22.837050000000001</v>
      </c>
      <c r="W41">
        <f>_xll.ciqfunctions.udf.CIQ("ASX:RBTZ", "IQ_CLOSEPRICE", "2025-06-20", "USD")</f>
        <v>8.8465299999999996</v>
      </c>
      <c r="X41">
        <f>_xll.ciqfunctions.udf.CIQ("DB:XB0T", "IQ_CLOSEPRICE", "2025-06-20", "USD")</f>
        <v>20.228269999999998</v>
      </c>
    </row>
    <row r="42" spans="1:24" x14ac:dyDescent="0.25">
      <c r="A42" t="s">
        <v>64</v>
      </c>
      <c r="B42">
        <f>_xll.ciqfunctions.udf.CIQ("NasdaqGM:QQQ", "IQ_CLOSEPRICE", "2025-06-19", "USD")</f>
        <v>0</v>
      </c>
      <c r="C42">
        <f>_xll.ciqfunctions.udf.CIQ("NasdaqGM:AGIX", "IQ_CLOSEPRICE", "2025-06-19", "USD")</f>
        <v>0</v>
      </c>
      <c r="D42">
        <f>_xll.ciqfunctions.udf.CIQ("NasdaqGM:SMH", "IQ_CLOSEPRICE", "2025-06-19", "USD")</f>
        <v>0</v>
      </c>
      <c r="E42">
        <f>_xll.ciqfunctions.udf.CIQ("BATS:IGV", "IQ_CLOSEPRICE", "2025-06-19", "USD")</f>
        <v>0</v>
      </c>
      <c r="F42">
        <f>_xll.ciqfunctions.udf.CIQ("NasdaqGM:BOTZ", "IQ_CLOSEPRICE", "2025-06-19", "USD")</f>
        <v>0</v>
      </c>
      <c r="G42">
        <f>_xll.ciqfunctions.udf.CIQ("NasdaqGM:AIQ", "IQ_CLOSEPRICE", "2025-06-19", "USD")</f>
        <v>0</v>
      </c>
      <c r="H42">
        <f>_xll.ciqfunctions.udf.CIQ("ARCA:ARTY", "IQ_CLOSEPRICE", "2025-06-19", "USD")</f>
        <v>0</v>
      </c>
      <c r="I42">
        <f>_xll.ciqfunctions.udf.CIQ("NasdaqGM:ROBT", "IQ_CLOSEPRICE", "2025-06-19", "USD")</f>
        <v>0</v>
      </c>
      <c r="J42">
        <f>_xll.ciqfunctions.udf.CIQ("ARCA:IGPT", "IQ_CLOSEPRICE", "2025-06-19", "USD")</f>
        <v>0</v>
      </c>
      <c r="K42">
        <f>_xll.ciqfunctions.udf.CIQ("BATS:WTAI", "IQ_CLOSEPRICE", "2025-06-19", "USD")</f>
        <v>0</v>
      </c>
      <c r="L42">
        <f>_xll.ciqfunctions.udf.CIQ("ARCA:THNQ", "IQ_CLOSEPRICE", "2025-06-19", "USD")</f>
        <v>0</v>
      </c>
      <c r="M42">
        <f>_xll.ciqfunctions.udf.CIQ("NasdaqGM:FDTX", "IQ_CLOSEPRICE", "2025-06-19", "USD")</f>
        <v>0</v>
      </c>
      <c r="N42">
        <f>_xll.ciqfunctions.udf.CIQ("ARCA:CHAT", "IQ_CLOSEPRICE", "2025-06-19", "USD")</f>
        <v>0</v>
      </c>
      <c r="O42">
        <f>_xll.ciqfunctions.udf.CIQ("ARCA:LOUP", "IQ_CLOSEPRICE", "2025-06-19", "USD")</f>
        <v>0</v>
      </c>
      <c r="P42">
        <f>_xll.ciqfunctions.udf.CIQ("ARCA:LRNZ", "IQ_CLOSEPRICE", "2025-06-19", "USD")</f>
        <v>0</v>
      </c>
      <c r="Q42">
        <f>_xll.ciqfunctions.udf.CIQ("ARCA:AIS", "IQ_CLOSEPRICE", "2025-06-19", "USD")</f>
        <v>0</v>
      </c>
      <c r="R42">
        <f>_xll.ciqfunctions.udf.CIQ("NasdaqGM:WISE", "IQ_CLOSEPRICE", "2025-06-19", "USD")</f>
        <v>0</v>
      </c>
      <c r="S42">
        <f>_xll.ciqfunctions.udf.CIQ("LSE:RBOT", "IQ_CLOSEPRICE", "2025-06-19", "USD")</f>
        <v>14.24</v>
      </c>
      <c r="T42">
        <f>_xll.ciqfunctions.udf.CIQ("XTRA:XAIX", "IQ_CLOSEPRICE", "2025-06-19", "USD")</f>
        <v>152.01835</v>
      </c>
      <c r="U42">
        <f>_xll.ciqfunctions.udf.CIQ("BIT:WTAI", "IQ_CLOSEPRICE", "2025-06-19", "USD")</f>
        <v>68.795869999999994</v>
      </c>
      <c r="V42">
        <f>_xll.ciqfunctions.udf.CIQ("LSE:AIAG", "IQ_CLOSEPRICE", "2025-06-19", "USD")</f>
        <v>22.686699999999998</v>
      </c>
      <c r="W42">
        <f>_xll.ciqfunctions.udf.CIQ("ASX:RBTZ", "IQ_CLOSEPRICE", "2025-06-19", "USD")</f>
        <v>8.8028399999999998</v>
      </c>
      <c r="X42">
        <f>_xll.ciqfunctions.udf.CIQ("DB:XB0T", "IQ_CLOSEPRICE", "2025-06-19", "USD")</f>
        <v>20.103210000000001</v>
      </c>
    </row>
    <row r="43" spans="1:24" x14ac:dyDescent="0.25">
      <c r="A43" t="s">
        <v>65</v>
      </c>
      <c r="B43">
        <f>_xll.ciqfunctions.udf.CIQ("NasdaqGM:QQQ", "IQ_CLOSEPRICE", "2025-06-18", "USD")</f>
        <v>528.99</v>
      </c>
      <c r="C43">
        <f>_xll.ciqfunctions.udf.CIQ("NasdaqGM:AGIX", "IQ_CLOSEPRICE", "2025-06-18", "USD")</f>
        <v>30.315100000000001</v>
      </c>
      <c r="D43">
        <f>_xll.ciqfunctions.udf.CIQ("NasdaqGM:SMH", "IQ_CLOSEPRICE", "2025-06-18", "USD")</f>
        <v>262.58999999999997</v>
      </c>
      <c r="E43">
        <f>_xll.ciqfunctions.udf.CIQ("BATS:IGV", "IQ_CLOSEPRICE", "2025-06-18", "USD")</f>
        <v>106.09</v>
      </c>
      <c r="F43">
        <f>_xll.ciqfunctions.udf.CIQ("NasdaqGM:BOTZ", "IQ_CLOSEPRICE", "2025-06-18", "USD")</f>
        <v>31.04</v>
      </c>
      <c r="G43">
        <f>_xll.ciqfunctions.udf.CIQ("NasdaqGM:AIQ", "IQ_CLOSEPRICE", "2025-06-18", "USD")</f>
        <v>41.88</v>
      </c>
      <c r="H43">
        <f>_xll.ciqfunctions.udf.CIQ("ARCA:ARTY", "IQ_CLOSEPRICE", "2025-06-18", "USD")</f>
        <v>38.76</v>
      </c>
      <c r="I43">
        <f>_xll.ciqfunctions.udf.CIQ("NasdaqGM:ROBT", "IQ_CLOSEPRICE", "2025-06-18", "USD")</f>
        <v>46.11</v>
      </c>
      <c r="J43">
        <f>_xll.ciqfunctions.udf.CIQ("ARCA:IGPT", "IQ_CLOSEPRICE", "2025-06-18", "USD")</f>
        <v>46.77</v>
      </c>
      <c r="K43">
        <f>_xll.ciqfunctions.udf.CIQ("BATS:WTAI", "IQ_CLOSEPRICE", "2025-06-18", "USD")</f>
        <v>23.28</v>
      </c>
      <c r="L43">
        <f>_xll.ciqfunctions.udf.CIQ("ARCA:THNQ", "IQ_CLOSEPRICE", "2025-06-18", "USD")</f>
        <v>52.17</v>
      </c>
      <c r="M43">
        <f>_xll.ciqfunctions.udf.CIQ("NasdaqGM:FDTX", "IQ_CLOSEPRICE", "2025-06-18", "USD")</f>
        <v>37.17</v>
      </c>
      <c r="N43">
        <f>_xll.ciqfunctions.udf.CIQ("ARCA:CHAT", "IQ_CLOSEPRICE", "2025-06-18", "USD")</f>
        <v>46.16</v>
      </c>
      <c r="O43">
        <f>_xll.ciqfunctions.udf.CIQ("ARCA:LOUP", "IQ_CLOSEPRICE", "2025-06-18", "USD")</f>
        <v>58.177399999999999</v>
      </c>
      <c r="P43">
        <f>_xll.ciqfunctions.udf.CIQ("ARCA:LRNZ", "IQ_CLOSEPRICE", "2025-06-18", "USD")</f>
        <v>42.891500000000001</v>
      </c>
      <c r="Q43">
        <f>_xll.ciqfunctions.udf.CIQ("ARCA:AIS", "IQ_CLOSEPRICE", "2025-06-18", "USD")</f>
        <v>26.725000000000001</v>
      </c>
      <c r="R43">
        <f>_xll.ciqfunctions.udf.CIQ("NasdaqGM:WISE", "IQ_CLOSEPRICE", "2025-06-18", "USD")</f>
        <v>33.9</v>
      </c>
      <c r="S43">
        <f>_xll.ciqfunctions.udf.CIQ("LSE:RBOT", "IQ_CLOSEPRICE", "2025-06-18", "USD")</f>
        <v>14.49</v>
      </c>
      <c r="T43">
        <f>_xll.ciqfunctions.udf.CIQ("XTRA:XAIX", "IQ_CLOSEPRICE", "2025-06-18", "USD")</f>
        <v>154.41143</v>
      </c>
      <c r="U43">
        <f>_xll.ciqfunctions.udf.CIQ("BIT:WTAI", "IQ_CLOSEPRICE", "2025-06-18", "USD")</f>
        <v>69.73048</v>
      </c>
      <c r="V43">
        <f>_xll.ciqfunctions.udf.CIQ("LSE:AIAG", "IQ_CLOSEPRICE", "2025-06-18", "USD")</f>
        <v>23.04853</v>
      </c>
      <c r="W43">
        <f>_xll.ciqfunctions.udf.CIQ("ASX:RBTZ", "IQ_CLOSEPRICE", "2025-06-18", "USD")</f>
        <v>8.8887400000000003</v>
      </c>
      <c r="X43">
        <f>_xll.ciqfunctions.udf.CIQ("DB:XB0T", "IQ_CLOSEPRICE", "2025-06-18", "USD")</f>
        <v>20.444600000000001</v>
      </c>
    </row>
    <row r="44" spans="1:24" x14ac:dyDescent="0.25">
      <c r="A44" t="s">
        <v>66</v>
      </c>
      <c r="B44">
        <f>_xll.ciqfunctions.udf.CIQ("NasdaqGM:QQQ", "IQ_CLOSEPRICE", "2025-06-17", "USD")</f>
        <v>529.08000000000004</v>
      </c>
      <c r="C44">
        <f>_xll.ciqfunctions.udf.CIQ("NasdaqGM:AGIX", "IQ_CLOSEPRICE", "2025-06-17", "USD")</f>
        <v>30.3</v>
      </c>
      <c r="D44">
        <f>_xll.ciqfunctions.udf.CIQ("NasdaqGM:SMH", "IQ_CLOSEPRICE", "2025-06-17", "USD")</f>
        <v>261.58999999999997</v>
      </c>
      <c r="E44">
        <f>_xll.ciqfunctions.udf.CIQ("BATS:IGV", "IQ_CLOSEPRICE", "2025-06-17", "USD")</f>
        <v>106.65</v>
      </c>
      <c r="F44">
        <f>_xll.ciqfunctions.udf.CIQ("NasdaqGM:BOTZ", "IQ_CLOSEPRICE", "2025-06-17", "USD")</f>
        <v>30.79</v>
      </c>
      <c r="G44">
        <f>_xll.ciqfunctions.udf.CIQ("NasdaqGM:AIQ", "IQ_CLOSEPRICE", "2025-06-17", "USD")</f>
        <v>41.93</v>
      </c>
      <c r="H44">
        <f>_xll.ciqfunctions.udf.CIQ("ARCA:ARTY", "IQ_CLOSEPRICE", "2025-06-17", "USD")</f>
        <v>38.630000000000003</v>
      </c>
      <c r="I44">
        <f>_xll.ciqfunctions.udf.CIQ("NasdaqGM:ROBT", "IQ_CLOSEPRICE", "2025-06-17", "USD")</f>
        <v>45.78</v>
      </c>
      <c r="J44">
        <f>_xll.ciqfunctions.udf.CIQ("ARCA:IGPT", "IQ_CLOSEPRICE", "2025-06-17", "USD")</f>
        <v>46.650700000000001</v>
      </c>
      <c r="K44">
        <f>_xll.ciqfunctions.udf.CIQ("BATS:WTAI", "IQ_CLOSEPRICE", "2025-06-17", "USD")</f>
        <v>23.06</v>
      </c>
      <c r="L44">
        <f>_xll.ciqfunctions.udf.CIQ("ARCA:THNQ", "IQ_CLOSEPRICE", "2025-06-17", "USD")</f>
        <v>52.3</v>
      </c>
      <c r="M44">
        <f>_xll.ciqfunctions.udf.CIQ("NasdaqGM:FDTX", "IQ_CLOSEPRICE", "2025-06-17", "USD")</f>
        <v>37</v>
      </c>
      <c r="N44">
        <f>_xll.ciqfunctions.udf.CIQ("ARCA:CHAT", "IQ_CLOSEPRICE", "2025-06-17", "USD")</f>
        <v>46</v>
      </c>
      <c r="O44">
        <f>_xll.ciqfunctions.udf.CIQ("ARCA:LOUP", "IQ_CLOSEPRICE", "2025-06-17", "USD")</f>
        <v>57.521999999999998</v>
      </c>
      <c r="P44">
        <f>_xll.ciqfunctions.udf.CIQ("ARCA:LRNZ", "IQ_CLOSEPRICE", "2025-06-17", "USD")</f>
        <v>42.7483</v>
      </c>
      <c r="Q44">
        <f>_xll.ciqfunctions.udf.CIQ("ARCA:AIS", "IQ_CLOSEPRICE", "2025-06-17", "USD")</f>
        <v>26.656500000000001</v>
      </c>
      <c r="R44">
        <f>_xll.ciqfunctions.udf.CIQ("NasdaqGM:WISE", "IQ_CLOSEPRICE", "2025-06-17", "USD")</f>
        <v>33.705100000000002</v>
      </c>
      <c r="S44">
        <f>_xll.ciqfunctions.udf.CIQ("LSE:RBOT", "IQ_CLOSEPRICE", "2025-06-17", "USD")</f>
        <v>14.54</v>
      </c>
      <c r="T44">
        <f>_xll.ciqfunctions.udf.CIQ("XTRA:XAIX", "IQ_CLOSEPRICE", "2025-06-17", "USD")</f>
        <v>154.56954999999999</v>
      </c>
      <c r="U44">
        <f>_xll.ciqfunctions.udf.CIQ("BIT:WTAI", "IQ_CLOSEPRICE", "2025-06-17", "USD")</f>
        <v>69.459490000000002</v>
      </c>
      <c r="V44">
        <f>_xll.ciqfunctions.udf.CIQ("LSE:AIAG", "IQ_CLOSEPRICE", "2025-06-17", "USD")</f>
        <v>23.066949999999999</v>
      </c>
      <c r="W44">
        <f>_xll.ciqfunctions.udf.CIQ("ASX:RBTZ", "IQ_CLOSEPRICE", "2025-06-17", "USD")</f>
        <v>8.9159100000000002</v>
      </c>
      <c r="X44">
        <f>_xll.ciqfunctions.udf.CIQ("DB:XB0T", "IQ_CLOSEPRICE", "2025-06-17", "USD")</f>
        <v>20.269680000000001</v>
      </c>
    </row>
    <row r="45" spans="1:24" x14ac:dyDescent="0.25">
      <c r="A45" t="s">
        <v>67</v>
      </c>
      <c r="B45">
        <f>_xll.ciqfunctions.udf.CIQ("NasdaqGM:QQQ", "IQ_CLOSEPRICE", "2025-06-16", "USD")</f>
        <v>534.29</v>
      </c>
      <c r="C45">
        <f>_xll.ciqfunctions.udf.CIQ("NasdaqGM:AGIX", "IQ_CLOSEPRICE", "2025-06-16", "USD")</f>
        <v>30.55</v>
      </c>
      <c r="D45">
        <f>_xll.ciqfunctions.udf.CIQ("NasdaqGM:SMH", "IQ_CLOSEPRICE", "2025-06-16", "USD")</f>
        <v>263.38</v>
      </c>
      <c r="E45">
        <f>_xll.ciqfunctions.udf.CIQ("BATS:IGV", "IQ_CLOSEPRICE", "2025-06-16", "USD")</f>
        <v>107.4</v>
      </c>
      <c r="F45">
        <f>_xll.ciqfunctions.udf.CIQ("NasdaqGM:BOTZ", "IQ_CLOSEPRICE", "2025-06-16", "USD")</f>
        <v>31.27</v>
      </c>
      <c r="G45">
        <f>_xll.ciqfunctions.udf.CIQ("NasdaqGM:AIQ", "IQ_CLOSEPRICE", "2025-06-16", "USD")</f>
        <v>42.32</v>
      </c>
      <c r="H45">
        <f>_xll.ciqfunctions.udf.CIQ("ARCA:ARTY", "IQ_CLOSEPRICE", "2025-06-16", "USD")</f>
        <v>38.950000000000003</v>
      </c>
      <c r="I45">
        <f>_xll.ciqfunctions.udf.CIQ("NasdaqGM:ROBT", "IQ_CLOSEPRICE", "2025-06-16", "USD")</f>
        <v>46.34</v>
      </c>
      <c r="J45">
        <f>_xll.ciqfunctions.udf.CIQ("ARCA:IGPT", "IQ_CLOSEPRICE", "2025-06-16", "USD")</f>
        <v>47.08</v>
      </c>
      <c r="K45">
        <f>_xll.ciqfunctions.udf.CIQ("BATS:WTAI", "IQ_CLOSEPRICE", "2025-06-16", "USD")</f>
        <v>23.23</v>
      </c>
      <c r="L45">
        <f>_xll.ciqfunctions.udf.CIQ("ARCA:THNQ", "IQ_CLOSEPRICE", "2025-06-16", "USD")</f>
        <v>52.316200000000002</v>
      </c>
      <c r="M45">
        <f>_xll.ciqfunctions.udf.CIQ("NasdaqGM:FDTX", "IQ_CLOSEPRICE", "2025-06-16", "USD")</f>
        <v>37.28</v>
      </c>
      <c r="N45">
        <f>_xll.ciqfunctions.udf.CIQ("ARCA:CHAT", "IQ_CLOSEPRICE", "2025-06-16", "USD")</f>
        <v>46.27</v>
      </c>
      <c r="O45">
        <f>_xll.ciqfunctions.udf.CIQ("ARCA:LOUP", "IQ_CLOSEPRICE", "2025-06-16", "USD")</f>
        <v>57.794199999999996</v>
      </c>
      <c r="P45">
        <f>_xll.ciqfunctions.udf.CIQ("ARCA:LRNZ", "IQ_CLOSEPRICE", "2025-06-16", "USD")</f>
        <v>42.499099999999999</v>
      </c>
      <c r="Q45">
        <f>_xll.ciqfunctions.udf.CIQ("ARCA:AIS", "IQ_CLOSEPRICE", "2025-06-16", "USD")</f>
        <v>26.657399999999999</v>
      </c>
      <c r="R45">
        <f>_xll.ciqfunctions.udf.CIQ("NasdaqGM:WISE", "IQ_CLOSEPRICE", "2025-06-16", "USD")</f>
        <v>34.084200000000003</v>
      </c>
      <c r="S45">
        <f>_xll.ciqfunctions.udf.CIQ("LSE:RBOT", "IQ_CLOSEPRICE", "2025-06-16", "USD")</f>
        <v>14.615</v>
      </c>
      <c r="T45">
        <f>_xll.ciqfunctions.udf.CIQ("XTRA:XAIX", "IQ_CLOSEPRICE", "2025-06-16", "USD")</f>
        <v>155.19758999999999</v>
      </c>
      <c r="U45">
        <f>_xll.ciqfunctions.udf.CIQ("BIT:WTAI", "IQ_CLOSEPRICE", "2025-06-16", "USD")</f>
        <v>69.706800000000001</v>
      </c>
      <c r="V45">
        <f>_xll.ciqfunctions.udf.CIQ("LSE:AIAG", "IQ_CLOSEPRICE", "2025-06-16", "USD")</f>
        <v>23.150449999999999</v>
      </c>
      <c r="W45">
        <f>_xll.ciqfunctions.udf.CIQ("ASX:RBTZ", "IQ_CLOSEPRICE", "2025-06-16", "USD")</f>
        <v>8.9661500000000007</v>
      </c>
      <c r="X45">
        <f>_xll.ciqfunctions.udf.CIQ("DB:XB0T", "IQ_CLOSEPRICE", "2025-06-16", "USD")</f>
        <v>20.359249999999999</v>
      </c>
    </row>
    <row r="46" spans="1:24" x14ac:dyDescent="0.25">
      <c r="A46" t="s">
        <v>68</v>
      </c>
      <c r="B46">
        <f>_xll.ciqfunctions.udf.CIQ("NasdaqGM:QQQ", "IQ_CLOSEPRICE", "2025-06-13", "USD")</f>
        <v>526.96</v>
      </c>
      <c r="C46">
        <f>_xll.ciqfunctions.udf.CIQ("NasdaqGM:AGIX", "IQ_CLOSEPRICE", "2025-06-13", "USD")</f>
        <v>30.02</v>
      </c>
      <c r="D46">
        <f>_xll.ciqfunctions.udf.CIQ("NasdaqGM:SMH", "IQ_CLOSEPRICE", "2025-06-13", "USD")</f>
        <v>256.99</v>
      </c>
      <c r="E46">
        <f>_xll.ciqfunctions.udf.CIQ("BATS:IGV", "IQ_CLOSEPRICE", "2025-06-13", "USD")</f>
        <v>106.27</v>
      </c>
      <c r="F46">
        <f>_xll.ciqfunctions.udf.CIQ("NasdaqGM:BOTZ", "IQ_CLOSEPRICE", "2025-06-13", "USD")</f>
        <v>30.91</v>
      </c>
      <c r="G46">
        <f>_xll.ciqfunctions.udf.CIQ("NasdaqGM:AIQ", "IQ_CLOSEPRICE", "2025-06-13", "USD")</f>
        <v>41.6</v>
      </c>
      <c r="H46">
        <f>_xll.ciqfunctions.udf.CIQ("ARCA:ARTY", "IQ_CLOSEPRICE", "2025-06-13", "USD")</f>
        <v>37.9</v>
      </c>
      <c r="I46">
        <f>_xll.ciqfunctions.udf.CIQ("NasdaqGM:ROBT", "IQ_CLOSEPRICE", "2025-06-13", "USD")</f>
        <v>45.51</v>
      </c>
      <c r="J46">
        <f>_xll.ciqfunctions.udf.CIQ("ARCA:IGPT", "IQ_CLOSEPRICE", "2025-06-13", "USD")</f>
        <v>46</v>
      </c>
      <c r="K46">
        <f>_xll.ciqfunctions.udf.CIQ("BATS:WTAI", "IQ_CLOSEPRICE", "2025-06-13", "USD")</f>
        <v>22.66</v>
      </c>
      <c r="L46">
        <f>_xll.ciqfunctions.udf.CIQ("ARCA:THNQ", "IQ_CLOSEPRICE", "2025-06-13", "USD")</f>
        <v>51.520200000000003</v>
      </c>
      <c r="M46">
        <f>_xll.ciqfunctions.udf.CIQ("NasdaqGM:FDTX", "IQ_CLOSEPRICE", "2025-06-13", "USD")</f>
        <v>36.5</v>
      </c>
      <c r="N46">
        <f>_xll.ciqfunctions.udf.CIQ("ARCA:CHAT", "IQ_CLOSEPRICE", "2025-06-13", "USD")</f>
        <v>44.83</v>
      </c>
      <c r="O46">
        <f>_xll.ciqfunctions.udf.CIQ("ARCA:LOUP", "IQ_CLOSEPRICE", "2025-06-13", "USD")</f>
        <v>56.330300000000001</v>
      </c>
      <c r="P46">
        <f>_xll.ciqfunctions.udf.CIQ("ARCA:LRNZ", "IQ_CLOSEPRICE", "2025-06-13", "USD")</f>
        <v>41.990499999999997</v>
      </c>
      <c r="Q46">
        <f>_xll.ciqfunctions.udf.CIQ("ARCA:AIS", "IQ_CLOSEPRICE", "2025-06-13", "USD")</f>
        <v>25.954999999999998</v>
      </c>
      <c r="R46">
        <f>_xll.ciqfunctions.udf.CIQ("NasdaqGM:WISE", "IQ_CLOSEPRICE", "2025-06-13", "USD")</f>
        <v>33.07</v>
      </c>
      <c r="S46">
        <f>_xll.ciqfunctions.udf.CIQ("LSE:RBOT", "IQ_CLOSEPRICE", "2025-06-13", "USD")</f>
        <v>14.385</v>
      </c>
      <c r="T46">
        <f>_xll.ciqfunctions.udf.CIQ("XTRA:XAIX", "IQ_CLOSEPRICE", "2025-06-13", "USD")</f>
        <v>152.99965</v>
      </c>
      <c r="U46">
        <f>_xll.ciqfunctions.udf.CIQ("BIT:WTAI", "IQ_CLOSEPRICE", "2025-06-13", "USD")</f>
        <v>68.57011</v>
      </c>
      <c r="V46">
        <f>_xll.ciqfunctions.udf.CIQ("LSE:AIAG", "IQ_CLOSEPRICE", "2025-06-13", "USD")</f>
        <v>22.9711</v>
      </c>
      <c r="W46">
        <f>_xll.ciqfunctions.udf.CIQ("ASX:RBTZ", "IQ_CLOSEPRICE", "2025-06-13", "USD")</f>
        <v>8.8796300000000006</v>
      </c>
      <c r="X46">
        <f>_xll.ciqfunctions.udf.CIQ("DB:XB0T", "IQ_CLOSEPRICE", "2025-06-13", "USD")</f>
        <v>20.397639999999999</v>
      </c>
    </row>
    <row r="47" spans="1:24" x14ac:dyDescent="0.25">
      <c r="A47" t="s">
        <v>69</v>
      </c>
      <c r="B47">
        <f>_xll.ciqfunctions.udf.CIQ("NasdaqGM:QQQ", "IQ_CLOSEPRICE", "2025-06-12", "USD")</f>
        <v>533.66</v>
      </c>
      <c r="C47">
        <f>_xll.ciqfunctions.udf.CIQ("NasdaqGM:AGIX", "IQ_CLOSEPRICE", "2025-06-12", "USD")</f>
        <v>30.48</v>
      </c>
      <c r="D47">
        <f>_xll.ciqfunctions.udf.CIQ("NasdaqGM:SMH", "IQ_CLOSEPRICE", "2025-06-12", "USD")</f>
        <v>263.14999999999998</v>
      </c>
      <c r="E47">
        <f>_xll.ciqfunctions.udf.CIQ("BATS:IGV", "IQ_CLOSEPRICE", "2025-06-12", "USD")</f>
        <v>107.04</v>
      </c>
      <c r="F47">
        <f>_xll.ciqfunctions.udf.CIQ("NasdaqGM:BOTZ", "IQ_CLOSEPRICE", "2025-06-12", "USD")</f>
        <v>31.41</v>
      </c>
      <c r="G47">
        <f>_xll.ciqfunctions.udf.CIQ("NasdaqGM:AIQ", "IQ_CLOSEPRICE", "2025-06-12", "USD")</f>
        <v>42.19</v>
      </c>
      <c r="H47">
        <f>_xll.ciqfunctions.udf.CIQ("ARCA:ARTY", "IQ_CLOSEPRICE", "2025-06-12", "USD")</f>
        <v>38.630000000000003</v>
      </c>
      <c r="I47">
        <f>_xll.ciqfunctions.udf.CIQ("NasdaqGM:ROBT", "IQ_CLOSEPRICE", "2025-06-12", "USD")</f>
        <v>46.36</v>
      </c>
      <c r="J47">
        <f>_xll.ciqfunctions.udf.CIQ("ARCA:IGPT", "IQ_CLOSEPRICE", "2025-06-12", "USD")</f>
        <v>46.86</v>
      </c>
      <c r="K47">
        <f>_xll.ciqfunctions.udf.CIQ("BATS:WTAI", "IQ_CLOSEPRICE", "2025-06-12", "USD")</f>
        <v>23.12</v>
      </c>
      <c r="L47">
        <f>_xll.ciqfunctions.udf.CIQ("ARCA:THNQ", "IQ_CLOSEPRICE", "2025-06-12", "USD")</f>
        <v>52.555100000000003</v>
      </c>
      <c r="M47">
        <f>_xll.ciqfunctions.udf.CIQ("NasdaqGM:FDTX", "IQ_CLOSEPRICE", "2025-06-12", "USD")</f>
        <v>37.28</v>
      </c>
      <c r="N47">
        <f>_xll.ciqfunctions.udf.CIQ("ARCA:CHAT", "IQ_CLOSEPRICE", "2025-06-12", "USD")</f>
        <v>45.61</v>
      </c>
      <c r="O47">
        <f>_xll.ciqfunctions.udf.CIQ("ARCA:LOUP", "IQ_CLOSEPRICE", "2025-06-12", "USD")</f>
        <v>57.48</v>
      </c>
      <c r="P47">
        <f>_xll.ciqfunctions.udf.CIQ("ARCA:LRNZ", "IQ_CLOSEPRICE", "2025-06-12", "USD")</f>
        <v>42.582599999999999</v>
      </c>
      <c r="Q47">
        <f>_xll.ciqfunctions.udf.CIQ("ARCA:AIS", "IQ_CLOSEPRICE", "2025-06-12", "USD")</f>
        <v>26.4893</v>
      </c>
      <c r="R47">
        <f>_xll.ciqfunctions.udf.CIQ("NasdaqGM:WISE", "IQ_CLOSEPRICE", "2025-06-12", "USD")</f>
        <v>34.06</v>
      </c>
      <c r="S47">
        <f>_xll.ciqfunctions.udf.CIQ("LSE:RBOT", "IQ_CLOSEPRICE", "2025-06-12", "USD")</f>
        <v>14.58</v>
      </c>
      <c r="T47">
        <f>_xll.ciqfunctions.udf.CIQ("XTRA:XAIX", "IQ_CLOSEPRICE", "2025-06-12", "USD")</f>
        <v>154.07407000000001</v>
      </c>
      <c r="U47">
        <f>_xll.ciqfunctions.udf.CIQ("BIT:WTAI", "IQ_CLOSEPRICE", "2025-06-12", "USD")</f>
        <v>69.340280000000007</v>
      </c>
      <c r="V47">
        <f>_xll.ciqfunctions.udf.CIQ("LSE:AIAG", "IQ_CLOSEPRICE", "2025-06-12", "USD")</f>
        <v>23.219889999999999</v>
      </c>
      <c r="W47">
        <f>_xll.ciqfunctions.udf.CIQ("ASX:RBTZ", "IQ_CLOSEPRICE", "2025-06-12", "USD")</f>
        <v>9.0440799999999992</v>
      </c>
      <c r="X47">
        <f>_xll.ciqfunctions.udf.CIQ("DB:XB0T", "IQ_CLOSEPRICE", "2025-06-12", "USD")</f>
        <v>20.747689999999999</v>
      </c>
    </row>
    <row r="48" spans="1:24" x14ac:dyDescent="0.25">
      <c r="A48" t="s">
        <v>70</v>
      </c>
      <c r="B48">
        <f>_xll.ciqfunctions.udf.CIQ("NasdaqGM:QQQ", "IQ_CLOSEPRICE", "2025-06-11", "USD")</f>
        <v>532.41</v>
      </c>
      <c r="C48">
        <f>_xll.ciqfunctions.udf.CIQ("NasdaqGM:AGIX", "IQ_CLOSEPRICE", "2025-06-11", "USD")</f>
        <v>30.445</v>
      </c>
      <c r="D48">
        <f>_xll.ciqfunctions.udf.CIQ("NasdaqGM:SMH", "IQ_CLOSEPRICE", "2025-06-11", "USD")</f>
        <v>261.88</v>
      </c>
      <c r="E48">
        <f>_xll.ciqfunctions.udf.CIQ("BATS:IGV", "IQ_CLOSEPRICE", "2025-06-11", "USD")</f>
        <v>105.79</v>
      </c>
      <c r="F48">
        <f>_xll.ciqfunctions.udf.CIQ("NasdaqGM:BOTZ", "IQ_CLOSEPRICE", "2025-06-11", "USD")</f>
        <v>31.53</v>
      </c>
      <c r="G48">
        <f>_xll.ciqfunctions.udf.CIQ("NasdaqGM:AIQ", "IQ_CLOSEPRICE", "2025-06-11", "USD")</f>
        <v>42.11</v>
      </c>
      <c r="H48">
        <f>_xll.ciqfunctions.udf.CIQ("ARCA:ARTY", "IQ_CLOSEPRICE", "2025-06-11", "USD")</f>
        <v>38.43</v>
      </c>
      <c r="I48">
        <f>_xll.ciqfunctions.udf.CIQ("NasdaqGM:ROBT", "IQ_CLOSEPRICE", "2025-06-11", "USD")</f>
        <v>46.56</v>
      </c>
      <c r="J48">
        <f>_xll.ciqfunctions.udf.CIQ("ARCA:IGPT", "IQ_CLOSEPRICE", "2025-06-11", "USD")</f>
        <v>47.05</v>
      </c>
      <c r="K48">
        <f>_xll.ciqfunctions.udf.CIQ("BATS:WTAI", "IQ_CLOSEPRICE", "2025-06-11", "USD")</f>
        <v>23.13</v>
      </c>
      <c r="L48">
        <f>_xll.ciqfunctions.udf.CIQ("ARCA:THNQ", "IQ_CLOSEPRICE", "2025-06-11", "USD")</f>
        <v>52.83</v>
      </c>
      <c r="M48">
        <f>_xll.ciqfunctions.udf.CIQ("NasdaqGM:FDTX", "IQ_CLOSEPRICE", "2025-06-11", "USD")</f>
        <v>36.97</v>
      </c>
      <c r="N48">
        <f>_xll.ciqfunctions.udf.CIQ("ARCA:CHAT", "IQ_CLOSEPRICE", "2025-06-11", "USD")</f>
        <v>45.25</v>
      </c>
      <c r="O48">
        <f>_xll.ciqfunctions.udf.CIQ("ARCA:LOUP", "IQ_CLOSEPRICE", "2025-06-11", "USD")</f>
        <v>57.463900000000002</v>
      </c>
      <c r="P48">
        <f>_xll.ciqfunctions.udf.CIQ("ARCA:LRNZ", "IQ_CLOSEPRICE", "2025-06-11", "USD")</f>
        <v>42.987499999999997</v>
      </c>
      <c r="Q48">
        <f>_xll.ciqfunctions.udf.CIQ("ARCA:AIS", "IQ_CLOSEPRICE", "2025-06-11", "USD")</f>
        <v>26.319500000000001</v>
      </c>
      <c r="R48">
        <f>_xll.ciqfunctions.udf.CIQ("NasdaqGM:WISE", "IQ_CLOSEPRICE", "2025-06-11", "USD")</f>
        <v>34.24</v>
      </c>
      <c r="S48">
        <f>_xll.ciqfunctions.udf.CIQ("LSE:RBOT", "IQ_CLOSEPRICE", "2025-06-11", "USD")</f>
        <v>14.59</v>
      </c>
      <c r="T48">
        <f>_xll.ciqfunctions.udf.CIQ("XTRA:XAIX", "IQ_CLOSEPRICE", "2025-06-11", "USD")</f>
        <v>153.88149000000001</v>
      </c>
      <c r="U48">
        <f>_xll.ciqfunctions.udf.CIQ("BIT:WTAI", "IQ_CLOSEPRICE", "2025-06-11", "USD")</f>
        <v>69.924210000000002</v>
      </c>
      <c r="V48">
        <f>_xll.ciqfunctions.udf.CIQ("LSE:AIAG", "IQ_CLOSEPRICE", "2025-06-11", "USD")</f>
        <v>23.45722</v>
      </c>
      <c r="W48">
        <f>_xll.ciqfunctions.udf.CIQ("ASX:RBTZ", "IQ_CLOSEPRICE", "2025-06-11", "USD")</f>
        <v>9.06602</v>
      </c>
      <c r="X48">
        <f>_xll.ciqfunctions.udf.CIQ("DB:XB0T", "IQ_CLOSEPRICE", "2025-06-11", "USD")</f>
        <v>20.865870000000001</v>
      </c>
    </row>
    <row r="49" spans="1:24" x14ac:dyDescent="0.25">
      <c r="A49" t="s">
        <v>71</v>
      </c>
      <c r="B49">
        <f>_xll.ciqfunctions.udf.CIQ("NasdaqGM:QQQ", "IQ_CLOSEPRICE", "2025-06-10", "USD")</f>
        <v>534.21</v>
      </c>
      <c r="C49">
        <f>_xll.ciqfunctions.udf.CIQ("NasdaqGM:AGIX", "IQ_CLOSEPRICE", "2025-06-10", "USD")</f>
        <v>30.475000000000001</v>
      </c>
      <c r="D49">
        <f>_xll.ciqfunctions.udf.CIQ("NasdaqGM:SMH", "IQ_CLOSEPRICE", "2025-06-10", "USD")</f>
        <v>262.07</v>
      </c>
      <c r="E49">
        <f>_xll.ciqfunctions.udf.CIQ("BATS:IGV", "IQ_CLOSEPRICE", "2025-06-10", "USD")</f>
        <v>105.88</v>
      </c>
      <c r="F49">
        <f>_xll.ciqfunctions.udf.CIQ("NasdaqGM:BOTZ", "IQ_CLOSEPRICE", "2025-06-10", "USD")</f>
        <v>31.6</v>
      </c>
      <c r="G49">
        <f>_xll.ciqfunctions.udf.CIQ("NasdaqGM:AIQ", "IQ_CLOSEPRICE", "2025-06-10", "USD")</f>
        <v>42.08</v>
      </c>
      <c r="H49">
        <f>_xll.ciqfunctions.udf.CIQ("ARCA:ARTY", "IQ_CLOSEPRICE", "2025-06-10", "USD")</f>
        <v>38.33</v>
      </c>
      <c r="I49">
        <f>_xll.ciqfunctions.udf.CIQ("NasdaqGM:ROBT", "IQ_CLOSEPRICE", "2025-06-10", "USD")</f>
        <v>46.58</v>
      </c>
      <c r="J49">
        <f>_xll.ciqfunctions.udf.CIQ("ARCA:IGPT", "IQ_CLOSEPRICE", "2025-06-10", "USD")</f>
        <v>47.41</v>
      </c>
      <c r="K49">
        <f>_xll.ciqfunctions.udf.CIQ("BATS:WTAI", "IQ_CLOSEPRICE", "2025-06-10", "USD")</f>
        <v>23.04</v>
      </c>
      <c r="L49">
        <f>_xll.ciqfunctions.udf.CIQ("ARCA:THNQ", "IQ_CLOSEPRICE", "2025-06-10", "USD")</f>
        <v>52.615699999999997</v>
      </c>
      <c r="M49">
        <f>_xll.ciqfunctions.udf.CIQ("NasdaqGM:FDTX", "IQ_CLOSEPRICE", "2025-06-10", "USD")</f>
        <v>37.270000000000003</v>
      </c>
      <c r="N49">
        <f>_xll.ciqfunctions.udf.CIQ("ARCA:CHAT", "IQ_CLOSEPRICE", "2025-06-10", "USD")</f>
        <v>45.41</v>
      </c>
      <c r="O49">
        <f>_xll.ciqfunctions.udf.CIQ("ARCA:LOUP", "IQ_CLOSEPRICE", "2025-06-10", "USD")</f>
        <v>56.824199999999998</v>
      </c>
      <c r="P49">
        <f>_xll.ciqfunctions.udf.CIQ("ARCA:LRNZ", "IQ_CLOSEPRICE", "2025-06-10", "USD")</f>
        <v>42.927599999999998</v>
      </c>
      <c r="Q49">
        <f>_xll.ciqfunctions.udf.CIQ("ARCA:AIS", "IQ_CLOSEPRICE", "2025-06-10", "USD")</f>
        <v>26.296900000000001</v>
      </c>
      <c r="R49">
        <f>_xll.ciqfunctions.udf.CIQ("NasdaqGM:WISE", "IQ_CLOSEPRICE", "2025-06-10", "USD")</f>
        <v>34.47</v>
      </c>
      <c r="S49">
        <f>_xll.ciqfunctions.udf.CIQ("LSE:RBOT", "IQ_CLOSEPRICE", "2025-06-10", "USD")</f>
        <v>14.51</v>
      </c>
      <c r="T49">
        <f>_xll.ciqfunctions.udf.CIQ("XTRA:XAIX", "IQ_CLOSEPRICE", "2025-06-10", "USD")</f>
        <v>152.52341000000001</v>
      </c>
      <c r="U49">
        <f>_xll.ciqfunctions.udf.CIQ("BIT:WTAI", "IQ_CLOSEPRICE", "2025-06-10", "USD")</f>
        <v>69.011189999999999</v>
      </c>
      <c r="V49">
        <f>_xll.ciqfunctions.udf.CIQ("LSE:AIAG", "IQ_CLOSEPRICE", "2025-06-10", "USD")</f>
        <v>23.13034</v>
      </c>
      <c r="W49">
        <f>_xll.ciqfunctions.udf.CIQ("ASX:RBTZ", "IQ_CLOSEPRICE", "2025-06-10", "USD")</f>
        <v>9.0648199999999992</v>
      </c>
      <c r="X49">
        <f>_xll.ciqfunctions.udf.CIQ("DB:XB0T", "IQ_CLOSEPRICE", "2025-06-10", "USD")</f>
        <v>20.73761</v>
      </c>
    </row>
    <row r="50" spans="1:24" x14ac:dyDescent="0.25">
      <c r="A50" t="s">
        <v>72</v>
      </c>
      <c r="B50">
        <f>_xll.ciqfunctions.udf.CIQ("NasdaqGM:QQQ", "IQ_CLOSEPRICE", "2025-06-09", "USD")</f>
        <v>530.70000000000005</v>
      </c>
      <c r="C50">
        <f>_xll.ciqfunctions.udf.CIQ("NasdaqGM:AGIX", "IQ_CLOSEPRICE", "2025-06-09", "USD")</f>
        <v>30.45</v>
      </c>
      <c r="D50">
        <f>_xll.ciqfunctions.udf.CIQ("NasdaqGM:SMH", "IQ_CLOSEPRICE", "2025-06-09", "USD")</f>
        <v>256.95999999999998</v>
      </c>
      <c r="E50">
        <f>_xll.ciqfunctions.udf.CIQ("BATS:IGV", "IQ_CLOSEPRICE", "2025-06-09", "USD")</f>
        <v>106.13</v>
      </c>
      <c r="F50">
        <f>_xll.ciqfunctions.udf.CIQ("NasdaqGM:BOTZ", "IQ_CLOSEPRICE", "2025-06-09", "USD")</f>
        <v>31.4</v>
      </c>
      <c r="G50">
        <f>_xll.ciqfunctions.udf.CIQ("NasdaqGM:AIQ", "IQ_CLOSEPRICE", "2025-06-09", "USD")</f>
        <v>41.9</v>
      </c>
      <c r="H50">
        <f>_xll.ciqfunctions.udf.CIQ("ARCA:ARTY", "IQ_CLOSEPRICE", "2025-06-09", "USD")</f>
        <v>38.39</v>
      </c>
      <c r="I50">
        <f>_xll.ciqfunctions.udf.CIQ("NasdaqGM:ROBT", "IQ_CLOSEPRICE", "2025-06-09", "USD")</f>
        <v>46.43</v>
      </c>
      <c r="J50">
        <f>_xll.ciqfunctions.udf.CIQ("ARCA:IGPT", "IQ_CLOSEPRICE", "2025-06-09", "USD")</f>
        <v>46.91</v>
      </c>
      <c r="K50">
        <f>_xll.ciqfunctions.udf.CIQ("BATS:WTAI", "IQ_CLOSEPRICE", "2025-06-09", "USD")</f>
        <v>23.05</v>
      </c>
      <c r="L50">
        <f>_xll.ciqfunctions.udf.CIQ("ARCA:THNQ", "IQ_CLOSEPRICE", "2025-06-09", "USD")</f>
        <v>52.42</v>
      </c>
      <c r="M50">
        <f>_xll.ciqfunctions.udf.CIQ("NasdaqGM:FDTX", "IQ_CLOSEPRICE", "2025-06-09", "USD")</f>
        <v>37.162300000000002</v>
      </c>
      <c r="N50">
        <f>_xll.ciqfunctions.udf.CIQ("ARCA:CHAT", "IQ_CLOSEPRICE", "2025-06-09", "USD")</f>
        <v>45.43</v>
      </c>
      <c r="O50">
        <f>_xll.ciqfunctions.udf.CIQ("ARCA:LOUP", "IQ_CLOSEPRICE", "2025-06-09", "USD")</f>
        <v>57.313600000000001</v>
      </c>
      <c r="P50">
        <f>_xll.ciqfunctions.udf.CIQ("ARCA:LRNZ", "IQ_CLOSEPRICE", "2025-06-09", "USD")</f>
        <v>42.86</v>
      </c>
      <c r="Q50">
        <f>_xll.ciqfunctions.udf.CIQ("ARCA:AIS", "IQ_CLOSEPRICE", "2025-06-09", "USD")</f>
        <v>26.21</v>
      </c>
      <c r="R50">
        <f>_xll.ciqfunctions.udf.CIQ("NasdaqGM:WISE", "IQ_CLOSEPRICE", "2025-06-09", "USD")</f>
        <v>34.200000000000003</v>
      </c>
      <c r="S50">
        <f>_xll.ciqfunctions.udf.CIQ("LSE:RBOT", "IQ_CLOSEPRICE", "2025-06-09", "USD")</f>
        <v>14.525</v>
      </c>
      <c r="T50">
        <f>_xll.ciqfunctions.udf.CIQ("XTRA:XAIX", "IQ_CLOSEPRICE", "2025-06-09", "USD")</f>
        <v>153.27699999999999</v>
      </c>
      <c r="U50">
        <f>_xll.ciqfunctions.udf.CIQ("BIT:WTAI", "IQ_CLOSEPRICE", "2025-06-09", "USD")</f>
        <v>68.600139999999996</v>
      </c>
      <c r="V50">
        <f>_xll.ciqfunctions.udf.CIQ("LSE:AIAG", "IQ_CLOSEPRICE", "2025-06-09", "USD")</f>
        <v>23.01998</v>
      </c>
      <c r="W50">
        <f>_xll.ciqfunctions.udf.CIQ("ASX:RBTZ", "IQ_CLOSEPRICE", "2025-06-09", "USD")</f>
        <v>0</v>
      </c>
      <c r="X50">
        <f>_xll.ciqfunctions.udf.CIQ("DB:XB0T", "IQ_CLOSEPRICE", "2025-06-09", "USD")</f>
        <v>20.637129999999999</v>
      </c>
    </row>
    <row r="51" spans="1:24" x14ac:dyDescent="0.25">
      <c r="A51" t="s">
        <v>73</v>
      </c>
      <c r="B51">
        <f>_xll.ciqfunctions.udf.CIQ("NasdaqGM:QQQ", "IQ_CLOSEPRICE", "2025-06-06", "USD")</f>
        <v>529.91999999999996</v>
      </c>
      <c r="C51">
        <f>_xll.ciqfunctions.udf.CIQ("NasdaqGM:AGIX", "IQ_CLOSEPRICE", "2025-06-06", "USD")</f>
        <v>30.32</v>
      </c>
      <c r="D51">
        <f>_xll.ciqfunctions.udf.CIQ("NasdaqGM:SMH", "IQ_CLOSEPRICE", "2025-06-06", "USD")</f>
        <v>252.73</v>
      </c>
      <c r="E51">
        <f>_xll.ciqfunctions.udf.CIQ("BATS:IGV", "IQ_CLOSEPRICE", "2025-06-06", "USD")</f>
        <v>105.98</v>
      </c>
      <c r="F51">
        <f>_xll.ciqfunctions.udf.CIQ("NasdaqGM:BOTZ", "IQ_CLOSEPRICE", "2025-06-06", "USD")</f>
        <v>31.4</v>
      </c>
      <c r="G51">
        <f>_xll.ciqfunctions.udf.CIQ("NasdaqGM:AIQ", "IQ_CLOSEPRICE", "2025-06-06", "USD")</f>
        <v>41.62</v>
      </c>
      <c r="H51">
        <f>_xll.ciqfunctions.udf.CIQ("ARCA:ARTY", "IQ_CLOSEPRICE", "2025-06-06", "USD")</f>
        <v>38.14</v>
      </c>
      <c r="I51">
        <f>_xll.ciqfunctions.udf.CIQ("NasdaqGM:ROBT", "IQ_CLOSEPRICE", "2025-06-06", "USD")</f>
        <v>46.06</v>
      </c>
      <c r="J51">
        <f>_xll.ciqfunctions.udf.CIQ("ARCA:IGPT", "IQ_CLOSEPRICE", "2025-06-06", "USD")</f>
        <v>46.49</v>
      </c>
      <c r="K51">
        <f>_xll.ciqfunctions.udf.CIQ("BATS:WTAI", "IQ_CLOSEPRICE", "2025-06-06", "USD")</f>
        <v>22.948399999999999</v>
      </c>
      <c r="L51">
        <f>_xll.ciqfunctions.udf.CIQ("ARCA:THNQ", "IQ_CLOSEPRICE", "2025-06-06", "USD")</f>
        <v>52.1</v>
      </c>
      <c r="M51">
        <f>_xll.ciqfunctions.udf.CIQ("NasdaqGM:FDTX", "IQ_CLOSEPRICE", "2025-06-06", "USD")</f>
        <v>37.15</v>
      </c>
      <c r="N51">
        <f>_xll.ciqfunctions.udf.CIQ("ARCA:CHAT", "IQ_CLOSEPRICE", "2025-06-06", "USD")</f>
        <v>44.34</v>
      </c>
      <c r="O51">
        <f>_xll.ciqfunctions.udf.CIQ("ARCA:LOUP", "IQ_CLOSEPRICE", "2025-06-06", "USD")</f>
        <v>57.213000000000001</v>
      </c>
      <c r="P51">
        <f>_xll.ciqfunctions.udf.CIQ("ARCA:LRNZ", "IQ_CLOSEPRICE", "2025-06-06", "USD")</f>
        <v>42.853900000000003</v>
      </c>
      <c r="Q51">
        <f>_xll.ciqfunctions.udf.CIQ("ARCA:AIS", "IQ_CLOSEPRICE", "2025-06-06", "USD")</f>
        <v>25.856999999999999</v>
      </c>
      <c r="R51">
        <f>_xll.ciqfunctions.udf.CIQ("NasdaqGM:WISE", "IQ_CLOSEPRICE", "2025-06-06", "USD")</f>
        <v>33.590000000000003</v>
      </c>
      <c r="S51">
        <f>_xll.ciqfunctions.udf.CIQ("LSE:RBOT", "IQ_CLOSEPRICE", "2025-06-06", "USD")</f>
        <v>14.44</v>
      </c>
      <c r="T51">
        <f>_xll.ciqfunctions.udf.CIQ("XTRA:XAIX", "IQ_CLOSEPRICE", "2025-06-06", "USD")</f>
        <v>151.98724999999999</v>
      </c>
      <c r="U51">
        <f>_xll.ciqfunctions.udf.CIQ("BIT:WTAI", "IQ_CLOSEPRICE", "2025-06-06", "USD")</f>
        <v>67.748549999999994</v>
      </c>
      <c r="V51">
        <f>_xll.ciqfunctions.udf.CIQ("LSE:AIAG", "IQ_CLOSEPRICE", "2025-06-06", "USD")</f>
        <v>22.894010000000002</v>
      </c>
      <c r="W51">
        <f>_xll.ciqfunctions.udf.CIQ("ASX:RBTZ", "IQ_CLOSEPRICE", "2025-06-06", "USD")</f>
        <v>8.9882500000000007</v>
      </c>
      <c r="X51">
        <f>_xll.ciqfunctions.udf.CIQ("DB:XB0T", "IQ_CLOSEPRICE", "2025-06-06", "USD")</f>
        <v>20.457809999999998</v>
      </c>
    </row>
    <row r="52" spans="1:24" x14ac:dyDescent="0.25">
      <c r="A52" t="s">
        <v>74</v>
      </c>
      <c r="B52">
        <f>_xll.ciqfunctions.udf.CIQ("NasdaqGM:QQQ", "IQ_CLOSEPRICE", "2025-06-05", "USD")</f>
        <v>524.79</v>
      </c>
      <c r="C52">
        <f>_xll.ciqfunctions.udf.CIQ("NasdaqGM:AGIX", "IQ_CLOSEPRICE", "2025-06-05", "USD")</f>
        <v>29.87</v>
      </c>
      <c r="D52">
        <f>_xll.ciqfunctions.udf.CIQ("NasdaqGM:SMH", "IQ_CLOSEPRICE", "2025-06-05", "USD")</f>
        <v>251.3</v>
      </c>
      <c r="E52">
        <f>_xll.ciqfunctions.udf.CIQ("BATS:IGV", "IQ_CLOSEPRICE", "2025-06-05", "USD")</f>
        <v>104.66</v>
      </c>
      <c r="F52">
        <f>_xll.ciqfunctions.udf.CIQ("NasdaqGM:BOTZ", "IQ_CLOSEPRICE", "2025-06-05", "USD")</f>
        <v>31.28</v>
      </c>
      <c r="G52">
        <f>_xll.ciqfunctions.udf.CIQ("NasdaqGM:AIQ", "IQ_CLOSEPRICE", "2025-06-05", "USD")</f>
        <v>41.2</v>
      </c>
      <c r="H52">
        <f>_xll.ciqfunctions.udf.CIQ("ARCA:ARTY", "IQ_CLOSEPRICE", "2025-06-05", "USD")</f>
        <v>37.69</v>
      </c>
      <c r="I52">
        <f>_xll.ciqfunctions.udf.CIQ("NasdaqGM:ROBT", "IQ_CLOSEPRICE", "2025-06-05", "USD")</f>
        <v>45.41</v>
      </c>
      <c r="J52">
        <f>_xll.ciqfunctions.udf.CIQ("ARCA:IGPT", "IQ_CLOSEPRICE", "2025-06-05", "USD")</f>
        <v>46.16</v>
      </c>
      <c r="K52">
        <f>_xll.ciqfunctions.udf.CIQ("BATS:WTAI", "IQ_CLOSEPRICE", "2025-06-05", "USD")</f>
        <v>22.68</v>
      </c>
      <c r="L52">
        <f>_xll.ciqfunctions.udf.CIQ("ARCA:THNQ", "IQ_CLOSEPRICE", "2025-06-05", "USD")</f>
        <v>51.2</v>
      </c>
      <c r="M52">
        <f>_xll.ciqfunctions.udf.CIQ("NasdaqGM:FDTX", "IQ_CLOSEPRICE", "2025-06-05", "USD")</f>
        <v>36.71</v>
      </c>
      <c r="N52">
        <f>_xll.ciqfunctions.udf.CIQ("ARCA:CHAT", "IQ_CLOSEPRICE", "2025-06-05", "USD")</f>
        <v>43.63</v>
      </c>
      <c r="O52">
        <f>_xll.ciqfunctions.udf.CIQ("ARCA:LOUP", "IQ_CLOSEPRICE", "2025-06-05", "USD")</f>
        <v>56.664099999999998</v>
      </c>
      <c r="P52">
        <f>_xll.ciqfunctions.udf.CIQ("ARCA:LRNZ", "IQ_CLOSEPRICE", "2025-06-05", "USD")</f>
        <v>42.629600000000003</v>
      </c>
      <c r="Q52">
        <f>_xll.ciqfunctions.udf.CIQ("ARCA:AIS", "IQ_CLOSEPRICE", "2025-06-05", "USD")</f>
        <v>25.644500000000001</v>
      </c>
      <c r="R52">
        <f>_xll.ciqfunctions.udf.CIQ("NasdaqGM:WISE", "IQ_CLOSEPRICE", "2025-06-05", "USD")</f>
        <v>32.97</v>
      </c>
      <c r="S52">
        <f>_xll.ciqfunctions.udf.CIQ("LSE:RBOT", "IQ_CLOSEPRICE", "2025-06-05", "USD")</f>
        <v>14.465</v>
      </c>
      <c r="T52">
        <f>_xll.ciqfunctions.udf.CIQ("XTRA:XAIX", "IQ_CLOSEPRICE", "2025-06-05", "USD")</f>
        <v>152.08976999999999</v>
      </c>
      <c r="U52">
        <f>_xll.ciqfunctions.udf.CIQ("BIT:WTAI", "IQ_CLOSEPRICE", "2025-06-05", "USD")</f>
        <v>68.017859999999999</v>
      </c>
      <c r="V52">
        <f>_xll.ciqfunctions.udf.CIQ("LSE:AIAG", "IQ_CLOSEPRICE", "2025-06-05", "USD")</f>
        <v>22.916720000000002</v>
      </c>
      <c r="W52">
        <f>_xll.ciqfunctions.udf.CIQ("ASX:RBTZ", "IQ_CLOSEPRICE", "2025-06-05", "USD")</f>
        <v>9.0488</v>
      </c>
      <c r="X52">
        <f>_xll.ciqfunctions.udf.CIQ("DB:XB0T", "IQ_CLOSEPRICE", "2025-06-05", "USD")</f>
        <v>20.654990000000002</v>
      </c>
    </row>
    <row r="53" spans="1:24" x14ac:dyDescent="0.25">
      <c r="A53" t="s">
        <v>75</v>
      </c>
      <c r="B53">
        <f>_xll.ciqfunctions.udf.CIQ("NasdaqGM:QQQ", "IQ_CLOSEPRICE", "2025-06-04", "USD")</f>
        <v>528.77</v>
      </c>
      <c r="C53">
        <f>_xll.ciqfunctions.udf.CIQ("NasdaqGM:AGIX", "IQ_CLOSEPRICE", "2025-06-04", "USD")</f>
        <v>29.8</v>
      </c>
      <c r="D53">
        <f>_xll.ciqfunctions.udf.CIQ("NasdaqGM:SMH", "IQ_CLOSEPRICE", "2025-06-04", "USD")</f>
        <v>251.75</v>
      </c>
      <c r="E53">
        <f>_xll.ciqfunctions.udf.CIQ("BATS:IGV", "IQ_CLOSEPRICE", "2025-06-04", "USD")</f>
        <v>104.8</v>
      </c>
      <c r="F53">
        <f>_xll.ciqfunctions.udf.CIQ("NasdaqGM:BOTZ", "IQ_CLOSEPRICE", "2025-06-04", "USD")</f>
        <v>31.4</v>
      </c>
      <c r="G53">
        <f>_xll.ciqfunctions.udf.CIQ("NasdaqGM:AIQ", "IQ_CLOSEPRICE", "2025-06-04", "USD")</f>
        <v>41.35</v>
      </c>
      <c r="H53">
        <f>_xll.ciqfunctions.udf.CIQ("ARCA:ARTY", "IQ_CLOSEPRICE", "2025-06-04", "USD")</f>
        <v>37.950000000000003</v>
      </c>
      <c r="I53">
        <f>_xll.ciqfunctions.udf.CIQ("NasdaqGM:ROBT", "IQ_CLOSEPRICE", "2025-06-04", "USD")</f>
        <v>45.63</v>
      </c>
      <c r="J53">
        <f>_xll.ciqfunctions.udf.CIQ("ARCA:IGPT", "IQ_CLOSEPRICE", "2025-06-04", "USD")</f>
        <v>46.34</v>
      </c>
      <c r="K53">
        <f>_xll.ciqfunctions.udf.CIQ("BATS:WTAI", "IQ_CLOSEPRICE", "2025-06-04", "USD")</f>
        <v>22.77</v>
      </c>
      <c r="L53">
        <f>_xll.ciqfunctions.udf.CIQ("ARCA:THNQ", "IQ_CLOSEPRICE", "2025-06-04", "USD")</f>
        <v>51.519100000000002</v>
      </c>
      <c r="M53">
        <f>_xll.ciqfunctions.udf.CIQ("NasdaqGM:FDTX", "IQ_CLOSEPRICE", "2025-06-04", "USD")</f>
        <v>36.398800000000001</v>
      </c>
      <c r="N53">
        <f>_xll.ciqfunctions.udf.CIQ("ARCA:CHAT", "IQ_CLOSEPRICE", "2025-06-04", "USD")</f>
        <v>44.1</v>
      </c>
      <c r="O53">
        <f>_xll.ciqfunctions.udf.CIQ("ARCA:LOUP", "IQ_CLOSEPRICE", "2025-06-04", "USD")</f>
        <v>56.35</v>
      </c>
      <c r="P53">
        <f>_xll.ciqfunctions.udf.CIQ("ARCA:LRNZ", "IQ_CLOSEPRICE", "2025-06-04", "USD")</f>
        <v>42.208100000000002</v>
      </c>
      <c r="Q53">
        <f>_xll.ciqfunctions.udf.CIQ("ARCA:AIS", "IQ_CLOSEPRICE", "2025-06-04", "USD")</f>
        <v>25.58</v>
      </c>
      <c r="R53">
        <f>_xll.ciqfunctions.udf.CIQ("NasdaqGM:WISE", "IQ_CLOSEPRICE", "2025-06-04", "USD")</f>
        <v>33.71</v>
      </c>
      <c r="S53">
        <f>_xll.ciqfunctions.udf.CIQ("LSE:RBOT", "IQ_CLOSEPRICE", "2025-06-04", "USD")</f>
        <v>14.36</v>
      </c>
      <c r="T53">
        <f>_xll.ciqfunctions.udf.CIQ("XTRA:XAIX", "IQ_CLOSEPRICE", "2025-06-04", "USD")</f>
        <v>150.39415</v>
      </c>
      <c r="U53">
        <f>_xll.ciqfunctions.udf.CIQ("BIT:WTAI", "IQ_CLOSEPRICE", "2025-06-04", "USD")</f>
        <v>66.982749999999996</v>
      </c>
      <c r="V53">
        <f>_xll.ciqfunctions.udf.CIQ("LSE:AIAG", "IQ_CLOSEPRICE", "2025-06-04", "USD")</f>
        <v>22.689779999999999</v>
      </c>
      <c r="W53">
        <f>_xll.ciqfunctions.udf.CIQ("ASX:RBTZ", "IQ_CLOSEPRICE", "2025-06-04", "USD")</f>
        <v>9.0153800000000004</v>
      </c>
      <c r="X53">
        <f>_xll.ciqfunctions.udf.CIQ("DB:XB0T", "IQ_CLOSEPRICE", "2025-06-04", "USD")</f>
        <v>20.63064</v>
      </c>
    </row>
    <row r="54" spans="1:24" x14ac:dyDescent="0.25">
      <c r="A54" t="s">
        <v>76</v>
      </c>
      <c r="B54">
        <f>_xll.ciqfunctions.udf.CIQ("NasdaqGM:QQQ", "IQ_CLOSEPRICE", "2025-06-03", "USD")</f>
        <v>527.29999999999995</v>
      </c>
      <c r="C54">
        <f>_xll.ciqfunctions.udf.CIQ("NasdaqGM:AGIX", "IQ_CLOSEPRICE", "2025-06-03", "USD")</f>
        <v>29.5656</v>
      </c>
      <c r="D54">
        <f>_xll.ciqfunctions.udf.CIQ("NasdaqGM:SMH", "IQ_CLOSEPRICE", "2025-06-03", "USD")</f>
        <v>248.79</v>
      </c>
      <c r="E54">
        <f>_xll.ciqfunctions.udf.CIQ("BATS:IGV", "IQ_CLOSEPRICE", "2025-06-03", "USD")</f>
        <v>104.99</v>
      </c>
      <c r="F54">
        <f>_xll.ciqfunctions.udf.CIQ("NasdaqGM:BOTZ", "IQ_CLOSEPRICE", "2025-06-03", "USD")</f>
        <v>31.3</v>
      </c>
      <c r="G54">
        <f>_xll.ciqfunctions.udf.CIQ("NasdaqGM:AIQ", "IQ_CLOSEPRICE", "2025-06-03", "USD")</f>
        <v>40.96</v>
      </c>
      <c r="H54">
        <f>_xll.ciqfunctions.udf.CIQ("ARCA:ARTY", "IQ_CLOSEPRICE", "2025-06-03", "USD")</f>
        <v>37.67</v>
      </c>
      <c r="I54">
        <f>_xll.ciqfunctions.udf.CIQ("NasdaqGM:ROBT", "IQ_CLOSEPRICE", "2025-06-03", "USD")</f>
        <v>45.32</v>
      </c>
      <c r="J54">
        <f>_xll.ciqfunctions.udf.CIQ("ARCA:IGPT", "IQ_CLOSEPRICE", "2025-06-03", "USD")</f>
        <v>45.83</v>
      </c>
      <c r="K54">
        <f>_xll.ciqfunctions.udf.CIQ("BATS:WTAI", "IQ_CLOSEPRICE", "2025-06-03", "USD")</f>
        <v>22.66</v>
      </c>
      <c r="L54">
        <f>_xll.ciqfunctions.udf.CIQ("ARCA:THNQ", "IQ_CLOSEPRICE", "2025-06-03", "USD")</f>
        <v>51.128399999999999</v>
      </c>
      <c r="M54">
        <f>_xll.ciqfunctions.udf.CIQ("NasdaqGM:FDTX", "IQ_CLOSEPRICE", "2025-06-03", "USD")</f>
        <v>36.11</v>
      </c>
      <c r="N54">
        <f>_xll.ciqfunctions.udf.CIQ("ARCA:CHAT", "IQ_CLOSEPRICE", "2025-06-03", "USD")</f>
        <v>43.31</v>
      </c>
      <c r="O54">
        <f>_xll.ciqfunctions.udf.CIQ("ARCA:LOUP", "IQ_CLOSEPRICE", "2025-06-03", "USD")</f>
        <v>55.821899999999999</v>
      </c>
      <c r="P54">
        <f>_xll.ciqfunctions.udf.CIQ("ARCA:LRNZ", "IQ_CLOSEPRICE", "2025-06-03", "USD")</f>
        <v>42.176000000000002</v>
      </c>
      <c r="Q54">
        <f>_xll.ciqfunctions.udf.CIQ("ARCA:AIS", "IQ_CLOSEPRICE", "2025-06-03", "USD")</f>
        <v>25.2727</v>
      </c>
      <c r="R54">
        <f>_xll.ciqfunctions.udf.CIQ("NasdaqGM:WISE", "IQ_CLOSEPRICE", "2025-06-03", "USD")</f>
        <v>33.053899999999999</v>
      </c>
      <c r="S54">
        <f>_xll.ciqfunctions.udf.CIQ("LSE:RBOT", "IQ_CLOSEPRICE", "2025-06-03", "USD")</f>
        <v>14.244999999999999</v>
      </c>
      <c r="T54">
        <f>_xll.ciqfunctions.udf.CIQ("XTRA:XAIX", "IQ_CLOSEPRICE", "2025-06-03", "USD")</f>
        <v>149.64160000000001</v>
      </c>
      <c r="U54">
        <f>_xll.ciqfunctions.udf.CIQ("BIT:WTAI", "IQ_CLOSEPRICE", "2025-06-03", "USD")</f>
        <v>66.059849999999997</v>
      </c>
      <c r="V54">
        <f>_xll.ciqfunctions.udf.CIQ("LSE:AIAG", "IQ_CLOSEPRICE", "2025-06-03", "USD")</f>
        <v>22.427399999999999</v>
      </c>
      <c r="W54">
        <f>_xll.ciqfunctions.udf.CIQ("ASX:RBTZ", "IQ_CLOSEPRICE", "2025-06-03", "USD")</f>
        <v>8.8476700000000008</v>
      </c>
      <c r="X54">
        <f>_xll.ciqfunctions.udf.CIQ("DB:XB0T", "IQ_CLOSEPRICE", "2025-06-03", "USD")</f>
        <v>20.152460000000001</v>
      </c>
    </row>
    <row r="55" spans="1:24" x14ac:dyDescent="0.25">
      <c r="A55" t="s">
        <v>77</v>
      </c>
      <c r="B55">
        <f>_xll.ciqfunctions.udf.CIQ("NasdaqGM:QQQ", "IQ_CLOSEPRICE", "2025-06-02", "USD")</f>
        <v>523.21</v>
      </c>
      <c r="C55">
        <f>_xll.ciqfunctions.udf.CIQ("NasdaqGM:AGIX", "IQ_CLOSEPRICE", "2025-06-02", "USD")</f>
        <v>29.34</v>
      </c>
      <c r="D55">
        <f>_xll.ciqfunctions.udf.CIQ("NasdaqGM:SMH", "IQ_CLOSEPRICE", "2025-06-02", "USD")</f>
        <v>243.3</v>
      </c>
      <c r="E55">
        <f>_xll.ciqfunctions.udf.CIQ("BATS:IGV", "IQ_CLOSEPRICE", "2025-06-02", "USD")</f>
        <v>103.94</v>
      </c>
      <c r="F55">
        <f>_xll.ciqfunctions.udf.CIQ("NasdaqGM:BOTZ", "IQ_CLOSEPRICE", "2025-06-02", "USD")</f>
        <v>30.97</v>
      </c>
      <c r="G55">
        <f>_xll.ciqfunctions.udf.CIQ("NasdaqGM:AIQ", "IQ_CLOSEPRICE", "2025-06-02", "USD")</f>
        <v>40.729999999999997</v>
      </c>
      <c r="H55">
        <f>_xll.ciqfunctions.udf.CIQ("ARCA:ARTY", "IQ_CLOSEPRICE", "2025-06-02", "USD")</f>
        <v>37.1</v>
      </c>
      <c r="I55">
        <f>_xll.ciqfunctions.udf.CIQ("NasdaqGM:ROBT", "IQ_CLOSEPRICE", "2025-06-02", "USD")</f>
        <v>44.76</v>
      </c>
      <c r="J55">
        <f>_xll.ciqfunctions.udf.CIQ("ARCA:IGPT", "IQ_CLOSEPRICE", "2025-06-02", "USD")</f>
        <v>45.29</v>
      </c>
      <c r="K55">
        <f>_xll.ciqfunctions.udf.CIQ("BATS:WTAI", "IQ_CLOSEPRICE", "2025-06-02", "USD")</f>
        <v>22.35</v>
      </c>
      <c r="L55">
        <f>_xll.ciqfunctions.udf.CIQ("ARCA:THNQ", "IQ_CLOSEPRICE", "2025-06-02", "USD")</f>
        <v>50.664900000000003</v>
      </c>
      <c r="M55">
        <f>_xll.ciqfunctions.udf.CIQ("NasdaqGM:FDTX", "IQ_CLOSEPRICE", "2025-06-02", "USD")</f>
        <v>35.71</v>
      </c>
      <c r="N55">
        <f>_xll.ciqfunctions.udf.CIQ("ARCA:CHAT", "IQ_CLOSEPRICE", "2025-06-02", "USD")</f>
        <v>42.31</v>
      </c>
      <c r="O55">
        <f>_xll.ciqfunctions.udf.CIQ("ARCA:LOUP", "IQ_CLOSEPRICE", "2025-06-02", "USD")</f>
        <v>55.13</v>
      </c>
      <c r="P55">
        <f>_xll.ciqfunctions.udf.CIQ("ARCA:LRNZ", "IQ_CLOSEPRICE", "2025-06-02", "USD")</f>
        <v>41.650700000000001</v>
      </c>
      <c r="Q55">
        <f>_xll.ciqfunctions.udf.CIQ("ARCA:AIS", "IQ_CLOSEPRICE", "2025-06-02", "USD")</f>
        <v>24.8322</v>
      </c>
      <c r="R55">
        <f>_xll.ciqfunctions.udf.CIQ("NasdaqGM:WISE", "IQ_CLOSEPRICE", "2025-06-02", "USD")</f>
        <v>32.6</v>
      </c>
      <c r="S55">
        <f>_xll.ciqfunctions.udf.CIQ("LSE:RBOT", "IQ_CLOSEPRICE", "2025-06-02", "USD")</f>
        <v>14.03</v>
      </c>
      <c r="T55">
        <f>_xll.ciqfunctions.udf.CIQ("XTRA:XAIX", "IQ_CLOSEPRICE", "2025-06-02", "USD")</f>
        <v>147.71271999999999</v>
      </c>
      <c r="U55">
        <f>_xll.ciqfunctions.udf.CIQ("BIT:WTAI", "IQ_CLOSEPRICE", "2025-06-02", "USD")</f>
        <v>64.741540000000001</v>
      </c>
      <c r="V55">
        <f>_xll.ciqfunctions.udf.CIQ("LSE:AIAG", "IQ_CLOSEPRICE", "2025-06-02", "USD")</f>
        <v>22.103580000000001</v>
      </c>
      <c r="W55">
        <f>_xll.ciqfunctions.udf.CIQ("ASX:RBTZ", "IQ_CLOSEPRICE", "2025-06-02", "USD")</f>
        <v>8.8464500000000008</v>
      </c>
      <c r="X55">
        <f>_xll.ciqfunctions.udf.CIQ("DB:XB0T", "IQ_CLOSEPRICE", "2025-06-02", "USD")</f>
        <v>20.340810000000001</v>
      </c>
    </row>
    <row r="56" spans="1:24" x14ac:dyDescent="0.25">
      <c r="A56" t="s">
        <v>78</v>
      </c>
      <c r="B56">
        <f>_xll.ciqfunctions.udf.CIQ("NasdaqGM:QQQ", "IQ_CLOSEPRICE", "2025-05-30", "USD")</f>
        <v>519.11</v>
      </c>
      <c r="C56">
        <f>_xll.ciqfunctions.udf.CIQ("NasdaqGM:AGIX", "IQ_CLOSEPRICE", "2025-05-30", "USD")</f>
        <v>28.97</v>
      </c>
      <c r="D56">
        <f>_xll.ciqfunctions.udf.CIQ("NasdaqGM:SMH", "IQ_CLOSEPRICE", "2025-05-30", "USD")</f>
        <v>239.75</v>
      </c>
      <c r="E56">
        <f>_xll.ciqfunctions.udf.CIQ("BATS:IGV", "IQ_CLOSEPRICE", "2025-05-30", "USD")</f>
        <v>103.65</v>
      </c>
      <c r="F56">
        <f>_xll.ciqfunctions.udf.CIQ("NasdaqGM:BOTZ", "IQ_CLOSEPRICE", "2025-05-30", "USD")</f>
        <v>30.9</v>
      </c>
      <c r="G56">
        <f>_xll.ciqfunctions.udf.CIQ("NasdaqGM:AIQ", "IQ_CLOSEPRICE", "2025-05-30", "USD")</f>
        <v>40.299999999999997</v>
      </c>
      <c r="H56">
        <f>_xll.ciqfunctions.udf.CIQ("ARCA:ARTY", "IQ_CLOSEPRICE", "2025-05-30", "USD")</f>
        <v>36.82</v>
      </c>
      <c r="I56">
        <f>_xll.ciqfunctions.udf.CIQ("NasdaqGM:ROBT", "IQ_CLOSEPRICE", "2025-05-30", "USD")</f>
        <v>44.57</v>
      </c>
      <c r="J56">
        <f>_xll.ciqfunctions.udf.CIQ("ARCA:IGPT", "IQ_CLOSEPRICE", "2025-05-30", "USD")</f>
        <v>44.71</v>
      </c>
      <c r="K56">
        <f>_xll.ciqfunctions.udf.CIQ("BATS:WTAI", "IQ_CLOSEPRICE", "2025-05-30", "USD")</f>
        <v>22.08</v>
      </c>
      <c r="L56">
        <f>_xll.ciqfunctions.udf.CIQ("ARCA:THNQ", "IQ_CLOSEPRICE", "2025-05-30", "USD")</f>
        <v>50.163699999999999</v>
      </c>
      <c r="M56">
        <f>_xll.ciqfunctions.udf.CIQ("NasdaqGM:FDTX", "IQ_CLOSEPRICE", "2025-05-30", "USD")</f>
        <v>35.471200000000003</v>
      </c>
      <c r="N56">
        <f>_xll.ciqfunctions.udf.CIQ("ARCA:CHAT", "IQ_CLOSEPRICE", "2025-05-30", "USD")</f>
        <v>41.76</v>
      </c>
      <c r="O56">
        <f>_xll.ciqfunctions.udf.CIQ("ARCA:LOUP", "IQ_CLOSEPRICE", "2025-05-30", "USD")</f>
        <v>54.145099999999999</v>
      </c>
      <c r="P56">
        <f>_xll.ciqfunctions.udf.CIQ("ARCA:LRNZ", "IQ_CLOSEPRICE", "2025-05-30", "USD")</f>
        <v>41.059800000000003</v>
      </c>
      <c r="Q56">
        <f>_xll.ciqfunctions.udf.CIQ("ARCA:AIS", "IQ_CLOSEPRICE", "2025-05-30", "USD")</f>
        <v>24.232500000000002</v>
      </c>
      <c r="R56">
        <f>_xll.ciqfunctions.udf.CIQ("NasdaqGM:WISE", "IQ_CLOSEPRICE", "2025-05-30", "USD")</f>
        <v>32.604900000000001</v>
      </c>
      <c r="S56">
        <f>_xll.ciqfunctions.udf.CIQ("LSE:RBOT", "IQ_CLOSEPRICE", "2025-05-30", "USD")</f>
        <v>14.05</v>
      </c>
      <c r="T56">
        <f>_xll.ciqfunctions.udf.CIQ("XTRA:XAIX", "IQ_CLOSEPRICE", "2025-05-30", "USD")</f>
        <v>146.76047</v>
      </c>
      <c r="U56">
        <f>_xll.ciqfunctions.udf.CIQ("BIT:WTAI", "IQ_CLOSEPRICE", "2025-05-30", "USD")</f>
        <v>64.461590000000001</v>
      </c>
      <c r="V56">
        <f>_xll.ciqfunctions.udf.CIQ("LSE:AIAG", "IQ_CLOSEPRICE", "2025-05-30", "USD")</f>
        <v>22.008410000000001</v>
      </c>
      <c r="W56">
        <f>_xll.ciqfunctions.udf.CIQ("ASX:RBTZ", "IQ_CLOSEPRICE", "2025-05-30", "USD")</f>
        <v>9.0084300000000006</v>
      </c>
      <c r="X56">
        <f>_xll.ciqfunctions.udf.CIQ("DB:XB0T", "IQ_CLOSEPRICE", "2025-05-30", "USD")</f>
        <v>20.553730000000002</v>
      </c>
    </row>
    <row r="57" spans="1:24" x14ac:dyDescent="0.25">
      <c r="A57" t="s">
        <v>79</v>
      </c>
      <c r="B57">
        <f>_xll.ciqfunctions.udf.CIQ("NasdaqGM:QQQ", "IQ_CLOSEPRICE", "2025-05-29", "USD")</f>
        <v>519.92999999999995</v>
      </c>
      <c r="C57">
        <f>_xll.ciqfunctions.udf.CIQ("NasdaqGM:AGIX", "IQ_CLOSEPRICE", "2025-05-29", "USD")</f>
        <v>28.72</v>
      </c>
      <c r="D57">
        <f>_xll.ciqfunctions.udf.CIQ("NasdaqGM:SMH", "IQ_CLOSEPRICE", "2025-05-29", "USD")</f>
        <v>244.08</v>
      </c>
      <c r="E57">
        <f>_xll.ciqfunctions.udf.CIQ("BATS:IGV", "IQ_CLOSEPRICE", "2025-05-29", "USD")</f>
        <v>102.35</v>
      </c>
      <c r="F57">
        <f>_xll.ciqfunctions.udf.CIQ("NasdaqGM:BOTZ", "IQ_CLOSEPRICE", "2025-05-29", "USD")</f>
        <v>31.31</v>
      </c>
      <c r="G57">
        <f>_xll.ciqfunctions.udf.CIQ("NasdaqGM:AIQ", "IQ_CLOSEPRICE", "2025-05-29", "USD")</f>
        <v>40.450000000000003</v>
      </c>
      <c r="H57">
        <f>_xll.ciqfunctions.udf.CIQ("ARCA:ARTY", "IQ_CLOSEPRICE", "2025-05-29", "USD")</f>
        <v>36.89</v>
      </c>
      <c r="I57">
        <f>_xll.ciqfunctions.udf.CIQ("NasdaqGM:ROBT", "IQ_CLOSEPRICE", "2025-05-29", "USD")</f>
        <v>44.85</v>
      </c>
      <c r="J57">
        <f>_xll.ciqfunctions.udf.CIQ("ARCA:IGPT", "IQ_CLOSEPRICE", "2025-05-29", "USD")</f>
        <v>45.22</v>
      </c>
      <c r="K57">
        <f>_xll.ciqfunctions.udf.CIQ("BATS:WTAI", "IQ_CLOSEPRICE", "2025-05-29", "USD")</f>
        <v>22.16</v>
      </c>
      <c r="L57">
        <f>_xll.ciqfunctions.udf.CIQ("ARCA:THNQ", "IQ_CLOSEPRICE", "2025-05-29", "USD")</f>
        <v>50.683700000000002</v>
      </c>
      <c r="M57">
        <f>_xll.ciqfunctions.udf.CIQ("NasdaqGM:FDTX", "IQ_CLOSEPRICE", "2025-05-29", "USD")</f>
        <v>35.35</v>
      </c>
      <c r="N57">
        <f>_xll.ciqfunctions.udf.CIQ("ARCA:CHAT", "IQ_CLOSEPRICE", "2025-05-29", "USD")</f>
        <v>42.2</v>
      </c>
      <c r="O57">
        <f>_xll.ciqfunctions.udf.CIQ("ARCA:LOUP", "IQ_CLOSEPRICE", "2025-05-29", "USD")</f>
        <v>54.407899999999998</v>
      </c>
      <c r="P57">
        <f>_xll.ciqfunctions.udf.CIQ("ARCA:LRNZ", "IQ_CLOSEPRICE", "2025-05-29", "USD")</f>
        <v>40.951599999999999</v>
      </c>
      <c r="Q57">
        <f>_xll.ciqfunctions.udf.CIQ("ARCA:AIS", "IQ_CLOSEPRICE", "2025-05-29", "USD")</f>
        <v>24.575399999999998</v>
      </c>
      <c r="R57">
        <f>_xll.ciqfunctions.udf.CIQ("NasdaqGM:WISE", "IQ_CLOSEPRICE", "2025-05-29", "USD")</f>
        <v>32.799999999999997</v>
      </c>
      <c r="S57">
        <f>_xll.ciqfunctions.udf.CIQ("LSE:RBOT", "IQ_CLOSEPRICE", "2025-05-29", "USD")</f>
        <v>14.15</v>
      </c>
      <c r="T57">
        <f>_xll.ciqfunctions.udf.CIQ("XTRA:XAIX", "IQ_CLOSEPRICE", "2025-05-29", "USD")</f>
        <v>146.82422</v>
      </c>
      <c r="U57">
        <f>_xll.ciqfunctions.udf.CIQ("BIT:WTAI", "IQ_CLOSEPRICE", "2025-05-29", "USD")</f>
        <v>65.651629999999997</v>
      </c>
      <c r="V57">
        <f>_xll.ciqfunctions.udf.CIQ("LSE:AIAG", "IQ_CLOSEPRICE", "2025-05-29", "USD")</f>
        <v>22.330439999999999</v>
      </c>
      <c r="W57">
        <f>_xll.ciqfunctions.udf.CIQ("ASX:RBTZ", "IQ_CLOSEPRICE", "2025-05-29", "USD")</f>
        <v>9.1577000000000002</v>
      </c>
      <c r="X57">
        <f>_xll.ciqfunctions.udf.CIQ("DB:XB0T", "IQ_CLOSEPRICE", "2025-05-29", "USD")</f>
        <v>20.947620000000001</v>
      </c>
    </row>
    <row r="58" spans="1:24" x14ac:dyDescent="0.25">
      <c r="A58" t="s">
        <v>80</v>
      </c>
      <c r="B58">
        <f>_xll.ciqfunctions.udf.CIQ("NasdaqGM:QQQ", "IQ_CLOSEPRICE", "2025-05-28", "USD")</f>
        <v>518.91</v>
      </c>
      <c r="C58">
        <f>_xll.ciqfunctions.udf.CIQ("NasdaqGM:AGIX", "IQ_CLOSEPRICE", "2025-05-28", "USD")</f>
        <v>29.05</v>
      </c>
      <c r="D58">
        <f>_xll.ciqfunctions.udf.CIQ("NasdaqGM:SMH", "IQ_CLOSEPRICE", "2025-05-28", "USD")</f>
        <v>242.36</v>
      </c>
      <c r="E58">
        <f>_xll.ciqfunctions.udf.CIQ("BATS:IGV", "IQ_CLOSEPRICE", "2025-05-28", "USD")</f>
        <v>103.08</v>
      </c>
      <c r="F58">
        <f>_xll.ciqfunctions.udf.CIQ("NasdaqGM:BOTZ", "IQ_CLOSEPRICE", "2025-05-28", "USD")</f>
        <v>31.08</v>
      </c>
      <c r="G58">
        <f>_xll.ciqfunctions.udf.CIQ("NasdaqGM:AIQ", "IQ_CLOSEPRICE", "2025-05-28", "USD")</f>
        <v>40.520000000000003</v>
      </c>
      <c r="H58">
        <f>_xll.ciqfunctions.udf.CIQ("ARCA:ARTY", "IQ_CLOSEPRICE", "2025-05-28", "USD")</f>
        <v>36.909999999999997</v>
      </c>
      <c r="I58">
        <f>_xll.ciqfunctions.udf.CIQ("NasdaqGM:ROBT", "IQ_CLOSEPRICE", "2025-05-28", "USD")</f>
        <v>44.75</v>
      </c>
      <c r="J58">
        <f>_xll.ciqfunctions.udf.CIQ("ARCA:IGPT", "IQ_CLOSEPRICE", "2025-05-28", "USD")</f>
        <v>45.14</v>
      </c>
      <c r="K58">
        <f>_xll.ciqfunctions.udf.CIQ("BATS:WTAI", "IQ_CLOSEPRICE", "2025-05-28", "USD")</f>
        <v>22.35</v>
      </c>
      <c r="L58">
        <f>_xll.ciqfunctions.udf.CIQ("ARCA:THNQ", "IQ_CLOSEPRICE", "2025-05-28", "USD")</f>
        <v>50.865200000000002</v>
      </c>
      <c r="M58">
        <f>_xll.ciqfunctions.udf.CIQ("NasdaqGM:FDTX", "IQ_CLOSEPRICE", "2025-05-28", "USD")</f>
        <v>35.546700000000001</v>
      </c>
      <c r="N58">
        <f>_xll.ciqfunctions.udf.CIQ("ARCA:CHAT", "IQ_CLOSEPRICE", "2025-05-28", "USD")</f>
        <v>42.4709</v>
      </c>
      <c r="O58">
        <f>_xll.ciqfunctions.udf.CIQ("ARCA:LOUP", "IQ_CLOSEPRICE", "2025-05-28", "USD")</f>
        <v>54.861699999999999</v>
      </c>
      <c r="P58">
        <f>_xll.ciqfunctions.udf.CIQ("ARCA:LRNZ", "IQ_CLOSEPRICE", "2025-05-28", "USD")</f>
        <v>41.157299999999999</v>
      </c>
      <c r="Q58">
        <f>_xll.ciqfunctions.udf.CIQ("ARCA:AIS", "IQ_CLOSEPRICE", "2025-05-28", "USD")</f>
        <v>24.759899999999998</v>
      </c>
      <c r="R58">
        <f>_xll.ciqfunctions.udf.CIQ("NasdaqGM:WISE", "IQ_CLOSEPRICE", "2025-05-28", "USD")</f>
        <v>32.753399999999999</v>
      </c>
      <c r="S58">
        <f>_xll.ciqfunctions.udf.CIQ("LSE:RBOT", "IQ_CLOSEPRICE", "2025-05-28", "USD")</f>
        <v>14.16</v>
      </c>
      <c r="T58">
        <f>_xll.ciqfunctions.udf.CIQ("XTRA:XAIX", "IQ_CLOSEPRICE", "2025-05-28", "USD")</f>
        <v>147.43619000000001</v>
      </c>
      <c r="U58">
        <f>_xll.ciqfunctions.udf.CIQ("BIT:WTAI", "IQ_CLOSEPRICE", "2025-05-28", "USD")</f>
        <v>65.540999999999997</v>
      </c>
      <c r="V58">
        <f>_xll.ciqfunctions.udf.CIQ("LSE:AIAG", "IQ_CLOSEPRICE", "2025-05-28", "USD")</f>
        <v>22.432600000000001</v>
      </c>
      <c r="W58">
        <f>_xll.ciqfunctions.udf.CIQ("ASX:RBTZ", "IQ_CLOSEPRICE", "2025-05-28", "USD")</f>
        <v>8.9432500000000008</v>
      </c>
      <c r="X58">
        <f>_xll.ciqfunctions.udf.CIQ("DB:XB0T", "IQ_CLOSEPRICE", "2025-05-28", "USD")</f>
        <v>20.456289999999999</v>
      </c>
    </row>
    <row r="59" spans="1:24" x14ac:dyDescent="0.25">
      <c r="A59" t="s">
        <v>81</v>
      </c>
      <c r="B59">
        <f>_xll.ciqfunctions.udf.CIQ("NasdaqGM:QQQ", "IQ_CLOSEPRICE", "2025-05-27", "USD")</f>
        <v>521.22</v>
      </c>
      <c r="C59">
        <f>_xll.ciqfunctions.udf.CIQ("NasdaqGM:AGIX", "IQ_CLOSEPRICE", "2025-05-27", "USD")</f>
        <v>29.27</v>
      </c>
      <c r="D59">
        <f>_xll.ciqfunctions.udf.CIQ("NasdaqGM:SMH", "IQ_CLOSEPRICE", "2025-05-27", "USD")</f>
        <v>244.97</v>
      </c>
      <c r="E59">
        <f>_xll.ciqfunctions.udf.CIQ("BATS:IGV", "IQ_CLOSEPRICE", "2025-05-27", "USD")</f>
        <v>103.8</v>
      </c>
      <c r="F59">
        <f>_xll.ciqfunctions.udf.CIQ("NasdaqGM:BOTZ", "IQ_CLOSEPRICE", "2025-05-27", "USD")</f>
        <v>31.51</v>
      </c>
      <c r="G59">
        <f>_xll.ciqfunctions.udf.CIQ("NasdaqGM:AIQ", "IQ_CLOSEPRICE", "2025-05-27", "USD")</f>
        <v>40.79</v>
      </c>
      <c r="H59">
        <f>_xll.ciqfunctions.udf.CIQ("ARCA:ARTY", "IQ_CLOSEPRICE", "2025-05-27", "USD")</f>
        <v>37.14</v>
      </c>
      <c r="I59">
        <f>_xll.ciqfunctions.udf.CIQ("NasdaqGM:ROBT", "IQ_CLOSEPRICE", "2025-05-27", "USD")</f>
        <v>45.38</v>
      </c>
      <c r="J59">
        <f>_xll.ciqfunctions.udf.CIQ("ARCA:IGPT", "IQ_CLOSEPRICE", "2025-05-27", "USD")</f>
        <v>45.54</v>
      </c>
      <c r="K59">
        <f>_xll.ciqfunctions.udf.CIQ("BATS:WTAI", "IQ_CLOSEPRICE", "2025-05-27", "USD")</f>
        <v>22.56</v>
      </c>
      <c r="L59">
        <f>_xll.ciqfunctions.udf.CIQ("ARCA:THNQ", "IQ_CLOSEPRICE", "2025-05-27", "USD")</f>
        <v>51.1462</v>
      </c>
      <c r="M59">
        <f>_xll.ciqfunctions.udf.CIQ("NasdaqGM:FDTX", "IQ_CLOSEPRICE", "2025-05-27", "USD")</f>
        <v>35.65</v>
      </c>
      <c r="N59">
        <f>_xll.ciqfunctions.udf.CIQ("ARCA:CHAT", "IQ_CLOSEPRICE", "2025-05-27", "USD")</f>
        <v>42.68</v>
      </c>
      <c r="O59">
        <f>_xll.ciqfunctions.udf.CIQ("ARCA:LOUP", "IQ_CLOSEPRICE", "2025-05-27", "USD")</f>
        <v>54.947299999999998</v>
      </c>
      <c r="P59">
        <f>_xll.ciqfunctions.udf.CIQ("ARCA:LRNZ", "IQ_CLOSEPRICE", "2025-05-27", "USD")</f>
        <v>41.482500000000002</v>
      </c>
      <c r="Q59">
        <f>_xll.ciqfunctions.udf.CIQ("ARCA:AIS", "IQ_CLOSEPRICE", "2025-05-27", "USD")</f>
        <v>24.787700000000001</v>
      </c>
      <c r="R59">
        <f>_xll.ciqfunctions.udf.CIQ("NasdaqGM:WISE", "IQ_CLOSEPRICE", "2025-05-27", "USD")</f>
        <v>33.045000000000002</v>
      </c>
      <c r="S59">
        <f>_xll.ciqfunctions.udf.CIQ("LSE:RBOT", "IQ_CLOSEPRICE", "2025-05-27", "USD")</f>
        <v>14.2</v>
      </c>
      <c r="T59">
        <f>_xll.ciqfunctions.udf.CIQ("XTRA:XAIX", "IQ_CLOSEPRICE", "2025-05-27", "USD")</f>
        <v>147.38155</v>
      </c>
      <c r="U59">
        <f>_xll.ciqfunctions.udf.CIQ("BIT:WTAI", "IQ_CLOSEPRICE", "2025-05-27", "USD")</f>
        <v>65.778729999999996</v>
      </c>
      <c r="V59">
        <f>_xll.ciqfunctions.udf.CIQ("LSE:AIAG", "IQ_CLOSEPRICE", "2025-05-27", "USD")</f>
        <v>22.54467</v>
      </c>
      <c r="W59">
        <f>_xll.ciqfunctions.udf.CIQ("ASX:RBTZ", "IQ_CLOSEPRICE", "2025-05-27", "USD")</f>
        <v>8.8619800000000009</v>
      </c>
      <c r="X59">
        <f>_xll.ciqfunctions.udf.CIQ("DB:XB0T", "IQ_CLOSEPRICE", "2025-05-27", "USD")</f>
        <v>20.414870000000001</v>
      </c>
    </row>
    <row r="60" spans="1:24" x14ac:dyDescent="0.25">
      <c r="A60" t="s">
        <v>82</v>
      </c>
      <c r="B60">
        <f>_xll.ciqfunctions.udf.CIQ("NasdaqGM:QQQ", "IQ_CLOSEPRICE", "2025-05-26", "USD")</f>
        <v>0</v>
      </c>
      <c r="C60">
        <f>_xll.ciqfunctions.udf.CIQ("NasdaqGM:AGIX", "IQ_CLOSEPRICE", "2025-05-26", "USD")</f>
        <v>0</v>
      </c>
      <c r="D60">
        <f>_xll.ciqfunctions.udf.CIQ("NasdaqGM:SMH", "IQ_CLOSEPRICE", "2025-05-26", "USD")</f>
        <v>0</v>
      </c>
      <c r="E60">
        <f>_xll.ciqfunctions.udf.CIQ("BATS:IGV", "IQ_CLOSEPRICE", "2025-05-26", "USD")</f>
        <v>0</v>
      </c>
      <c r="F60">
        <f>_xll.ciqfunctions.udf.CIQ("NasdaqGM:BOTZ", "IQ_CLOSEPRICE", "2025-05-26", "USD")</f>
        <v>0</v>
      </c>
      <c r="G60">
        <f>_xll.ciqfunctions.udf.CIQ("NasdaqGM:AIQ", "IQ_CLOSEPRICE", "2025-05-26", "USD")</f>
        <v>0</v>
      </c>
      <c r="H60">
        <f>_xll.ciqfunctions.udf.CIQ("ARCA:ARTY", "IQ_CLOSEPRICE", "2025-05-26", "USD")</f>
        <v>0</v>
      </c>
      <c r="I60">
        <f>_xll.ciqfunctions.udf.CIQ("NasdaqGM:ROBT", "IQ_CLOSEPRICE", "2025-05-26", "USD")</f>
        <v>0</v>
      </c>
      <c r="J60">
        <f>_xll.ciqfunctions.udf.CIQ("ARCA:IGPT", "IQ_CLOSEPRICE", "2025-05-26", "USD")</f>
        <v>0</v>
      </c>
      <c r="K60">
        <f>_xll.ciqfunctions.udf.CIQ("BATS:WTAI", "IQ_CLOSEPRICE", "2025-05-26", "USD")</f>
        <v>0</v>
      </c>
      <c r="L60">
        <f>_xll.ciqfunctions.udf.CIQ("ARCA:THNQ", "IQ_CLOSEPRICE", "2025-05-26", "USD")</f>
        <v>0</v>
      </c>
      <c r="M60">
        <f>_xll.ciqfunctions.udf.CIQ("NasdaqGM:FDTX", "IQ_CLOSEPRICE", "2025-05-26", "USD")</f>
        <v>0</v>
      </c>
      <c r="N60">
        <f>_xll.ciqfunctions.udf.CIQ("ARCA:CHAT", "IQ_CLOSEPRICE", "2025-05-26", "USD")</f>
        <v>0</v>
      </c>
      <c r="O60">
        <f>_xll.ciqfunctions.udf.CIQ("ARCA:LOUP", "IQ_CLOSEPRICE", "2025-05-26", "USD")</f>
        <v>0</v>
      </c>
      <c r="P60">
        <f>_xll.ciqfunctions.udf.CIQ("ARCA:LRNZ", "IQ_CLOSEPRICE", "2025-05-26", "USD")</f>
        <v>0</v>
      </c>
      <c r="Q60">
        <f>_xll.ciqfunctions.udf.CIQ("ARCA:AIS", "IQ_CLOSEPRICE", "2025-05-26", "USD")</f>
        <v>0</v>
      </c>
      <c r="R60">
        <f>_xll.ciqfunctions.udf.CIQ("NasdaqGM:WISE", "IQ_CLOSEPRICE", "2025-05-26", "USD")</f>
        <v>0</v>
      </c>
      <c r="S60">
        <f>_xll.ciqfunctions.udf.CIQ("LSE:RBOT", "IQ_CLOSEPRICE", "2025-05-26", "USD")</f>
        <v>14.145200000000001</v>
      </c>
      <c r="T60">
        <f>_xll.ciqfunctions.udf.CIQ("XTRA:XAIX", "IQ_CLOSEPRICE", "2025-05-26", "USD")</f>
        <v>146.74556000000001</v>
      </c>
      <c r="U60">
        <f>_xll.ciqfunctions.udf.CIQ("BIT:WTAI", "IQ_CLOSEPRICE", "2025-05-26", "USD")</f>
        <v>65.066000000000003</v>
      </c>
      <c r="V60">
        <f>_xll.ciqfunctions.udf.CIQ("LSE:AIAG", "IQ_CLOSEPRICE", "2025-05-26", "USD")</f>
        <v>0</v>
      </c>
      <c r="W60">
        <f>_xll.ciqfunctions.udf.CIQ("ASX:RBTZ", "IQ_CLOSEPRICE", "2025-05-26", "USD")</f>
        <v>8.8728499999999997</v>
      </c>
      <c r="X60">
        <f>_xll.ciqfunctions.udf.CIQ("DB:XB0T", "IQ_CLOSEPRICE", "2025-05-26", "USD")</f>
        <v>20.357309999999998</v>
      </c>
    </row>
    <row r="61" spans="1:24" x14ac:dyDescent="0.25">
      <c r="A61" t="s">
        <v>83</v>
      </c>
      <c r="B61">
        <f>_xll.ciqfunctions.udf.CIQ("NasdaqGM:QQQ", "IQ_CLOSEPRICE", "2025-05-23", "USD")</f>
        <v>509.24</v>
      </c>
      <c r="C61">
        <f>_xll.ciqfunctions.udf.CIQ("NasdaqGM:AGIX", "IQ_CLOSEPRICE", "2025-05-23", "USD")</f>
        <v>28.5</v>
      </c>
      <c r="D61">
        <f>_xll.ciqfunctions.udf.CIQ("NasdaqGM:SMH", "IQ_CLOSEPRICE", "2025-05-23", "USD")</f>
        <v>237.44</v>
      </c>
      <c r="E61">
        <f>_xll.ciqfunctions.udf.CIQ("BATS:IGV", "IQ_CLOSEPRICE", "2025-05-23", "USD")</f>
        <v>101.93</v>
      </c>
      <c r="F61">
        <f>_xll.ciqfunctions.udf.CIQ("NasdaqGM:BOTZ", "IQ_CLOSEPRICE", "2025-05-23", "USD")</f>
        <v>30.57</v>
      </c>
      <c r="G61">
        <f>_xll.ciqfunctions.udf.CIQ("NasdaqGM:AIQ", "IQ_CLOSEPRICE", "2025-05-23", "USD")</f>
        <v>39.950000000000003</v>
      </c>
      <c r="H61">
        <f>_xll.ciqfunctions.udf.CIQ("ARCA:ARTY", "IQ_CLOSEPRICE", "2025-05-23", "USD")</f>
        <v>36.14</v>
      </c>
      <c r="I61">
        <f>_xll.ciqfunctions.udf.CIQ("NasdaqGM:ROBT", "IQ_CLOSEPRICE", "2025-05-23", "USD")</f>
        <v>44.21</v>
      </c>
      <c r="J61">
        <f>_xll.ciqfunctions.udf.CIQ("ARCA:IGPT", "IQ_CLOSEPRICE", "2025-05-23", "USD")</f>
        <v>44.49</v>
      </c>
      <c r="K61">
        <f>_xll.ciqfunctions.udf.CIQ("BATS:WTAI", "IQ_CLOSEPRICE", "2025-05-23", "USD")</f>
        <v>22.01</v>
      </c>
      <c r="L61">
        <f>_xll.ciqfunctions.udf.CIQ("ARCA:THNQ", "IQ_CLOSEPRICE", "2025-05-23", "USD")</f>
        <v>50.272500000000001</v>
      </c>
      <c r="M61">
        <f>_xll.ciqfunctions.udf.CIQ("NasdaqGM:FDTX", "IQ_CLOSEPRICE", "2025-05-23", "USD")</f>
        <v>34.994399999999999</v>
      </c>
      <c r="N61">
        <f>_xll.ciqfunctions.udf.CIQ("ARCA:CHAT", "IQ_CLOSEPRICE", "2025-05-23", "USD")</f>
        <v>41.48</v>
      </c>
      <c r="O61">
        <f>_xll.ciqfunctions.udf.CIQ("ARCA:LOUP", "IQ_CLOSEPRICE", "2025-05-23", "USD")</f>
        <v>53.752200000000002</v>
      </c>
      <c r="P61">
        <f>_xll.ciqfunctions.udf.CIQ("ARCA:LRNZ", "IQ_CLOSEPRICE", "2025-05-23", "USD")</f>
        <v>40.569699999999997</v>
      </c>
      <c r="Q61">
        <f>_xll.ciqfunctions.udf.CIQ("ARCA:AIS", "IQ_CLOSEPRICE", "2025-05-23", "USD")</f>
        <v>24.094999999999999</v>
      </c>
      <c r="R61">
        <f>_xll.ciqfunctions.udf.CIQ("NasdaqGM:WISE", "IQ_CLOSEPRICE", "2025-05-23", "USD")</f>
        <v>31.903400000000001</v>
      </c>
      <c r="S61">
        <f>_xll.ciqfunctions.udf.CIQ("LSE:RBOT", "IQ_CLOSEPRICE", "2025-05-23", "USD")</f>
        <v>13.92</v>
      </c>
      <c r="T61">
        <f>_xll.ciqfunctions.udf.CIQ("XTRA:XAIX", "IQ_CLOSEPRICE", "2025-05-23", "USD")</f>
        <v>144.80334999999999</v>
      </c>
      <c r="U61">
        <f>_xll.ciqfunctions.udf.CIQ("BIT:WTAI", "IQ_CLOSEPRICE", "2025-05-23", "USD")</f>
        <v>63.980510000000002</v>
      </c>
      <c r="V61">
        <f>_xll.ciqfunctions.udf.CIQ("LSE:AIAG", "IQ_CLOSEPRICE", "2025-05-23", "USD")</f>
        <v>22.04346</v>
      </c>
      <c r="W61">
        <f>_xll.ciqfunctions.udf.CIQ("ASX:RBTZ", "IQ_CLOSEPRICE", "2025-05-23", "USD")</f>
        <v>8.8896099999999993</v>
      </c>
      <c r="X61">
        <f>_xll.ciqfunctions.udf.CIQ("DB:XB0T", "IQ_CLOSEPRICE", "2025-05-23", "USD")</f>
        <v>20.20628</v>
      </c>
    </row>
    <row r="62" spans="1:24" x14ac:dyDescent="0.25">
      <c r="A62" t="s">
        <v>84</v>
      </c>
      <c r="B62">
        <f>_xll.ciqfunctions.udf.CIQ("NasdaqGM:QQQ", "IQ_CLOSEPRICE", "2025-05-22", "USD")</f>
        <v>514</v>
      </c>
      <c r="C62">
        <f>_xll.ciqfunctions.udf.CIQ("NasdaqGM:AGIX", "IQ_CLOSEPRICE", "2025-05-22", "USD")</f>
        <v>28.83</v>
      </c>
      <c r="D62">
        <f>_xll.ciqfunctions.udf.CIQ("NasdaqGM:SMH", "IQ_CLOSEPRICE", "2025-05-22", "USD")</f>
        <v>240.81</v>
      </c>
      <c r="E62">
        <f>_xll.ciqfunctions.udf.CIQ("BATS:IGV", "IQ_CLOSEPRICE", "2025-05-22", "USD")</f>
        <v>102.71</v>
      </c>
      <c r="F62">
        <f>_xll.ciqfunctions.udf.CIQ("NasdaqGM:BOTZ", "IQ_CLOSEPRICE", "2025-05-22", "USD")</f>
        <v>30.75</v>
      </c>
      <c r="G62">
        <f>_xll.ciqfunctions.udf.CIQ("NasdaqGM:AIQ", "IQ_CLOSEPRICE", "2025-05-22", "USD")</f>
        <v>40.299999999999997</v>
      </c>
      <c r="H62">
        <f>_xll.ciqfunctions.udf.CIQ("ARCA:ARTY", "IQ_CLOSEPRICE", "2025-05-22", "USD")</f>
        <v>36.36</v>
      </c>
      <c r="I62">
        <f>_xll.ciqfunctions.udf.CIQ("NasdaqGM:ROBT", "IQ_CLOSEPRICE", "2025-05-22", "USD")</f>
        <v>44.57</v>
      </c>
      <c r="J62">
        <f>_xll.ciqfunctions.udf.CIQ("ARCA:IGPT", "IQ_CLOSEPRICE", "2025-05-22", "USD")</f>
        <v>44.91</v>
      </c>
      <c r="K62">
        <f>_xll.ciqfunctions.udf.CIQ("BATS:WTAI", "IQ_CLOSEPRICE", "2025-05-22", "USD")</f>
        <v>22.21</v>
      </c>
      <c r="L62">
        <f>_xll.ciqfunctions.udf.CIQ("ARCA:THNQ", "IQ_CLOSEPRICE", "2025-05-22", "USD")</f>
        <v>50.35</v>
      </c>
      <c r="M62">
        <f>_xll.ciqfunctions.udf.CIQ("NasdaqGM:FDTX", "IQ_CLOSEPRICE", "2025-05-22", "USD")</f>
        <v>35.24</v>
      </c>
      <c r="N62">
        <f>_xll.ciqfunctions.udf.CIQ("ARCA:CHAT", "IQ_CLOSEPRICE", "2025-05-22", "USD")</f>
        <v>41.71</v>
      </c>
      <c r="O62">
        <f>_xll.ciqfunctions.udf.CIQ("ARCA:LOUP", "IQ_CLOSEPRICE", "2025-05-22", "USD")</f>
        <v>53.8247</v>
      </c>
      <c r="P62">
        <f>_xll.ciqfunctions.udf.CIQ("ARCA:LRNZ", "IQ_CLOSEPRICE", "2025-05-22", "USD")</f>
        <v>40.687399999999997</v>
      </c>
      <c r="Q62">
        <f>_xll.ciqfunctions.udf.CIQ("ARCA:AIS", "IQ_CLOSEPRICE", "2025-05-22", "USD")</f>
        <v>24.308800000000002</v>
      </c>
      <c r="R62">
        <f>_xll.ciqfunctions.udf.CIQ("NasdaqGM:WISE", "IQ_CLOSEPRICE", "2025-05-22", "USD")</f>
        <v>32.17</v>
      </c>
      <c r="S62">
        <f>_xll.ciqfunctions.udf.CIQ("LSE:RBOT", "IQ_CLOSEPRICE", "2025-05-22", "USD")</f>
        <v>14.12</v>
      </c>
      <c r="T62">
        <f>_xll.ciqfunctions.udf.CIQ("XTRA:XAIX", "IQ_CLOSEPRICE", "2025-05-22", "USD")</f>
        <v>146.31614999999999</v>
      </c>
      <c r="U62">
        <f>_xll.ciqfunctions.udf.CIQ("BIT:WTAI", "IQ_CLOSEPRICE", "2025-05-22", "USD")</f>
        <v>65.000559999999993</v>
      </c>
      <c r="V62">
        <f>_xll.ciqfunctions.udf.CIQ("LSE:AIAG", "IQ_CLOSEPRICE", "2025-05-22", "USD")</f>
        <v>22.30114</v>
      </c>
      <c r="W62">
        <f>_xll.ciqfunctions.udf.CIQ("ASX:RBTZ", "IQ_CLOSEPRICE", "2025-05-22", "USD")</f>
        <v>8.7625899999999994</v>
      </c>
      <c r="X62">
        <f>_xll.ciqfunctions.udf.CIQ("DB:XB0T", "IQ_CLOSEPRICE", "2025-05-22", "USD")</f>
        <v>20.126370000000001</v>
      </c>
    </row>
    <row r="63" spans="1:24" x14ac:dyDescent="0.25">
      <c r="A63" t="s">
        <v>85</v>
      </c>
      <c r="B63">
        <f>_xll.ciqfunctions.udf.CIQ("NasdaqGM:QQQ", "IQ_CLOSEPRICE", "2025-05-21", "USD")</f>
        <v>513.04</v>
      </c>
      <c r="C63">
        <f>_xll.ciqfunctions.udf.CIQ("NasdaqGM:AGIX", "IQ_CLOSEPRICE", "2025-05-21", "USD")</f>
        <v>28.71</v>
      </c>
      <c r="D63">
        <f>_xll.ciqfunctions.udf.CIQ("NasdaqGM:SMH", "IQ_CLOSEPRICE", "2025-05-21", "USD")</f>
        <v>241.47</v>
      </c>
      <c r="E63">
        <f>_xll.ciqfunctions.udf.CIQ("BATS:IGV", "IQ_CLOSEPRICE", "2025-05-21", "USD")</f>
        <v>102.17</v>
      </c>
      <c r="F63">
        <f>_xll.ciqfunctions.udf.CIQ("NasdaqGM:BOTZ", "IQ_CLOSEPRICE", "2025-05-21", "USD")</f>
        <v>30.66</v>
      </c>
      <c r="G63">
        <f>_xll.ciqfunctions.udf.CIQ("NasdaqGM:AIQ", "IQ_CLOSEPRICE", "2025-05-21", "USD")</f>
        <v>40.22</v>
      </c>
      <c r="H63">
        <f>_xll.ciqfunctions.udf.CIQ("ARCA:ARTY", "IQ_CLOSEPRICE", "2025-05-21", "USD")</f>
        <v>36.119999999999997</v>
      </c>
      <c r="I63">
        <f>_xll.ciqfunctions.udf.CIQ("NasdaqGM:ROBT", "IQ_CLOSEPRICE", "2025-05-21", "USD")</f>
        <v>44.25</v>
      </c>
      <c r="J63">
        <f>_xll.ciqfunctions.udf.CIQ("ARCA:IGPT", "IQ_CLOSEPRICE", "2025-05-21", "USD")</f>
        <v>44.88</v>
      </c>
      <c r="K63">
        <f>_xll.ciqfunctions.udf.CIQ("BATS:WTAI", "IQ_CLOSEPRICE", "2025-05-21", "USD")</f>
        <v>21.915600000000001</v>
      </c>
      <c r="L63">
        <f>_xll.ciqfunctions.udf.CIQ("ARCA:THNQ", "IQ_CLOSEPRICE", "2025-05-21", "USD")</f>
        <v>50.435000000000002</v>
      </c>
      <c r="M63">
        <f>_xll.ciqfunctions.udf.CIQ("NasdaqGM:FDTX", "IQ_CLOSEPRICE", "2025-05-21", "USD")</f>
        <v>35.135300000000001</v>
      </c>
      <c r="N63">
        <f>_xll.ciqfunctions.udf.CIQ("ARCA:CHAT", "IQ_CLOSEPRICE", "2025-05-21", "USD")</f>
        <v>41.74</v>
      </c>
      <c r="O63">
        <f>_xll.ciqfunctions.udf.CIQ("ARCA:LOUP", "IQ_CLOSEPRICE", "2025-05-21", "USD")</f>
        <v>53.038899999999998</v>
      </c>
      <c r="P63">
        <f>_xll.ciqfunctions.udf.CIQ("ARCA:LRNZ", "IQ_CLOSEPRICE", "2025-05-21", "USD")</f>
        <v>39.909999999999997</v>
      </c>
      <c r="Q63">
        <f>_xll.ciqfunctions.udf.CIQ("ARCA:AIS", "IQ_CLOSEPRICE", "2025-05-21", "USD")</f>
        <v>24.028199999999998</v>
      </c>
      <c r="R63">
        <f>_xll.ciqfunctions.udf.CIQ("NasdaqGM:WISE", "IQ_CLOSEPRICE", "2025-05-21", "USD")</f>
        <v>31.83</v>
      </c>
      <c r="S63">
        <f>_xll.ciqfunctions.udf.CIQ("LSE:RBOT", "IQ_CLOSEPRICE", "2025-05-21", "USD")</f>
        <v>14.23</v>
      </c>
      <c r="T63">
        <f>_xll.ciqfunctions.udf.CIQ("XTRA:XAIX", "IQ_CLOSEPRICE", "2025-05-21", "USD")</f>
        <v>147.43168</v>
      </c>
      <c r="U63">
        <f>_xll.ciqfunctions.udf.CIQ("BIT:WTAI", "IQ_CLOSEPRICE", "2025-05-21", "USD")</f>
        <v>66.073250000000002</v>
      </c>
      <c r="V63">
        <f>_xll.ciqfunctions.udf.CIQ("LSE:AIAG", "IQ_CLOSEPRICE", "2025-05-21", "USD")</f>
        <v>22.55575</v>
      </c>
      <c r="W63">
        <f>_xll.ciqfunctions.udf.CIQ("ASX:RBTZ", "IQ_CLOSEPRICE", "2025-05-21", "USD")</f>
        <v>8.9204899999999991</v>
      </c>
      <c r="X63">
        <f>_xll.ciqfunctions.udf.CIQ("DB:XB0T", "IQ_CLOSEPRICE", "2025-05-21", "USD")</f>
        <v>20.374189999999999</v>
      </c>
    </row>
    <row r="64" spans="1:24" x14ac:dyDescent="0.25">
      <c r="A64" t="s">
        <v>86</v>
      </c>
      <c r="B64">
        <f>_xll.ciqfunctions.udf.CIQ("NasdaqGM:QQQ", "IQ_CLOSEPRICE", "2025-05-20", "USD")</f>
        <v>520.27</v>
      </c>
      <c r="C64">
        <f>_xll.ciqfunctions.udf.CIQ("NasdaqGM:AGIX", "IQ_CLOSEPRICE", "2025-05-20", "USD")</f>
        <v>29.19</v>
      </c>
      <c r="D64">
        <f>_xll.ciqfunctions.udf.CIQ("NasdaqGM:SMH", "IQ_CLOSEPRICE", "2025-05-20", "USD")</f>
        <v>245.54</v>
      </c>
      <c r="E64">
        <f>_xll.ciqfunctions.udf.CIQ("BATS:IGV", "IQ_CLOSEPRICE", "2025-05-20", "USD")</f>
        <v>104.69</v>
      </c>
      <c r="F64">
        <f>_xll.ciqfunctions.udf.CIQ("NasdaqGM:BOTZ", "IQ_CLOSEPRICE", "2025-05-20", "USD")</f>
        <v>31.19</v>
      </c>
      <c r="G64">
        <f>_xll.ciqfunctions.udf.CIQ("NasdaqGM:AIQ", "IQ_CLOSEPRICE", "2025-05-20", "USD")</f>
        <v>40.72</v>
      </c>
      <c r="H64">
        <f>_xll.ciqfunctions.udf.CIQ("ARCA:ARTY", "IQ_CLOSEPRICE", "2025-05-20", "USD")</f>
        <v>36.78</v>
      </c>
      <c r="I64">
        <f>_xll.ciqfunctions.udf.CIQ("NasdaqGM:ROBT", "IQ_CLOSEPRICE", "2025-05-20", "USD")</f>
        <v>45.33</v>
      </c>
      <c r="J64">
        <f>_xll.ciqfunctions.udf.CIQ("ARCA:IGPT", "IQ_CLOSEPRICE", "2025-05-20", "USD")</f>
        <v>45.48</v>
      </c>
      <c r="K64">
        <f>_xll.ciqfunctions.udf.CIQ("BATS:WTAI", "IQ_CLOSEPRICE", "2025-05-20", "USD")</f>
        <v>22.3</v>
      </c>
      <c r="L64">
        <f>_xll.ciqfunctions.udf.CIQ("ARCA:THNQ", "IQ_CLOSEPRICE", "2025-05-20", "USD")</f>
        <v>51.33</v>
      </c>
      <c r="M64">
        <f>_xll.ciqfunctions.udf.CIQ("NasdaqGM:FDTX", "IQ_CLOSEPRICE", "2025-05-20", "USD")</f>
        <v>35.64</v>
      </c>
      <c r="N64">
        <f>_xll.ciqfunctions.udf.CIQ("ARCA:CHAT", "IQ_CLOSEPRICE", "2025-05-20", "USD")</f>
        <v>41.72</v>
      </c>
      <c r="O64">
        <f>_xll.ciqfunctions.udf.CIQ("ARCA:LOUP", "IQ_CLOSEPRICE", "2025-05-20", "USD")</f>
        <v>54.048200000000001</v>
      </c>
      <c r="P64">
        <f>_xll.ciqfunctions.udf.CIQ("ARCA:LRNZ", "IQ_CLOSEPRICE", "2025-05-20", "USD")</f>
        <v>40.67</v>
      </c>
      <c r="Q64">
        <f>_xll.ciqfunctions.udf.CIQ("ARCA:AIS", "IQ_CLOSEPRICE", "2025-05-20", "USD")</f>
        <v>24.475000000000001</v>
      </c>
      <c r="R64">
        <f>_xll.ciqfunctions.udf.CIQ("NasdaqGM:WISE", "IQ_CLOSEPRICE", "2025-05-20", "USD")</f>
        <v>32.43</v>
      </c>
      <c r="S64">
        <f>_xll.ciqfunctions.udf.CIQ("LSE:RBOT", "IQ_CLOSEPRICE", "2025-05-20", "USD")</f>
        <v>14.234999999999999</v>
      </c>
      <c r="T64">
        <f>_xll.ciqfunctions.udf.CIQ("XTRA:XAIX", "IQ_CLOSEPRICE", "2025-05-20", "USD")</f>
        <v>147.24161000000001</v>
      </c>
      <c r="U64">
        <f>_xll.ciqfunctions.udf.CIQ("BIT:WTAI", "IQ_CLOSEPRICE", "2025-05-20", "USD")</f>
        <v>65.976129999999998</v>
      </c>
      <c r="V64">
        <f>_xll.ciqfunctions.udf.CIQ("LSE:AIAG", "IQ_CLOSEPRICE", "2025-05-20", "USD")</f>
        <v>22.599789999999999</v>
      </c>
      <c r="W64">
        <f>_xll.ciqfunctions.udf.CIQ("ASX:RBTZ", "IQ_CLOSEPRICE", "2025-05-20", "USD")</f>
        <v>8.8832000000000004</v>
      </c>
      <c r="X64">
        <f>_xll.ciqfunctions.udf.CIQ("DB:XB0T", "IQ_CLOSEPRICE", "2025-05-20", "USD")</f>
        <v>20.342269999999999</v>
      </c>
    </row>
    <row r="65" spans="1:24" x14ac:dyDescent="0.25">
      <c r="A65" t="s">
        <v>87</v>
      </c>
      <c r="B65">
        <f>_xll.ciqfunctions.udf.CIQ("NasdaqGM:QQQ", "IQ_CLOSEPRICE", "2025-05-19", "USD")</f>
        <v>522.01</v>
      </c>
      <c r="C65">
        <f>_xll.ciqfunctions.udf.CIQ("NasdaqGM:AGIX", "IQ_CLOSEPRICE", "2025-05-19", "USD")</f>
        <v>29.21</v>
      </c>
      <c r="D65">
        <f>_xll.ciqfunctions.udf.CIQ("NasdaqGM:SMH", "IQ_CLOSEPRICE", "2025-05-19", "USD")</f>
        <v>246.01</v>
      </c>
      <c r="E65">
        <f>_xll.ciqfunctions.udf.CIQ("BATS:IGV", "IQ_CLOSEPRICE", "2025-05-19", "USD")</f>
        <v>104.94</v>
      </c>
      <c r="F65">
        <f>_xll.ciqfunctions.udf.CIQ("NasdaqGM:BOTZ", "IQ_CLOSEPRICE", "2025-05-19", "USD")</f>
        <v>30.99</v>
      </c>
      <c r="G65">
        <f>_xll.ciqfunctions.udf.CIQ("NasdaqGM:AIQ", "IQ_CLOSEPRICE", "2025-05-19", "USD")</f>
        <v>40.880000000000003</v>
      </c>
      <c r="H65">
        <f>_xll.ciqfunctions.udf.CIQ("ARCA:ARTY", "IQ_CLOSEPRICE", "2025-05-19", "USD")</f>
        <v>36.82</v>
      </c>
      <c r="I65">
        <f>_xll.ciqfunctions.udf.CIQ("NasdaqGM:ROBT", "IQ_CLOSEPRICE", "2025-05-19", "USD")</f>
        <v>45.06</v>
      </c>
      <c r="J65">
        <f>_xll.ciqfunctions.udf.CIQ("ARCA:IGPT", "IQ_CLOSEPRICE", "2025-05-19", "USD")</f>
        <v>45.65</v>
      </c>
      <c r="K65">
        <f>_xll.ciqfunctions.udf.CIQ("BATS:WTAI", "IQ_CLOSEPRICE", "2025-05-19", "USD")</f>
        <v>22.2</v>
      </c>
      <c r="L65">
        <f>_xll.ciqfunctions.udf.CIQ("ARCA:THNQ", "IQ_CLOSEPRICE", "2025-05-19", "USD")</f>
        <v>51.3596</v>
      </c>
      <c r="M65">
        <f>_xll.ciqfunctions.udf.CIQ("NasdaqGM:FDTX", "IQ_CLOSEPRICE", "2025-05-19", "USD")</f>
        <v>35.86</v>
      </c>
      <c r="N65">
        <f>_xll.ciqfunctions.udf.CIQ("ARCA:CHAT", "IQ_CLOSEPRICE", "2025-05-19", "USD")</f>
        <v>41.73</v>
      </c>
      <c r="O65">
        <f>_xll.ciqfunctions.udf.CIQ("ARCA:LOUP", "IQ_CLOSEPRICE", "2025-05-19", "USD")</f>
        <v>53.921599999999998</v>
      </c>
      <c r="P65">
        <f>_xll.ciqfunctions.udf.CIQ("ARCA:LRNZ", "IQ_CLOSEPRICE", "2025-05-19", "USD")</f>
        <v>40.83</v>
      </c>
      <c r="Q65">
        <f>_xll.ciqfunctions.udf.CIQ("ARCA:AIS", "IQ_CLOSEPRICE", "2025-05-19", "USD")</f>
        <v>24.5259</v>
      </c>
      <c r="R65">
        <f>_xll.ciqfunctions.udf.CIQ("NasdaqGM:WISE", "IQ_CLOSEPRICE", "2025-05-19", "USD")</f>
        <v>32.619999999999997</v>
      </c>
      <c r="S65">
        <f>_xll.ciqfunctions.udf.CIQ("LSE:RBOT", "IQ_CLOSEPRICE", "2025-05-19", "USD")</f>
        <v>14.205</v>
      </c>
      <c r="T65">
        <f>_xll.ciqfunctions.udf.CIQ("XTRA:XAIX", "IQ_CLOSEPRICE", "2025-05-19", "USD")</f>
        <v>147.39922999999999</v>
      </c>
      <c r="U65">
        <f>_xll.ciqfunctions.udf.CIQ("BIT:WTAI", "IQ_CLOSEPRICE", "2025-05-19", "USD")</f>
        <v>65.627110000000002</v>
      </c>
      <c r="V65">
        <f>_xll.ciqfunctions.udf.CIQ("LSE:AIAG", "IQ_CLOSEPRICE", "2025-05-19", "USD")</f>
        <v>22.520109999999999</v>
      </c>
      <c r="W65">
        <f>_xll.ciqfunctions.udf.CIQ("ASX:RBTZ", "IQ_CLOSEPRICE", "2025-05-19", "USD")</f>
        <v>8.91934</v>
      </c>
      <c r="X65">
        <f>_xll.ciqfunctions.udf.CIQ("DB:XB0T", "IQ_CLOSEPRICE", "2025-05-19", "USD")</f>
        <v>20.01801</v>
      </c>
    </row>
    <row r="66" spans="1:24" x14ac:dyDescent="0.25">
      <c r="A66" t="s">
        <v>88</v>
      </c>
      <c r="B66">
        <f>_xll.ciqfunctions.udf.CIQ("NasdaqGM:QQQ", "IQ_CLOSEPRICE", "2025-05-16", "USD")</f>
        <v>521.51</v>
      </c>
      <c r="C66">
        <f>_xll.ciqfunctions.udf.CIQ("NasdaqGM:AGIX", "IQ_CLOSEPRICE", "2025-05-16", "USD")</f>
        <v>29.305399999999999</v>
      </c>
      <c r="D66">
        <f>_xll.ciqfunctions.udf.CIQ("NasdaqGM:SMH", "IQ_CLOSEPRICE", "2025-05-16", "USD")</f>
        <v>246.42</v>
      </c>
      <c r="E66">
        <f>_xll.ciqfunctions.udf.CIQ("BATS:IGV", "IQ_CLOSEPRICE", "2025-05-16", "USD")</f>
        <v>105.16</v>
      </c>
      <c r="F66">
        <f>_xll.ciqfunctions.udf.CIQ("NasdaqGM:BOTZ", "IQ_CLOSEPRICE", "2025-05-16", "USD")</f>
        <v>31.204999999999998</v>
      </c>
      <c r="G66">
        <f>_xll.ciqfunctions.udf.CIQ("NasdaqGM:AIQ", "IQ_CLOSEPRICE", "2025-05-16", "USD")</f>
        <v>40.93</v>
      </c>
      <c r="H66">
        <f>_xll.ciqfunctions.udf.CIQ("ARCA:ARTY", "IQ_CLOSEPRICE", "2025-05-16", "USD")</f>
        <v>37.08</v>
      </c>
      <c r="I66">
        <f>_xll.ciqfunctions.udf.CIQ("NasdaqGM:ROBT", "IQ_CLOSEPRICE", "2025-05-16", "USD")</f>
        <v>45.29</v>
      </c>
      <c r="J66">
        <f>_xll.ciqfunctions.udf.CIQ("ARCA:IGPT", "IQ_CLOSEPRICE", "2025-05-16", "USD")</f>
        <v>45.75</v>
      </c>
      <c r="K66">
        <f>_xll.ciqfunctions.udf.CIQ("BATS:WTAI", "IQ_CLOSEPRICE", "2025-05-16", "USD")</f>
        <v>22.32</v>
      </c>
      <c r="L66">
        <f>_xll.ciqfunctions.udf.CIQ("ARCA:THNQ", "IQ_CLOSEPRICE", "2025-05-16", "USD")</f>
        <v>51.222999999999999</v>
      </c>
      <c r="M66">
        <f>_xll.ciqfunctions.udf.CIQ("NasdaqGM:FDTX", "IQ_CLOSEPRICE", "2025-05-16", "USD")</f>
        <v>35.866199999999999</v>
      </c>
      <c r="N66">
        <f>_xll.ciqfunctions.udf.CIQ("ARCA:CHAT", "IQ_CLOSEPRICE", "2025-05-16", "USD")</f>
        <v>41.71</v>
      </c>
      <c r="O66">
        <f>_xll.ciqfunctions.udf.CIQ("ARCA:LOUP", "IQ_CLOSEPRICE", "2025-05-16", "USD")</f>
        <v>54.241199999999999</v>
      </c>
      <c r="P66">
        <f>_xll.ciqfunctions.udf.CIQ("ARCA:LRNZ", "IQ_CLOSEPRICE", "2025-05-16", "USD")</f>
        <v>40.885800000000003</v>
      </c>
      <c r="Q66">
        <f>_xll.ciqfunctions.udf.CIQ("ARCA:AIS", "IQ_CLOSEPRICE", "2025-05-16", "USD")</f>
        <v>24.610299999999999</v>
      </c>
      <c r="R66">
        <f>_xll.ciqfunctions.udf.CIQ("NasdaqGM:WISE", "IQ_CLOSEPRICE", "2025-05-16", "USD")</f>
        <v>33.17</v>
      </c>
      <c r="S66">
        <f>_xll.ciqfunctions.udf.CIQ("LSE:RBOT", "IQ_CLOSEPRICE", "2025-05-16", "USD")</f>
        <v>14.215</v>
      </c>
      <c r="T66">
        <f>_xll.ciqfunctions.udf.CIQ("XTRA:XAIX", "IQ_CLOSEPRICE", "2025-05-16", "USD")</f>
        <v>147.35317000000001</v>
      </c>
      <c r="U66">
        <f>_xll.ciqfunctions.udf.CIQ("BIT:WTAI", "IQ_CLOSEPRICE", "2025-05-16", "USD")</f>
        <v>65.953419999999994</v>
      </c>
      <c r="V66">
        <f>_xll.ciqfunctions.udf.CIQ("LSE:AIAG", "IQ_CLOSEPRICE", "2025-05-16", "USD")</f>
        <v>22.61337</v>
      </c>
      <c r="W66">
        <f>_xll.ciqfunctions.udf.CIQ("ASX:RBTZ", "IQ_CLOSEPRICE", "2025-05-16", "USD")</f>
        <v>8.8817900000000005</v>
      </c>
      <c r="X66">
        <f>_xll.ciqfunctions.udf.CIQ("DB:XB0T", "IQ_CLOSEPRICE", "2025-05-16", "USD")</f>
        <v>20.316510000000001</v>
      </c>
    </row>
    <row r="67" spans="1:24" x14ac:dyDescent="0.25">
      <c r="A67" t="s">
        <v>89</v>
      </c>
      <c r="B67">
        <f>_xll.ciqfunctions.udf.CIQ("NasdaqGM:QQQ", "IQ_CLOSEPRICE", "2025-05-15", "USD")</f>
        <v>519.25</v>
      </c>
      <c r="C67">
        <f>_xll.ciqfunctions.udf.CIQ("NasdaqGM:AGIX", "IQ_CLOSEPRICE", "2025-05-15", "USD")</f>
        <v>29.21</v>
      </c>
      <c r="D67">
        <f>_xll.ciqfunctions.udf.CIQ("NasdaqGM:SMH", "IQ_CLOSEPRICE", "2025-05-15", "USD")</f>
        <v>247.13</v>
      </c>
      <c r="E67">
        <f>_xll.ciqfunctions.udf.CIQ("BATS:IGV", "IQ_CLOSEPRICE", "2025-05-15", "USD")</f>
        <v>104.4</v>
      </c>
      <c r="F67">
        <f>_xll.ciqfunctions.udf.CIQ("NasdaqGM:BOTZ", "IQ_CLOSEPRICE", "2025-05-15", "USD")</f>
        <v>31.05</v>
      </c>
      <c r="G67">
        <f>_xll.ciqfunctions.udf.CIQ("NasdaqGM:AIQ", "IQ_CLOSEPRICE", "2025-05-15", "USD")</f>
        <v>40.81</v>
      </c>
      <c r="H67">
        <f>_xll.ciqfunctions.udf.CIQ("ARCA:ARTY", "IQ_CLOSEPRICE", "2025-05-15", "USD")</f>
        <v>36.81</v>
      </c>
      <c r="I67">
        <f>_xll.ciqfunctions.udf.CIQ("NasdaqGM:ROBT", "IQ_CLOSEPRICE", "2025-05-15", "USD")</f>
        <v>45.1</v>
      </c>
      <c r="J67">
        <f>_xll.ciqfunctions.udf.CIQ("ARCA:IGPT", "IQ_CLOSEPRICE", "2025-05-15", "USD")</f>
        <v>45.28</v>
      </c>
      <c r="K67">
        <f>_xll.ciqfunctions.udf.CIQ("BATS:WTAI", "IQ_CLOSEPRICE", "2025-05-15", "USD")</f>
        <v>22.12</v>
      </c>
      <c r="L67">
        <f>_xll.ciqfunctions.udf.CIQ("ARCA:THNQ", "IQ_CLOSEPRICE", "2025-05-15", "USD")</f>
        <v>50.9619</v>
      </c>
      <c r="M67">
        <f>_xll.ciqfunctions.udf.CIQ("NasdaqGM:FDTX", "IQ_CLOSEPRICE", "2025-05-15", "USD")</f>
        <v>35.833500000000001</v>
      </c>
      <c r="N67">
        <f>_xll.ciqfunctions.udf.CIQ("ARCA:CHAT", "IQ_CLOSEPRICE", "2025-05-15", "USD")</f>
        <v>41.25</v>
      </c>
      <c r="O67">
        <f>_xll.ciqfunctions.udf.CIQ("ARCA:LOUP", "IQ_CLOSEPRICE", "2025-05-15", "USD")</f>
        <v>54.078600000000002</v>
      </c>
      <c r="P67">
        <f>_xll.ciqfunctions.udf.CIQ("ARCA:LRNZ", "IQ_CLOSEPRICE", "2025-05-15", "USD")</f>
        <v>40.388599999999997</v>
      </c>
      <c r="Q67">
        <f>_xll.ciqfunctions.udf.CIQ("ARCA:AIS", "IQ_CLOSEPRICE", "2025-05-15", "USD")</f>
        <v>24.459900000000001</v>
      </c>
      <c r="R67">
        <f>_xll.ciqfunctions.udf.CIQ("NasdaqGM:WISE", "IQ_CLOSEPRICE", "2025-05-15", "USD")</f>
        <v>32.74</v>
      </c>
      <c r="S67">
        <f>_xll.ciqfunctions.udf.CIQ("LSE:RBOT", "IQ_CLOSEPRICE", "2025-05-15", "USD")</f>
        <v>14.24</v>
      </c>
      <c r="T67">
        <f>_xll.ciqfunctions.udf.CIQ("XTRA:XAIX", "IQ_CLOSEPRICE", "2025-05-15", "USD")</f>
        <v>147.11409</v>
      </c>
      <c r="U67">
        <f>_xll.ciqfunctions.udf.CIQ("BIT:WTAI", "IQ_CLOSEPRICE", "2025-05-15", "USD")</f>
        <v>65.783000000000001</v>
      </c>
      <c r="V67">
        <f>_xll.ciqfunctions.udf.CIQ("LSE:AIAG", "IQ_CLOSEPRICE", "2025-05-15", "USD")</f>
        <v>22.465109999999999</v>
      </c>
      <c r="W67">
        <f>_xll.ciqfunctions.udf.CIQ("ASX:RBTZ", "IQ_CLOSEPRICE", "2025-05-15", "USD")</f>
        <v>8.8886000000000003</v>
      </c>
      <c r="X67">
        <f>_xll.ciqfunctions.udf.CIQ("DB:XB0T", "IQ_CLOSEPRICE", "2025-05-15", "USD")</f>
        <v>20.295300000000001</v>
      </c>
    </row>
    <row r="68" spans="1:24" x14ac:dyDescent="0.25">
      <c r="A68" t="s">
        <v>90</v>
      </c>
      <c r="B68">
        <f>_xll.ciqfunctions.udf.CIQ("NasdaqGM:QQQ", "IQ_CLOSEPRICE", "2025-05-14", "USD")</f>
        <v>518.67999999999995</v>
      </c>
      <c r="C68">
        <f>_xll.ciqfunctions.udf.CIQ("NasdaqGM:AGIX", "IQ_CLOSEPRICE", "2025-05-14", "USD")</f>
        <v>29.47</v>
      </c>
      <c r="D68">
        <f>_xll.ciqfunctions.udf.CIQ("NasdaqGM:SMH", "IQ_CLOSEPRICE", "2025-05-14", "USD")</f>
        <v>247.99</v>
      </c>
      <c r="E68">
        <f>_xll.ciqfunctions.udf.CIQ("BATS:IGV", "IQ_CLOSEPRICE", "2025-05-14", "USD")</f>
        <v>104.8</v>
      </c>
      <c r="F68">
        <f>_xll.ciqfunctions.udf.CIQ("NasdaqGM:BOTZ", "IQ_CLOSEPRICE", "2025-05-14", "USD")</f>
        <v>31.09</v>
      </c>
      <c r="G68">
        <f>_xll.ciqfunctions.udf.CIQ("NasdaqGM:AIQ", "IQ_CLOSEPRICE", "2025-05-14", "USD")</f>
        <v>40.99</v>
      </c>
      <c r="H68">
        <f>_xll.ciqfunctions.udf.CIQ("ARCA:ARTY", "IQ_CLOSEPRICE", "2025-05-14", "USD")</f>
        <v>37.14</v>
      </c>
      <c r="I68">
        <f>_xll.ciqfunctions.udf.CIQ("NasdaqGM:ROBT", "IQ_CLOSEPRICE", "2025-05-14", "USD")</f>
        <v>45.18</v>
      </c>
      <c r="J68">
        <f>_xll.ciqfunctions.udf.CIQ("ARCA:IGPT", "IQ_CLOSEPRICE", "2025-05-14", "USD")</f>
        <v>45.66</v>
      </c>
      <c r="K68">
        <f>_xll.ciqfunctions.udf.CIQ("BATS:WTAI", "IQ_CLOSEPRICE", "2025-05-14", "USD")</f>
        <v>22.3</v>
      </c>
      <c r="L68">
        <f>_xll.ciqfunctions.udf.CIQ("ARCA:THNQ", "IQ_CLOSEPRICE", "2025-05-14", "USD")</f>
        <v>51.44</v>
      </c>
      <c r="M68">
        <f>_xll.ciqfunctions.udf.CIQ("NasdaqGM:FDTX", "IQ_CLOSEPRICE", "2025-05-14", "USD")</f>
        <v>35.93</v>
      </c>
      <c r="N68">
        <f>_xll.ciqfunctions.udf.CIQ("ARCA:CHAT", "IQ_CLOSEPRICE", "2025-05-14", "USD")</f>
        <v>41.67</v>
      </c>
      <c r="O68">
        <f>_xll.ciqfunctions.udf.CIQ("ARCA:LOUP", "IQ_CLOSEPRICE", "2025-05-14", "USD")</f>
        <v>54.881999999999998</v>
      </c>
      <c r="P68">
        <f>_xll.ciqfunctions.udf.CIQ("ARCA:LRNZ", "IQ_CLOSEPRICE", "2025-05-14", "USD")</f>
        <v>40.67</v>
      </c>
      <c r="Q68">
        <f>_xll.ciqfunctions.udf.CIQ("ARCA:AIS", "IQ_CLOSEPRICE", "2025-05-14", "USD")</f>
        <v>24.65</v>
      </c>
      <c r="R68">
        <f>_xll.ciqfunctions.udf.CIQ("NasdaqGM:WISE", "IQ_CLOSEPRICE", "2025-05-14", "USD")</f>
        <v>33.130000000000003</v>
      </c>
      <c r="S68">
        <f>_xll.ciqfunctions.udf.CIQ("LSE:RBOT", "IQ_CLOSEPRICE", "2025-05-14", "USD")</f>
        <v>14.295</v>
      </c>
      <c r="T68">
        <f>_xll.ciqfunctions.udf.CIQ("XTRA:XAIX", "IQ_CLOSEPRICE", "2025-05-14", "USD")</f>
        <v>147.01467</v>
      </c>
      <c r="U68">
        <f>_xll.ciqfunctions.udf.CIQ("BIT:WTAI", "IQ_CLOSEPRICE", "2025-05-14", "USD")</f>
        <v>66.38288</v>
      </c>
      <c r="V68">
        <f>_xll.ciqfunctions.udf.CIQ("LSE:AIAG", "IQ_CLOSEPRICE", "2025-05-14", "USD")</f>
        <v>22.732109999999999</v>
      </c>
      <c r="W68">
        <f>_xll.ciqfunctions.udf.CIQ("ASX:RBTZ", "IQ_CLOSEPRICE", "2025-05-14", "USD")</f>
        <v>8.9221199999999996</v>
      </c>
      <c r="X68">
        <f>_xll.ciqfunctions.udf.CIQ("DB:XB0T", "IQ_CLOSEPRICE", "2025-05-14", "USD")</f>
        <v>20.42567</v>
      </c>
    </row>
    <row r="69" spans="1:24" x14ac:dyDescent="0.25">
      <c r="A69" t="s">
        <v>91</v>
      </c>
      <c r="B69">
        <f>_xll.ciqfunctions.udf.CIQ("NasdaqGM:QQQ", "IQ_CLOSEPRICE", "2025-05-13", "USD")</f>
        <v>515.59</v>
      </c>
      <c r="C69">
        <f>_xll.ciqfunctions.udf.CIQ("NasdaqGM:AGIX", "IQ_CLOSEPRICE", "2025-05-13", "USD")</f>
        <v>29.03</v>
      </c>
      <c r="D69">
        <f>_xll.ciqfunctions.udf.CIQ("NasdaqGM:SMH", "IQ_CLOSEPRICE", "2025-05-13", "USD")</f>
        <v>245.56</v>
      </c>
      <c r="E69">
        <f>_xll.ciqfunctions.udf.CIQ("BATS:IGV", "IQ_CLOSEPRICE", "2025-05-13", "USD")</f>
        <v>104.73</v>
      </c>
      <c r="F69">
        <f>_xll.ciqfunctions.udf.CIQ("NasdaqGM:BOTZ", "IQ_CLOSEPRICE", "2025-05-13", "USD")</f>
        <v>31.03</v>
      </c>
      <c r="G69">
        <f>_xll.ciqfunctions.udf.CIQ("NasdaqGM:AIQ", "IQ_CLOSEPRICE", "2025-05-13", "USD")</f>
        <v>40.71</v>
      </c>
      <c r="H69">
        <f>_xll.ciqfunctions.udf.CIQ("ARCA:ARTY", "IQ_CLOSEPRICE", "2025-05-13", "USD")</f>
        <v>36.67</v>
      </c>
      <c r="I69">
        <f>_xll.ciqfunctions.udf.CIQ("NasdaqGM:ROBT", "IQ_CLOSEPRICE", "2025-05-13", "USD")</f>
        <v>45.22</v>
      </c>
      <c r="J69">
        <f>_xll.ciqfunctions.udf.CIQ("ARCA:IGPT", "IQ_CLOSEPRICE", "2025-05-13", "USD")</f>
        <v>45.3</v>
      </c>
      <c r="K69">
        <f>_xll.ciqfunctions.udf.CIQ("BATS:WTAI", "IQ_CLOSEPRICE", "2025-05-13", "USD")</f>
        <v>22.11</v>
      </c>
      <c r="L69">
        <f>_xll.ciqfunctions.udf.CIQ("ARCA:THNQ", "IQ_CLOSEPRICE", "2025-05-13", "USD")</f>
        <v>51.140500000000003</v>
      </c>
      <c r="M69">
        <f>_xll.ciqfunctions.udf.CIQ("NasdaqGM:FDTX", "IQ_CLOSEPRICE", "2025-05-13", "USD")</f>
        <v>36.020000000000003</v>
      </c>
      <c r="N69">
        <f>_xll.ciqfunctions.udf.CIQ("ARCA:CHAT", "IQ_CLOSEPRICE", "2025-05-13", "USD")</f>
        <v>40.92</v>
      </c>
      <c r="O69">
        <f>_xll.ciqfunctions.udf.CIQ("ARCA:LOUP", "IQ_CLOSEPRICE", "2025-05-13", "USD")</f>
        <v>54.748399999999997</v>
      </c>
      <c r="P69">
        <f>_xll.ciqfunctions.udf.CIQ("ARCA:LRNZ", "IQ_CLOSEPRICE", "2025-05-13", "USD")</f>
        <v>40.342199999999998</v>
      </c>
      <c r="Q69">
        <f>_xll.ciqfunctions.udf.CIQ("ARCA:AIS", "IQ_CLOSEPRICE", "2025-05-13", "USD")</f>
        <v>24.4497</v>
      </c>
      <c r="R69">
        <f>_xll.ciqfunctions.udf.CIQ("NasdaqGM:WISE", "IQ_CLOSEPRICE", "2025-05-13", "USD")</f>
        <v>33.229999999999997</v>
      </c>
      <c r="S69">
        <f>_xll.ciqfunctions.udf.CIQ("LSE:RBOT", "IQ_CLOSEPRICE", "2025-05-13", "USD")</f>
        <v>14.305</v>
      </c>
      <c r="T69">
        <f>_xll.ciqfunctions.udf.CIQ("XTRA:XAIX", "IQ_CLOSEPRICE", "2025-05-13", "USD")</f>
        <v>146.12290999999999</v>
      </c>
      <c r="U69">
        <f>_xll.ciqfunctions.udf.CIQ("BIT:WTAI", "IQ_CLOSEPRICE", "2025-05-13", "USD")</f>
        <v>65.910610000000005</v>
      </c>
      <c r="V69">
        <f>_xll.ciqfunctions.udf.CIQ("LSE:AIAG", "IQ_CLOSEPRICE", "2025-05-13", "USD")</f>
        <v>22.542349999999999</v>
      </c>
      <c r="W69">
        <f>_xll.ciqfunctions.udf.CIQ("ASX:RBTZ", "IQ_CLOSEPRICE", "2025-05-13", "USD")</f>
        <v>8.8858700000000006</v>
      </c>
      <c r="X69">
        <f>_xll.ciqfunctions.udf.CIQ("DB:XB0T", "IQ_CLOSEPRICE", "2025-05-13", "USD")</f>
        <v>20.15419</v>
      </c>
    </row>
    <row r="70" spans="1:24" x14ac:dyDescent="0.25">
      <c r="A70" t="s">
        <v>92</v>
      </c>
      <c r="B70">
        <f>_xll.ciqfunctions.udf.CIQ("NasdaqGM:QQQ", "IQ_CLOSEPRICE", "2025-05-12", "USD")</f>
        <v>507.85</v>
      </c>
      <c r="C70">
        <f>_xll.ciqfunctions.udf.CIQ("NasdaqGM:AGIX", "IQ_CLOSEPRICE", "2025-05-12", "USD")</f>
        <v>28.405000000000001</v>
      </c>
      <c r="D70">
        <f>_xll.ciqfunctions.udf.CIQ("NasdaqGM:SMH", "IQ_CLOSEPRICE", "2025-05-12", "USD")</f>
        <v>237.41</v>
      </c>
      <c r="E70">
        <f>_xll.ciqfunctions.udf.CIQ("BATS:IGV", "IQ_CLOSEPRICE", "2025-05-12", "USD")</f>
        <v>102.78</v>
      </c>
      <c r="F70">
        <f>_xll.ciqfunctions.udf.CIQ("NasdaqGM:BOTZ", "IQ_CLOSEPRICE", "2025-05-12", "USD")</f>
        <v>30.61</v>
      </c>
      <c r="G70">
        <f>_xll.ciqfunctions.udf.CIQ("NasdaqGM:AIQ", "IQ_CLOSEPRICE", "2025-05-12", "USD")</f>
        <v>39.92</v>
      </c>
      <c r="H70">
        <f>_xll.ciqfunctions.udf.CIQ("ARCA:ARTY", "IQ_CLOSEPRICE", "2025-05-12", "USD")</f>
        <v>35.76</v>
      </c>
      <c r="I70">
        <f>_xll.ciqfunctions.udf.CIQ("NasdaqGM:ROBT", "IQ_CLOSEPRICE", "2025-05-12", "USD")</f>
        <v>44.53</v>
      </c>
      <c r="J70">
        <f>_xll.ciqfunctions.udf.CIQ("ARCA:IGPT", "IQ_CLOSEPRICE", "2025-05-12", "USD")</f>
        <v>44.36</v>
      </c>
      <c r="K70">
        <f>_xll.ciqfunctions.udf.CIQ("BATS:WTAI", "IQ_CLOSEPRICE", "2025-05-12", "USD")</f>
        <v>21.58</v>
      </c>
      <c r="L70">
        <f>_xll.ciqfunctions.udf.CIQ("ARCA:THNQ", "IQ_CLOSEPRICE", "2025-05-12", "USD")</f>
        <v>49.88</v>
      </c>
      <c r="M70">
        <f>_xll.ciqfunctions.udf.CIQ("NasdaqGM:FDTX", "IQ_CLOSEPRICE", "2025-05-12", "USD")</f>
        <v>35.119999999999997</v>
      </c>
      <c r="N70">
        <f>_xll.ciqfunctions.udf.CIQ("ARCA:CHAT", "IQ_CLOSEPRICE", "2025-05-12", "USD")</f>
        <v>39.75</v>
      </c>
      <c r="O70">
        <f>_xll.ciqfunctions.udf.CIQ("ARCA:LOUP", "IQ_CLOSEPRICE", "2025-05-12", "USD")</f>
        <v>52.8842</v>
      </c>
      <c r="P70">
        <f>_xll.ciqfunctions.udf.CIQ("ARCA:LRNZ", "IQ_CLOSEPRICE", "2025-05-12", "USD")</f>
        <v>39.575000000000003</v>
      </c>
      <c r="Q70">
        <f>_xll.ciqfunctions.udf.CIQ("ARCA:AIS", "IQ_CLOSEPRICE", "2025-05-12", "USD")</f>
        <v>23.6508</v>
      </c>
      <c r="R70">
        <f>_xll.ciqfunctions.udf.CIQ("NasdaqGM:WISE", "IQ_CLOSEPRICE", "2025-05-12", "USD")</f>
        <v>32.51</v>
      </c>
      <c r="S70">
        <f>_xll.ciqfunctions.udf.CIQ("LSE:RBOT", "IQ_CLOSEPRICE", "2025-05-12", "USD")</f>
        <v>14.04</v>
      </c>
      <c r="T70">
        <f>_xll.ciqfunctions.udf.CIQ("XTRA:XAIX", "IQ_CLOSEPRICE", "2025-05-12", "USD")</f>
        <v>143.13355000000001</v>
      </c>
      <c r="U70">
        <f>_xll.ciqfunctions.udf.CIQ("BIT:WTAI", "IQ_CLOSEPRICE", "2025-05-12", "USD")</f>
        <v>64.116540000000001</v>
      </c>
      <c r="V70">
        <f>_xll.ciqfunctions.udf.CIQ("LSE:AIAG", "IQ_CLOSEPRICE", "2025-05-12", "USD")</f>
        <v>21.777329999999999</v>
      </c>
      <c r="W70">
        <f>_xll.ciqfunctions.udf.CIQ("ASX:RBTZ", "IQ_CLOSEPRICE", "2025-05-12", "USD")</f>
        <v>8.51023</v>
      </c>
      <c r="X70">
        <f>_xll.ciqfunctions.udf.CIQ("DB:XB0T", "IQ_CLOSEPRICE", "2025-05-12", "USD")</f>
        <v>20.2135</v>
      </c>
    </row>
    <row r="71" spans="1:24" x14ac:dyDescent="0.25">
      <c r="A71" t="s">
        <v>93</v>
      </c>
      <c r="B71">
        <f>_xll.ciqfunctions.udf.CIQ("NasdaqGM:QQQ", "IQ_CLOSEPRICE", "2025-05-09", "USD")</f>
        <v>487.97</v>
      </c>
      <c r="C71">
        <f>_xll.ciqfunctions.udf.CIQ("NasdaqGM:AGIX", "IQ_CLOSEPRICE", "2025-05-09", "USD")</f>
        <v>26.9895</v>
      </c>
      <c r="D71">
        <f>_xll.ciqfunctions.udf.CIQ("NasdaqGM:SMH", "IQ_CLOSEPRICE", "2025-05-09", "USD")</f>
        <v>223.4</v>
      </c>
      <c r="E71">
        <f>_xll.ciqfunctions.udf.CIQ("BATS:IGV", "IQ_CLOSEPRICE", "2025-05-09", "USD")</f>
        <v>99.69</v>
      </c>
      <c r="F71">
        <f>_xll.ciqfunctions.udf.CIQ("NasdaqGM:BOTZ", "IQ_CLOSEPRICE", "2025-05-09", "USD")</f>
        <v>29.34</v>
      </c>
      <c r="G71">
        <f>_xll.ciqfunctions.udf.CIQ("NasdaqGM:AIQ", "IQ_CLOSEPRICE", "2025-05-09", "USD")</f>
        <v>38.32</v>
      </c>
      <c r="H71">
        <f>_xll.ciqfunctions.udf.CIQ("ARCA:ARTY", "IQ_CLOSEPRICE", "2025-05-09", "USD")</f>
        <v>34.08</v>
      </c>
      <c r="I71">
        <f>_xll.ciqfunctions.udf.CIQ("NasdaqGM:ROBT", "IQ_CLOSEPRICE", "2025-05-09", "USD")</f>
        <v>42.97</v>
      </c>
      <c r="J71">
        <f>_xll.ciqfunctions.udf.CIQ("ARCA:IGPT", "IQ_CLOSEPRICE", "2025-05-09", "USD")</f>
        <v>42.48</v>
      </c>
      <c r="K71">
        <f>_xll.ciqfunctions.udf.CIQ("BATS:WTAI", "IQ_CLOSEPRICE", "2025-05-09", "USD")</f>
        <v>20.58</v>
      </c>
      <c r="L71">
        <f>_xll.ciqfunctions.udf.CIQ("ARCA:THNQ", "IQ_CLOSEPRICE", "2025-05-09", "USD")</f>
        <v>47.25</v>
      </c>
      <c r="M71">
        <f>_xll.ciqfunctions.udf.CIQ("NasdaqGM:FDTX", "IQ_CLOSEPRICE", "2025-05-09", "USD")</f>
        <v>33.770000000000003</v>
      </c>
      <c r="N71">
        <f>_xll.ciqfunctions.udf.CIQ("ARCA:CHAT", "IQ_CLOSEPRICE", "2025-05-09", "USD")</f>
        <v>37.555799999999998</v>
      </c>
      <c r="O71">
        <f>_xll.ciqfunctions.udf.CIQ("ARCA:LOUP", "IQ_CLOSEPRICE", "2025-05-09", "USD")</f>
        <v>50.395600000000002</v>
      </c>
      <c r="P71">
        <f>_xll.ciqfunctions.udf.CIQ("ARCA:LRNZ", "IQ_CLOSEPRICE", "2025-05-09", "USD")</f>
        <v>37.716299999999997</v>
      </c>
      <c r="Q71">
        <f>_xll.ciqfunctions.udf.CIQ("ARCA:AIS", "IQ_CLOSEPRICE", "2025-05-09", "USD")</f>
        <v>22.625299999999999</v>
      </c>
      <c r="R71">
        <f>_xll.ciqfunctions.udf.CIQ("NasdaqGM:WISE", "IQ_CLOSEPRICE", "2025-05-09", "USD")</f>
        <v>30.85</v>
      </c>
      <c r="S71">
        <f>_xll.ciqfunctions.udf.CIQ("LSE:RBOT", "IQ_CLOSEPRICE", "2025-05-09", "USD")</f>
        <v>13.68</v>
      </c>
      <c r="T71">
        <f>_xll.ciqfunctions.udf.CIQ("XTRA:XAIX", "IQ_CLOSEPRICE", "2025-05-09", "USD")</f>
        <v>139.20685</v>
      </c>
      <c r="U71">
        <f>_xll.ciqfunctions.udf.CIQ("BIT:WTAI", "IQ_CLOSEPRICE", "2025-05-09", "USD")</f>
        <v>61.66066</v>
      </c>
      <c r="V71">
        <f>_xll.ciqfunctions.udf.CIQ("LSE:AIAG", "IQ_CLOSEPRICE", "2025-05-09", "USD")</f>
        <v>20.85793</v>
      </c>
      <c r="W71">
        <f>_xll.ciqfunctions.udf.CIQ("ASX:RBTZ", "IQ_CLOSEPRICE", "2025-05-09", "USD")</f>
        <v>8.4964399999999998</v>
      </c>
      <c r="X71">
        <f>_xll.ciqfunctions.udf.CIQ("DB:XB0T", "IQ_CLOSEPRICE", "2025-05-09", "USD")</f>
        <v>19.339790000000001</v>
      </c>
    </row>
    <row r="72" spans="1:24" x14ac:dyDescent="0.25">
      <c r="A72" t="s">
        <v>94</v>
      </c>
      <c r="B72">
        <f>_xll.ciqfunctions.udf.CIQ("NasdaqGM:QQQ", "IQ_CLOSEPRICE", "2025-05-08", "USD")</f>
        <v>488.29</v>
      </c>
      <c r="C72">
        <f>_xll.ciqfunctions.udf.CIQ("NasdaqGM:AGIX", "IQ_CLOSEPRICE", "2025-05-08", "USD")</f>
        <v>27.1</v>
      </c>
      <c r="D72">
        <f>_xll.ciqfunctions.udf.CIQ("NasdaqGM:SMH", "IQ_CLOSEPRICE", "2025-05-08", "USD")</f>
        <v>221.95</v>
      </c>
      <c r="E72">
        <f>_xll.ciqfunctions.udf.CIQ("BATS:IGV", "IQ_CLOSEPRICE", "2025-05-08", "USD")</f>
        <v>100.41</v>
      </c>
      <c r="F72">
        <f>_xll.ciqfunctions.udf.CIQ("NasdaqGM:BOTZ", "IQ_CLOSEPRICE", "2025-05-08", "USD")</f>
        <v>29.49</v>
      </c>
      <c r="G72">
        <f>_xll.ciqfunctions.udf.CIQ("NasdaqGM:AIQ", "IQ_CLOSEPRICE", "2025-05-08", "USD")</f>
        <v>38.31</v>
      </c>
      <c r="H72">
        <f>_xll.ciqfunctions.udf.CIQ("ARCA:ARTY", "IQ_CLOSEPRICE", "2025-05-08", "USD")</f>
        <v>34.4</v>
      </c>
      <c r="I72">
        <f>_xll.ciqfunctions.udf.CIQ("NasdaqGM:ROBT", "IQ_CLOSEPRICE", "2025-05-08", "USD")</f>
        <v>43.12</v>
      </c>
      <c r="J72">
        <f>_xll.ciqfunctions.udf.CIQ("ARCA:IGPT", "IQ_CLOSEPRICE", "2025-05-08", "USD")</f>
        <v>42.5</v>
      </c>
      <c r="K72">
        <f>_xll.ciqfunctions.udf.CIQ("BATS:WTAI", "IQ_CLOSEPRICE", "2025-05-08", "USD")</f>
        <v>20.61</v>
      </c>
      <c r="L72">
        <f>_xll.ciqfunctions.udf.CIQ("ARCA:THNQ", "IQ_CLOSEPRICE", "2025-05-08", "USD")</f>
        <v>47.37</v>
      </c>
      <c r="M72">
        <f>_xll.ciqfunctions.udf.CIQ("NasdaqGM:FDTX", "IQ_CLOSEPRICE", "2025-05-08", "USD")</f>
        <v>33.9</v>
      </c>
      <c r="N72">
        <f>_xll.ciqfunctions.udf.CIQ("ARCA:CHAT", "IQ_CLOSEPRICE", "2025-05-08", "USD")</f>
        <v>37.75</v>
      </c>
      <c r="O72">
        <f>_xll.ciqfunctions.udf.CIQ("ARCA:LOUP", "IQ_CLOSEPRICE", "2025-05-08", "USD")</f>
        <v>51.0901</v>
      </c>
      <c r="P72">
        <f>_xll.ciqfunctions.udf.CIQ("ARCA:LRNZ", "IQ_CLOSEPRICE", "2025-05-08", "USD")</f>
        <v>37.9709</v>
      </c>
      <c r="Q72">
        <f>_xll.ciqfunctions.udf.CIQ("ARCA:AIS", "IQ_CLOSEPRICE", "2025-05-08", "USD")</f>
        <v>22.721499999999999</v>
      </c>
      <c r="R72">
        <f>_xll.ciqfunctions.udf.CIQ("NasdaqGM:WISE", "IQ_CLOSEPRICE", "2025-05-08", "USD")</f>
        <v>30.98</v>
      </c>
      <c r="S72">
        <f>_xll.ciqfunctions.udf.CIQ("LSE:RBOT", "IQ_CLOSEPRICE", "2025-05-08", "USD")</f>
        <v>13.7</v>
      </c>
      <c r="T72">
        <f>_xll.ciqfunctions.udf.CIQ("XTRA:XAIX", "IQ_CLOSEPRICE", "2025-05-08", "USD")</f>
        <v>139.72263000000001</v>
      </c>
      <c r="U72">
        <f>_xll.ciqfunctions.udf.CIQ("BIT:WTAI", "IQ_CLOSEPRICE", "2025-05-08", "USD")</f>
        <v>61.551470000000002</v>
      </c>
      <c r="V72">
        <f>_xll.ciqfunctions.udf.CIQ("LSE:AIAG", "IQ_CLOSEPRICE", "2025-05-08", "USD")</f>
        <v>20.85539</v>
      </c>
      <c r="W72">
        <f>_xll.ciqfunctions.udf.CIQ("ASX:RBTZ", "IQ_CLOSEPRICE", "2025-05-08", "USD")</f>
        <v>8.3857300000000006</v>
      </c>
      <c r="X72">
        <f>_xll.ciqfunctions.udf.CIQ("DB:XB0T", "IQ_CLOSEPRICE", "2025-05-08", "USD")</f>
        <v>19.25132</v>
      </c>
    </row>
    <row r="73" spans="1:24" x14ac:dyDescent="0.25">
      <c r="A73" t="s">
        <v>95</v>
      </c>
      <c r="B73">
        <f>_xll.ciqfunctions.udf.CIQ("NasdaqGM:QQQ", "IQ_CLOSEPRICE", "2025-05-07", "USD")</f>
        <v>483.3</v>
      </c>
      <c r="C73">
        <f>_xll.ciqfunctions.udf.CIQ("NasdaqGM:AGIX", "IQ_CLOSEPRICE", "2025-05-07", "USD")</f>
        <v>26.35</v>
      </c>
      <c r="D73">
        <f>_xll.ciqfunctions.udf.CIQ("NasdaqGM:SMH", "IQ_CLOSEPRICE", "2025-05-07", "USD")</f>
        <v>220.02</v>
      </c>
      <c r="E73">
        <f>_xll.ciqfunctions.udf.CIQ("BATS:IGV", "IQ_CLOSEPRICE", "2025-05-07", "USD")</f>
        <v>98.78</v>
      </c>
      <c r="F73">
        <f>_xll.ciqfunctions.udf.CIQ("NasdaqGM:BOTZ", "IQ_CLOSEPRICE", "2025-05-07", "USD")</f>
        <v>29.12</v>
      </c>
      <c r="G73">
        <f>_xll.ciqfunctions.udf.CIQ("NasdaqGM:AIQ", "IQ_CLOSEPRICE", "2025-05-07", "USD")</f>
        <v>37.89</v>
      </c>
      <c r="H73">
        <f>_xll.ciqfunctions.udf.CIQ("ARCA:ARTY", "IQ_CLOSEPRICE", "2025-05-07", "USD")</f>
        <v>33.700000000000003</v>
      </c>
      <c r="I73">
        <f>_xll.ciqfunctions.udf.CIQ("NasdaqGM:ROBT", "IQ_CLOSEPRICE", "2025-05-07", "USD")</f>
        <v>42.32</v>
      </c>
      <c r="J73">
        <f>_xll.ciqfunctions.udf.CIQ("ARCA:IGPT", "IQ_CLOSEPRICE", "2025-05-07", "USD")</f>
        <v>42.06</v>
      </c>
      <c r="K73">
        <f>_xll.ciqfunctions.udf.CIQ("BATS:WTAI", "IQ_CLOSEPRICE", "2025-05-07", "USD")</f>
        <v>20.18</v>
      </c>
      <c r="L73">
        <f>_xll.ciqfunctions.udf.CIQ("ARCA:THNQ", "IQ_CLOSEPRICE", "2025-05-07", "USD")</f>
        <v>46.5595</v>
      </c>
      <c r="M73">
        <f>_xll.ciqfunctions.udf.CIQ("NasdaqGM:FDTX", "IQ_CLOSEPRICE", "2025-05-07", "USD")</f>
        <v>33.44</v>
      </c>
      <c r="N73">
        <f>_xll.ciqfunctions.udf.CIQ("ARCA:CHAT", "IQ_CLOSEPRICE", "2025-05-07", "USD")</f>
        <v>37.2547</v>
      </c>
      <c r="O73">
        <f>_xll.ciqfunctions.udf.CIQ("ARCA:LOUP", "IQ_CLOSEPRICE", "2025-05-07", "USD")</f>
        <v>49.569699999999997</v>
      </c>
      <c r="P73">
        <f>_xll.ciqfunctions.udf.CIQ("ARCA:LRNZ", "IQ_CLOSEPRICE", "2025-05-07", "USD")</f>
        <v>37.553600000000003</v>
      </c>
      <c r="Q73">
        <f>_xll.ciqfunctions.udf.CIQ("ARCA:AIS", "IQ_CLOSEPRICE", "2025-05-07", "USD")</f>
        <v>22.453800000000001</v>
      </c>
      <c r="R73">
        <f>_xll.ciqfunctions.udf.CIQ("NasdaqGM:WISE", "IQ_CLOSEPRICE", "2025-05-07", "USD")</f>
        <v>30.26</v>
      </c>
      <c r="S73">
        <f>_xll.ciqfunctions.udf.CIQ("LSE:RBOT", "IQ_CLOSEPRICE", "2025-05-07", "USD")</f>
        <v>13.375</v>
      </c>
      <c r="T73">
        <f>_xll.ciqfunctions.udf.CIQ("XTRA:XAIX", "IQ_CLOSEPRICE", "2025-05-07", "USD")</f>
        <v>137.41914</v>
      </c>
      <c r="U73">
        <f>_xll.ciqfunctions.udf.CIQ("BIT:WTAI", "IQ_CLOSEPRICE", "2025-05-07", "USD")</f>
        <v>59.68676</v>
      </c>
      <c r="V73">
        <f>_xll.ciqfunctions.udf.CIQ("LSE:AIAG", "IQ_CLOSEPRICE", "2025-05-07", "USD")</f>
        <v>20.291630000000001</v>
      </c>
      <c r="W73">
        <f>_xll.ciqfunctions.udf.CIQ("ASX:RBTZ", "IQ_CLOSEPRICE", "2025-05-07", "USD")</f>
        <v>8.3570100000000007</v>
      </c>
      <c r="X73">
        <f>_xll.ciqfunctions.udf.CIQ("DB:XB0T", "IQ_CLOSEPRICE", "2025-05-07", "USD")</f>
        <v>19.073879999999999</v>
      </c>
    </row>
    <row r="74" spans="1:24" x14ac:dyDescent="0.25">
      <c r="A74" t="s">
        <v>96</v>
      </c>
      <c r="B74">
        <f>_xll.ciqfunctions.udf.CIQ("NasdaqGM:QQQ", "IQ_CLOSEPRICE", "2025-05-06", "USD")</f>
        <v>481.41</v>
      </c>
      <c r="C74">
        <f>_xll.ciqfunctions.udf.CIQ("NasdaqGM:AGIX", "IQ_CLOSEPRICE", "2025-05-06", "USD")</f>
        <v>26.39</v>
      </c>
      <c r="D74">
        <f>_xll.ciqfunctions.udf.CIQ("NasdaqGM:SMH", "IQ_CLOSEPRICE", "2025-05-06", "USD")</f>
        <v>215.59</v>
      </c>
      <c r="E74">
        <f>_xll.ciqfunctions.udf.CIQ("BATS:IGV", "IQ_CLOSEPRICE", "2025-05-06", "USD")</f>
        <v>97.96</v>
      </c>
      <c r="F74">
        <f>_xll.ciqfunctions.udf.CIQ("NasdaqGM:BOTZ", "IQ_CLOSEPRICE", "2025-05-06", "USD")</f>
        <v>29.24</v>
      </c>
      <c r="G74">
        <f>_xll.ciqfunctions.udf.CIQ("NasdaqGM:AIQ", "IQ_CLOSEPRICE", "2025-05-06", "USD")</f>
        <v>37.78</v>
      </c>
      <c r="H74">
        <f>_xll.ciqfunctions.udf.CIQ("ARCA:ARTY", "IQ_CLOSEPRICE", "2025-05-06", "USD")</f>
        <v>33.619999999999997</v>
      </c>
      <c r="I74">
        <f>_xll.ciqfunctions.udf.CIQ("NasdaqGM:ROBT", "IQ_CLOSEPRICE", "2025-05-06", "USD")</f>
        <v>42.04</v>
      </c>
      <c r="J74">
        <f>_xll.ciqfunctions.udf.CIQ("ARCA:IGPT", "IQ_CLOSEPRICE", "2025-05-06", "USD")</f>
        <v>41.88</v>
      </c>
      <c r="K74">
        <f>_xll.ciqfunctions.udf.CIQ("BATS:WTAI", "IQ_CLOSEPRICE", "2025-05-06", "USD")</f>
        <v>20.149999999999999</v>
      </c>
      <c r="L74">
        <f>_xll.ciqfunctions.udf.CIQ("ARCA:THNQ", "IQ_CLOSEPRICE", "2025-05-06", "USD")</f>
        <v>45.93</v>
      </c>
      <c r="M74">
        <f>_xll.ciqfunctions.udf.CIQ("NasdaqGM:FDTX", "IQ_CLOSEPRICE", "2025-05-06", "USD")</f>
        <v>33.4</v>
      </c>
      <c r="N74">
        <f>_xll.ciqfunctions.udf.CIQ("ARCA:CHAT", "IQ_CLOSEPRICE", "2025-05-06", "USD")</f>
        <v>37.481099999999998</v>
      </c>
      <c r="O74">
        <f>_xll.ciqfunctions.udf.CIQ("ARCA:LOUP", "IQ_CLOSEPRICE", "2025-05-06", "USD")</f>
        <v>49.666800000000002</v>
      </c>
      <c r="P74">
        <f>_xll.ciqfunctions.udf.CIQ("ARCA:LRNZ", "IQ_CLOSEPRICE", "2025-05-06", "USD")</f>
        <v>37.402299999999997</v>
      </c>
      <c r="Q74">
        <f>_xll.ciqfunctions.udf.CIQ("ARCA:AIS", "IQ_CLOSEPRICE", "2025-05-06", "USD")</f>
        <v>22.478100000000001</v>
      </c>
      <c r="R74">
        <f>_xll.ciqfunctions.udf.CIQ("NasdaqGM:WISE", "IQ_CLOSEPRICE", "2025-05-06", "USD")</f>
        <v>30.25</v>
      </c>
      <c r="S74">
        <f>_xll.ciqfunctions.udf.CIQ("LSE:RBOT", "IQ_CLOSEPRICE", "2025-05-06", "USD")</f>
        <v>13.38</v>
      </c>
      <c r="T74">
        <f>_xll.ciqfunctions.udf.CIQ("XTRA:XAIX", "IQ_CLOSEPRICE", "2025-05-06", "USD")</f>
        <v>138.22060999999999</v>
      </c>
      <c r="U74">
        <f>_xll.ciqfunctions.udf.CIQ("BIT:WTAI", "IQ_CLOSEPRICE", "2025-05-06", "USD")</f>
        <v>60.270090000000003</v>
      </c>
      <c r="V74">
        <f>_xll.ciqfunctions.udf.CIQ("LSE:AIAG", "IQ_CLOSEPRICE", "2025-05-06", "USD")</f>
        <v>20.43826</v>
      </c>
      <c r="W74">
        <f>_xll.ciqfunctions.udf.CIQ("ASX:RBTZ", "IQ_CLOSEPRICE", "2025-05-06", "USD")</f>
        <v>8.4528099999999995</v>
      </c>
      <c r="X74">
        <f>_xll.ciqfunctions.udf.CIQ("DB:XB0T", "IQ_CLOSEPRICE", "2025-05-06", "USD")</f>
        <v>19.207899999999999</v>
      </c>
    </row>
    <row r="75" spans="1:24" x14ac:dyDescent="0.25">
      <c r="A75" t="s">
        <v>97</v>
      </c>
      <c r="B75">
        <f>_xll.ciqfunctions.udf.CIQ("NasdaqGM:QQQ", "IQ_CLOSEPRICE", "2025-05-05", "USD")</f>
        <v>485.93</v>
      </c>
      <c r="C75">
        <f>_xll.ciqfunctions.udf.CIQ("NasdaqGM:AGIX", "IQ_CLOSEPRICE", "2025-05-05", "USD")</f>
        <v>26.72</v>
      </c>
      <c r="D75">
        <f>_xll.ciqfunctions.udf.CIQ("NasdaqGM:SMH", "IQ_CLOSEPRICE", "2025-05-05", "USD")</f>
        <v>217.61</v>
      </c>
      <c r="E75">
        <f>_xll.ciqfunctions.udf.CIQ("BATS:IGV", "IQ_CLOSEPRICE", "2025-05-05", "USD")</f>
        <v>99.37</v>
      </c>
      <c r="F75">
        <f>_xll.ciqfunctions.udf.CIQ("NasdaqGM:BOTZ", "IQ_CLOSEPRICE", "2025-05-05", "USD")</f>
        <v>29.27</v>
      </c>
      <c r="G75">
        <f>_xll.ciqfunctions.udf.CIQ("NasdaqGM:AIQ", "IQ_CLOSEPRICE", "2025-05-05", "USD")</f>
        <v>38.1</v>
      </c>
      <c r="H75">
        <f>_xll.ciqfunctions.udf.CIQ("ARCA:ARTY", "IQ_CLOSEPRICE", "2025-05-05", "USD")</f>
        <v>33.880000000000003</v>
      </c>
      <c r="I75">
        <f>_xll.ciqfunctions.udf.CIQ("NasdaqGM:ROBT", "IQ_CLOSEPRICE", "2025-05-05", "USD")</f>
        <v>42.47</v>
      </c>
      <c r="J75">
        <f>_xll.ciqfunctions.udf.CIQ("ARCA:IGPT", "IQ_CLOSEPRICE", "2025-05-05", "USD")</f>
        <v>42.11</v>
      </c>
      <c r="K75">
        <f>_xll.ciqfunctions.udf.CIQ("BATS:WTAI", "IQ_CLOSEPRICE", "2025-05-05", "USD")</f>
        <v>20.41</v>
      </c>
      <c r="L75">
        <f>_xll.ciqfunctions.udf.CIQ("ARCA:THNQ", "IQ_CLOSEPRICE", "2025-05-05", "USD")</f>
        <v>46.54</v>
      </c>
      <c r="M75">
        <f>_xll.ciqfunctions.udf.CIQ("NasdaqGM:FDTX", "IQ_CLOSEPRICE", "2025-05-05", "USD")</f>
        <v>33.5</v>
      </c>
      <c r="N75">
        <f>_xll.ciqfunctions.udf.CIQ("ARCA:CHAT", "IQ_CLOSEPRICE", "2025-05-05", "USD")</f>
        <v>37.68</v>
      </c>
      <c r="O75">
        <f>_xll.ciqfunctions.udf.CIQ("ARCA:LOUP", "IQ_CLOSEPRICE", "2025-05-05", "USD")</f>
        <v>49.807400000000001</v>
      </c>
      <c r="P75">
        <f>_xll.ciqfunctions.udf.CIQ("ARCA:LRNZ", "IQ_CLOSEPRICE", "2025-05-05", "USD")</f>
        <v>37.868699999999997</v>
      </c>
      <c r="Q75">
        <f>_xll.ciqfunctions.udf.CIQ("ARCA:AIS", "IQ_CLOSEPRICE", "2025-05-05", "USD")</f>
        <v>22.5182</v>
      </c>
      <c r="R75">
        <f>_xll.ciqfunctions.udf.CIQ("NasdaqGM:WISE", "IQ_CLOSEPRICE", "2025-05-05", "USD")</f>
        <v>30.6</v>
      </c>
      <c r="S75">
        <f>_xll.ciqfunctions.udf.CIQ("LSE:RBOT", "IQ_CLOSEPRICE", "2025-05-05", "USD")</f>
        <v>13.376099999999999</v>
      </c>
      <c r="T75">
        <f>_xll.ciqfunctions.udf.CIQ("XTRA:XAIX", "IQ_CLOSEPRICE", "2025-05-05", "USD")</f>
        <v>139.27722</v>
      </c>
      <c r="U75">
        <f>_xll.ciqfunctions.udf.CIQ("BIT:WTAI", "IQ_CLOSEPRICE", "2025-05-05", "USD")</f>
        <v>61.051319999999997</v>
      </c>
      <c r="V75">
        <f>_xll.ciqfunctions.udf.CIQ("LSE:AIAG", "IQ_CLOSEPRICE", "2025-05-05", "USD")</f>
        <v>0</v>
      </c>
      <c r="W75">
        <f>_xll.ciqfunctions.udf.CIQ("ASX:RBTZ", "IQ_CLOSEPRICE", "2025-05-05", "USD")</f>
        <v>8.3851300000000002</v>
      </c>
      <c r="X75">
        <f>_xll.ciqfunctions.udf.CIQ("DB:XB0T", "IQ_CLOSEPRICE", "2025-05-05", "USD")</f>
        <v>19.20018</v>
      </c>
    </row>
    <row r="76" spans="1:24" x14ac:dyDescent="0.25">
      <c r="A76" t="s">
        <v>98</v>
      </c>
      <c r="B76">
        <f>_xll.ciqfunctions.udf.CIQ("NasdaqGM:QQQ", "IQ_CLOSEPRICE", "2025-05-02", "USD")</f>
        <v>488.83</v>
      </c>
      <c r="C76">
        <f>_xll.ciqfunctions.udf.CIQ("NasdaqGM:AGIX", "IQ_CLOSEPRICE", "2025-05-02", "USD")</f>
        <v>26.742999999999999</v>
      </c>
      <c r="D76">
        <f>_xll.ciqfunctions.udf.CIQ("NasdaqGM:SMH", "IQ_CLOSEPRICE", "2025-05-02", "USD")</f>
        <v>219.03</v>
      </c>
      <c r="E76">
        <f>_xll.ciqfunctions.udf.CIQ("BATS:IGV", "IQ_CLOSEPRICE", "2025-05-02", "USD")</f>
        <v>99.47</v>
      </c>
      <c r="F76">
        <f>_xll.ciqfunctions.udf.CIQ("NasdaqGM:BOTZ", "IQ_CLOSEPRICE", "2025-05-02", "USD")</f>
        <v>29.28</v>
      </c>
      <c r="G76">
        <f>_xll.ciqfunctions.udf.CIQ("NasdaqGM:AIQ", "IQ_CLOSEPRICE", "2025-05-02", "USD")</f>
        <v>38.159999999999997</v>
      </c>
      <c r="H76">
        <f>_xll.ciqfunctions.udf.CIQ("ARCA:ARTY", "IQ_CLOSEPRICE", "2025-05-02", "USD")</f>
        <v>33.950000000000003</v>
      </c>
      <c r="I76">
        <f>_xll.ciqfunctions.udf.CIQ("NasdaqGM:ROBT", "IQ_CLOSEPRICE", "2025-05-02", "USD")</f>
        <v>42.57</v>
      </c>
      <c r="J76">
        <f>_xll.ciqfunctions.udf.CIQ("ARCA:IGPT", "IQ_CLOSEPRICE", "2025-05-02", "USD")</f>
        <v>41.99</v>
      </c>
      <c r="K76">
        <f>_xll.ciqfunctions.udf.CIQ("BATS:WTAI", "IQ_CLOSEPRICE", "2025-05-02", "USD")</f>
        <v>20.47</v>
      </c>
      <c r="L76">
        <f>_xll.ciqfunctions.udf.CIQ("ARCA:THNQ", "IQ_CLOSEPRICE", "2025-05-02", "USD")</f>
        <v>46.61</v>
      </c>
      <c r="M76">
        <f>_xll.ciqfunctions.udf.CIQ("NasdaqGM:FDTX", "IQ_CLOSEPRICE", "2025-05-02", "USD")</f>
        <v>33.71</v>
      </c>
      <c r="N76">
        <f>_xll.ciqfunctions.udf.CIQ("ARCA:CHAT", "IQ_CLOSEPRICE", "2025-05-02", "USD")</f>
        <v>37.770000000000003</v>
      </c>
      <c r="O76">
        <f>_xll.ciqfunctions.udf.CIQ("ARCA:LOUP", "IQ_CLOSEPRICE", "2025-05-02", "USD")</f>
        <v>49.682099999999998</v>
      </c>
      <c r="P76">
        <f>_xll.ciqfunctions.udf.CIQ("ARCA:LRNZ", "IQ_CLOSEPRICE", "2025-05-02", "USD")</f>
        <v>37.796399999999998</v>
      </c>
      <c r="Q76">
        <f>_xll.ciqfunctions.udf.CIQ("ARCA:AIS", "IQ_CLOSEPRICE", "2025-05-02", "USD")</f>
        <v>22.528500000000001</v>
      </c>
      <c r="R76">
        <f>_xll.ciqfunctions.udf.CIQ("NasdaqGM:WISE", "IQ_CLOSEPRICE", "2025-05-02", "USD")</f>
        <v>31.006799999999998</v>
      </c>
      <c r="S76">
        <f>_xll.ciqfunctions.udf.CIQ("LSE:RBOT", "IQ_CLOSEPRICE", "2025-05-02", "USD")</f>
        <v>13.445</v>
      </c>
      <c r="T76">
        <f>_xll.ciqfunctions.udf.CIQ("XTRA:XAIX", "IQ_CLOSEPRICE", "2025-05-02", "USD")</f>
        <v>138.8366</v>
      </c>
      <c r="U76">
        <f>_xll.ciqfunctions.udf.CIQ("BIT:WTAI", "IQ_CLOSEPRICE", "2025-05-02", "USD")</f>
        <v>60.868580000000001</v>
      </c>
      <c r="V76">
        <f>_xll.ciqfunctions.udf.CIQ("LSE:AIAG", "IQ_CLOSEPRICE", "2025-05-02", "USD")</f>
        <v>20.468229999999998</v>
      </c>
      <c r="W76">
        <f>_xll.ciqfunctions.udf.CIQ("ASX:RBTZ", "IQ_CLOSEPRICE", "2025-05-02", "USD")</f>
        <v>8.3773700000000009</v>
      </c>
      <c r="X76">
        <f>_xll.ciqfunctions.udf.CIQ("DB:XB0T", "IQ_CLOSEPRICE", "2025-05-02", "USD")</f>
        <v>19.04524</v>
      </c>
    </row>
    <row r="77" spans="1:24" x14ac:dyDescent="0.25">
      <c r="A77" t="s">
        <v>99</v>
      </c>
      <c r="B77">
        <f>_xll.ciqfunctions.udf.CIQ("NasdaqGM:QQQ", "IQ_CLOSEPRICE", "2025-05-01", "USD")</f>
        <v>481.68</v>
      </c>
      <c r="C77">
        <f>_xll.ciqfunctions.udf.CIQ("NasdaqGM:AGIX", "IQ_CLOSEPRICE", "2025-05-01", "USD")</f>
        <v>25.97</v>
      </c>
      <c r="D77">
        <f>_xll.ciqfunctions.udf.CIQ("NasdaqGM:SMH", "IQ_CLOSEPRICE", "2025-05-01", "USD")</f>
        <v>212.3</v>
      </c>
      <c r="E77">
        <f>_xll.ciqfunctions.udf.CIQ("BATS:IGV", "IQ_CLOSEPRICE", "2025-05-01", "USD")</f>
        <v>97.01</v>
      </c>
      <c r="F77">
        <f>_xll.ciqfunctions.udf.CIQ("NasdaqGM:BOTZ", "IQ_CLOSEPRICE", "2025-05-01", "USD")</f>
        <v>28.71</v>
      </c>
      <c r="G77">
        <f>_xll.ciqfunctions.udf.CIQ("NasdaqGM:AIQ", "IQ_CLOSEPRICE", "2025-05-01", "USD")</f>
        <v>37.17</v>
      </c>
      <c r="H77">
        <f>_xll.ciqfunctions.udf.CIQ("ARCA:ARTY", "IQ_CLOSEPRICE", "2025-05-01", "USD")</f>
        <v>33.090000000000003</v>
      </c>
      <c r="I77">
        <f>_xll.ciqfunctions.udf.CIQ("NasdaqGM:ROBT", "IQ_CLOSEPRICE", "2025-05-01", "USD")</f>
        <v>41.68</v>
      </c>
      <c r="J77">
        <f>_xll.ciqfunctions.udf.CIQ("ARCA:IGPT", "IQ_CLOSEPRICE", "2025-05-01", "USD")</f>
        <v>40.909999999999997</v>
      </c>
      <c r="K77">
        <f>_xll.ciqfunctions.udf.CIQ("BATS:WTAI", "IQ_CLOSEPRICE", "2025-05-01", "USD")</f>
        <v>19.87</v>
      </c>
      <c r="L77">
        <f>_xll.ciqfunctions.udf.CIQ("ARCA:THNQ", "IQ_CLOSEPRICE", "2025-05-01", "USD")</f>
        <v>45.2821</v>
      </c>
      <c r="M77">
        <f>_xll.ciqfunctions.udf.CIQ("NasdaqGM:FDTX", "IQ_CLOSEPRICE", "2025-05-01", "USD")</f>
        <v>33.049999999999997</v>
      </c>
      <c r="N77">
        <f>_xll.ciqfunctions.udf.CIQ("ARCA:CHAT", "IQ_CLOSEPRICE", "2025-05-01", "USD")</f>
        <v>36.4</v>
      </c>
      <c r="O77">
        <f>_xll.ciqfunctions.udf.CIQ("ARCA:LOUP", "IQ_CLOSEPRICE", "2025-05-01", "USD")</f>
        <v>48.708399999999997</v>
      </c>
      <c r="P77">
        <f>_xll.ciqfunctions.udf.CIQ("ARCA:LRNZ", "IQ_CLOSEPRICE", "2025-05-01", "USD")</f>
        <v>37.2438</v>
      </c>
      <c r="Q77">
        <f>_xll.ciqfunctions.udf.CIQ("ARCA:AIS", "IQ_CLOSEPRICE", "2025-05-01", "USD")</f>
        <v>21.895399999999999</v>
      </c>
      <c r="R77">
        <f>_xll.ciqfunctions.udf.CIQ("NasdaqGM:WISE", "IQ_CLOSEPRICE", "2025-05-01", "USD")</f>
        <v>30.41</v>
      </c>
      <c r="S77">
        <f>_xll.ciqfunctions.udf.CIQ("LSE:RBOT", "IQ_CLOSEPRICE", "2025-05-01", "USD")</f>
        <v>13.32</v>
      </c>
      <c r="T77">
        <f>_xll.ciqfunctions.udf.CIQ("XTRA:XAIX", "IQ_CLOSEPRICE", "2025-05-01", "USD")</f>
        <v>0</v>
      </c>
      <c r="U77">
        <f>_xll.ciqfunctions.udf.CIQ("BIT:WTAI", "IQ_CLOSEPRICE", "2025-05-01", "USD")</f>
        <v>0</v>
      </c>
      <c r="V77">
        <f>_xll.ciqfunctions.udf.CIQ("LSE:AIAG", "IQ_CLOSEPRICE", "2025-05-01", "USD")</f>
        <v>20.241859999999999</v>
      </c>
      <c r="W77">
        <f>_xll.ciqfunctions.udf.CIQ("ASX:RBTZ", "IQ_CLOSEPRICE", "2025-05-01", "USD")</f>
        <v>8.2588100000000004</v>
      </c>
      <c r="X77">
        <f>_xll.ciqfunctions.udf.CIQ("DB:XB0T", "IQ_CLOSEPRICE", "2025-05-01", "USD")</f>
        <v>0</v>
      </c>
    </row>
    <row r="78" spans="1:24" x14ac:dyDescent="0.25">
      <c r="A78" t="s">
        <v>100</v>
      </c>
      <c r="B78">
        <f>_xll.ciqfunctions.udf.CIQ("NasdaqGM:QQQ", "IQ_CLOSEPRICE", "2025-04-30", "USD")</f>
        <v>475.47</v>
      </c>
      <c r="C78">
        <f>_xll.ciqfunctions.udf.CIQ("NasdaqGM:AGIX", "IQ_CLOSEPRICE", "2025-04-30", "USD")</f>
        <v>25.64</v>
      </c>
      <c r="D78">
        <f>_xll.ciqfunctions.udf.CIQ("NasdaqGM:SMH", "IQ_CLOSEPRICE", "2025-04-30", "USD")</f>
        <v>211.28</v>
      </c>
      <c r="E78">
        <f>_xll.ciqfunctions.udf.CIQ("BATS:IGV", "IQ_CLOSEPRICE", "2025-04-30", "USD")</f>
        <v>96.07</v>
      </c>
      <c r="F78">
        <f>_xll.ciqfunctions.udf.CIQ("NasdaqGM:BOTZ", "IQ_CLOSEPRICE", "2025-04-30", "USD")</f>
        <v>28.56</v>
      </c>
      <c r="G78">
        <f>_xll.ciqfunctions.udf.CIQ("NasdaqGM:AIQ", "IQ_CLOSEPRICE", "2025-04-30", "USD")</f>
        <v>36.869999999999997</v>
      </c>
      <c r="H78">
        <f>_xll.ciqfunctions.udf.CIQ("ARCA:ARTY", "IQ_CLOSEPRICE", "2025-04-30", "USD")</f>
        <v>32.36</v>
      </c>
      <c r="I78">
        <f>_xll.ciqfunctions.udf.CIQ("NasdaqGM:ROBT", "IQ_CLOSEPRICE", "2025-04-30", "USD")</f>
        <v>41.5</v>
      </c>
      <c r="J78">
        <f>_xll.ciqfunctions.udf.CIQ("ARCA:IGPT", "IQ_CLOSEPRICE", "2025-04-30", "USD")</f>
        <v>40.65</v>
      </c>
      <c r="K78">
        <f>_xll.ciqfunctions.udf.CIQ("BATS:WTAI", "IQ_CLOSEPRICE", "2025-04-30", "USD")</f>
        <v>19.64</v>
      </c>
      <c r="L78">
        <f>_xll.ciqfunctions.udf.CIQ("ARCA:THNQ", "IQ_CLOSEPRICE", "2025-04-30", "USD")</f>
        <v>44.97</v>
      </c>
      <c r="M78">
        <f>_xll.ciqfunctions.udf.CIQ("NasdaqGM:FDTX", "IQ_CLOSEPRICE", "2025-04-30", "USD")</f>
        <v>32.520000000000003</v>
      </c>
      <c r="N78">
        <f>_xll.ciqfunctions.udf.CIQ("ARCA:CHAT", "IQ_CLOSEPRICE", "2025-04-30", "USD")</f>
        <v>35.71</v>
      </c>
      <c r="O78">
        <f>_xll.ciqfunctions.udf.CIQ("ARCA:LOUP", "IQ_CLOSEPRICE", "2025-04-30", "USD")</f>
        <v>48.040999999999997</v>
      </c>
      <c r="P78">
        <f>_xll.ciqfunctions.udf.CIQ("ARCA:LRNZ", "IQ_CLOSEPRICE", "2025-04-30", "USD")</f>
        <v>37.07</v>
      </c>
      <c r="Q78">
        <f>_xll.ciqfunctions.udf.CIQ("ARCA:AIS", "IQ_CLOSEPRICE", "2025-04-30", "USD")</f>
        <v>21.418900000000001</v>
      </c>
      <c r="R78">
        <f>_xll.ciqfunctions.udf.CIQ("NasdaqGM:WISE", "IQ_CLOSEPRICE", "2025-04-30", "USD")</f>
        <v>30.41</v>
      </c>
      <c r="S78">
        <f>_xll.ciqfunctions.udf.CIQ("LSE:RBOT", "IQ_CLOSEPRICE", "2025-04-30", "USD")</f>
        <v>13.01</v>
      </c>
      <c r="T78">
        <f>_xll.ciqfunctions.udf.CIQ("XTRA:XAIX", "IQ_CLOSEPRICE", "2025-04-30", "USD")</f>
        <v>133.65101000000001</v>
      </c>
      <c r="U78">
        <f>_xll.ciqfunctions.udf.CIQ("BIT:WTAI", "IQ_CLOSEPRICE", "2025-04-30", "USD")</f>
        <v>58.27093</v>
      </c>
      <c r="V78">
        <f>_xll.ciqfunctions.udf.CIQ("LSE:AIAG", "IQ_CLOSEPRICE", "2025-04-30", "USD")</f>
        <v>19.57574</v>
      </c>
      <c r="W78">
        <f>_xll.ciqfunctions.udf.CIQ("ASX:RBTZ", "IQ_CLOSEPRICE", "2025-04-30", "USD")</f>
        <v>8.1637900000000005</v>
      </c>
      <c r="X78">
        <f>_xll.ciqfunctions.udf.CIQ("DB:XB0T", "IQ_CLOSEPRICE", "2025-04-30", "USD")</f>
        <v>18.715679999999999</v>
      </c>
    </row>
    <row r="79" spans="1:24" x14ac:dyDescent="0.25">
      <c r="A79" t="s">
        <v>101</v>
      </c>
      <c r="B79">
        <f>_xll.ciqfunctions.udf.CIQ("NasdaqGM:QQQ", "IQ_CLOSEPRICE", "2025-04-29", "USD")</f>
        <v>475.53</v>
      </c>
      <c r="C79">
        <f>_xll.ciqfunctions.udf.CIQ("NasdaqGM:AGIX", "IQ_CLOSEPRICE", "2025-04-29", "USD")</f>
        <v>25.75</v>
      </c>
      <c r="D79">
        <f>_xll.ciqfunctions.udf.CIQ("NasdaqGM:SMH", "IQ_CLOSEPRICE", "2025-04-29", "USD")</f>
        <v>210.29</v>
      </c>
      <c r="E79">
        <f>_xll.ciqfunctions.udf.CIQ("BATS:IGV", "IQ_CLOSEPRICE", "2025-04-29", "USD")</f>
        <v>96.1</v>
      </c>
      <c r="F79">
        <f>_xll.ciqfunctions.udf.CIQ("NasdaqGM:BOTZ", "IQ_CLOSEPRICE", "2025-04-29", "USD")</f>
        <v>28.64</v>
      </c>
      <c r="G79">
        <f>_xll.ciqfunctions.udf.CIQ("NasdaqGM:AIQ", "IQ_CLOSEPRICE", "2025-04-29", "USD")</f>
        <v>36.950000000000003</v>
      </c>
      <c r="H79">
        <f>_xll.ciqfunctions.udf.CIQ("ARCA:ARTY", "IQ_CLOSEPRICE", "2025-04-29", "USD")</f>
        <v>32.549999999999997</v>
      </c>
      <c r="I79">
        <f>_xll.ciqfunctions.udf.CIQ("NasdaqGM:ROBT", "IQ_CLOSEPRICE", "2025-04-29", "USD")</f>
        <v>41.72</v>
      </c>
      <c r="J79">
        <f>_xll.ciqfunctions.udf.CIQ("ARCA:IGPT", "IQ_CLOSEPRICE", "2025-04-29", "USD")</f>
        <v>40.81</v>
      </c>
      <c r="K79">
        <f>_xll.ciqfunctions.udf.CIQ("BATS:WTAI", "IQ_CLOSEPRICE", "2025-04-29", "USD")</f>
        <v>19.675000000000001</v>
      </c>
      <c r="L79">
        <f>_xll.ciqfunctions.udf.CIQ("ARCA:THNQ", "IQ_CLOSEPRICE", "2025-04-29", "USD")</f>
        <v>45</v>
      </c>
      <c r="M79">
        <f>_xll.ciqfunctions.udf.CIQ("NasdaqGM:FDTX", "IQ_CLOSEPRICE", "2025-04-29", "USD")</f>
        <v>32.39</v>
      </c>
      <c r="N79">
        <f>_xll.ciqfunctions.udf.CIQ("ARCA:CHAT", "IQ_CLOSEPRICE", "2025-04-29", "USD")</f>
        <v>35.774299999999997</v>
      </c>
      <c r="O79">
        <f>_xll.ciqfunctions.udf.CIQ("ARCA:LOUP", "IQ_CLOSEPRICE", "2025-04-29", "USD")</f>
        <v>48.531500000000001</v>
      </c>
      <c r="P79">
        <f>_xll.ciqfunctions.udf.CIQ("ARCA:LRNZ", "IQ_CLOSEPRICE", "2025-04-29", "USD")</f>
        <v>37.03</v>
      </c>
      <c r="Q79">
        <f>_xll.ciqfunctions.udf.CIQ("ARCA:AIS", "IQ_CLOSEPRICE", "2025-04-29", "USD")</f>
        <v>21.41</v>
      </c>
      <c r="R79">
        <f>_xll.ciqfunctions.udf.CIQ("NasdaqGM:WISE", "IQ_CLOSEPRICE", "2025-04-29", "USD")</f>
        <v>30.44</v>
      </c>
      <c r="S79">
        <f>_xll.ciqfunctions.udf.CIQ("LSE:RBOT", "IQ_CLOSEPRICE", "2025-04-29", "USD")</f>
        <v>13.11</v>
      </c>
      <c r="T79">
        <f>_xll.ciqfunctions.udf.CIQ("XTRA:XAIX", "IQ_CLOSEPRICE", "2025-04-29", "USD")</f>
        <v>134.06292999999999</v>
      </c>
      <c r="U79">
        <f>_xll.ciqfunctions.udf.CIQ("BIT:WTAI", "IQ_CLOSEPRICE", "2025-04-29", "USD")</f>
        <v>58.83493</v>
      </c>
      <c r="V79">
        <f>_xll.ciqfunctions.udf.CIQ("LSE:AIAG", "IQ_CLOSEPRICE", "2025-04-29", "USD")</f>
        <v>19.799489999999999</v>
      </c>
      <c r="W79">
        <f>_xll.ciqfunctions.udf.CIQ("ASX:RBTZ", "IQ_CLOSEPRICE", "2025-04-29", "USD")</f>
        <v>8.2044700000000006</v>
      </c>
      <c r="X79">
        <f>_xll.ciqfunctions.udf.CIQ("DB:XB0T", "IQ_CLOSEPRICE", "2025-04-29", "USD")</f>
        <v>18.791609999999999</v>
      </c>
    </row>
    <row r="80" spans="1:24" x14ac:dyDescent="0.25">
      <c r="A80" t="s">
        <v>102</v>
      </c>
      <c r="B80">
        <f>_xll.ciqfunctions.udf.CIQ("NasdaqGM:QQQ", "IQ_CLOSEPRICE", "2025-04-28", "USD")</f>
        <v>472.41</v>
      </c>
      <c r="C80">
        <f>_xll.ciqfunctions.udf.CIQ("NasdaqGM:AGIX", "IQ_CLOSEPRICE", "2025-04-28", "USD")</f>
        <v>25.5931</v>
      </c>
      <c r="D80">
        <f>_xll.ciqfunctions.udf.CIQ("NasdaqGM:SMH", "IQ_CLOSEPRICE", "2025-04-28", "USD")</f>
        <v>210.65</v>
      </c>
      <c r="E80">
        <f>_xll.ciqfunctions.udf.CIQ("BATS:IGV", "IQ_CLOSEPRICE", "2025-04-28", "USD")</f>
        <v>94.875</v>
      </c>
      <c r="F80">
        <f>_xll.ciqfunctions.udf.CIQ("NasdaqGM:BOTZ", "IQ_CLOSEPRICE", "2025-04-28", "USD")</f>
        <v>28.51</v>
      </c>
      <c r="G80">
        <f>_xll.ciqfunctions.udf.CIQ("NasdaqGM:AIQ", "IQ_CLOSEPRICE", "2025-04-28", "USD")</f>
        <v>36.799999999999997</v>
      </c>
      <c r="H80">
        <f>_xll.ciqfunctions.udf.CIQ("ARCA:ARTY", "IQ_CLOSEPRICE", "2025-04-28", "USD")</f>
        <v>32.409999999999997</v>
      </c>
      <c r="I80">
        <f>_xll.ciqfunctions.udf.CIQ("NasdaqGM:ROBT", "IQ_CLOSEPRICE", "2025-04-28", "USD")</f>
        <v>41.46</v>
      </c>
      <c r="J80">
        <f>_xll.ciqfunctions.udf.CIQ("ARCA:IGPT", "IQ_CLOSEPRICE", "2025-04-28", "USD")</f>
        <v>40.58</v>
      </c>
      <c r="K80">
        <f>_xll.ciqfunctions.udf.CIQ("BATS:WTAI", "IQ_CLOSEPRICE", "2025-04-28", "USD")</f>
        <v>19.61</v>
      </c>
      <c r="L80">
        <f>_xll.ciqfunctions.udf.CIQ("ARCA:THNQ", "IQ_CLOSEPRICE", "2025-04-28", "USD")</f>
        <v>44.886899999999997</v>
      </c>
      <c r="M80">
        <f>_xll.ciqfunctions.udf.CIQ("NasdaqGM:FDTX", "IQ_CLOSEPRICE", "2025-04-28", "USD")</f>
        <v>32.32</v>
      </c>
      <c r="N80">
        <f>_xll.ciqfunctions.udf.CIQ("ARCA:CHAT", "IQ_CLOSEPRICE", "2025-04-28", "USD")</f>
        <v>35.704700000000003</v>
      </c>
      <c r="O80">
        <f>_xll.ciqfunctions.udf.CIQ("ARCA:LOUP", "IQ_CLOSEPRICE", "2025-04-28", "USD")</f>
        <v>48.192</v>
      </c>
      <c r="P80">
        <f>_xll.ciqfunctions.udf.CIQ("ARCA:LRNZ", "IQ_CLOSEPRICE", "2025-04-28", "USD")</f>
        <v>36.664900000000003</v>
      </c>
      <c r="Q80">
        <f>_xll.ciqfunctions.udf.CIQ("ARCA:AIS", "IQ_CLOSEPRICE", "2025-04-28", "USD")</f>
        <v>21.351500000000001</v>
      </c>
      <c r="R80">
        <f>_xll.ciqfunctions.udf.CIQ("NasdaqGM:WISE", "IQ_CLOSEPRICE", "2025-04-28", "USD")</f>
        <v>30.54</v>
      </c>
      <c r="S80">
        <f>_xll.ciqfunctions.udf.CIQ("LSE:RBOT", "IQ_CLOSEPRICE", "2025-04-28", "USD")</f>
        <v>12.96</v>
      </c>
      <c r="T80">
        <f>_xll.ciqfunctions.udf.CIQ("XTRA:XAIX", "IQ_CLOSEPRICE", "2025-04-28", "USD")</f>
        <v>132.37001000000001</v>
      </c>
      <c r="U80">
        <f>_xll.ciqfunctions.udf.CIQ("BIT:WTAI", "IQ_CLOSEPRICE", "2025-04-28", "USD")</f>
        <v>58.402549999999998</v>
      </c>
      <c r="V80">
        <f>_xll.ciqfunctions.udf.CIQ("LSE:AIAG", "IQ_CLOSEPRICE", "2025-04-28", "USD")</f>
        <v>19.606110000000001</v>
      </c>
      <c r="W80">
        <f>_xll.ciqfunctions.udf.CIQ("ASX:RBTZ", "IQ_CLOSEPRICE", "2025-04-28", "USD")</f>
        <v>8.1270000000000007</v>
      </c>
      <c r="X80">
        <f>_xll.ciqfunctions.udf.CIQ("DB:XB0T", "IQ_CLOSEPRICE", "2025-04-28", "USD")</f>
        <v>18.63693</v>
      </c>
    </row>
    <row r="81" spans="1:24" x14ac:dyDescent="0.25">
      <c r="A81" t="s">
        <v>103</v>
      </c>
      <c r="B81">
        <f>_xll.ciqfunctions.udf.CIQ("NasdaqGM:QQQ", "IQ_CLOSEPRICE", "2025-04-25", "USD")</f>
        <v>472.56</v>
      </c>
      <c r="C81">
        <f>_xll.ciqfunctions.udf.CIQ("NasdaqGM:AGIX", "IQ_CLOSEPRICE", "2025-04-25", "USD")</f>
        <v>25.493200000000002</v>
      </c>
      <c r="D81">
        <f>_xll.ciqfunctions.udf.CIQ("NasdaqGM:SMH", "IQ_CLOSEPRICE", "2025-04-25", "USD")</f>
        <v>211.97</v>
      </c>
      <c r="E81">
        <f>_xll.ciqfunctions.udf.CIQ("BATS:IGV", "IQ_CLOSEPRICE", "2025-04-25", "USD")</f>
        <v>94.76</v>
      </c>
      <c r="F81">
        <f>_xll.ciqfunctions.udf.CIQ("NasdaqGM:BOTZ", "IQ_CLOSEPRICE", "2025-04-25", "USD")</f>
        <v>28.59</v>
      </c>
      <c r="G81">
        <f>_xll.ciqfunctions.udf.CIQ("NasdaqGM:AIQ", "IQ_CLOSEPRICE", "2025-04-25", "USD")</f>
        <v>36.770000000000003</v>
      </c>
      <c r="H81">
        <f>_xll.ciqfunctions.udf.CIQ("ARCA:ARTY", "IQ_CLOSEPRICE", "2025-04-25", "USD")</f>
        <v>32.47</v>
      </c>
      <c r="I81">
        <f>_xll.ciqfunctions.udf.CIQ("NasdaqGM:ROBT", "IQ_CLOSEPRICE", "2025-04-25", "USD")</f>
        <v>41.33</v>
      </c>
      <c r="J81">
        <f>_xll.ciqfunctions.udf.CIQ("ARCA:IGPT", "IQ_CLOSEPRICE", "2025-04-25", "USD")</f>
        <v>40.75</v>
      </c>
      <c r="K81">
        <f>_xll.ciqfunctions.udf.CIQ("BATS:WTAI", "IQ_CLOSEPRICE", "2025-04-25", "USD")</f>
        <v>19.59</v>
      </c>
      <c r="L81">
        <f>_xll.ciqfunctions.udf.CIQ("ARCA:THNQ", "IQ_CLOSEPRICE", "2025-04-25", "USD")</f>
        <v>44.870600000000003</v>
      </c>
      <c r="M81">
        <f>_xll.ciqfunctions.udf.CIQ("NasdaqGM:FDTX", "IQ_CLOSEPRICE", "2025-04-25", "USD")</f>
        <v>32.22</v>
      </c>
      <c r="N81">
        <f>_xll.ciqfunctions.udf.CIQ("ARCA:CHAT", "IQ_CLOSEPRICE", "2025-04-25", "USD")</f>
        <v>35.700000000000003</v>
      </c>
      <c r="O81">
        <f>_xll.ciqfunctions.udf.CIQ("ARCA:LOUP", "IQ_CLOSEPRICE", "2025-04-25", "USD")</f>
        <v>48.035400000000003</v>
      </c>
      <c r="P81">
        <f>_xll.ciqfunctions.udf.CIQ("ARCA:LRNZ", "IQ_CLOSEPRICE", "2025-04-25", "USD")</f>
        <v>36.688899999999997</v>
      </c>
      <c r="Q81">
        <f>_xll.ciqfunctions.udf.CIQ("ARCA:AIS", "IQ_CLOSEPRICE", "2025-04-25", "USD")</f>
        <v>21.2882</v>
      </c>
      <c r="R81">
        <f>_xll.ciqfunctions.udf.CIQ("NasdaqGM:WISE", "IQ_CLOSEPRICE", "2025-04-25", "USD")</f>
        <v>30.44</v>
      </c>
      <c r="S81">
        <f>_xll.ciqfunctions.udf.CIQ("LSE:RBOT", "IQ_CLOSEPRICE", "2025-04-25", "USD")</f>
        <v>13.01</v>
      </c>
      <c r="T81">
        <f>_xll.ciqfunctions.udf.CIQ("XTRA:XAIX", "IQ_CLOSEPRICE", "2025-04-25", "USD")</f>
        <v>131.93181999999999</v>
      </c>
      <c r="U81">
        <f>_xll.ciqfunctions.udf.CIQ("BIT:WTAI", "IQ_CLOSEPRICE", "2025-04-25", "USD")</f>
        <v>58.534089999999999</v>
      </c>
      <c r="V81">
        <f>_xll.ciqfunctions.udf.CIQ("LSE:AIAG", "IQ_CLOSEPRICE", "2025-04-25", "USD")</f>
        <v>19.68562</v>
      </c>
      <c r="W81">
        <f>_xll.ciqfunctions.udf.CIQ("ASX:RBTZ", "IQ_CLOSEPRICE", "2025-04-25", "USD")</f>
        <v>0</v>
      </c>
      <c r="X81">
        <f>_xll.ciqfunctions.udf.CIQ("DB:XB0T", "IQ_CLOSEPRICE", "2025-04-25", "USD")</f>
        <v>18.568180000000002</v>
      </c>
    </row>
    <row r="82" spans="1:24" x14ac:dyDescent="0.25">
      <c r="A82" t="s">
        <v>104</v>
      </c>
      <c r="B82">
        <f>_xll.ciqfunctions.udf.CIQ("NasdaqGM:QQQ", "IQ_CLOSEPRICE", "2025-04-24", "USD")</f>
        <v>467.35</v>
      </c>
      <c r="C82">
        <f>_xll.ciqfunctions.udf.CIQ("NasdaqGM:AGIX", "IQ_CLOSEPRICE", "2025-04-24", "USD")</f>
        <v>25.14</v>
      </c>
      <c r="D82">
        <f>_xll.ciqfunctions.udf.CIQ("NasdaqGM:SMH", "IQ_CLOSEPRICE", "2025-04-24", "USD")</f>
        <v>208.97</v>
      </c>
      <c r="E82">
        <f>_xll.ciqfunctions.udf.CIQ("BATS:IGV", "IQ_CLOSEPRICE", "2025-04-24", "USD")</f>
        <v>93.2</v>
      </c>
      <c r="F82">
        <f>_xll.ciqfunctions.udf.CIQ("NasdaqGM:BOTZ", "IQ_CLOSEPRICE", "2025-04-24", "USD")</f>
        <v>28.15</v>
      </c>
      <c r="G82">
        <f>_xll.ciqfunctions.udf.CIQ("NasdaqGM:AIQ", "IQ_CLOSEPRICE", "2025-04-24", "USD")</f>
        <v>36.200000000000003</v>
      </c>
      <c r="H82">
        <f>_xll.ciqfunctions.udf.CIQ("ARCA:ARTY", "IQ_CLOSEPRICE", "2025-04-24", "USD")</f>
        <v>31.94</v>
      </c>
      <c r="I82">
        <f>_xll.ciqfunctions.udf.CIQ("NasdaqGM:ROBT", "IQ_CLOSEPRICE", "2025-04-24", "USD")</f>
        <v>40.89</v>
      </c>
      <c r="J82">
        <f>_xll.ciqfunctions.udf.CIQ("ARCA:IGPT", "IQ_CLOSEPRICE", "2025-04-24", "USD")</f>
        <v>40.04</v>
      </c>
      <c r="K82">
        <f>_xll.ciqfunctions.udf.CIQ("BATS:WTAI", "IQ_CLOSEPRICE", "2025-04-24", "USD")</f>
        <v>19.29</v>
      </c>
      <c r="L82">
        <f>_xll.ciqfunctions.udf.CIQ("ARCA:THNQ", "IQ_CLOSEPRICE", "2025-04-24", "USD")</f>
        <v>44.21</v>
      </c>
      <c r="M82">
        <f>_xll.ciqfunctions.udf.CIQ("NasdaqGM:FDTX", "IQ_CLOSEPRICE", "2025-04-24", "USD")</f>
        <v>31.88</v>
      </c>
      <c r="N82">
        <f>_xll.ciqfunctions.udf.CIQ("ARCA:CHAT", "IQ_CLOSEPRICE", "2025-04-24", "USD")</f>
        <v>35.229999999999997</v>
      </c>
      <c r="O82">
        <f>_xll.ciqfunctions.udf.CIQ("ARCA:LOUP", "IQ_CLOSEPRICE", "2025-04-24", "USD")</f>
        <v>47.340299999999999</v>
      </c>
      <c r="P82">
        <f>_xll.ciqfunctions.udf.CIQ("ARCA:LRNZ", "IQ_CLOSEPRICE", "2025-04-24", "USD")</f>
        <v>36.130000000000003</v>
      </c>
      <c r="Q82">
        <f>_xll.ciqfunctions.udf.CIQ("ARCA:AIS", "IQ_CLOSEPRICE", "2025-04-24", "USD")</f>
        <v>20.9968</v>
      </c>
      <c r="R82">
        <f>_xll.ciqfunctions.udf.CIQ("NasdaqGM:WISE", "IQ_CLOSEPRICE", "2025-04-24", "USD")</f>
        <v>30.047000000000001</v>
      </c>
      <c r="S82">
        <f>_xll.ciqfunctions.udf.CIQ("LSE:RBOT", "IQ_CLOSEPRICE", "2025-04-24", "USD")</f>
        <v>12.83</v>
      </c>
      <c r="T82">
        <f>_xll.ciqfunctions.udf.CIQ("XTRA:XAIX", "IQ_CLOSEPRICE", "2025-04-24", "USD")</f>
        <v>130.62336999999999</v>
      </c>
      <c r="U82">
        <f>_xll.ciqfunctions.udf.CIQ("BIT:WTAI", "IQ_CLOSEPRICE", "2025-04-24", "USD")</f>
        <v>57.52243</v>
      </c>
      <c r="V82">
        <f>_xll.ciqfunctions.udf.CIQ("LSE:AIAG", "IQ_CLOSEPRICE", "2025-04-24", "USD")</f>
        <v>19.382809999999999</v>
      </c>
      <c r="W82">
        <f>_xll.ciqfunctions.udf.CIQ("ASX:RBTZ", "IQ_CLOSEPRICE", "2025-04-24", "USD")</f>
        <v>7.9767200000000003</v>
      </c>
      <c r="X82">
        <f>_xll.ciqfunctions.udf.CIQ("DB:XB0T", "IQ_CLOSEPRICE", "2025-04-24", "USD")</f>
        <v>17.97888</v>
      </c>
    </row>
    <row r="83" spans="1:24" x14ac:dyDescent="0.25">
      <c r="A83" t="s">
        <v>105</v>
      </c>
      <c r="B83">
        <f>_xll.ciqfunctions.udf.CIQ("NasdaqGM:QQQ", "IQ_CLOSEPRICE", "2025-04-23", "USD")</f>
        <v>454.56</v>
      </c>
      <c r="C83">
        <f>_xll.ciqfunctions.udf.CIQ("NasdaqGM:AGIX", "IQ_CLOSEPRICE", "2025-04-23", "USD")</f>
        <v>24.1</v>
      </c>
      <c r="D83">
        <f>_xll.ciqfunctions.udf.CIQ("NasdaqGM:SMH", "IQ_CLOSEPRICE", "2025-04-23", "USD")</f>
        <v>198.91</v>
      </c>
      <c r="E83">
        <f>_xll.ciqfunctions.udf.CIQ("BATS:IGV", "IQ_CLOSEPRICE", "2025-04-23", "USD")</f>
        <v>88.81</v>
      </c>
      <c r="F83">
        <f>_xll.ciqfunctions.udf.CIQ("NasdaqGM:BOTZ", "IQ_CLOSEPRICE", "2025-04-23", "USD")</f>
        <v>27.49</v>
      </c>
      <c r="G83">
        <f>_xll.ciqfunctions.udf.CIQ("NasdaqGM:AIQ", "IQ_CLOSEPRICE", "2025-04-23", "USD")</f>
        <v>35.090000000000003</v>
      </c>
      <c r="H83">
        <f>_xll.ciqfunctions.udf.CIQ("ARCA:ARTY", "IQ_CLOSEPRICE", "2025-04-23", "USD")</f>
        <v>30.71</v>
      </c>
      <c r="I83">
        <f>_xll.ciqfunctions.udf.CIQ("NasdaqGM:ROBT", "IQ_CLOSEPRICE", "2025-04-23", "USD")</f>
        <v>39.5</v>
      </c>
      <c r="J83">
        <f>_xll.ciqfunctions.udf.CIQ("ARCA:IGPT", "IQ_CLOSEPRICE", "2025-04-23", "USD")</f>
        <v>38.72</v>
      </c>
      <c r="K83">
        <f>_xll.ciqfunctions.udf.CIQ("BATS:WTAI", "IQ_CLOSEPRICE", "2025-04-23", "USD")</f>
        <v>18.46</v>
      </c>
      <c r="L83">
        <f>_xll.ciqfunctions.udf.CIQ("ARCA:THNQ", "IQ_CLOSEPRICE", "2025-04-23", "USD")</f>
        <v>42.72</v>
      </c>
      <c r="M83">
        <f>_xll.ciqfunctions.udf.CIQ("NasdaqGM:FDTX", "IQ_CLOSEPRICE", "2025-04-23", "USD")</f>
        <v>30.74</v>
      </c>
      <c r="N83">
        <f>_xll.ciqfunctions.udf.CIQ("ARCA:CHAT", "IQ_CLOSEPRICE", "2025-04-23", "USD")</f>
        <v>33.75</v>
      </c>
      <c r="O83">
        <f>_xll.ciqfunctions.udf.CIQ("ARCA:LOUP", "IQ_CLOSEPRICE", "2025-04-23", "USD")</f>
        <v>45.273000000000003</v>
      </c>
      <c r="P83">
        <f>_xll.ciqfunctions.udf.CIQ("ARCA:LRNZ", "IQ_CLOSEPRICE", "2025-04-23", "USD")</f>
        <v>34.29</v>
      </c>
      <c r="Q83">
        <f>_xll.ciqfunctions.udf.CIQ("ARCA:AIS", "IQ_CLOSEPRICE", "2025-04-23", "USD")</f>
        <v>20.245000000000001</v>
      </c>
      <c r="R83">
        <f>_xll.ciqfunctions.udf.CIQ("NasdaqGM:WISE", "IQ_CLOSEPRICE", "2025-04-23", "USD")</f>
        <v>28.93</v>
      </c>
      <c r="S83">
        <f>_xll.ciqfunctions.udf.CIQ("LSE:RBOT", "IQ_CLOSEPRICE", "2025-04-23", "USD")</f>
        <v>12.635</v>
      </c>
      <c r="T83">
        <f>_xll.ciqfunctions.udf.CIQ("XTRA:XAIX", "IQ_CLOSEPRICE", "2025-04-23", "USD")</f>
        <v>128.43015</v>
      </c>
      <c r="U83">
        <f>_xll.ciqfunctions.udf.CIQ("BIT:WTAI", "IQ_CLOSEPRICE", "2025-04-23", "USD")</f>
        <v>56.297600000000003</v>
      </c>
      <c r="V83">
        <f>_xll.ciqfunctions.udf.CIQ("LSE:AIAG", "IQ_CLOSEPRICE", "2025-04-23", "USD")</f>
        <v>19.057739999999999</v>
      </c>
      <c r="W83">
        <f>_xll.ciqfunctions.udf.CIQ("ASX:RBTZ", "IQ_CLOSEPRICE", "2025-04-23", "USD")</f>
        <v>7.8258599999999996</v>
      </c>
      <c r="X83">
        <f>_xll.ciqfunctions.udf.CIQ("DB:XB0T", "IQ_CLOSEPRICE", "2025-04-23", "USD")</f>
        <v>17.990220000000001</v>
      </c>
    </row>
    <row r="84" spans="1:24" x14ac:dyDescent="0.25">
      <c r="A84" t="s">
        <v>106</v>
      </c>
      <c r="B84">
        <f>_xll.ciqfunctions.udf.CIQ("NasdaqGM:QQQ", "IQ_CLOSEPRICE", "2025-04-22", "USD")</f>
        <v>444.48</v>
      </c>
      <c r="C84">
        <f>_xll.ciqfunctions.udf.CIQ("NasdaqGM:AGIX", "IQ_CLOSEPRICE", "2025-04-22", "USD")</f>
        <v>22.8947</v>
      </c>
      <c r="D84">
        <f>_xll.ciqfunctions.udf.CIQ("NasdaqGM:SMH", "IQ_CLOSEPRICE", "2025-04-22", "USD")</f>
        <v>191.9</v>
      </c>
      <c r="E84">
        <f>_xll.ciqfunctions.udf.CIQ("BATS:IGV", "IQ_CLOSEPRICE", "2025-04-22", "USD")</f>
        <v>86.16</v>
      </c>
      <c r="F84">
        <f>_xll.ciqfunctions.udf.CIQ("NasdaqGM:BOTZ", "IQ_CLOSEPRICE", "2025-04-22", "USD")</f>
        <v>26.68</v>
      </c>
      <c r="G84">
        <f>_xll.ciqfunctions.udf.CIQ("NasdaqGM:AIQ", "IQ_CLOSEPRICE", "2025-04-22", "USD")</f>
        <v>34.11</v>
      </c>
      <c r="H84">
        <f>_xll.ciqfunctions.udf.CIQ("ARCA:ARTY", "IQ_CLOSEPRICE", "2025-04-22", "USD")</f>
        <v>29.61</v>
      </c>
      <c r="I84">
        <f>_xll.ciqfunctions.udf.CIQ("NasdaqGM:ROBT", "IQ_CLOSEPRICE", "2025-04-22", "USD")</f>
        <v>38.229999999999997</v>
      </c>
      <c r="J84">
        <f>_xll.ciqfunctions.udf.CIQ("ARCA:IGPT", "IQ_CLOSEPRICE", "2025-04-22", "USD")</f>
        <v>37.61</v>
      </c>
      <c r="K84">
        <f>_xll.ciqfunctions.udf.CIQ("BATS:WTAI", "IQ_CLOSEPRICE", "2025-04-22", "USD")</f>
        <v>17.79</v>
      </c>
      <c r="L84">
        <f>_xll.ciqfunctions.udf.CIQ("ARCA:THNQ", "IQ_CLOSEPRICE", "2025-04-22", "USD")</f>
        <v>41.47</v>
      </c>
      <c r="M84">
        <f>_xll.ciqfunctions.udf.CIQ("NasdaqGM:FDTX", "IQ_CLOSEPRICE", "2025-04-22", "USD")</f>
        <v>29.81</v>
      </c>
      <c r="N84">
        <f>_xll.ciqfunctions.udf.CIQ("ARCA:CHAT", "IQ_CLOSEPRICE", "2025-04-22", "USD")</f>
        <v>32.520000000000003</v>
      </c>
      <c r="O84">
        <f>_xll.ciqfunctions.udf.CIQ("ARCA:LOUP", "IQ_CLOSEPRICE", "2025-04-22", "USD")</f>
        <v>43.439100000000003</v>
      </c>
      <c r="P84">
        <f>_xll.ciqfunctions.udf.CIQ("ARCA:LRNZ", "IQ_CLOSEPRICE", "2025-04-22", "USD")</f>
        <v>33.03</v>
      </c>
      <c r="Q84">
        <f>_xll.ciqfunctions.udf.CIQ("ARCA:AIS", "IQ_CLOSEPRICE", "2025-04-22", "USD")</f>
        <v>19.5291</v>
      </c>
      <c r="R84">
        <f>_xll.ciqfunctions.udf.CIQ("NasdaqGM:WISE", "IQ_CLOSEPRICE", "2025-04-22", "USD")</f>
        <v>27.81</v>
      </c>
      <c r="S84">
        <f>_xll.ciqfunctions.udf.CIQ("LSE:RBOT", "IQ_CLOSEPRICE", "2025-04-22", "USD")</f>
        <v>12.255000000000001</v>
      </c>
      <c r="T84">
        <f>_xll.ciqfunctions.udf.CIQ("XTRA:XAIX", "IQ_CLOSEPRICE", "2025-04-22", "USD")</f>
        <v>123.82046</v>
      </c>
      <c r="U84">
        <f>_xll.ciqfunctions.udf.CIQ("BIT:WTAI", "IQ_CLOSEPRICE", "2025-04-22", "USD")</f>
        <v>53.552979999999998</v>
      </c>
      <c r="V84">
        <f>_xll.ciqfunctions.udf.CIQ("LSE:AIAG", "IQ_CLOSEPRICE", "2025-04-22", "USD")</f>
        <v>18.158709999999999</v>
      </c>
      <c r="W84">
        <f>_xll.ciqfunctions.udf.CIQ("ASX:RBTZ", "IQ_CLOSEPRICE", "2025-04-22", "USD")</f>
        <v>7.5527199999999999</v>
      </c>
      <c r="X84">
        <f>_xll.ciqfunctions.udf.CIQ("DB:XB0T", "IQ_CLOSEPRICE", "2025-04-22", "USD")</f>
        <v>17.019860000000001</v>
      </c>
    </row>
    <row r="85" spans="1:24" x14ac:dyDescent="0.25">
      <c r="A85" t="s">
        <v>107</v>
      </c>
      <c r="B85">
        <f>_xll.ciqfunctions.udf.CIQ("NasdaqGM:QQQ", "IQ_CLOSEPRICE", "2025-04-21", "USD")</f>
        <v>433.11</v>
      </c>
      <c r="C85">
        <f>_xll.ciqfunctions.udf.CIQ("NasdaqGM:AGIX", "IQ_CLOSEPRICE", "2025-04-21", "USD")</f>
        <v>22.62</v>
      </c>
      <c r="D85">
        <f>_xll.ciqfunctions.udf.CIQ("NasdaqGM:SMH", "IQ_CLOSEPRICE", "2025-04-21", "USD")</f>
        <v>187.83</v>
      </c>
      <c r="E85">
        <f>_xll.ciqfunctions.udf.CIQ("BATS:IGV", "IQ_CLOSEPRICE", "2025-04-21", "USD")</f>
        <v>83.91</v>
      </c>
      <c r="F85">
        <f>_xll.ciqfunctions.udf.CIQ("NasdaqGM:BOTZ", "IQ_CLOSEPRICE", "2025-04-21", "USD")</f>
        <v>26.17</v>
      </c>
      <c r="G85">
        <f>_xll.ciqfunctions.udf.CIQ("NasdaqGM:AIQ", "IQ_CLOSEPRICE", "2025-04-21", "USD")</f>
        <v>33.229999999999997</v>
      </c>
      <c r="H85">
        <f>_xll.ciqfunctions.udf.CIQ("ARCA:ARTY", "IQ_CLOSEPRICE", "2025-04-21", "USD")</f>
        <v>28.97</v>
      </c>
      <c r="I85">
        <f>_xll.ciqfunctions.udf.CIQ("NasdaqGM:ROBT", "IQ_CLOSEPRICE", "2025-04-21", "USD")</f>
        <v>37.42</v>
      </c>
      <c r="J85">
        <f>_xll.ciqfunctions.udf.CIQ("ARCA:IGPT", "IQ_CLOSEPRICE", "2025-04-21", "USD")</f>
        <v>36.82</v>
      </c>
      <c r="K85">
        <f>_xll.ciqfunctions.udf.CIQ("BATS:WTAI", "IQ_CLOSEPRICE", "2025-04-21", "USD")</f>
        <v>17.420000000000002</v>
      </c>
      <c r="L85">
        <f>_xll.ciqfunctions.udf.CIQ("ARCA:THNQ", "IQ_CLOSEPRICE", "2025-04-21", "USD")</f>
        <v>40.4</v>
      </c>
      <c r="M85">
        <f>_xll.ciqfunctions.udf.CIQ("NasdaqGM:FDTX", "IQ_CLOSEPRICE", "2025-04-21", "USD")</f>
        <v>29.03</v>
      </c>
      <c r="N85">
        <f>_xll.ciqfunctions.udf.CIQ("ARCA:CHAT", "IQ_CLOSEPRICE", "2025-04-21", "USD")</f>
        <v>31.72</v>
      </c>
      <c r="O85">
        <f>_xll.ciqfunctions.udf.CIQ("ARCA:LOUP", "IQ_CLOSEPRICE", "2025-04-21", "USD")</f>
        <v>42.218699999999998</v>
      </c>
      <c r="P85">
        <f>_xll.ciqfunctions.udf.CIQ("ARCA:LRNZ", "IQ_CLOSEPRICE", "2025-04-21", "USD")</f>
        <v>32.475099999999998</v>
      </c>
      <c r="Q85">
        <f>_xll.ciqfunctions.udf.CIQ("ARCA:AIS", "IQ_CLOSEPRICE", "2025-04-21", "USD")</f>
        <v>19.1966</v>
      </c>
      <c r="R85">
        <f>_xll.ciqfunctions.udf.CIQ("NasdaqGM:WISE", "IQ_CLOSEPRICE", "2025-04-21", "USD")</f>
        <v>27.13</v>
      </c>
      <c r="S85">
        <f>_xll.ciqfunctions.udf.CIQ("LSE:RBOT", "IQ_CLOSEPRICE", "2025-04-21", "USD")</f>
        <v>0</v>
      </c>
      <c r="T85">
        <f>_xll.ciqfunctions.udf.CIQ("XTRA:XAIX", "IQ_CLOSEPRICE", "2025-04-21", "USD")</f>
        <v>0</v>
      </c>
      <c r="U85">
        <f>_xll.ciqfunctions.udf.CIQ("BIT:WTAI", "IQ_CLOSEPRICE", "2025-04-21", "USD")</f>
        <v>0</v>
      </c>
      <c r="V85">
        <f>_xll.ciqfunctions.udf.CIQ("LSE:AIAG", "IQ_CLOSEPRICE", "2025-04-21", "USD")</f>
        <v>0</v>
      </c>
      <c r="W85">
        <f>_xll.ciqfunctions.udf.CIQ("ASX:RBTZ", "IQ_CLOSEPRICE", "2025-04-21", "USD")</f>
        <v>0</v>
      </c>
      <c r="X85">
        <f>_xll.ciqfunctions.udf.CIQ("DB:XB0T", "IQ_CLOSEPRICE", "2025-04-21", "USD")</f>
        <v>0</v>
      </c>
    </row>
    <row r="86" spans="1:24" x14ac:dyDescent="0.25">
      <c r="A86" t="s">
        <v>108</v>
      </c>
      <c r="B86">
        <f>_xll.ciqfunctions.udf.CIQ("NasdaqGM:QQQ", "IQ_CLOSEPRICE", "2025-04-18", "USD")</f>
        <v>0</v>
      </c>
      <c r="C86">
        <f>_xll.ciqfunctions.udf.CIQ("NasdaqGM:AGIX", "IQ_CLOSEPRICE", "2025-04-18", "USD")</f>
        <v>0</v>
      </c>
      <c r="D86">
        <f>_xll.ciqfunctions.udf.CIQ("NasdaqGM:SMH", "IQ_CLOSEPRICE", "2025-04-18", "USD")</f>
        <v>0</v>
      </c>
      <c r="E86">
        <f>_xll.ciqfunctions.udf.CIQ("BATS:IGV", "IQ_CLOSEPRICE", "2025-04-18", "USD")</f>
        <v>0</v>
      </c>
      <c r="F86">
        <f>_xll.ciqfunctions.udf.CIQ("NasdaqGM:BOTZ", "IQ_CLOSEPRICE", "2025-04-18", "USD")</f>
        <v>0</v>
      </c>
      <c r="G86">
        <f>_xll.ciqfunctions.udf.CIQ("NasdaqGM:AIQ", "IQ_CLOSEPRICE", "2025-04-18", "USD")</f>
        <v>0</v>
      </c>
      <c r="H86">
        <f>_xll.ciqfunctions.udf.CIQ("ARCA:ARTY", "IQ_CLOSEPRICE", "2025-04-18", "USD")</f>
        <v>0</v>
      </c>
      <c r="I86">
        <f>_xll.ciqfunctions.udf.CIQ("NasdaqGM:ROBT", "IQ_CLOSEPRICE", "2025-04-18", "USD")</f>
        <v>0</v>
      </c>
      <c r="J86">
        <f>_xll.ciqfunctions.udf.CIQ("ARCA:IGPT", "IQ_CLOSEPRICE", "2025-04-18", "USD")</f>
        <v>0</v>
      </c>
      <c r="K86">
        <f>_xll.ciqfunctions.udf.CIQ("BATS:WTAI", "IQ_CLOSEPRICE", "2025-04-18", "USD")</f>
        <v>0</v>
      </c>
      <c r="L86">
        <f>_xll.ciqfunctions.udf.CIQ("ARCA:THNQ", "IQ_CLOSEPRICE", "2025-04-18", "USD")</f>
        <v>0</v>
      </c>
      <c r="M86">
        <f>_xll.ciqfunctions.udf.CIQ("NasdaqGM:FDTX", "IQ_CLOSEPRICE", "2025-04-18", "USD")</f>
        <v>0</v>
      </c>
      <c r="N86">
        <f>_xll.ciqfunctions.udf.CIQ("ARCA:CHAT", "IQ_CLOSEPRICE", "2025-04-18", "USD")</f>
        <v>0</v>
      </c>
      <c r="O86">
        <f>_xll.ciqfunctions.udf.CIQ("ARCA:LOUP", "IQ_CLOSEPRICE", "2025-04-18", "USD")</f>
        <v>0</v>
      </c>
      <c r="P86">
        <f>_xll.ciqfunctions.udf.CIQ("ARCA:LRNZ", "IQ_CLOSEPRICE", "2025-04-18", "USD")</f>
        <v>0</v>
      </c>
      <c r="Q86">
        <f>_xll.ciqfunctions.udf.CIQ("ARCA:AIS", "IQ_CLOSEPRICE", "2025-04-18", "USD")</f>
        <v>0</v>
      </c>
      <c r="R86">
        <f>_xll.ciqfunctions.udf.CIQ("NasdaqGM:WISE", "IQ_CLOSEPRICE", "2025-04-18", "USD")</f>
        <v>0</v>
      </c>
      <c r="S86">
        <f>_xll.ciqfunctions.udf.CIQ("LSE:RBOT", "IQ_CLOSEPRICE", "2025-04-18", "USD")</f>
        <v>0</v>
      </c>
      <c r="T86">
        <f>_xll.ciqfunctions.udf.CIQ("XTRA:XAIX", "IQ_CLOSEPRICE", "2025-04-18", "USD")</f>
        <v>0</v>
      </c>
      <c r="U86">
        <f>_xll.ciqfunctions.udf.CIQ("BIT:WTAI", "IQ_CLOSEPRICE", "2025-04-18", "USD")</f>
        <v>0</v>
      </c>
      <c r="V86">
        <f>_xll.ciqfunctions.udf.CIQ("LSE:AIAG", "IQ_CLOSEPRICE", "2025-04-18", "USD")</f>
        <v>0</v>
      </c>
      <c r="W86">
        <f>_xll.ciqfunctions.udf.CIQ("ASX:RBTZ", "IQ_CLOSEPRICE", "2025-04-18", "USD")</f>
        <v>0</v>
      </c>
      <c r="X86">
        <f>_xll.ciqfunctions.udf.CIQ("DB:XB0T", "IQ_CLOSEPRICE", "2025-04-18", "USD")</f>
        <v>0</v>
      </c>
    </row>
    <row r="87" spans="1:24" x14ac:dyDescent="0.25">
      <c r="A87" t="s">
        <v>109</v>
      </c>
      <c r="B87">
        <f>_xll.ciqfunctions.udf.CIQ("NasdaqGM:QQQ", "IQ_CLOSEPRICE", "2025-04-17", "USD")</f>
        <v>444.1</v>
      </c>
      <c r="C87">
        <f>_xll.ciqfunctions.udf.CIQ("NasdaqGM:AGIX", "IQ_CLOSEPRICE", "2025-04-17", "USD")</f>
        <v>23.212299999999999</v>
      </c>
      <c r="D87">
        <f>_xll.ciqfunctions.udf.CIQ("NasdaqGM:SMH", "IQ_CLOSEPRICE", "2025-04-17", "USD")</f>
        <v>192.53</v>
      </c>
      <c r="E87">
        <f>_xll.ciqfunctions.udf.CIQ("BATS:IGV", "IQ_CLOSEPRICE", "2025-04-17", "USD")</f>
        <v>86.59</v>
      </c>
      <c r="F87">
        <f>_xll.ciqfunctions.udf.CIQ("NasdaqGM:BOTZ", "IQ_CLOSEPRICE", "2025-04-17", "USD")</f>
        <v>26.62</v>
      </c>
      <c r="G87">
        <f>_xll.ciqfunctions.udf.CIQ("NasdaqGM:AIQ", "IQ_CLOSEPRICE", "2025-04-17", "USD")</f>
        <v>33.9</v>
      </c>
      <c r="H87">
        <f>_xll.ciqfunctions.udf.CIQ("ARCA:ARTY", "IQ_CLOSEPRICE", "2025-04-17", "USD")</f>
        <v>29.8</v>
      </c>
      <c r="I87">
        <f>_xll.ciqfunctions.udf.CIQ("NasdaqGM:ROBT", "IQ_CLOSEPRICE", "2025-04-17", "USD")</f>
        <v>38.22</v>
      </c>
      <c r="J87">
        <f>_xll.ciqfunctions.udf.CIQ("ARCA:IGPT", "IQ_CLOSEPRICE", "2025-04-17", "USD")</f>
        <v>37.58</v>
      </c>
      <c r="K87">
        <f>_xll.ciqfunctions.udf.CIQ("BATS:WTAI", "IQ_CLOSEPRICE", "2025-04-17", "USD")</f>
        <v>17.940000000000001</v>
      </c>
      <c r="L87">
        <f>_xll.ciqfunctions.udf.CIQ("ARCA:THNQ", "IQ_CLOSEPRICE", "2025-04-17", "USD")</f>
        <v>41.509399999999999</v>
      </c>
      <c r="M87">
        <f>_xll.ciqfunctions.udf.CIQ("NasdaqGM:FDTX", "IQ_CLOSEPRICE", "2025-04-17", "USD")</f>
        <v>29.84</v>
      </c>
      <c r="N87">
        <f>_xll.ciqfunctions.udf.CIQ("ARCA:CHAT", "IQ_CLOSEPRICE", "2025-04-17", "USD")</f>
        <v>32.630000000000003</v>
      </c>
      <c r="O87">
        <f>_xll.ciqfunctions.udf.CIQ("ARCA:LOUP", "IQ_CLOSEPRICE", "2025-04-17", "USD")</f>
        <v>43.710099999999997</v>
      </c>
      <c r="P87">
        <f>_xll.ciqfunctions.udf.CIQ("ARCA:LRNZ", "IQ_CLOSEPRICE", "2025-04-17", "USD")</f>
        <v>33.518999999999998</v>
      </c>
      <c r="Q87">
        <f>_xll.ciqfunctions.udf.CIQ("ARCA:AIS", "IQ_CLOSEPRICE", "2025-04-17", "USD")</f>
        <v>19.623799999999999</v>
      </c>
      <c r="R87">
        <f>_xll.ciqfunctions.udf.CIQ("NasdaqGM:WISE", "IQ_CLOSEPRICE", "2025-04-17", "USD")</f>
        <v>27.71</v>
      </c>
      <c r="S87">
        <f>_xll.ciqfunctions.udf.CIQ("LSE:RBOT", "IQ_CLOSEPRICE", "2025-04-17", "USD")</f>
        <v>12.2</v>
      </c>
      <c r="T87">
        <f>_xll.ciqfunctions.udf.CIQ("XTRA:XAIX", "IQ_CLOSEPRICE", "2025-04-17", "USD")</f>
        <v>124.67592</v>
      </c>
      <c r="U87">
        <f>_xll.ciqfunctions.udf.CIQ("BIT:WTAI", "IQ_CLOSEPRICE", "2025-04-17", "USD")</f>
        <v>53.650219999999997</v>
      </c>
      <c r="V87">
        <f>_xll.ciqfunctions.udf.CIQ("LSE:AIAG", "IQ_CLOSEPRICE", "2025-04-17", "USD")</f>
        <v>18.291</v>
      </c>
      <c r="W87">
        <f>_xll.ciqfunctions.udf.CIQ("ASX:RBTZ", "IQ_CLOSEPRICE", "2025-04-17", "USD")</f>
        <v>7.8091100000000004</v>
      </c>
      <c r="X87">
        <f>_xll.ciqfunctions.udf.CIQ("DB:XB0T", "IQ_CLOSEPRICE", "2025-04-17", "USD")</f>
        <v>17.650670000000002</v>
      </c>
    </row>
    <row r="88" spans="1:24" x14ac:dyDescent="0.25">
      <c r="A88" t="s">
        <v>110</v>
      </c>
      <c r="B88">
        <f>_xll.ciqfunctions.udf.CIQ("NasdaqGM:QQQ", "IQ_CLOSEPRICE", "2025-04-16", "USD")</f>
        <v>444.18</v>
      </c>
      <c r="C88">
        <f>_xll.ciqfunctions.udf.CIQ("NasdaqGM:AGIX", "IQ_CLOSEPRICE", "2025-04-16", "USD")</f>
        <v>23.46</v>
      </c>
      <c r="D88">
        <f>_xll.ciqfunctions.udf.CIQ("NasdaqGM:SMH", "IQ_CLOSEPRICE", "2025-04-16", "USD")</f>
        <v>194.35</v>
      </c>
      <c r="E88">
        <f>_xll.ciqfunctions.udf.CIQ("BATS:IGV", "IQ_CLOSEPRICE", "2025-04-16", "USD")</f>
        <v>86.94</v>
      </c>
      <c r="F88">
        <f>_xll.ciqfunctions.udf.CIQ("NasdaqGM:BOTZ", "IQ_CLOSEPRICE", "2025-04-16", "USD")</f>
        <v>26.51</v>
      </c>
      <c r="G88">
        <f>_xll.ciqfunctions.udf.CIQ("NasdaqGM:AIQ", "IQ_CLOSEPRICE", "2025-04-16", "USD")</f>
        <v>33.9</v>
      </c>
      <c r="H88">
        <f>_xll.ciqfunctions.udf.CIQ("ARCA:ARTY", "IQ_CLOSEPRICE", "2025-04-16", "USD")</f>
        <v>29.95</v>
      </c>
      <c r="I88">
        <f>_xll.ciqfunctions.udf.CIQ("NasdaqGM:ROBT", "IQ_CLOSEPRICE", "2025-04-16", "USD")</f>
        <v>38.17</v>
      </c>
      <c r="J88">
        <f>_xll.ciqfunctions.udf.CIQ("ARCA:IGPT", "IQ_CLOSEPRICE", "2025-04-16", "USD")</f>
        <v>37.71</v>
      </c>
      <c r="K88">
        <f>_xll.ciqfunctions.udf.CIQ("BATS:WTAI", "IQ_CLOSEPRICE", "2025-04-16", "USD")</f>
        <v>18.010000000000002</v>
      </c>
      <c r="L88">
        <f>_xll.ciqfunctions.udf.CIQ("ARCA:THNQ", "IQ_CLOSEPRICE", "2025-04-16", "USD")</f>
        <v>41.83</v>
      </c>
      <c r="M88">
        <f>_xll.ciqfunctions.udf.CIQ("NasdaqGM:FDTX", "IQ_CLOSEPRICE", "2025-04-16", "USD")</f>
        <v>29.85</v>
      </c>
      <c r="N88">
        <f>_xll.ciqfunctions.udf.CIQ("ARCA:CHAT", "IQ_CLOSEPRICE", "2025-04-16", "USD")</f>
        <v>32.869999999999997</v>
      </c>
      <c r="O88">
        <f>_xll.ciqfunctions.udf.CIQ("ARCA:LOUP", "IQ_CLOSEPRICE", "2025-04-16", "USD")</f>
        <v>43.643799999999999</v>
      </c>
      <c r="P88">
        <f>_xll.ciqfunctions.udf.CIQ("ARCA:LRNZ", "IQ_CLOSEPRICE", "2025-04-16", "USD")</f>
        <v>33.65</v>
      </c>
      <c r="Q88">
        <f>_xll.ciqfunctions.udf.CIQ("ARCA:AIS", "IQ_CLOSEPRICE", "2025-04-16", "USD")</f>
        <v>19.599</v>
      </c>
      <c r="R88">
        <f>_xll.ciqfunctions.udf.CIQ("NasdaqGM:WISE", "IQ_CLOSEPRICE", "2025-04-16", "USD")</f>
        <v>27.78</v>
      </c>
      <c r="S88">
        <f>_xll.ciqfunctions.udf.CIQ("LSE:RBOT", "IQ_CLOSEPRICE", "2025-04-16", "USD")</f>
        <v>12.33</v>
      </c>
      <c r="T88">
        <f>_xll.ciqfunctions.udf.CIQ("XTRA:XAIX", "IQ_CLOSEPRICE", "2025-04-16", "USD")</f>
        <v>127.17564</v>
      </c>
      <c r="U88">
        <f>_xll.ciqfunctions.udf.CIQ("BIT:WTAI", "IQ_CLOSEPRICE", "2025-04-16", "USD")</f>
        <v>54.686430000000001</v>
      </c>
      <c r="V88">
        <f>_xll.ciqfunctions.udf.CIQ("LSE:AIAG", "IQ_CLOSEPRICE", "2025-04-16", "USD")</f>
        <v>18.78192</v>
      </c>
      <c r="W88">
        <f>_xll.ciqfunctions.udf.CIQ("ASX:RBTZ", "IQ_CLOSEPRICE", "2025-04-16", "USD")</f>
        <v>7.6893599999999998</v>
      </c>
      <c r="X88">
        <f>_xll.ciqfunctions.udf.CIQ("DB:XB0T", "IQ_CLOSEPRICE", "2025-04-16", "USD")</f>
        <v>17.398319999999998</v>
      </c>
    </row>
    <row r="89" spans="1:24" x14ac:dyDescent="0.25">
      <c r="A89" t="s">
        <v>111</v>
      </c>
      <c r="B89">
        <f>_xll.ciqfunctions.udf.CIQ("NasdaqGM:QQQ", "IQ_CLOSEPRICE", "2025-04-15", "USD")</f>
        <v>457.99</v>
      </c>
      <c r="C89">
        <f>_xll.ciqfunctions.udf.CIQ("NasdaqGM:AGIX", "IQ_CLOSEPRICE", "2025-04-15", "USD")</f>
        <v>23.944500000000001</v>
      </c>
      <c r="D89">
        <f>_xll.ciqfunctions.udf.CIQ("NasdaqGM:SMH", "IQ_CLOSEPRICE", "2025-04-15", "USD")</f>
        <v>202.92</v>
      </c>
      <c r="E89">
        <f>_xll.ciqfunctions.udf.CIQ("BATS:IGV", "IQ_CLOSEPRICE", "2025-04-15", "USD")</f>
        <v>89.09</v>
      </c>
      <c r="F89">
        <f>_xll.ciqfunctions.udf.CIQ("NasdaqGM:BOTZ", "IQ_CLOSEPRICE", "2025-04-15", "USD")</f>
        <v>27.1</v>
      </c>
      <c r="G89">
        <f>_xll.ciqfunctions.udf.CIQ("NasdaqGM:AIQ", "IQ_CLOSEPRICE", "2025-04-15", "USD")</f>
        <v>34.86</v>
      </c>
      <c r="H89">
        <f>_xll.ciqfunctions.udf.CIQ("ARCA:ARTY", "IQ_CLOSEPRICE", "2025-04-15", "USD")</f>
        <v>30.8</v>
      </c>
      <c r="I89">
        <f>_xll.ciqfunctions.udf.CIQ("NasdaqGM:ROBT", "IQ_CLOSEPRICE", "2025-04-15", "USD")</f>
        <v>38.94</v>
      </c>
      <c r="J89">
        <f>_xll.ciqfunctions.udf.CIQ("ARCA:IGPT", "IQ_CLOSEPRICE", "2025-04-15", "USD")</f>
        <v>38.69</v>
      </c>
      <c r="K89">
        <f>_xll.ciqfunctions.udf.CIQ("BATS:WTAI", "IQ_CLOSEPRICE", "2025-04-15", "USD")</f>
        <v>18.510000000000002</v>
      </c>
      <c r="L89">
        <f>_xll.ciqfunctions.udf.CIQ("ARCA:THNQ", "IQ_CLOSEPRICE", "2025-04-15", "USD")</f>
        <v>42.99</v>
      </c>
      <c r="M89">
        <f>_xll.ciqfunctions.udf.CIQ("NasdaqGM:FDTX", "IQ_CLOSEPRICE", "2025-04-15", "USD")</f>
        <v>30.73</v>
      </c>
      <c r="N89">
        <f>_xll.ciqfunctions.udf.CIQ("ARCA:CHAT", "IQ_CLOSEPRICE", "2025-04-15", "USD")</f>
        <v>33.89</v>
      </c>
      <c r="O89">
        <f>_xll.ciqfunctions.udf.CIQ("ARCA:LOUP", "IQ_CLOSEPRICE", "2025-04-15", "USD")</f>
        <v>44.400700000000001</v>
      </c>
      <c r="P89">
        <f>_xll.ciqfunctions.udf.CIQ("ARCA:LRNZ", "IQ_CLOSEPRICE", "2025-04-15", "USD")</f>
        <v>34.382599999999996</v>
      </c>
      <c r="Q89">
        <f>_xll.ciqfunctions.udf.CIQ("ARCA:AIS", "IQ_CLOSEPRICE", "2025-04-15", "USD")</f>
        <v>20.095199999999998</v>
      </c>
      <c r="R89">
        <f>_xll.ciqfunctions.udf.CIQ("NasdaqGM:WISE", "IQ_CLOSEPRICE", "2025-04-15", "USD")</f>
        <v>28.936900000000001</v>
      </c>
      <c r="S89">
        <f>_xll.ciqfunctions.udf.CIQ("LSE:RBOT", "IQ_CLOSEPRICE", "2025-04-15", "USD")</f>
        <v>12.43</v>
      </c>
      <c r="T89">
        <f>_xll.ciqfunctions.udf.CIQ("XTRA:XAIX", "IQ_CLOSEPRICE", "2025-04-15", "USD")</f>
        <v>128.77672999999999</v>
      </c>
      <c r="U89">
        <f>_xll.ciqfunctions.udf.CIQ("BIT:WTAI", "IQ_CLOSEPRICE", "2025-04-15", "USD")</f>
        <v>55.71461</v>
      </c>
      <c r="V89">
        <f>_xll.ciqfunctions.udf.CIQ("LSE:AIAG", "IQ_CLOSEPRICE", "2025-04-15", "USD")</f>
        <v>18.963989999999999</v>
      </c>
      <c r="W89">
        <f>_xll.ciqfunctions.udf.CIQ("ASX:RBTZ", "IQ_CLOSEPRICE", "2025-04-15", "USD")</f>
        <v>7.7627899999999999</v>
      </c>
      <c r="X89">
        <f>_xll.ciqfunctions.udf.CIQ("DB:XB0T", "IQ_CLOSEPRICE", "2025-04-15", "USD")</f>
        <v>17.784320000000001</v>
      </c>
    </row>
    <row r="90" spans="1:24" x14ac:dyDescent="0.25">
      <c r="A90" t="s">
        <v>112</v>
      </c>
      <c r="B90">
        <f>_xll.ciqfunctions.udf.CIQ("NasdaqGM:QQQ", "IQ_CLOSEPRICE", "2025-04-14", "USD")</f>
        <v>457.48</v>
      </c>
      <c r="C90">
        <f>_xll.ciqfunctions.udf.CIQ("NasdaqGM:AGIX", "IQ_CLOSEPRICE", "2025-04-14", "USD")</f>
        <v>23.93</v>
      </c>
      <c r="D90">
        <f>_xll.ciqfunctions.udf.CIQ("NasdaqGM:SMH", "IQ_CLOSEPRICE", "2025-04-14", "USD")</f>
        <v>201.61</v>
      </c>
      <c r="E90">
        <f>_xll.ciqfunctions.udf.CIQ("BATS:IGV", "IQ_CLOSEPRICE", "2025-04-14", "USD")</f>
        <v>87.98</v>
      </c>
      <c r="F90">
        <f>_xll.ciqfunctions.udf.CIQ("NasdaqGM:BOTZ", "IQ_CLOSEPRICE", "2025-04-14", "USD")</f>
        <v>27.04</v>
      </c>
      <c r="G90">
        <f>_xll.ciqfunctions.udf.CIQ("NasdaqGM:AIQ", "IQ_CLOSEPRICE", "2025-04-14", "USD")</f>
        <v>34.729999999999997</v>
      </c>
      <c r="H90">
        <f>_xll.ciqfunctions.udf.CIQ("ARCA:ARTY", "IQ_CLOSEPRICE", "2025-04-14", "USD")</f>
        <v>30.69</v>
      </c>
      <c r="I90">
        <f>_xll.ciqfunctions.udf.CIQ("NasdaqGM:ROBT", "IQ_CLOSEPRICE", "2025-04-14", "USD")</f>
        <v>38.78</v>
      </c>
      <c r="J90">
        <f>_xll.ciqfunctions.udf.CIQ("ARCA:IGPT", "IQ_CLOSEPRICE", "2025-04-14", "USD")</f>
        <v>38.57</v>
      </c>
      <c r="K90">
        <f>_xll.ciqfunctions.udf.CIQ("BATS:WTAI", "IQ_CLOSEPRICE", "2025-04-14", "USD")</f>
        <v>18.32</v>
      </c>
      <c r="L90">
        <f>_xll.ciqfunctions.udf.CIQ("ARCA:THNQ", "IQ_CLOSEPRICE", "2025-04-14", "USD")</f>
        <v>42.52</v>
      </c>
      <c r="M90">
        <f>_xll.ciqfunctions.udf.CIQ("NasdaqGM:FDTX", "IQ_CLOSEPRICE", "2025-04-14", "USD")</f>
        <v>30.32</v>
      </c>
      <c r="N90">
        <f>_xll.ciqfunctions.udf.CIQ("ARCA:CHAT", "IQ_CLOSEPRICE", "2025-04-14", "USD")</f>
        <v>33.78</v>
      </c>
      <c r="O90">
        <f>_xll.ciqfunctions.udf.CIQ("ARCA:LOUP", "IQ_CLOSEPRICE", "2025-04-14", "USD")</f>
        <v>44.271099999999997</v>
      </c>
      <c r="P90">
        <f>_xll.ciqfunctions.udf.CIQ("ARCA:LRNZ", "IQ_CLOSEPRICE", "2025-04-14", "USD")</f>
        <v>33.97</v>
      </c>
      <c r="Q90">
        <f>_xll.ciqfunctions.udf.CIQ("ARCA:AIS", "IQ_CLOSEPRICE", "2025-04-14", "USD")</f>
        <v>20.0749</v>
      </c>
      <c r="R90">
        <f>_xll.ciqfunctions.udf.CIQ("NasdaqGM:WISE", "IQ_CLOSEPRICE", "2025-04-14", "USD")</f>
        <v>28.87</v>
      </c>
      <c r="S90">
        <f>_xll.ciqfunctions.udf.CIQ("LSE:RBOT", "IQ_CLOSEPRICE", "2025-04-14", "USD")</f>
        <v>12.32</v>
      </c>
      <c r="T90">
        <f>_xll.ciqfunctions.udf.CIQ("XTRA:XAIX", "IQ_CLOSEPRICE", "2025-04-14", "USD")</f>
        <v>127.73739</v>
      </c>
      <c r="U90">
        <f>_xll.ciqfunctions.udf.CIQ("BIT:WTAI", "IQ_CLOSEPRICE", "2025-04-14", "USD")</f>
        <v>55.389600000000002</v>
      </c>
      <c r="V90">
        <f>_xll.ciqfunctions.udf.CIQ("LSE:AIAG", "IQ_CLOSEPRICE", "2025-04-14", "USD")</f>
        <v>18.907869999999999</v>
      </c>
      <c r="W90">
        <f>_xll.ciqfunctions.udf.CIQ("ASX:RBTZ", "IQ_CLOSEPRICE", "2025-04-14", "USD")</f>
        <v>7.8152600000000003</v>
      </c>
      <c r="X90">
        <f>_xll.ciqfunctions.udf.CIQ("DB:XB0T", "IQ_CLOSEPRICE", "2025-04-14", "USD")</f>
        <v>17.780550000000002</v>
      </c>
    </row>
    <row r="91" spans="1:24" x14ac:dyDescent="0.25">
      <c r="A91" t="s">
        <v>113</v>
      </c>
      <c r="B91">
        <f>_xll.ciqfunctions.udf.CIQ("NasdaqGM:QQQ", "IQ_CLOSEPRICE", "2025-04-11", "USD")</f>
        <v>454.4</v>
      </c>
      <c r="C91">
        <f>_xll.ciqfunctions.udf.CIQ("NasdaqGM:AGIX", "IQ_CLOSEPRICE", "2025-04-11", "USD")</f>
        <v>23.97</v>
      </c>
      <c r="D91">
        <f>_xll.ciqfunctions.udf.CIQ("NasdaqGM:SMH", "IQ_CLOSEPRICE", "2025-04-11", "USD")</f>
        <v>201.31</v>
      </c>
      <c r="E91">
        <f>_xll.ciqfunctions.udf.CIQ("BATS:IGV", "IQ_CLOSEPRICE", "2025-04-11", "USD")</f>
        <v>87.2</v>
      </c>
      <c r="F91">
        <f>_xll.ciqfunctions.udf.CIQ("NasdaqGM:BOTZ", "IQ_CLOSEPRICE", "2025-04-11", "USD")</f>
        <v>26.87</v>
      </c>
      <c r="G91">
        <f>_xll.ciqfunctions.udf.CIQ("NasdaqGM:AIQ", "IQ_CLOSEPRICE", "2025-04-11", "USD")</f>
        <v>34.450000000000003</v>
      </c>
      <c r="H91">
        <f>_xll.ciqfunctions.udf.CIQ("ARCA:ARTY", "IQ_CLOSEPRICE", "2025-04-11", "USD")</f>
        <v>30.47</v>
      </c>
      <c r="I91">
        <f>_xll.ciqfunctions.udf.CIQ("NasdaqGM:ROBT", "IQ_CLOSEPRICE", "2025-04-11", "USD")</f>
        <v>38.47</v>
      </c>
      <c r="J91">
        <f>_xll.ciqfunctions.udf.CIQ("ARCA:IGPT", "IQ_CLOSEPRICE", "2025-04-11", "USD")</f>
        <v>38.369999999999997</v>
      </c>
      <c r="K91">
        <f>_xll.ciqfunctions.udf.CIQ("BATS:WTAI", "IQ_CLOSEPRICE", "2025-04-11", "USD")</f>
        <v>18.28</v>
      </c>
      <c r="L91">
        <f>_xll.ciqfunctions.udf.CIQ("ARCA:THNQ", "IQ_CLOSEPRICE", "2025-04-11", "USD")</f>
        <v>42.2776</v>
      </c>
      <c r="M91">
        <f>_xll.ciqfunctions.udf.CIQ("NasdaqGM:FDTX", "IQ_CLOSEPRICE", "2025-04-11", "USD")</f>
        <v>30.25</v>
      </c>
      <c r="N91">
        <f>_xll.ciqfunctions.udf.CIQ("ARCA:CHAT", "IQ_CLOSEPRICE", "2025-04-11", "USD")</f>
        <v>33.619999999999997</v>
      </c>
      <c r="O91">
        <f>_xll.ciqfunctions.udf.CIQ("ARCA:LOUP", "IQ_CLOSEPRICE", "2025-04-11", "USD")</f>
        <v>44.276699999999998</v>
      </c>
      <c r="P91">
        <f>_xll.ciqfunctions.udf.CIQ("ARCA:LRNZ", "IQ_CLOSEPRICE", "2025-04-11", "USD")</f>
        <v>33.707500000000003</v>
      </c>
      <c r="Q91">
        <f>_xll.ciqfunctions.udf.CIQ("ARCA:AIS", "IQ_CLOSEPRICE", "2025-04-11", "USD")</f>
        <v>19.711600000000001</v>
      </c>
      <c r="R91">
        <f>_xll.ciqfunctions.udf.CIQ("NasdaqGM:WISE", "IQ_CLOSEPRICE", "2025-04-11", "USD")</f>
        <v>28.69</v>
      </c>
      <c r="S91">
        <f>_xll.ciqfunctions.udf.CIQ("LSE:RBOT", "IQ_CLOSEPRICE", "2025-04-11", "USD")</f>
        <v>11.885</v>
      </c>
      <c r="T91">
        <f>_xll.ciqfunctions.udf.CIQ("XTRA:XAIX", "IQ_CLOSEPRICE", "2025-04-11", "USD")</f>
        <v>123.94110999999999</v>
      </c>
      <c r="U91">
        <f>_xll.ciqfunctions.udf.CIQ("BIT:WTAI", "IQ_CLOSEPRICE", "2025-04-11", "USD")</f>
        <v>53.742919999999998</v>
      </c>
      <c r="V91">
        <f>_xll.ciqfunctions.udf.CIQ("LSE:AIAG", "IQ_CLOSEPRICE", "2025-04-11", "USD")</f>
        <v>18.257619999999999</v>
      </c>
      <c r="W91">
        <f>_xll.ciqfunctions.udf.CIQ("ASX:RBTZ", "IQ_CLOSEPRICE", "2025-04-11", "USD")</f>
        <v>7.7430599999999998</v>
      </c>
      <c r="X91">
        <f>_xll.ciqfunctions.udf.CIQ("DB:XB0T", "IQ_CLOSEPRICE", "2025-04-11", "USD")</f>
        <v>17.45187</v>
      </c>
    </row>
    <row r="92" spans="1:24" x14ac:dyDescent="0.25">
      <c r="A92" t="s">
        <v>114</v>
      </c>
      <c r="B92">
        <f>_xll.ciqfunctions.udf.CIQ("NasdaqGM:QQQ", "IQ_CLOSEPRICE", "2025-04-10", "USD")</f>
        <v>446.18</v>
      </c>
      <c r="C92">
        <f>_xll.ciqfunctions.udf.CIQ("NasdaqGM:AGIX", "IQ_CLOSEPRICE", "2025-04-10", "USD")</f>
        <v>23.5</v>
      </c>
      <c r="D92">
        <f>_xll.ciqfunctions.udf.CIQ("NasdaqGM:SMH", "IQ_CLOSEPRICE", "2025-04-10", "USD")</f>
        <v>196.21</v>
      </c>
      <c r="E92">
        <f>_xll.ciqfunctions.udf.CIQ("BATS:IGV", "IQ_CLOSEPRICE", "2025-04-10", "USD")</f>
        <v>86.49</v>
      </c>
      <c r="F92">
        <f>_xll.ciqfunctions.udf.CIQ("NasdaqGM:BOTZ", "IQ_CLOSEPRICE", "2025-04-10", "USD")</f>
        <v>26.33</v>
      </c>
      <c r="G92">
        <f>_xll.ciqfunctions.udf.CIQ("NasdaqGM:AIQ", "IQ_CLOSEPRICE", "2025-04-10", "USD")</f>
        <v>33.81</v>
      </c>
      <c r="H92">
        <f>_xll.ciqfunctions.udf.CIQ("ARCA:ARTY", "IQ_CLOSEPRICE", "2025-04-10", "USD")</f>
        <v>29.94</v>
      </c>
      <c r="I92">
        <f>_xll.ciqfunctions.udf.CIQ("NasdaqGM:ROBT", "IQ_CLOSEPRICE", "2025-04-10", "USD")</f>
        <v>37.78</v>
      </c>
      <c r="J92">
        <f>_xll.ciqfunctions.udf.CIQ("ARCA:IGPT", "IQ_CLOSEPRICE", "2025-04-10", "USD")</f>
        <v>37.659999999999997</v>
      </c>
      <c r="K92">
        <f>_xll.ciqfunctions.udf.CIQ("BATS:WTAI", "IQ_CLOSEPRICE", "2025-04-10", "USD")</f>
        <v>17.91</v>
      </c>
      <c r="L92">
        <f>_xll.ciqfunctions.udf.CIQ("ARCA:THNQ", "IQ_CLOSEPRICE", "2025-04-10", "USD")</f>
        <v>41.66</v>
      </c>
      <c r="M92">
        <f>_xll.ciqfunctions.udf.CIQ("NasdaqGM:FDTX", "IQ_CLOSEPRICE", "2025-04-10", "USD")</f>
        <v>29.89</v>
      </c>
      <c r="N92">
        <f>_xll.ciqfunctions.udf.CIQ("ARCA:CHAT", "IQ_CLOSEPRICE", "2025-04-10", "USD")</f>
        <v>32.79</v>
      </c>
      <c r="O92">
        <f>_xll.ciqfunctions.udf.CIQ("ARCA:LOUP", "IQ_CLOSEPRICE", "2025-04-10", "USD")</f>
        <v>43.302799999999998</v>
      </c>
      <c r="P92">
        <f>_xll.ciqfunctions.udf.CIQ("ARCA:LRNZ", "IQ_CLOSEPRICE", "2025-04-10", "USD")</f>
        <v>32.833500000000001</v>
      </c>
      <c r="Q92">
        <f>_xll.ciqfunctions.udf.CIQ("ARCA:AIS", "IQ_CLOSEPRICE", "2025-04-10", "USD")</f>
        <v>19.369700000000002</v>
      </c>
      <c r="R92">
        <f>_xll.ciqfunctions.udf.CIQ("NasdaqGM:WISE", "IQ_CLOSEPRICE", "2025-04-10", "USD")</f>
        <v>27.98</v>
      </c>
      <c r="S92">
        <f>_xll.ciqfunctions.udf.CIQ("LSE:RBOT", "IQ_CLOSEPRICE", "2025-04-10", "USD")</f>
        <v>11.914999999999999</v>
      </c>
      <c r="T92">
        <f>_xll.ciqfunctions.udf.CIQ("XTRA:XAIX", "IQ_CLOSEPRICE", "2025-04-10", "USD")</f>
        <v>124.08008</v>
      </c>
      <c r="U92">
        <f>_xll.ciqfunctions.udf.CIQ("BIT:WTAI", "IQ_CLOSEPRICE", "2025-04-10", "USD")</f>
        <v>53.685270000000003</v>
      </c>
      <c r="V92">
        <f>_xll.ciqfunctions.udf.CIQ("LSE:AIAG", "IQ_CLOSEPRICE", "2025-04-10", "USD")</f>
        <v>18.36542</v>
      </c>
      <c r="W92">
        <f>_xll.ciqfunctions.udf.CIQ("ASX:RBTZ", "IQ_CLOSEPRICE", "2025-04-10", "USD")</f>
        <v>7.7750199999999996</v>
      </c>
      <c r="X92">
        <f>_xll.ciqfunctions.udf.CIQ("DB:XB0T", "IQ_CLOSEPRICE", "2025-04-10", "USD")</f>
        <v>17.559560000000001</v>
      </c>
    </row>
    <row r="93" spans="1:24" x14ac:dyDescent="0.25">
      <c r="A93" t="s">
        <v>115</v>
      </c>
      <c r="B93">
        <f>_xll.ciqfunctions.udf.CIQ("NasdaqGM:QQQ", "IQ_CLOSEPRICE", "2025-04-09", "USD")</f>
        <v>466</v>
      </c>
      <c r="C93">
        <f>_xll.ciqfunctions.udf.CIQ("NasdaqGM:AGIX", "IQ_CLOSEPRICE", "2025-04-09", "USD")</f>
        <v>24.17</v>
      </c>
      <c r="D93">
        <f>_xll.ciqfunctions.udf.CIQ("NasdaqGM:SMH", "IQ_CLOSEPRICE", "2025-04-09", "USD")</f>
        <v>210.83</v>
      </c>
      <c r="E93">
        <f>_xll.ciqfunctions.udf.CIQ("BATS:IGV", "IQ_CLOSEPRICE", "2025-04-09", "USD")</f>
        <v>89.49</v>
      </c>
      <c r="F93">
        <f>_xll.ciqfunctions.udf.CIQ("NasdaqGM:BOTZ", "IQ_CLOSEPRICE", "2025-04-09", "USD")</f>
        <v>27.49</v>
      </c>
      <c r="G93">
        <f>_xll.ciqfunctions.udf.CIQ("NasdaqGM:AIQ", "IQ_CLOSEPRICE", "2025-04-09", "USD")</f>
        <v>35.340000000000003</v>
      </c>
      <c r="H93">
        <f>_xll.ciqfunctions.udf.CIQ("ARCA:ARTY", "IQ_CLOSEPRICE", "2025-04-09", "USD")</f>
        <v>31.52</v>
      </c>
      <c r="I93">
        <f>_xll.ciqfunctions.udf.CIQ("NasdaqGM:ROBT", "IQ_CLOSEPRICE", "2025-04-09", "USD")</f>
        <v>39.5</v>
      </c>
      <c r="J93">
        <f>_xll.ciqfunctions.udf.CIQ("ARCA:IGPT", "IQ_CLOSEPRICE", "2025-04-09", "USD")</f>
        <v>39.880000000000003</v>
      </c>
      <c r="K93">
        <f>_xll.ciqfunctions.udf.CIQ("BATS:WTAI", "IQ_CLOSEPRICE", "2025-04-09", "USD")</f>
        <v>18.75</v>
      </c>
      <c r="L93">
        <f>_xll.ciqfunctions.udf.CIQ("ARCA:THNQ", "IQ_CLOSEPRICE", "2025-04-09", "USD")</f>
        <v>43.67</v>
      </c>
      <c r="M93">
        <f>_xll.ciqfunctions.udf.CIQ("NasdaqGM:FDTX", "IQ_CLOSEPRICE", "2025-04-09", "USD")</f>
        <v>31.19</v>
      </c>
      <c r="N93">
        <f>_xll.ciqfunctions.udf.CIQ("ARCA:CHAT", "IQ_CLOSEPRICE", "2025-04-09", "USD")</f>
        <v>34.72</v>
      </c>
      <c r="O93">
        <f>_xll.ciqfunctions.udf.CIQ("ARCA:LOUP", "IQ_CLOSEPRICE", "2025-04-09", "USD")</f>
        <v>46.232100000000003</v>
      </c>
      <c r="P93">
        <f>_xll.ciqfunctions.udf.CIQ("ARCA:LRNZ", "IQ_CLOSEPRICE", "2025-04-09", "USD")</f>
        <v>34.51</v>
      </c>
      <c r="Q93">
        <f>_xll.ciqfunctions.udf.CIQ("ARCA:AIS", "IQ_CLOSEPRICE", "2025-04-09", "USD")</f>
        <v>20.338699999999999</v>
      </c>
      <c r="R93">
        <f>_xll.ciqfunctions.udf.CIQ("NasdaqGM:WISE", "IQ_CLOSEPRICE", "2025-04-09", "USD")</f>
        <v>29.497800000000002</v>
      </c>
      <c r="S93">
        <f>_xll.ciqfunctions.udf.CIQ("LSE:RBOT", "IQ_CLOSEPRICE", "2025-04-09", "USD")</f>
        <v>11.18</v>
      </c>
      <c r="T93">
        <f>_xll.ciqfunctions.udf.CIQ("XTRA:XAIX", "IQ_CLOSEPRICE", "2025-04-09", "USD")</f>
        <v>116.53404</v>
      </c>
      <c r="U93">
        <f>_xll.ciqfunctions.udf.CIQ("BIT:WTAI", "IQ_CLOSEPRICE", "2025-04-09", "USD")</f>
        <v>50.23762</v>
      </c>
      <c r="V93">
        <f>_xll.ciqfunctions.udf.CIQ("LSE:AIAG", "IQ_CLOSEPRICE", "2025-04-09", "USD")</f>
        <v>17.121230000000001</v>
      </c>
      <c r="W93">
        <f>_xll.ciqfunctions.udf.CIQ("ASX:RBTZ", "IQ_CLOSEPRICE", "2025-04-09", "USD")</f>
        <v>6.9761800000000003</v>
      </c>
      <c r="X93">
        <f>_xll.ciqfunctions.udf.CIQ("DB:XB0T", "IQ_CLOSEPRICE", "2025-04-09", "USD")</f>
        <v>16.34394</v>
      </c>
    </row>
    <row r="94" spans="1:24" x14ac:dyDescent="0.25">
      <c r="A94" t="s">
        <v>116</v>
      </c>
      <c r="B94">
        <f>_xll.ciqfunctions.udf.CIQ("NasdaqGM:QQQ", "IQ_CLOSEPRICE", "2025-04-08", "USD")</f>
        <v>416.06</v>
      </c>
      <c r="C94">
        <f>_xll.ciqfunctions.udf.CIQ("NasdaqGM:AGIX", "IQ_CLOSEPRICE", "2025-04-08", "USD")</f>
        <v>21.59</v>
      </c>
      <c r="D94">
        <f>_xll.ciqfunctions.udf.CIQ("NasdaqGM:SMH", "IQ_CLOSEPRICE", "2025-04-08", "USD")</f>
        <v>179.95</v>
      </c>
      <c r="E94">
        <f>_xll.ciqfunctions.udf.CIQ("BATS:IGV", "IQ_CLOSEPRICE", "2025-04-08", "USD")</f>
        <v>80.150000000000006</v>
      </c>
      <c r="F94">
        <f>_xll.ciqfunctions.udf.CIQ("NasdaqGM:BOTZ", "IQ_CLOSEPRICE", "2025-04-08", "USD")</f>
        <v>24.51</v>
      </c>
      <c r="G94">
        <f>_xll.ciqfunctions.udf.CIQ("NasdaqGM:AIQ", "IQ_CLOSEPRICE", "2025-04-08", "USD")</f>
        <v>31.5</v>
      </c>
      <c r="H94">
        <f>_xll.ciqfunctions.udf.CIQ("ARCA:ARTY", "IQ_CLOSEPRICE", "2025-04-08", "USD")</f>
        <v>27.85</v>
      </c>
      <c r="I94">
        <f>_xll.ciqfunctions.udf.CIQ("NasdaqGM:ROBT", "IQ_CLOSEPRICE", "2025-04-08", "USD")</f>
        <v>35.380000000000003</v>
      </c>
      <c r="J94">
        <f>_xll.ciqfunctions.udf.CIQ("ARCA:IGPT", "IQ_CLOSEPRICE", "2025-04-08", "USD")</f>
        <v>35.18</v>
      </c>
      <c r="K94">
        <f>_xll.ciqfunctions.udf.CIQ("BATS:WTAI", "IQ_CLOSEPRICE", "2025-04-08", "USD")</f>
        <v>16.579999999999998</v>
      </c>
      <c r="L94">
        <f>_xll.ciqfunctions.udf.CIQ("ARCA:THNQ", "IQ_CLOSEPRICE", "2025-04-08", "USD")</f>
        <v>38.72</v>
      </c>
      <c r="M94">
        <f>_xll.ciqfunctions.udf.CIQ("NasdaqGM:FDTX", "IQ_CLOSEPRICE", "2025-04-08", "USD")</f>
        <v>27.86</v>
      </c>
      <c r="N94">
        <f>_xll.ciqfunctions.udf.CIQ("ARCA:CHAT", "IQ_CLOSEPRICE", "2025-04-08", "USD")</f>
        <v>30.32</v>
      </c>
      <c r="O94">
        <f>_xll.ciqfunctions.udf.CIQ("ARCA:LOUP", "IQ_CLOSEPRICE", "2025-04-08", "USD")</f>
        <v>39.917000000000002</v>
      </c>
      <c r="P94">
        <f>_xll.ciqfunctions.udf.CIQ("ARCA:LRNZ", "IQ_CLOSEPRICE", "2025-04-08", "USD")</f>
        <v>30.129899999999999</v>
      </c>
      <c r="Q94">
        <f>_xll.ciqfunctions.udf.CIQ("ARCA:AIS", "IQ_CLOSEPRICE", "2025-04-08", "USD")</f>
        <v>17.902200000000001</v>
      </c>
      <c r="R94">
        <f>_xll.ciqfunctions.udf.CIQ("NasdaqGM:WISE", "IQ_CLOSEPRICE", "2025-04-08", "USD")</f>
        <v>25.89</v>
      </c>
      <c r="S94">
        <f>_xll.ciqfunctions.udf.CIQ("LSE:RBOT", "IQ_CLOSEPRICE", "2025-04-08", "USD")</f>
        <v>11.66</v>
      </c>
      <c r="T94">
        <f>_xll.ciqfunctions.udf.CIQ("XTRA:XAIX", "IQ_CLOSEPRICE", "2025-04-08", "USD")</f>
        <v>121.23063999999999</v>
      </c>
      <c r="U94">
        <f>_xll.ciqfunctions.udf.CIQ("BIT:WTAI", "IQ_CLOSEPRICE", "2025-04-08", "USD")</f>
        <v>52.487450000000003</v>
      </c>
      <c r="V94">
        <f>_xll.ciqfunctions.udf.CIQ("LSE:AIAG", "IQ_CLOSEPRICE", "2025-04-08", "USD")</f>
        <v>17.890409999999999</v>
      </c>
      <c r="W94">
        <f>_xll.ciqfunctions.udf.CIQ("ASX:RBTZ", "IQ_CLOSEPRICE", "2025-04-08", "USD")</f>
        <v>7.1986999999999997</v>
      </c>
      <c r="X94">
        <f>_xll.ciqfunctions.udf.CIQ("DB:XB0T", "IQ_CLOSEPRICE", "2025-04-08", "USD")</f>
        <v>16.364830000000001</v>
      </c>
    </row>
    <row r="95" spans="1:24" x14ac:dyDescent="0.25">
      <c r="A95" t="s">
        <v>117</v>
      </c>
      <c r="B95">
        <f>_xll.ciqfunctions.udf.CIQ("NasdaqGM:QQQ", "IQ_CLOSEPRICE", "2025-04-07", "USD")</f>
        <v>423.69</v>
      </c>
      <c r="C95">
        <f>_xll.ciqfunctions.udf.CIQ("NasdaqGM:AGIX", "IQ_CLOSEPRICE", "2025-04-07", "USD")</f>
        <v>22.18</v>
      </c>
      <c r="D95">
        <f>_xll.ciqfunctions.udf.CIQ("NasdaqGM:SMH", "IQ_CLOSEPRICE", "2025-04-07", "USD")</f>
        <v>184.9</v>
      </c>
      <c r="E95">
        <f>_xll.ciqfunctions.udf.CIQ("BATS:IGV", "IQ_CLOSEPRICE", "2025-04-07", "USD")</f>
        <v>81.25</v>
      </c>
      <c r="F95">
        <f>_xll.ciqfunctions.udf.CIQ("NasdaqGM:BOTZ", "IQ_CLOSEPRICE", "2025-04-07", "USD")</f>
        <v>24.8</v>
      </c>
      <c r="G95">
        <f>_xll.ciqfunctions.udf.CIQ("NasdaqGM:AIQ", "IQ_CLOSEPRICE", "2025-04-07", "USD")</f>
        <v>32.17</v>
      </c>
      <c r="H95">
        <f>_xll.ciqfunctions.udf.CIQ("ARCA:ARTY", "IQ_CLOSEPRICE", "2025-04-07", "USD")</f>
        <v>28.27</v>
      </c>
      <c r="I95">
        <f>_xll.ciqfunctions.udf.CIQ("NasdaqGM:ROBT", "IQ_CLOSEPRICE", "2025-04-07", "USD")</f>
        <v>36.119999999999997</v>
      </c>
      <c r="J95">
        <f>_xll.ciqfunctions.udf.CIQ("ARCA:IGPT", "IQ_CLOSEPRICE", "2025-04-07", "USD")</f>
        <v>35.78</v>
      </c>
      <c r="K95">
        <f>_xll.ciqfunctions.udf.CIQ("BATS:WTAI", "IQ_CLOSEPRICE", "2025-04-07", "USD")</f>
        <v>16.93</v>
      </c>
      <c r="L95">
        <f>_xll.ciqfunctions.udf.CIQ("ARCA:THNQ", "IQ_CLOSEPRICE", "2025-04-07", "USD")</f>
        <v>39.35</v>
      </c>
      <c r="M95">
        <f>_xll.ciqfunctions.udf.CIQ("NasdaqGM:FDTX", "IQ_CLOSEPRICE", "2025-04-07", "USD")</f>
        <v>28.13</v>
      </c>
      <c r="N95">
        <f>_xll.ciqfunctions.udf.CIQ("ARCA:CHAT", "IQ_CLOSEPRICE", "2025-04-07", "USD")</f>
        <v>31.07</v>
      </c>
      <c r="O95">
        <f>_xll.ciqfunctions.udf.CIQ("ARCA:LOUP", "IQ_CLOSEPRICE", "2025-04-07", "USD")</f>
        <v>40.107500000000002</v>
      </c>
      <c r="P95">
        <f>_xll.ciqfunctions.udf.CIQ("ARCA:LRNZ", "IQ_CLOSEPRICE", "2025-04-07", "USD")</f>
        <v>30.55</v>
      </c>
      <c r="Q95">
        <f>_xll.ciqfunctions.udf.CIQ("ARCA:AIS", "IQ_CLOSEPRICE", "2025-04-07", "USD")</f>
        <v>18.5335</v>
      </c>
      <c r="R95">
        <f>_xll.ciqfunctions.udf.CIQ("NasdaqGM:WISE", "IQ_CLOSEPRICE", "2025-04-07", "USD")</f>
        <v>26.54</v>
      </c>
      <c r="S95">
        <f>_xll.ciqfunctions.udf.CIQ("LSE:RBOT", "IQ_CLOSEPRICE", "2025-04-07", "USD")</f>
        <v>11.25</v>
      </c>
      <c r="T95">
        <f>_xll.ciqfunctions.udf.CIQ("XTRA:XAIX", "IQ_CLOSEPRICE", "2025-04-07", "USD")</f>
        <v>117.14192</v>
      </c>
      <c r="U95">
        <f>_xll.ciqfunctions.udf.CIQ("BIT:WTAI", "IQ_CLOSEPRICE", "2025-04-07", "USD")</f>
        <v>50.863109999999999</v>
      </c>
      <c r="V95">
        <f>_xll.ciqfunctions.udf.CIQ("LSE:AIAG", "IQ_CLOSEPRICE", "2025-04-07", "USD")</f>
        <v>17.076309999999999</v>
      </c>
      <c r="W95">
        <f>_xll.ciqfunctions.udf.CIQ("ASX:RBTZ", "IQ_CLOSEPRICE", "2025-04-07", "USD")</f>
        <v>6.8720499999999998</v>
      </c>
      <c r="X95">
        <f>_xll.ciqfunctions.udf.CIQ("DB:XB0T", "IQ_CLOSEPRICE", "2025-04-07", "USD")</f>
        <v>16.226369999999999</v>
      </c>
    </row>
    <row r="96" spans="1:24" x14ac:dyDescent="0.25">
      <c r="A96" t="s">
        <v>118</v>
      </c>
      <c r="B96">
        <f>_xll.ciqfunctions.udf.CIQ("NasdaqGM:QQQ", "IQ_CLOSEPRICE", "2025-04-04", "USD")</f>
        <v>422.67</v>
      </c>
      <c r="C96">
        <f>_xll.ciqfunctions.udf.CIQ("NasdaqGM:AGIX", "IQ_CLOSEPRICE", "2025-04-04", "USD")</f>
        <v>22.11</v>
      </c>
      <c r="D96">
        <f>_xll.ciqfunctions.udf.CIQ("NasdaqGM:SMH", "IQ_CLOSEPRICE", "2025-04-04", "USD")</f>
        <v>180.8</v>
      </c>
      <c r="E96">
        <f>_xll.ciqfunctions.udf.CIQ("BATS:IGV", "IQ_CLOSEPRICE", "2025-04-04", "USD")</f>
        <v>81.3</v>
      </c>
      <c r="F96">
        <f>_xll.ciqfunctions.udf.CIQ("NasdaqGM:BOTZ", "IQ_CLOSEPRICE", "2025-04-04", "USD")</f>
        <v>25.38</v>
      </c>
      <c r="G96">
        <f>_xll.ciqfunctions.udf.CIQ("NasdaqGM:AIQ", "IQ_CLOSEPRICE", "2025-04-04", "USD")</f>
        <v>32.4</v>
      </c>
      <c r="H96">
        <f>_xll.ciqfunctions.udf.CIQ("ARCA:ARTY", "IQ_CLOSEPRICE", "2025-04-04", "USD")</f>
        <v>27.86</v>
      </c>
      <c r="I96">
        <f>_xll.ciqfunctions.udf.CIQ("NasdaqGM:ROBT", "IQ_CLOSEPRICE", "2025-04-04", "USD")</f>
        <v>36.409999999999997</v>
      </c>
      <c r="J96">
        <f>_xll.ciqfunctions.udf.CIQ("ARCA:IGPT", "IQ_CLOSEPRICE", "2025-04-04", "USD")</f>
        <v>35.92</v>
      </c>
      <c r="K96">
        <f>_xll.ciqfunctions.udf.CIQ("BATS:WTAI", "IQ_CLOSEPRICE", "2025-04-04", "USD")</f>
        <v>16.75</v>
      </c>
      <c r="L96">
        <f>_xll.ciqfunctions.udf.CIQ("ARCA:THNQ", "IQ_CLOSEPRICE", "2025-04-04", "USD")</f>
        <v>39.450000000000003</v>
      </c>
      <c r="M96">
        <f>_xll.ciqfunctions.udf.CIQ("NasdaqGM:FDTX", "IQ_CLOSEPRICE", "2025-04-04", "USD")</f>
        <v>28</v>
      </c>
      <c r="N96">
        <f>_xll.ciqfunctions.udf.CIQ("ARCA:CHAT", "IQ_CLOSEPRICE", "2025-04-04", "USD")</f>
        <v>31.11</v>
      </c>
      <c r="O96">
        <f>_xll.ciqfunctions.udf.CIQ("ARCA:LOUP", "IQ_CLOSEPRICE", "2025-04-04", "USD")</f>
        <v>39.472200000000001</v>
      </c>
      <c r="P96">
        <f>_xll.ciqfunctions.udf.CIQ("ARCA:LRNZ", "IQ_CLOSEPRICE", "2025-04-04", "USD")</f>
        <v>30.4589</v>
      </c>
      <c r="Q96">
        <f>_xll.ciqfunctions.udf.CIQ("ARCA:AIS", "IQ_CLOSEPRICE", "2025-04-04", "USD")</f>
        <v>18.6921</v>
      </c>
      <c r="R96">
        <f>_xll.ciqfunctions.udf.CIQ("NasdaqGM:WISE", "IQ_CLOSEPRICE", "2025-04-04", "USD")</f>
        <v>26.77</v>
      </c>
      <c r="S96">
        <f>_xll.ciqfunctions.udf.CIQ("LSE:RBOT", "IQ_CLOSEPRICE", "2025-04-04", "USD")</f>
        <v>11.67</v>
      </c>
      <c r="T96">
        <f>_xll.ciqfunctions.udf.CIQ("XTRA:XAIX", "IQ_CLOSEPRICE", "2025-04-04", "USD")</f>
        <v>120.50972</v>
      </c>
      <c r="U96">
        <f>_xll.ciqfunctions.udf.CIQ("BIT:WTAI", "IQ_CLOSEPRICE", "2025-04-04", "USD")</f>
        <v>51.719209999999997</v>
      </c>
      <c r="V96">
        <f>_xll.ciqfunctions.udf.CIQ("LSE:AIAG", "IQ_CLOSEPRICE", "2025-04-04", "USD")</f>
        <v>17.617789999999999</v>
      </c>
      <c r="W96">
        <f>_xll.ciqfunctions.udf.CIQ("ASX:RBTZ", "IQ_CLOSEPRICE", "2025-04-04", "USD")</f>
        <v>7.4687999999999999</v>
      </c>
      <c r="X96">
        <f>_xll.ciqfunctions.udf.CIQ("DB:XB0T", "IQ_CLOSEPRICE", "2025-04-04", "USD")</f>
        <v>17.060310000000001</v>
      </c>
    </row>
    <row r="97" spans="1:24" x14ac:dyDescent="0.25">
      <c r="A97" t="s">
        <v>119</v>
      </c>
      <c r="B97">
        <f>_xll.ciqfunctions.udf.CIQ("NasdaqGM:QQQ", "IQ_CLOSEPRICE", "2025-04-03", "USD")</f>
        <v>450.66</v>
      </c>
      <c r="C97">
        <f>_xll.ciqfunctions.udf.CIQ("NasdaqGM:AGIX", "IQ_CLOSEPRICE", "2025-04-03", "USD")</f>
        <v>23.392099999999999</v>
      </c>
      <c r="D97">
        <f>_xll.ciqfunctions.udf.CIQ("NasdaqGM:SMH", "IQ_CLOSEPRICE", "2025-04-03", "USD")</f>
        <v>195.57</v>
      </c>
      <c r="E97">
        <f>_xll.ciqfunctions.udf.CIQ("BATS:IGV", "IQ_CLOSEPRICE", "2025-04-03", "USD")</f>
        <v>86.63</v>
      </c>
      <c r="F97">
        <f>_xll.ciqfunctions.udf.CIQ("NasdaqGM:BOTZ", "IQ_CLOSEPRICE", "2025-04-03", "USD")</f>
        <v>27.24</v>
      </c>
      <c r="G97">
        <f>_xll.ciqfunctions.udf.CIQ("NasdaqGM:AIQ", "IQ_CLOSEPRICE", "2025-04-03", "USD")</f>
        <v>34.83</v>
      </c>
      <c r="H97">
        <f>_xll.ciqfunctions.udf.CIQ("ARCA:ARTY", "IQ_CLOSEPRICE", "2025-04-03", "USD")</f>
        <v>29.96</v>
      </c>
      <c r="I97">
        <f>_xll.ciqfunctions.udf.CIQ("NasdaqGM:ROBT", "IQ_CLOSEPRICE", "2025-04-03", "USD")</f>
        <v>38.96</v>
      </c>
      <c r="J97">
        <f>_xll.ciqfunctions.udf.CIQ("ARCA:IGPT", "IQ_CLOSEPRICE", "2025-04-03", "USD")</f>
        <v>38.35</v>
      </c>
      <c r="K97">
        <f>_xll.ciqfunctions.udf.CIQ("BATS:WTAI", "IQ_CLOSEPRICE", "2025-04-03", "USD")</f>
        <v>18.085000000000001</v>
      </c>
      <c r="L97">
        <f>_xll.ciqfunctions.udf.CIQ("ARCA:THNQ", "IQ_CLOSEPRICE", "2025-04-03", "USD")</f>
        <v>42.24</v>
      </c>
      <c r="M97">
        <f>_xll.ciqfunctions.udf.CIQ("NasdaqGM:FDTX", "IQ_CLOSEPRICE", "2025-04-03", "USD")</f>
        <v>29.97</v>
      </c>
      <c r="N97">
        <f>_xll.ciqfunctions.udf.CIQ("ARCA:CHAT", "IQ_CLOSEPRICE", "2025-04-03", "USD")</f>
        <v>33.25</v>
      </c>
      <c r="O97">
        <f>_xll.ciqfunctions.udf.CIQ("ARCA:LOUP", "IQ_CLOSEPRICE", "2025-04-03", "USD")</f>
        <v>42.758600000000001</v>
      </c>
      <c r="P97">
        <f>_xll.ciqfunctions.udf.CIQ("ARCA:LRNZ", "IQ_CLOSEPRICE", "2025-04-03", "USD")</f>
        <v>32.594999999999999</v>
      </c>
      <c r="Q97">
        <f>_xll.ciqfunctions.udf.CIQ("ARCA:AIS", "IQ_CLOSEPRICE", "2025-04-03", "USD")</f>
        <v>20.204899999999999</v>
      </c>
      <c r="R97">
        <f>_xll.ciqfunctions.udf.CIQ("NasdaqGM:WISE", "IQ_CLOSEPRICE", "2025-04-03", "USD")</f>
        <v>28.7514</v>
      </c>
      <c r="S97">
        <f>_xll.ciqfunctions.udf.CIQ("LSE:RBOT", "IQ_CLOSEPRICE", "2025-04-03", "USD")</f>
        <v>12.355</v>
      </c>
      <c r="T97">
        <f>_xll.ciqfunctions.udf.CIQ("XTRA:XAIX", "IQ_CLOSEPRICE", "2025-04-03", "USD")</f>
        <v>127.18619</v>
      </c>
      <c r="U97">
        <f>_xll.ciqfunctions.udf.CIQ("BIT:WTAI", "IQ_CLOSEPRICE", "2025-04-03", "USD")</f>
        <v>55.346469999999997</v>
      </c>
      <c r="V97">
        <f>_xll.ciqfunctions.udf.CIQ("LSE:AIAG", "IQ_CLOSEPRICE", "2025-04-03", "USD")</f>
        <v>18.725809999999999</v>
      </c>
      <c r="W97">
        <f>_xll.ciqfunctions.udf.CIQ("ASX:RBTZ", "IQ_CLOSEPRICE", "2025-04-03", "USD")</f>
        <v>8.14419</v>
      </c>
      <c r="X97">
        <f>_xll.ciqfunctions.udf.CIQ("DB:XB0T", "IQ_CLOSEPRICE", "2025-04-03", "USD")</f>
        <v>18.096080000000001</v>
      </c>
    </row>
    <row r="98" spans="1:24" x14ac:dyDescent="0.25">
      <c r="A98" t="s">
        <v>120</v>
      </c>
      <c r="B98">
        <f>_xll.ciqfunctions.udf.CIQ("NasdaqGM:QQQ", "IQ_CLOSEPRICE", "2025-04-02", "USD")</f>
        <v>476.15</v>
      </c>
      <c r="C98">
        <f>_xll.ciqfunctions.udf.CIQ("NasdaqGM:AGIX", "IQ_CLOSEPRICE", "2025-04-02", "USD")</f>
        <v>25.41</v>
      </c>
      <c r="D98">
        <f>_xll.ciqfunctions.udf.CIQ("NasdaqGM:SMH", "IQ_CLOSEPRICE", "2025-04-02", "USD")</f>
        <v>214.09</v>
      </c>
      <c r="E98">
        <f>_xll.ciqfunctions.udf.CIQ("BATS:IGV", "IQ_CLOSEPRICE", "2025-04-02", "USD")</f>
        <v>91.52</v>
      </c>
      <c r="F98">
        <f>_xll.ciqfunctions.udf.CIQ("NasdaqGM:BOTZ", "IQ_CLOSEPRICE", "2025-04-02", "USD")</f>
        <v>28.93</v>
      </c>
      <c r="G98">
        <f>_xll.ciqfunctions.udf.CIQ("NasdaqGM:AIQ", "IQ_CLOSEPRICE", "2025-04-02", "USD")</f>
        <v>36.99</v>
      </c>
      <c r="H98">
        <f>_xll.ciqfunctions.udf.CIQ("ARCA:ARTY", "IQ_CLOSEPRICE", "2025-04-02", "USD")</f>
        <v>32.22</v>
      </c>
      <c r="I98">
        <f>_xll.ciqfunctions.udf.CIQ("NasdaqGM:ROBT", "IQ_CLOSEPRICE", "2025-04-02", "USD")</f>
        <v>41.46</v>
      </c>
      <c r="J98">
        <f>_xll.ciqfunctions.udf.CIQ("ARCA:IGPT", "IQ_CLOSEPRICE", "2025-04-02", "USD")</f>
        <v>41.24</v>
      </c>
      <c r="K98">
        <f>_xll.ciqfunctions.udf.CIQ("BATS:WTAI", "IQ_CLOSEPRICE", "2025-04-02", "USD")</f>
        <v>19.5</v>
      </c>
      <c r="L98">
        <f>_xll.ciqfunctions.udf.CIQ("ARCA:THNQ", "IQ_CLOSEPRICE", "2025-04-02", "USD")</f>
        <v>45.32</v>
      </c>
      <c r="M98">
        <f>_xll.ciqfunctions.udf.CIQ("NasdaqGM:FDTX", "IQ_CLOSEPRICE", "2025-04-02", "USD")</f>
        <v>32.171300000000002</v>
      </c>
      <c r="N98">
        <f>_xll.ciqfunctions.udf.CIQ("ARCA:CHAT", "IQ_CLOSEPRICE", "2025-04-02", "USD")</f>
        <v>35.729999999999997</v>
      </c>
      <c r="O98">
        <f>_xll.ciqfunctions.udf.CIQ("ARCA:LOUP", "IQ_CLOSEPRICE", "2025-04-02", "USD")</f>
        <v>47.017200000000003</v>
      </c>
      <c r="P98">
        <f>_xll.ciqfunctions.udf.CIQ("ARCA:LRNZ", "IQ_CLOSEPRICE", "2025-04-02", "USD")</f>
        <v>35.297600000000003</v>
      </c>
      <c r="Q98">
        <f>_xll.ciqfunctions.udf.CIQ("ARCA:AIS", "IQ_CLOSEPRICE", "2025-04-02", "USD")</f>
        <v>22.034500000000001</v>
      </c>
      <c r="R98">
        <f>_xll.ciqfunctions.udf.CIQ("NasdaqGM:WISE", "IQ_CLOSEPRICE", "2025-04-02", "USD")</f>
        <v>30.65</v>
      </c>
      <c r="S98">
        <f>_xll.ciqfunctions.udf.CIQ("LSE:RBOT", "IQ_CLOSEPRICE", "2025-04-02", "USD")</f>
        <v>13.015000000000001</v>
      </c>
      <c r="T98">
        <f>_xll.ciqfunctions.udf.CIQ("XTRA:XAIX", "IQ_CLOSEPRICE", "2025-04-02", "USD")</f>
        <v>133.79655</v>
      </c>
      <c r="U98">
        <f>_xll.ciqfunctions.udf.CIQ("BIT:WTAI", "IQ_CLOSEPRICE", "2025-04-02", "USD")</f>
        <v>58.951250000000002</v>
      </c>
      <c r="V98">
        <f>_xll.ciqfunctions.udf.CIQ("LSE:AIAG", "IQ_CLOSEPRICE", "2025-04-02", "USD")</f>
        <v>19.896519999999999</v>
      </c>
      <c r="W98">
        <f>_xll.ciqfunctions.udf.CIQ("ASX:RBTZ", "IQ_CLOSEPRICE", "2025-04-02", "USD")</f>
        <v>8.2199500000000008</v>
      </c>
      <c r="X98">
        <f>_xll.ciqfunctions.udf.CIQ("DB:XB0T", "IQ_CLOSEPRICE", "2025-04-02", "USD")</f>
        <v>18.890460000000001</v>
      </c>
    </row>
    <row r="99" spans="1:24" x14ac:dyDescent="0.25">
      <c r="A99" t="s">
        <v>121</v>
      </c>
      <c r="B99">
        <f>_xll.ciqfunctions.udf.CIQ("NasdaqGM:QQQ", "IQ_CLOSEPRICE", "2025-04-01", "USD")</f>
        <v>472.7</v>
      </c>
      <c r="C99">
        <f>_xll.ciqfunctions.udf.CIQ("NasdaqGM:AGIX", "IQ_CLOSEPRICE", "2025-04-01", "USD")</f>
        <v>25.03</v>
      </c>
      <c r="D99">
        <f>_xll.ciqfunctions.udf.CIQ("NasdaqGM:SMH", "IQ_CLOSEPRICE", "2025-04-01", "USD")</f>
        <v>212.49</v>
      </c>
      <c r="E99">
        <f>_xll.ciqfunctions.udf.CIQ("BATS:IGV", "IQ_CLOSEPRICE", "2025-04-01", "USD")</f>
        <v>90.32</v>
      </c>
      <c r="F99">
        <f>_xll.ciqfunctions.udf.CIQ("NasdaqGM:BOTZ", "IQ_CLOSEPRICE", "2025-04-01", "USD")</f>
        <v>28.63</v>
      </c>
      <c r="G99">
        <f>_xll.ciqfunctions.udf.CIQ("NasdaqGM:AIQ", "IQ_CLOSEPRICE", "2025-04-01", "USD")</f>
        <v>36.72</v>
      </c>
      <c r="H99">
        <f>_xll.ciqfunctions.udf.CIQ("ARCA:ARTY", "IQ_CLOSEPRICE", "2025-04-01", "USD")</f>
        <v>31.81</v>
      </c>
      <c r="I99">
        <f>_xll.ciqfunctions.udf.CIQ("NasdaqGM:ROBT", "IQ_CLOSEPRICE", "2025-04-01", "USD")</f>
        <v>40.9</v>
      </c>
      <c r="J99">
        <f>_xll.ciqfunctions.udf.CIQ("ARCA:IGPT", "IQ_CLOSEPRICE", "2025-04-01", "USD")</f>
        <v>40.9</v>
      </c>
      <c r="K99">
        <f>_xll.ciqfunctions.udf.CIQ("BATS:WTAI", "IQ_CLOSEPRICE", "2025-04-01", "USD")</f>
        <v>19.254999999999999</v>
      </c>
      <c r="L99">
        <f>_xll.ciqfunctions.udf.CIQ("ARCA:THNQ", "IQ_CLOSEPRICE", "2025-04-01", "USD")</f>
        <v>44.64</v>
      </c>
      <c r="M99">
        <f>_xll.ciqfunctions.udf.CIQ("NasdaqGM:FDTX", "IQ_CLOSEPRICE", "2025-04-01", "USD")</f>
        <v>31.859400000000001</v>
      </c>
      <c r="N99">
        <f>_xll.ciqfunctions.udf.CIQ("ARCA:CHAT", "IQ_CLOSEPRICE", "2025-04-01", "USD")</f>
        <v>35.299999999999997</v>
      </c>
      <c r="O99">
        <f>_xll.ciqfunctions.udf.CIQ("ARCA:LOUP", "IQ_CLOSEPRICE", "2025-04-01", "USD")</f>
        <v>46.131300000000003</v>
      </c>
      <c r="P99">
        <f>_xll.ciqfunctions.udf.CIQ("ARCA:LRNZ", "IQ_CLOSEPRICE", "2025-04-01", "USD")</f>
        <v>34.71</v>
      </c>
      <c r="Q99">
        <f>_xll.ciqfunctions.udf.CIQ("ARCA:AIS", "IQ_CLOSEPRICE", "2025-04-01", "USD")</f>
        <v>21.6814</v>
      </c>
      <c r="R99">
        <f>_xll.ciqfunctions.udf.CIQ("NasdaqGM:WISE", "IQ_CLOSEPRICE", "2025-04-01", "USD")</f>
        <v>30.68</v>
      </c>
      <c r="S99">
        <f>_xll.ciqfunctions.udf.CIQ("LSE:RBOT", "IQ_CLOSEPRICE", "2025-04-01", "USD")</f>
        <v>12.9</v>
      </c>
      <c r="T99">
        <f>_xll.ciqfunctions.udf.CIQ("XTRA:XAIX", "IQ_CLOSEPRICE", "2025-04-01", "USD")</f>
        <v>132.67776000000001</v>
      </c>
      <c r="U99">
        <f>_xll.ciqfunctions.udf.CIQ("BIT:WTAI", "IQ_CLOSEPRICE", "2025-04-01", "USD")</f>
        <v>58.396369999999997</v>
      </c>
      <c r="V99">
        <f>_xll.ciqfunctions.udf.CIQ("LSE:AIAG", "IQ_CLOSEPRICE", "2025-04-01", "USD")</f>
        <v>19.71227</v>
      </c>
      <c r="W99">
        <f>_xll.ciqfunctions.udf.CIQ("ASX:RBTZ", "IQ_CLOSEPRICE", "2025-04-01", "USD")</f>
        <v>8.1831300000000002</v>
      </c>
      <c r="X99">
        <f>_xll.ciqfunctions.udf.CIQ("DB:XB0T", "IQ_CLOSEPRICE", "2025-04-01", "USD")</f>
        <v>18.577909999999999</v>
      </c>
    </row>
    <row r="100" spans="1:24" x14ac:dyDescent="0.25">
      <c r="A100" t="s">
        <v>122</v>
      </c>
      <c r="B100">
        <f>_xll.ciqfunctions.udf.CIQ("NasdaqGM:QQQ", "IQ_CLOSEPRICE", "2025-03-31", "USD")</f>
        <v>468.92</v>
      </c>
      <c r="C100">
        <f>_xll.ciqfunctions.udf.CIQ("NasdaqGM:AGIX", "IQ_CLOSEPRICE", "2025-03-31", "USD")</f>
        <v>24.53</v>
      </c>
      <c r="D100">
        <f>_xll.ciqfunctions.udf.CIQ("NasdaqGM:SMH", "IQ_CLOSEPRICE", "2025-03-31", "USD")</f>
        <v>211.47</v>
      </c>
      <c r="E100">
        <f>_xll.ciqfunctions.udf.CIQ("BATS:IGV", "IQ_CLOSEPRICE", "2025-03-31", "USD")</f>
        <v>88.99</v>
      </c>
      <c r="F100">
        <f>_xll.ciqfunctions.udf.CIQ("NasdaqGM:BOTZ", "IQ_CLOSEPRICE", "2025-03-31", "USD")</f>
        <v>28.46</v>
      </c>
      <c r="G100">
        <f>_xll.ciqfunctions.udf.CIQ("NasdaqGM:AIQ", "IQ_CLOSEPRICE", "2025-03-31", "USD")</f>
        <v>36.380000000000003</v>
      </c>
      <c r="H100">
        <f>_xll.ciqfunctions.udf.CIQ("ARCA:ARTY", "IQ_CLOSEPRICE", "2025-03-31", "USD")</f>
        <v>31.45</v>
      </c>
      <c r="I100">
        <f>_xll.ciqfunctions.udf.CIQ("NasdaqGM:ROBT", "IQ_CLOSEPRICE", "2025-03-31", "USD")</f>
        <v>40.67</v>
      </c>
      <c r="J100">
        <f>_xll.ciqfunctions.udf.CIQ("ARCA:IGPT", "IQ_CLOSEPRICE", "2025-03-31", "USD")</f>
        <v>40.49</v>
      </c>
      <c r="K100">
        <f>_xll.ciqfunctions.udf.CIQ("BATS:WTAI", "IQ_CLOSEPRICE", "2025-03-31", "USD")</f>
        <v>19</v>
      </c>
      <c r="L100">
        <f>_xll.ciqfunctions.udf.CIQ("ARCA:THNQ", "IQ_CLOSEPRICE", "2025-03-31", "USD")</f>
        <v>44.251600000000003</v>
      </c>
      <c r="M100">
        <f>_xll.ciqfunctions.udf.CIQ("NasdaqGM:FDTX", "IQ_CLOSEPRICE", "2025-03-31", "USD")</f>
        <v>31.49</v>
      </c>
      <c r="N100">
        <f>_xll.ciqfunctions.udf.CIQ("ARCA:CHAT", "IQ_CLOSEPRICE", "2025-03-31", "USD")</f>
        <v>34.85</v>
      </c>
      <c r="O100">
        <f>_xll.ciqfunctions.udf.CIQ("ARCA:LOUP", "IQ_CLOSEPRICE", "2025-03-31", "USD")</f>
        <v>45.4131</v>
      </c>
      <c r="P100">
        <f>_xll.ciqfunctions.udf.CIQ("ARCA:LRNZ", "IQ_CLOSEPRICE", "2025-03-31", "USD")</f>
        <v>34.3919</v>
      </c>
      <c r="Q100">
        <f>_xll.ciqfunctions.udf.CIQ("ARCA:AIS", "IQ_CLOSEPRICE", "2025-03-31", "USD")</f>
        <v>21.537299999999998</v>
      </c>
      <c r="R100">
        <f>_xll.ciqfunctions.udf.CIQ("NasdaqGM:WISE", "IQ_CLOSEPRICE", "2025-03-31", "USD")</f>
        <v>30.71</v>
      </c>
      <c r="S100">
        <f>_xll.ciqfunctions.udf.CIQ("LSE:RBOT", "IQ_CLOSEPRICE", "2025-03-31", "USD")</f>
        <v>12.715</v>
      </c>
      <c r="T100">
        <f>_xll.ciqfunctions.udf.CIQ("XTRA:XAIX", "IQ_CLOSEPRICE", "2025-03-31", "USD")</f>
        <v>130.50151</v>
      </c>
      <c r="U100">
        <f>_xll.ciqfunctions.udf.CIQ("BIT:WTAI", "IQ_CLOSEPRICE", "2025-03-31", "USD")</f>
        <v>57.04712</v>
      </c>
      <c r="V100">
        <f>_xll.ciqfunctions.udf.CIQ("LSE:AIAG", "IQ_CLOSEPRICE", "2025-03-31", "USD")</f>
        <v>19.258649999999999</v>
      </c>
      <c r="W100">
        <f>_xll.ciqfunctions.udf.CIQ("ASX:RBTZ", "IQ_CLOSEPRICE", "2025-03-31", "USD")</f>
        <v>8.1077700000000004</v>
      </c>
      <c r="X100">
        <f>_xll.ciqfunctions.udf.CIQ("DB:XB0T", "IQ_CLOSEPRICE", "2025-03-31", "USD")</f>
        <v>18.64246</v>
      </c>
    </row>
    <row r="101" spans="1:24" x14ac:dyDescent="0.25">
      <c r="A101" t="s">
        <v>123</v>
      </c>
      <c r="B101">
        <f>_xll.ciqfunctions.udf.CIQ("NasdaqGM:QQQ", "IQ_CLOSEPRICE", "2025-03-28", "USD")</f>
        <v>468.94</v>
      </c>
      <c r="C101">
        <f>_xll.ciqfunctions.udf.CIQ("NasdaqGM:AGIX", "IQ_CLOSEPRICE", "2025-03-28", "USD")</f>
        <v>24.9145</v>
      </c>
      <c r="D101">
        <f>_xll.ciqfunctions.udf.CIQ("NasdaqGM:SMH", "IQ_CLOSEPRICE", "2025-03-28", "USD")</f>
        <v>212.17</v>
      </c>
      <c r="E101">
        <f>_xll.ciqfunctions.udf.CIQ("BATS:IGV", "IQ_CLOSEPRICE", "2025-03-28", "USD")</f>
        <v>89.87</v>
      </c>
      <c r="F101">
        <f>_xll.ciqfunctions.udf.CIQ("NasdaqGM:BOTZ", "IQ_CLOSEPRICE", "2025-03-28", "USD")</f>
        <v>28.95</v>
      </c>
      <c r="G101">
        <f>_xll.ciqfunctions.udf.CIQ("NasdaqGM:AIQ", "IQ_CLOSEPRICE", "2025-03-28", "USD")</f>
        <v>36.54</v>
      </c>
      <c r="H101">
        <f>_xll.ciqfunctions.udf.CIQ("ARCA:ARTY", "IQ_CLOSEPRICE", "2025-03-28", "USD")</f>
        <v>31.74</v>
      </c>
      <c r="I101">
        <f>_xll.ciqfunctions.udf.CIQ("NasdaqGM:ROBT", "IQ_CLOSEPRICE", "2025-03-28", "USD")</f>
        <v>41.23</v>
      </c>
      <c r="J101">
        <f>_xll.ciqfunctions.udf.CIQ("ARCA:IGPT", "IQ_CLOSEPRICE", "2025-03-28", "USD")</f>
        <v>40.74</v>
      </c>
      <c r="K101">
        <f>_xll.ciqfunctions.udf.CIQ("BATS:WTAI", "IQ_CLOSEPRICE", "2025-03-28", "USD")</f>
        <v>19.309999999999999</v>
      </c>
      <c r="L101">
        <f>_xll.ciqfunctions.udf.CIQ("ARCA:THNQ", "IQ_CLOSEPRICE", "2025-03-28", "USD")</f>
        <v>44.825200000000002</v>
      </c>
      <c r="M101">
        <f>_xll.ciqfunctions.udf.CIQ("NasdaqGM:FDTX", "IQ_CLOSEPRICE", "2025-03-28", "USD")</f>
        <v>31.73</v>
      </c>
      <c r="N101">
        <f>_xll.ciqfunctions.udf.CIQ("ARCA:CHAT", "IQ_CLOSEPRICE", "2025-03-28", "USD")</f>
        <v>35.25</v>
      </c>
      <c r="O101">
        <f>_xll.ciqfunctions.udf.CIQ("ARCA:LOUP", "IQ_CLOSEPRICE", "2025-03-28", "USD")</f>
        <v>46.177799999999998</v>
      </c>
      <c r="P101">
        <f>_xll.ciqfunctions.udf.CIQ("ARCA:LRNZ", "IQ_CLOSEPRICE", "2025-03-28", "USD")</f>
        <v>35.057699999999997</v>
      </c>
      <c r="Q101">
        <f>_xll.ciqfunctions.udf.CIQ("ARCA:AIS", "IQ_CLOSEPRICE", "2025-03-28", "USD")</f>
        <v>21.760100000000001</v>
      </c>
      <c r="R101">
        <f>_xll.ciqfunctions.udf.CIQ("NasdaqGM:WISE", "IQ_CLOSEPRICE", "2025-03-28", "USD")</f>
        <v>30.82</v>
      </c>
      <c r="S101">
        <f>_xll.ciqfunctions.udf.CIQ("LSE:RBOT", "IQ_CLOSEPRICE", "2025-03-28", "USD")</f>
        <v>12.975</v>
      </c>
      <c r="T101">
        <f>_xll.ciqfunctions.udf.CIQ("XTRA:XAIX", "IQ_CLOSEPRICE", "2025-03-28", "USD")</f>
        <v>132.43068</v>
      </c>
      <c r="U101">
        <f>_xll.ciqfunctions.udf.CIQ("BIT:WTAI", "IQ_CLOSEPRICE", "2025-03-28", "USD")</f>
        <v>58.54636</v>
      </c>
      <c r="V101">
        <f>_xll.ciqfunctions.udf.CIQ("LSE:AIAG", "IQ_CLOSEPRICE", "2025-03-28", "USD")</f>
        <v>19.827310000000001</v>
      </c>
      <c r="W101">
        <f>_xll.ciqfunctions.udf.CIQ("ASX:RBTZ", "IQ_CLOSEPRICE", "2025-03-28", "USD")</f>
        <v>8.5253700000000006</v>
      </c>
      <c r="X101">
        <f>_xll.ciqfunctions.udf.CIQ("DB:XB0T", "IQ_CLOSEPRICE", "2025-03-28", "USD")</f>
        <v>19.068460000000002</v>
      </c>
    </row>
    <row r="102" spans="1:24" x14ac:dyDescent="0.25">
      <c r="A102" t="s">
        <v>124</v>
      </c>
      <c r="B102">
        <f>_xll.ciqfunctions.udf.CIQ("NasdaqGM:QQQ", "IQ_CLOSEPRICE", "2025-03-27", "USD")</f>
        <v>481.62</v>
      </c>
      <c r="C102">
        <f>_xll.ciqfunctions.udf.CIQ("NasdaqGM:AGIX", "IQ_CLOSEPRICE", "2025-03-27", "USD")</f>
        <v>25.82</v>
      </c>
      <c r="D102">
        <f>_xll.ciqfunctions.udf.CIQ("NasdaqGM:SMH", "IQ_CLOSEPRICE", "2025-03-27", "USD")</f>
        <v>217.75</v>
      </c>
      <c r="E102">
        <f>_xll.ciqfunctions.udf.CIQ("BATS:IGV", "IQ_CLOSEPRICE", "2025-03-27", "USD")</f>
        <v>92.52</v>
      </c>
      <c r="F102">
        <f>_xll.ciqfunctions.udf.CIQ("NasdaqGM:BOTZ", "IQ_CLOSEPRICE", "2025-03-27", "USD")</f>
        <v>29.86</v>
      </c>
      <c r="G102">
        <f>_xll.ciqfunctions.udf.CIQ("NasdaqGM:AIQ", "IQ_CLOSEPRICE", "2025-03-27", "USD")</f>
        <v>37.619999999999997</v>
      </c>
      <c r="H102">
        <f>_xll.ciqfunctions.udf.CIQ("ARCA:ARTY", "IQ_CLOSEPRICE", "2025-03-27", "USD")</f>
        <v>32.64</v>
      </c>
      <c r="I102">
        <f>_xll.ciqfunctions.udf.CIQ("NasdaqGM:ROBT", "IQ_CLOSEPRICE", "2025-03-27", "USD")</f>
        <v>42.41</v>
      </c>
      <c r="J102">
        <f>_xll.ciqfunctions.udf.CIQ("ARCA:IGPT", "IQ_CLOSEPRICE", "2025-03-27", "USD")</f>
        <v>42.17</v>
      </c>
      <c r="K102">
        <f>_xll.ciqfunctions.udf.CIQ("BATS:WTAI", "IQ_CLOSEPRICE", "2025-03-27", "USD")</f>
        <v>19.940000000000001</v>
      </c>
      <c r="L102">
        <f>_xll.ciqfunctions.udf.CIQ("ARCA:THNQ", "IQ_CLOSEPRICE", "2025-03-27", "USD")</f>
        <v>46.24</v>
      </c>
      <c r="M102">
        <f>_xll.ciqfunctions.udf.CIQ("NasdaqGM:FDTX", "IQ_CLOSEPRICE", "2025-03-27", "USD")</f>
        <v>32.68</v>
      </c>
      <c r="N102">
        <f>_xll.ciqfunctions.udf.CIQ("ARCA:CHAT", "IQ_CLOSEPRICE", "2025-03-27", "USD")</f>
        <v>36.39</v>
      </c>
      <c r="O102">
        <f>_xll.ciqfunctions.udf.CIQ("ARCA:LOUP", "IQ_CLOSEPRICE", "2025-03-27", "USD")</f>
        <v>47.653599999999997</v>
      </c>
      <c r="P102">
        <f>_xll.ciqfunctions.udf.CIQ("ARCA:LRNZ", "IQ_CLOSEPRICE", "2025-03-27", "USD")</f>
        <v>36.160800000000002</v>
      </c>
      <c r="Q102">
        <f>_xll.ciqfunctions.udf.CIQ("ARCA:AIS", "IQ_CLOSEPRICE", "2025-03-27", "USD")</f>
        <v>22.503</v>
      </c>
      <c r="R102">
        <f>_xll.ciqfunctions.udf.CIQ("NasdaqGM:WISE", "IQ_CLOSEPRICE", "2025-03-27", "USD")</f>
        <v>31.94</v>
      </c>
      <c r="S102">
        <f>_xll.ciqfunctions.udf.CIQ("LSE:RBOT", "IQ_CLOSEPRICE", "2025-03-27", "USD")</f>
        <v>13.385</v>
      </c>
      <c r="T102">
        <f>_xll.ciqfunctions.udf.CIQ("XTRA:XAIX", "IQ_CLOSEPRICE", "2025-03-27", "USD")</f>
        <v>136.57167999999999</v>
      </c>
      <c r="U102">
        <f>_xll.ciqfunctions.udf.CIQ("BIT:WTAI", "IQ_CLOSEPRICE", "2025-03-27", "USD")</f>
        <v>60.794469999999997</v>
      </c>
      <c r="V102">
        <f>_xll.ciqfunctions.udf.CIQ("LSE:AIAG", "IQ_CLOSEPRICE", "2025-03-27", "USD")</f>
        <v>20.56559</v>
      </c>
      <c r="W102">
        <f>_xll.ciqfunctions.udf.CIQ("ASX:RBTZ", "IQ_CLOSEPRICE", "2025-03-27", "USD")</f>
        <v>8.6945499999999996</v>
      </c>
      <c r="X102">
        <f>_xll.ciqfunctions.udf.CIQ("DB:XB0T", "IQ_CLOSEPRICE", "2025-03-27", "USD")</f>
        <v>19.786269999999998</v>
      </c>
    </row>
    <row r="103" spans="1:24" x14ac:dyDescent="0.25">
      <c r="A103" t="s">
        <v>125</v>
      </c>
      <c r="B103">
        <f>_xll.ciqfunctions.udf.CIQ("NasdaqGM:QQQ", "IQ_CLOSEPRICE", "2025-03-26", "USD")</f>
        <v>484.38</v>
      </c>
      <c r="C103">
        <f>_xll.ciqfunctions.udf.CIQ("NasdaqGM:AGIX", "IQ_CLOSEPRICE", "2025-03-26", "USD")</f>
        <v>26.02</v>
      </c>
      <c r="D103">
        <f>_xll.ciqfunctions.udf.CIQ("NasdaqGM:SMH", "IQ_CLOSEPRICE", "2025-03-26", "USD")</f>
        <v>222.01</v>
      </c>
      <c r="E103">
        <f>_xll.ciqfunctions.udf.CIQ("BATS:IGV", "IQ_CLOSEPRICE", "2025-03-26", "USD")</f>
        <v>94.13</v>
      </c>
      <c r="F103">
        <f>_xll.ciqfunctions.udf.CIQ("NasdaqGM:BOTZ", "IQ_CLOSEPRICE", "2025-03-26", "USD")</f>
        <v>30.04</v>
      </c>
      <c r="G103">
        <f>_xll.ciqfunctions.udf.CIQ("NasdaqGM:AIQ", "IQ_CLOSEPRICE", "2025-03-26", "USD")</f>
        <v>37.92</v>
      </c>
      <c r="H103">
        <f>_xll.ciqfunctions.udf.CIQ("ARCA:ARTY", "IQ_CLOSEPRICE", "2025-03-26", "USD")</f>
        <v>33.46</v>
      </c>
      <c r="I103">
        <f>_xll.ciqfunctions.udf.CIQ("NasdaqGM:ROBT", "IQ_CLOSEPRICE", "2025-03-26", "USD")</f>
        <v>42.96</v>
      </c>
      <c r="J103">
        <f>_xll.ciqfunctions.udf.CIQ("ARCA:IGPT", "IQ_CLOSEPRICE", "2025-03-26", "USD")</f>
        <v>42.73</v>
      </c>
      <c r="K103">
        <f>_xll.ciqfunctions.udf.CIQ("BATS:WTAI", "IQ_CLOSEPRICE", "2025-03-26", "USD")</f>
        <v>20.27</v>
      </c>
      <c r="L103">
        <f>_xll.ciqfunctions.udf.CIQ("ARCA:THNQ", "IQ_CLOSEPRICE", "2025-03-26", "USD")</f>
        <v>46.97</v>
      </c>
      <c r="M103">
        <f>_xll.ciqfunctions.udf.CIQ("NasdaqGM:FDTX", "IQ_CLOSEPRICE", "2025-03-26", "USD")</f>
        <v>33.08</v>
      </c>
      <c r="N103">
        <f>_xll.ciqfunctions.udf.CIQ("ARCA:CHAT", "IQ_CLOSEPRICE", "2025-03-26", "USD")</f>
        <v>36.9</v>
      </c>
      <c r="O103">
        <f>_xll.ciqfunctions.udf.CIQ("ARCA:LOUP", "IQ_CLOSEPRICE", "2025-03-26", "USD")</f>
        <v>48.714799999999997</v>
      </c>
      <c r="P103">
        <f>_xll.ciqfunctions.udf.CIQ("ARCA:LRNZ", "IQ_CLOSEPRICE", "2025-03-26", "USD")</f>
        <v>36.78</v>
      </c>
      <c r="Q103">
        <f>_xll.ciqfunctions.udf.CIQ("ARCA:AIS", "IQ_CLOSEPRICE", "2025-03-26", "USD")</f>
        <v>22.902799999999999</v>
      </c>
      <c r="R103">
        <f>_xll.ciqfunctions.udf.CIQ("NasdaqGM:WISE", "IQ_CLOSEPRICE", "2025-03-26", "USD")</f>
        <v>32.42</v>
      </c>
      <c r="S103">
        <f>_xll.ciqfunctions.udf.CIQ("LSE:RBOT", "IQ_CLOSEPRICE", "2025-03-26", "USD")</f>
        <v>13.535</v>
      </c>
      <c r="T103">
        <f>_xll.ciqfunctions.udf.CIQ("XTRA:XAIX", "IQ_CLOSEPRICE", "2025-03-26", "USD")</f>
        <v>137.53236000000001</v>
      </c>
      <c r="U103">
        <f>_xll.ciqfunctions.udf.CIQ("BIT:WTAI", "IQ_CLOSEPRICE", "2025-03-26", "USD")</f>
        <v>61.809750000000001</v>
      </c>
      <c r="V103">
        <f>_xll.ciqfunctions.udf.CIQ("LSE:AIAG", "IQ_CLOSEPRICE", "2025-03-26", "USD")</f>
        <v>20.903659999999999</v>
      </c>
      <c r="W103">
        <f>_xll.ciqfunctions.udf.CIQ("ASX:RBTZ", "IQ_CLOSEPRICE", "2025-03-26", "USD")</f>
        <v>8.8025699999999993</v>
      </c>
      <c r="X103">
        <f>_xll.ciqfunctions.udf.CIQ("DB:XB0T", "IQ_CLOSEPRICE", "2025-03-26", "USD")</f>
        <v>20.15099</v>
      </c>
    </row>
    <row r="104" spans="1:24" x14ac:dyDescent="0.25">
      <c r="A104" t="s">
        <v>126</v>
      </c>
      <c r="B104">
        <f>_xll.ciqfunctions.udf.CIQ("NasdaqGM:QQQ", "IQ_CLOSEPRICE", "2025-03-25", "USD")</f>
        <v>493.46</v>
      </c>
      <c r="C104">
        <f>_xll.ciqfunctions.udf.CIQ("NasdaqGM:AGIX", "IQ_CLOSEPRICE", "2025-03-25", "USD")</f>
        <v>27</v>
      </c>
      <c r="D104">
        <f>_xll.ciqfunctions.udf.CIQ("NasdaqGM:SMH", "IQ_CLOSEPRICE", "2025-03-25", "USD")</f>
        <v>229.65</v>
      </c>
      <c r="E104">
        <f>_xll.ciqfunctions.udf.CIQ("BATS:IGV", "IQ_CLOSEPRICE", "2025-03-25", "USD")</f>
        <v>96.37</v>
      </c>
      <c r="F104">
        <f>_xll.ciqfunctions.udf.CIQ("NasdaqGM:BOTZ", "IQ_CLOSEPRICE", "2025-03-25", "USD")</f>
        <v>30.74</v>
      </c>
      <c r="G104">
        <f>_xll.ciqfunctions.udf.CIQ("NasdaqGM:AIQ", "IQ_CLOSEPRICE", "2025-03-25", "USD")</f>
        <v>38.69</v>
      </c>
      <c r="H104">
        <f>_xll.ciqfunctions.udf.CIQ("ARCA:ARTY", "IQ_CLOSEPRICE", "2025-03-25", "USD")</f>
        <v>34.65</v>
      </c>
      <c r="I104">
        <f>_xll.ciqfunctions.udf.CIQ("NasdaqGM:ROBT", "IQ_CLOSEPRICE", "2025-03-25", "USD")</f>
        <v>43.7</v>
      </c>
      <c r="J104">
        <f>_xll.ciqfunctions.udf.CIQ("ARCA:IGPT", "IQ_CLOSEPRICE", "2025-03-25", "USD")</f>
        <v>43.81</v>
      </c>
      <c r="K104">
        <f>_xll.ciqfunctions.udf.CIQ("BATS:WTAI", "IQ_CLOSEPRICE", "2025-03-25", "USD")</f>
        <v>20.86</v>
      </c>
      <c r="L104">
        <f>_xll.ciqfunctions.udf.CIQ("ARCA:THNQ", "IQ_CLOSEPRICE", "2025-03-25", "USD")</f>
        <v>48.6843</v>
      </c>
      <c r="M104">
        <f>_xll.ciqfunctions.udf.CIQ("NasdaqGM:FDTX", "IQ_CLOSEPRICE", "2025-03-25", "USD")</f>
        <v>34.119999999999997</v>
      </c>
      <c r="N104">
        <f>_xll.ciqfunctions.udf.CIQ("ARCA:CHAT", "IQ_CLOSEPRICE", "2025-03-25", "USD")</f>
        <v>37.887900000000002</v>
      </c>
      <c r="O104">
        <f>_xll.ciqfunctions.udf.CIQ("ARCA:LOUP", "IQ_CLOSEPRICE", "2025-03-25", "USD")</f>
        <v>50.684800000000003</v>
      </c>
      <c r="P104">
        <f>_xll.ciqfunctions.udf.CIQ("ARCA:LRNZ", "IQ_CLOSEPRICE", "2025-03-25", "USD")</f>
        <v>38.044199999999996</v>
      </c>
      <c r="Q104">
        <f>_xll.ciqfunctions.udf.CIQ("ARCA:AIS", "IQ_CLOSEPRICE", "2025-03-25", "USD")</f>
        <v>23.6845</v>
      </c>
      <c r="R104">
        <f>_xll.ciqfunctions.udf.CIQ("NasdaqGM:WISE", "IQ_CLOSEPRICE", "2025-03-25", "USD")</f>
        <v>33.500900000000001</v>
      </c>
      <c r="S104">
        <f>_xll.ciqfunctions.udf.CIQ("LSE:RBOT", "IQ_CLOSEPRICE", "2025-03-25", "USD")</f>
        <v>13.75</v>
      </c>
      <c r="T104">
        <f>_xll.ciqfunctions.udf.CIQ("XTRA:XAIX", "IQ_CLOSEPRICE", "2025-03-25", "USD")</f>
        <v>139.53941</v>
      </c>
      <c r="U104">
        <f>_xll.ciqfunctions.udf.CIQ("BIT:WTAI", "IQ_CLOSEPRICE", "2025-03-25", "USD")</f>
        <v>62.958159999999999</v>
      </c>
      <c r="V104">
        <f>_xll.ciqfunctions.udf.CIQ("LSE:AIAG", "IQ_CLOSEPRICE", "2025-03-25", "USD")</f>
        <v>21.384709999999998</v>
      </c>
      <c r="W104">
        <f>_xll.ciqfunctions.udf.CIQ("ASX:RBTZ", "IQ_CLOSEPRICE", "2025-03-25", "USD")</f>
        <v>8.8042400000000001</v>
      </c>
      <c r="X104">
        <f>_xll.ciqfunctions.udf.CIQ("DB:XB0T", "IQ_CLOSEPRICE", "2025-03-25", "USD")</f>
        <v>20.192450000000001</v>
      </c>
    </row>
    <row r="105" spans="1:24" x14ac:dyDescent="0.25">
      <c r="A105" t="s">
        <v>127</v>
      </c>
      <c r="B105">
        <f>_xll.ciqfunctions.udf.CIQ("NasdaqGM:QQQ", "IQ_CLOSEPRICE", "2025-03-24", "USD")</f>
        <v>490.66</v>
      </c>
      <c r="C105">
        <f>_xll.ciqfunctions.udf.CIQ("NasdaqGM:AGIX", "IQ_CLOSEPRICE", "2025-03-24", "USD")</f>
        <v>26.85</v>
      </c>
      <c r="D105">
        <f>_xll.ciqfunctions.udf.CIQ("NasdaqGM:SMH", "IQ_CLOSEPRICE", "2025-03-24", "USD")</f>
        <v>230.63</v>
      </c>
      <c r="E105">
        <f>_xll.ciqfunctions.udf.CIQ("BATS:IGV", "IQ_CLOSEPRICE", "2025-03-24", "USD")</f>
        <v>95.41</v>
      </c>
      <c r="F105">
        <f>_xll.ciqfunctions.udf.CIQ("NasdaqGM:BOTZ", "IQ_CLOSEPRICE", "2025-03-24", "USD")</f>
        <v>30.68</v>
      </c>
      <c r="G105">
        <f>_xll.ciqfunctions.udf.CIQ("NasdaqGM:AIQ", "IQ_CLOSEPRICE", "2025-03-24", "USD")</f>
        <v>38.6</v>
      </c>
      <c r="H105">
        <f>_xll.ciqfunctions.udf.CIQ("ARCA:ARTY", "IQ_CLOSEPRICE", "2025-03-24", "USD")</f>
        <v>34.729999999999997</v>
      </c>
      <c r="I105">
        <f>_xll.ciqfunctions.udf.CIQ("NasdaqGM:ROBT", "IQ_CLOSEPRICE", "2025-03-24", "USD")</f>
        <v>43.57</v>
      </c>
      <c r="J105">
        <f>_xll.ciqfunctions.udf.CIQ("ARCA:IGPT", "IQ_CLOSEPRICE", "2025-03-24", "USD")</f>
        <v>43.77</v>
      </c>
      <c r="K105">
        <f>_xll.ciqfunctions.udf.CIQ("BATS:WTAI", "IQ_CLOSEPRICE", "2025-03-24", "USD")</f>
        <v>20.8</v>
      </c>
      <c r="L105">
        <f>_xll.ciqfunctions.udf.CIQ("ARCA:THNQ", "IQ_CLOSEPRICE", "2025-03-24", "USD")</f>
        <v>48.53</v>
      </c>
      <c r="M105">
        <f>_xll.ciqfunctions.udf.CIQ("NasdaqGM:FDTX", "IQ_CLOSEPRICE", "2025-03-24", "USD")</f>
        <v>33.86</v>
      </c>
      <c r="N105">
        <f>_xll.ciqfunctions.udf.CIQ("ARCA:CHAT", "IQ_CLOSEPRICE", "2025-03-24", "USD")</f>
        <v>37.984999999999999</v>
      </c>
      <c r="O105">
        <f>_xll.ciqfunctions.udf.CIQ("ARCA:LOUP", "IQ_CLOSEPRICE", "2025-03-24", "USD")</f>
        <v>51.098300000000002</v>
      </c>
      <c r="P105">
        <f>_xll.ciqfunctions.udf.CIQ("ARCA:LRNZ", "IQ_CLOSEPRICE", "2025-03-24", "USD")</f>
        <v>37.891800000000003</v>
      </c>
      <c r="Q105">
        <f>_xll.ciqfunctions.udf.CIQ("ARCA:AIS", "IQ_CLOSEPRICE", "2025-03-24", "USD")</f>
        <v>23.9754</v>
      </c>
      <c r="R105">
        <f>_xll.ciqfunctions.udf.CIQ("NasdaqGM:WISE", "IQ_CLOSEPRICE", "2025-03-24", "USD")</f>
        <v>33.47</v>
      </c>
      <c r="S105">
        <f>_xll.ciqfunctions.udf.CIQ("LSE:RBOT", "IQ_CLOSEPRICE", "2025-03-24", "USD")</f>
        <v>13.685</v>
      </c>
      <c r="T105">
        <f>_xll.ciqfunctions.udf.CIQ("XTRA:XAIX", "IQ_CLOSEPRICE", "2025-03-24", "USD")</f>
        <v>138.73581999999999</v>
      </c>
      <c r="U105">
        <f>_xll.ciqfunctions.udf.CIQ("BIT:WTAI", "IQ_CLOSEPRICE", "2025-03-24", "USD")</f>
        <v>62.928150000000002</v>
      </c>
      <c r="V105">
        <f>_xll.ciqfunctions.udf.CIQ("LSE:AIAG", "IQ_CLOSEPRICE", "2025-03-24", "USD")</f>
        <v>21.292549999999999</v>
      </c>
      <c r="W105">
        <f>_xll.ciqfunctions.udf.CIQ("ASX:RBTZ", "IQ_CLOSEPRICE", "2025-03-24", "USD")</f>
        <v>8.7308599999999998</v>
      </c>
      <c r="X105">
        <f>_xll.ciqfunctions.udf.CIQ("DB:XB0T", "IQ_CLOSEPRICE", "2025-03-24", "USD")</f>
        <v>19.786059999999999</v>
      </c>
    </row>
    <row r="106" spans="1:24" x14ac:dyDescent="0.25">
      <c r="A106" t="s">
        <v>128</v>
      </c>
      <c r="B106">
        <f>_xll.ciqfunctions.udf.CIQ("NasdaqGM:QQQ", "IQ_CLOSEPRICE", "2025-03-21", "USD")</f>
        <v>480.84</v>
      </c>
      <c r="C106">
        <f>_xll.ciqfunctions.udf.CIQ("NasdaqGM:AGIX", "IQ_CLOSEPRICE", "2025-03-21", "USD")</f>
        <v>26.014500000000002</v>
      </c>
      <c r="D106">
        <f>_xll.ciqfunctions.udf.CIQ("NasdaqGM:SMH", "IQ_CLOSEPRICE", "2025-03-21", "USD")</f>
        <v>224.77</v>
      </c>
      <c r="E106">
        <f>_xll.ciqfunctions.udf.CIQ("BATS:IGV", "IQ_CLOSEPRICE", "2025-03-21", "USD")</f>
        <v>93.11</v>
      </c>
      <c r="F106">
        <f>_xll.ciqfunctions.udf.CIQ("NasdaqGM:BOTZ", "IQ_CLOSEPRICE", "2025-03-21", "USD")</f>
        <v>30.34</v>
      </c>
      <c r="G106">
        <f>_xll.ciqfunctions.udf.CIQ("NasdaqGM:AIQ", "IQ_CLOSEPRICE", "2025-03-21", "USD")</f>
        <v>37.840000000000003</v>
      </c>
      <c r="H106">
        <f>_xll.ciqfunctions.udf.CIQ("ARCA:ARTY", "IQ_CLOSEPRICE", "2025-03-21", "USD")</f>
        <v>33.89</v>
      </c>
      <c r="I106">
        <f>_xll.ciqfunctions.udf.CIQ("NasdaqGM:ROBT", "IQ_CLOSEPRICE", "2025-03-21", "USD")</f>
        <v>42.64</v>
      </c>
      <c r="J106">
        <f>_xll.ciqfunctions.udf.CIQ("ARCA:IGPT", "IQ_CLOSEPRICE", "2025-03-21", "USD")</f>
        <v>42.63</v>
      </c>
      <c r="K106">
        <f>_xll.ciqfunctions.udf.CIQ("BATS:WTAI", "IQ_CLOSEPRICE", "2025-03-21", "USD")</f>
        <v>20.215</v>
      </c>
      <c r="L106">
        <f>_xll.ciqfunctions.udf.CIQ("ARCA:THNQ", "IQ_CLOSEPRICE", "2025-03-21", "USD")</f>
        <v>47.1</v>
      </c>
      <c r="M106">
        <f>_xll.ciqfunctions.udf.CIQ("NasdaqGM:FDTX", "IQ_CLOSEPRICE", "2025-03-21", "USD")</f>
        <v>33.200000000000003</v>
      </c>
      <c r="N106">
        <f>_xll.ciqfunctions.udf.CIQ("ARCA:CHAT", "IQ_CLOSEPRICE", "2025-03-21", "USD")</f>
        <v>37.159999999999997</v>
      </c>
      <c r="O106">
        <f>_xll.ciqfunctions.udf.CIQ("ARCA:LOUP", "IQ_CLOSEPRICE", "2025-03-21", "USD")</f>
        <v>49.589300000000001</v>
      </c>
      <c r="P106">
        <f>_xll.ciqfunctions.udf.CIQ("ARCA:LRNZ", "IQ_CLOSEPRICE", "2025-03-21", "USD")</f>
        <v>36.5443</v>
      </c>
      <c r="Q106">
        <f>_xll.ciqfunctions.udf.CIQ("ARCA:AIS", "IQ_CLOSEPRICE", "2025-03-21", "USD")</f>
        <v>23.531199999999998</v>
      </c>
      <c r="R106">
        <f>_xll.ciqfunctions.udf.CIQ("NasdaqGM:WISE", "IQ_CLOSEPRICE", "2025-03-21", "USD")</f>
        <v>32.630000000000003</v>
      </c>
      <c r="S106">
        <f>_xll.ciqfunctions.udf.CIQ("LSE:RBOT", "IQ_CLOSEPRICE", "2025-03-21", "USD")</f>
        <v>13.43</v>
      </c>
      <c r="T106">
        <f>_xll.ciqfunctions.udf.CIQ("XTRA:XAIX", "IQ_CLOSEPRICE", "2025-03-21", "USD")</f>
        <v>135.51109</v>
      </c>
      <c r="U106">
        <f>_xll.ciqfunctions.udf.CIQ("BIT:WTAI", "IQ_CLOSEPRICE", "2025-03-21", "USD")</f>
        <v>61.049219999999998</v>
      </c>
      <c r="V106">
        <f>_xll.ciqfunctions.udf.CIQ("LSE:AIAG", "IQ_CLOSEPRICE", "2025-03-21", "USD")</f>
        <v>20.65654</v>
      </c>
      <c r="W106">
        <f>_xll.ciqfunctions.udf.CIQ("ASX:RBTZ", "IQ_CLOSEPRICE", "2025-03-21", "USD")</f>
        <v>8.7158300000000004</v>
      </c>
      <c r="X106">
        <f>_xll.ciqfunctions.udf.CIQ("DB:XB0T", "IQ_CLOSEPRICE", "2025-03-21", "USD")</f>
        <v>19.935099999999998</v>
      </c>
    </row>
    <row r="107" spans="1:24" x14ac:dyDescent="0.25">
      <c r="A107" t="s">
        <v>129</v>
      </c>
      <c r="B107">
        <f>_xll.ciqfunctions.udf.CIQ("NasdaqGM:QQQ", "IQ_CLOSEPRICE", "2025-03-20", "USD")</f>
        <v>479.26</v>
      </c>
      <c r="C107">
        <f>_xll.ciqfunctions.udf.CIQ("NasdaqGM:AGIX", "IQ_CLOSEPRICE", "2025-03-20", "USD")</f>
        <v>25.83</v>
      </c>
      <c r="D107">
        <f>_xll.ciqfunctions.udf.CIQ("NasdaqGM:SMH", "IQ_CLOSEPRICE", "2025-03-20", "USD")</f>
        <v>227.05</v>
      </c>
      <c r="E107">
        <f>_xll.ciqfunctions.udf.CIQ("BATS:IGV", "IQ_CLOSEPRICE", "2025-03-20", "USD")</f>
        <v>92.57</v>
      </c>
      <c r="F107">
        <f>_xll.ciqfunctions.udf.CIQ("NasdaqGM:BOTZ", "IQ_CLOSEPRICE", "2025-03-20", "USD")</f>
        <v>30.53</v>
      </c>
      <c r="G107">
        <f>_xll.ciqfunctions.udf.CIQ("NasdaqGM:AIQ", "IQ_CLOSEPRICE", "2025-03-20", "USD")</f>
        <v>37.75</v>
      </c>
      <c r="H107">
        <f>_xll.ciqfunctions.udf.CIQ("ARCA:ARTY", "IQ_CLOSEPRICE", "2025-03-20", "USD")</f>
        <v>33.74</v>
      </c>
      <c r="I107">
        <f>_xll.ciqfunctions.udf.CIQ("NasdaqGM:ROBT", "IQ_CLOSEPRICE", "2025-03-20", "USD")</f>
        <v>42.61</v>
      </c>
      <c r="J107">
        <f>_xll.ciqfunctions.udf.CIQ("ARCA:IGPT", "IQ_CLOSEPRICE", "2025-03-20", "USD")</f>
        <v>42.71</v>
      </c>
      <c r="K107">
        <f>_xll.ciqfunctions.udf.CIQ("BATS:WTAI", "IQ_CLOSEPRICE", "2025-03-20", "USD")</f>
        <v>20.079999999999998</v>
      </c>
      <c r="L107">
        <f>_xll.ciqfunctions.udf.CIQ("ARCA:THNQ", "IQ_CLOSEPRICE", "2025-03-20", "USD")</f>
        <v>46.96</v>
      </c>
      <c r="M107">
        <f>_xll.ciqfunctions.udf.CIQ("NasdaqGM:FDTX", "IQ_CLOSEPRICE", "2025-03-20", "USD")</f>
        <v>33.229999999999997</v>
      </c>
      <c r="N107">
        <f>_xll.ciqfunctions.udf.CIQ("ARCA:CHAT", "IQ_CLOSEPRICE", "2025-03-20", "USD")</f>
        <v>37.18</v>
      </c>
      <c r="O107">
        <f>_xll.ciqfunctions.udf.CIQ("ARCA:LOUP", "IQ_CLOSEPRICE", "2025-03-20", "USD")</f>
        <v>49.358800000000002</v>
      </c>
      <c r="P107">
        <f>_xll.ciqfunctions.udf.CIQ("ARCA:LRNZ", "IQ_CLOSEPRICE", "2025-03-20", "USD")</f>
        <v>36.567999999999998</v>
      </c>
      <c r="Q107">
        <f>_xll.ciqfunctions.udf.CIQ("ARCA:AIS", "IQ_CLOSEPRICE", "2025-03-20", "USD")</f>
        <v>23.6769</v>
      </c>
      <c r="R107">
        <f>_xll.ciqfunctions.udf.CIQ("NasdaqGM:WISE", "IQ_CLOSEPRICE", "2025-03-20", "USD")</f>
        <v>32.35</v>
      </c>
      <c r="S107">
        <f>_xll.ciqfunctions.udf.CIQ("LSE:RBOT", "IQ_CLOSEPRICE", "2025-03-20", "USD")</f>
        <v>13.52</v>
      </c>
      <c r="T107">
        <f>_xll.ciqfunctions.udf.CIQ("XTRA:XAIX", "IQ_CLOSEPRICE", "2025-03-20", "USD")</f>
        <v>136.13281000000001</v>
      </c>
      <c r="U107">
        <f>_xll.ciqfunctions.udf.CIQ("BIT:WTAI", "IQ_CLOSEPRICE", "2025-03-20", "USD")</f>
        <v>61.393230000000003</v>
      </c>
      <c r="V107">
        <f>_xll.ciqfunctions.udf.CIQ("LSE:AIAG", "IQ_CLOSEPRICE", "2025-03-20", "USD")</f>
        <v>20.75592</v>
      </c>
      <c r="W107">
        <f>_xll.ciqfunctions.udf.CIQ("ASX:RBTZ", "IQ_CLOSEPRICE", "2025-03-20", "USD")</f>
        <v>8.8248300000000004</v>
      </c>
      <c r="X107">
        <f>_xll.ciqfunctions.udf.CIQ("DB:XB0T", "IQ_CLOSEPRICE", "2025-03-20", "USD")</f>
        <v>20.234369999999998</v>
      </c>
    </row>
    <row r="108" spans="1:24" x14ac:dyDescent="0.25">
      <c r="A108" t="s">
        <v>130</v>
      </c>
      <c r="B108">
        <f>_xll.ciqfunctions.udf.CIQ("NasdaqGM:QQQ", "IQ_CLOSEPRICE", "2025-03-19", "USD")</f>
        <v>480.89</v>
      </c>
      <c r="C108">
        <f>_xll.ciqfunctions.udf.CIQ("NasdaqGM:AGIX", "IQ_CLOSEPRICE", "2025-03-19", "USD")</f>
        <v>25.895600000000002</v>
      </c>
      <c r="D108">
        <f>_xll.ciqfunctions.udf.CIQ("NasdaqGM:SMH", "IQ_CLOSEPRICE", "2025-03-19", "USD")</f>
        <v>227.41</v>
      </c>
      <c r="E108">
        <f>_xll.ciqfunctions.udf.CIQ("BATS:IGV", "IQ_CLOSEPRICE", "2025-03-19", "USD")</f>
        <v>92.95</v>
      </c>
      <c r="F108">
        <f>_xll.ciqfunctions.udf.CIQ("NasdaqGM:BOTZ", "IQ_CLOSEPRICE", "2025-03-19", "USD")</f>
        <v>30.83</v>
      </c>
      <c r="G108">
        <f>_xll.ciqfunctions.udf.CIQ("NasdaqGM:AIQ", "IQ_CLOSEPRICE", "2025-03-19", "USD")</f>
        <v>38.15</v>
      </c>
      <c r="H108">
        <f>_xll.ciqfunctions.udf.CIQ("ARCA:ARTY", "IQ_CLOSEPRICE", "2025-03-19", "USD")</f>
        <v>34.06</v>
      </c>
      <c r="I108">
        <f>_xll.ciqfunctions.udf.CIQ("NasdaqGM:ROBT", "IQ_CLOSEPRICE", "2025-03-19", "USD")</f>
        <v>42.9</v>
      </c>
      <c r="J108">
        <f>_xll.ciqfunctions.udf.CIQ("ARCA:IGPT", "IQ_CLOSEPRICE", "2025-03-19", "USD")</f>
        <v>42.71</v>
      </c>
      <c r="K108">
        <f>_xll.ciqfunctions.udf.CIQ("BATS:WTAI", "IQ_CLOSEPRICE", "2025-03-19", "USD")</f>
        <v>20.155000000000001</v>
      </c>
      <c r="L108">
        <f>_xll.ciqfunctions.udf.CIQ("ARCA:THNQ", "IQ_CLOSEPRICE", "2025-03-19", "USD")</f>
        <v>47.4</v>
      </c>
      <c r="M108">
        <f>_xll.ciqfunctions.udf.CIQ("NasdaqGM:FDTX", "IQ_CLOSEPRICE", "2025-03-19", "USD")</f>
        <v>33.229999999999997</v>
      </c>
      <c r="N108">
        <f>_xll.ciqfunctions.udf.CIQ("ARCA:CHAT", "IQ_CLOSEPRICE", "2025-03-19", "USD")</f>
        <v>37.43</v>
      </c>
      <c r="O108">
        <f>_xll.ciqfunctions.udf.CIQ("ARCA:LOUP", "IQ_CLOSEPRICE", "2025-03-19", "USD")</f>
        <v>49.4133</v>
      </c>
      <c r="P108">
        <f>_xll.ciqfunctions.udf.CIQ("ARCA:LRNZ", "IQ_CLOSEPRICE", "2025-03-19", "USD")</f>
        <v>36.734299999999998</v>
      </c>
      <c r="Q108">
        <f>_xll.ciqfunctions.udf.CIQ("ARCA:AIS", "IQ_CLOSEPRICE", "2025-03-19", "USD")</f>
        <v>23.816600000000001</v>
      </c>
      <c r="R108">
        <f>_xll.ciqfunctions.udf.CIQ("NasdaqGM:WISE", "IQ_CLOSEPRICE", "2025-03-19", "USD")</f>
        <v>32.97</v>
      </c>
      <c r="S108">
        <f>_xll.ciqfunctions.udf.CIQ("LSE:RBOT", "IQ_CLOSEPRICE", "2025-03-19", "USD")</f>
        <v>13.6</v>
      </c>
      <c r="T108">
        <f>_xll.ciqfunctions.udf.CIQ("XTRA:XAIX", "IQ_CLOSEPRICE", "2025-03-19", "USD")</f>
        <v>135.90245999999999</v>
      </c>
      <c r="U108">
        <f>_xll.ciqfunctions.udf.CIQ("BIT:WTAI", "IQ_CLOSEPRICE", "2025-03-19", "USD")</f>
        <v>61.463099999999997</v>
      </c>
      <c r="V108">
        <f>_xll.ciqfunctions.udf.CIQ("LSE:AIAG", "IQ_CLOSEPRICE", "2025-03-19", "USD")</f>
        <v>20.908750000000001</v>
      </c>
      <c r="W108">
        <f>_xll.ciqfunctions.udf.CIQ("ASX:RBTZ", "IQ_CLOSEPRICE", "2025-03-19", "USD")</f>
        <v>8.7355900000000002</v>
      </c>
      <c r="X108">
        <f>_xll.ciqfunctions.udf.CIQ("DB:XB0T", "IQ_CLOSEPRICE", "2025-03-19", "USD")</f>
        <v>20.013059999999999</v>
      </c>
    </row>
    <row r="109" spans="1:24" x14ac:dyDescent="0.25">
      <c r="A109" t="s">
        <v>131</v>
      </c>
      <c r="B109">
        <f>_xll.ciqfunctions.udf.CIQ("NasdaqGM:QQQ", "IQ_CLOSEPRICE", "2025-03-18", "USD")</f>
        <v>474.54</v>
      </c>
      <c r="C109">
        <f>_xll.ciqfunctions.udf.CIQ("NasdaqGM:AGIX", "IQ_CLOSEPRICE", "2025-03-18", "USD")</f>
        <v>25.4</v>
      </c>
      <c r="D109">
        <f>_xll.ciqfunctions.udf.CIQ("NasdaqGM:SMH", "IQ_CLOSEPRICE", "2025-03-18", "USD")</f>
        <v>225.42</v>
      </c>
      <c r="E109">
        <f>_xll.ciqfunctions.udf.CIQ("BATS:IGV", "IQ_CLOSEPRICE", "2025-03-18", "USD")</f>
        <v>91.51</v>
      </c>
      <c r="F109">
        <f>_xll.ciqfunctions.udf.CIQ("NasdaqGM:BOTZ", "IQ_CLOSEPRICE", "2025-03-18", "USD")</f>
        <v>30.5</v>
      </c>
      <c r="G109">
        <f>_xll.ciqfunctions.udf.CIQ("NasdaqGM:AIQ", "IQ_CLOSEPRICE", "2025-03-18", "USD")</f>
        <v>37.69</v>
      </c>
      <c r="H109">
        <f>_xll.ciqfunctions.udf.CIQ("ARCA:ARTY", "IQ_CLOSEPRICE", "2025-03-18", "USD")</f>
        <v>33.51</v>
      </c>
      <c r="I109">
        <f>_xll.ciqfunctions.udf.CIQ("NasdaqGM:ROBT", "IQ_CLOSEPRICE", "2025-03-18", "USD")</f>
        <v>42.53</v>
      </c>
      <c r="J109">
        <f>_xll.ciqfunctions.udf.CIQ("ARCA:IGPT", "IQ_CLOSEPRICE", "2025-03-18", "USD")</f>
        <v>42.28</v>
      </c>
      <c r="K109">
        <f>_xll.ciqfunctions.udf.CIQ("BATS:WTAI", "IQ_CLOSEPRICE", "2025-03-18", "USD")</f>
        <v>19.86</v>
      </c>
      <c r="L109">
        <f>_xll.ciqfunctions.udf.CIQ("ARCA:THNQ", "IQ_CLOSEPRICE", "2025-03-18", "USD")</f>
        <v>46.73</v>
      </c>
      <c r="M109">
        <f>_xll.ciqfunctions.udf.CIQ("NasdaqGM:FDTX", "IQ_CLOSEPRICE", "2025-03-18", "USD")</f>
        <v>32.83</v>
      </c>
      <c r="N109">
        <f>_xll.ciqfunctions.udf.CIQ("ARCA:CHAT", "IQ_CLOSEPRICE", "2025-03-18", "USD")</f>
        <v>37.08</v>
      </c>
      <c r="O109">
        <f>_xll.ciqfunctions.udf.CIQ("ARCA:LOUP", "IQ_CLOSEPRICE", "2025-03-18", "USD")</f>
        <v>48.4298</v>
      </c>
      <c r="P109">
        <f>_xll.ciqfunctions.udf.CIQ("ARCA:LRNZ", "IQ_CLOSEPRICE", "2025-03-18", "USD")</f>
        <v>36.023699999999998</v>
      </c>
      <c r="Q109">
        <f>_xll.ciqfunctions.udf.CIQ("ARCA:AIS", "IQ_CLOSEPRICE", "2025-03-18", "USD")</f>
        <v>23.587599999999998</v>
      </c>
      <c r="R109">
        <f>_xll.ciqfunctions.udf.CIQ("NasdaqGM:WISE", "IQ_CLOSEPRICE", "2025-03-18", "USD")</f>
        <v>32.72</v>
      </c>
      <c r="S109">
        <f>_xll.ciqfunctions.udf.CIQ("LSE:RBOT", "IQ_CLOSEPRICE", "2025-03-18", "USD")</f>
        <v>13.51</v>
      </c>
      <c r="T109">
        <f>_xll.ciqfunctions.udf.CIQ("XTRA:XAIX", "IQ_CLOSEPRICE", "2025-03-18", "USD")</f>
        <v>134.73269999999999</v>
      </c>
      <c r="U109">
        <f>_xll.ciqfunctions.udf.CIQ("BIT:WTAI", "IQ_CLOSEPRICE", "2025-03-18", "USD")</f>
        <v>61.091070000000002</v>
      </c>
      <c r="V109">
        <f>_xll.ciqfunctions.udf.CIQ("LSE:AIAG", "IQ_CLOSEPRICE", "2025-03-18", "USD")</f>
        <v>20.62603</v>
      </c>
      <c r="W109">
        <f>_xll.ciqfunctions.udf.CIQ("ASX:RBTZ", "IQ_CLOSEPRICE", "2025-03-18", "USD")</f>
        <v>8.8333499999999994</v>
      </c>
      <c r="X109">
        <f>_xll.ciqfunctions.udf.CIQ("DB:XB0T", "IQ_CLOSEPRICE", "2025-03-18", "USD")</f>
        <v>20.214279999999999</v>
      </c>
    </row>
    <row r="110" spans="1:24" x14ac:dyDescent="0.25">
      <c r="A110" t="s">
        <v>132</v>
      </c>
      <c r="B110">
        <f>_xll.ciqfunctions.udf.CIQ("NasdaqGM:QQQ", "IQ_CLOSEPRICE", "2025-03-17", "USD")</f>
        <v>482.77</v>
      </c>
      <c r="C110">
        <f>_xll.ciqfunctions.udf.CIQ("NasdaqGM:AGIX", "IQ_CLOSEPRICE", "2025-03-17", "USD")</f>
        <v>25.9968</v>
      </c>
      <c r="D110">
        <f>_xll.ciqfunctions.udf.CIQ("NasdaqGM:SMH", "IQ_CLOSEPRICE", "2025-03-17", "USD")</f>
        <v>228.96</v>
      </c>
      <c r="E110">
        <f>_xll.ciqfunctions.udf.CIQ("BATS:IGV", "IQ_CLOSEPRICE", "2025-03-17", "USD")</f>
        <v>92.87</v>
      </c>
      <c r="F110">
        <f>_xll.ciqfunctions.udf.CIQ("NasdaqGM:BOTZ", "IQ_CLOSEPRICE", "2025-03-17", "USD")</f>
        <v>30.88</v>
      </c>
      <c r="G110">
        <f>_xll.ciqfunctions.udf.CIQ("NasdaqGM:AIQ", "IQ_CLOSEPRICE", "2025-03-17", "USD")</f>
        <v>38.299999999999997</v>
      </c>
      <c r="H110">
        <f>_xll.ciqfunctions.udf.CIQ("ARCA:ARTY", "IQ_CLOSEPRICE", "2025-03-17", "USD")</f>
        <v>34.29</v>
      </c>
      <c r="I110">
        <f>_xll.ciqfunctions.udf.CIQ("NasdaqGM:ROBT", "IQ_CLOSEPRICE", "2025-03-17", "USD")</f>
        <v>43.06</v>
      </c>
      <c r="J110">
        <f>_xll.ciqfunctions.udf.CIQ("ARCA:IGPT", "IQ_CLOSEPRICE", "2025-03-17", "USD")</f>
        <v>43.12</v>
      </c>
      <c r="K110">
        <f>_xll.ciqfunctions.udf.CIQ("BATS:WTAI", "IQ_CLOSEPRICE", "2025-03-17", "USD")</f>
        <v>20.22</v>
      </c>
      <c r="L110">
        <f>_xll.ciqfunctions.udf.CIQ("ARCA:THNQ", "IQ_CLOSEPRICE", "2025-03-17", "USD")</f>
        <v>47.61</v>
      </c>
      <c r="M110">
        <f>_xll.ciqfunctions.udf.CIQ("NasdaqGM:FDTX", "IQ_CLOSEPRICE", "2025-03-17", "USD")</f>
        <v>33.29</v>
      </c>
      <c r="N110">
        <f>_xll.ciqfunctions.udf.CIQ("ARCA:CHAT", "IQ_CLOSEPRICE", "2025-03-17", "USD")</f>
        <v>37.85</v>
      </c>
      <c r="O110">
        <f>_xll.ciqfunctions.udf.CIQ("ARCA:LOUP", "IQ_CLOSEPRICE", "2025-03-17", "USD")</f>
        <v>49.8718</v>
      </c>
      <c r="P110">
        <f>_xll.ciqfunctions.udf.CIQ("ARCA:LRNZ", "IQ_CLOSEPRICE", "2025-03-17", "USD")</f>
        <v>36.574199999999998</v>
      </c>
      <c r="Q110">
        <f>_xll.ciqfunctions.udf.CIQ("ARCA:AIS", "IQ_CLOSEPRICE", "2025-03-17", "USD")</f>
        <v>23.982399999999998</v>
      </c>
      <c r="R110">
        <f>_xll.ciqfunctions.udf.CIQ("NasdaqGM:WISE", "IQ_CLOSEPRICE", "2025-03-17", "USD")</f>
        <v>33.607500000000002</v>
      </c>
      <c r="S110">
        <f>_xll.ciqfunctions.udf.CIQ("LSE:RBOT", "IQ_CLOSEPRICE", "2025-03-17", "USD")</f>
        <v>13.555</v>
      </c>
      <c r="T110">
        <f>_xll.ciqfunctions.udf.CIQ("XTRA:XAIX", "IQ_CLOSEPRICE", "2025-03-17", "USD")</f>
        <v>135.77199999999999</v>
      </c>
      <c r="U110">
        <f>_xll.ciqfunctions.udf.CIQ("BIT:WTAI", "IQ_CLOSEPRICE", "2025-03-17", "USD")</f>
        <v>61.421709999999997</v>
      </c>
      <c r="V110">
        <f>_xll.ciqfunctions.udf.CIQ("LSE:AIAG", "IQ_CLOSEPRICE", "2025-03-17", "USD")</f>
        <v>20.803840000000001</v>
      </c>
      <c r="W110">
        <f>_xll.ciqfunctions.udf.CIQ("ASX:RBTZ", "IQ_CLOSEPRICE", "2025-03-17", "USD")</f>
        <v>8.8409800000000001</v>
      </c>
      <c r="X110">
        <f>_xll.ciqfunctions.udf.CIQ("DB:XB0T", "IQ_CLOSEPRICE", "2025-03-17", "USD")</f>
        <v>20.255510000000001</v>
      </c>
    </row>
    <row r="111" spans="1:24" x14ac:dyDescent="0.25">
      <c r="A111" t="s">
        <v>133</v>
      </c>
      <c r="B111">
        <f>_xll.ciqfunctions.udf.CIQ("NasdaqGM:QQQ", "IQ_CLOSEPRICE", "2025-03-14", "USD")</f>
        <v>479.66</v>
      </c>
      <c r="C111">
        <f>_xll.ciqfunctions.udf.CIQ("NasdaqGM:AGIX", "IQ_CLOSEPRICE", "2025-03-14", "USD")</f>
        <v>25.819299999999998</v>
      </c>
      <c r="D111">
        <f>_xll.ciqfunctions.udf.CIQ("NasdaqGM:SMH", "IQ_CLOSEPRICE", "2025-03-14", "USD")</f>
        <v>226.57</v>
      </c>
      <c r="E111">
        <f>_xll.ciqfunctions.udf.CIQ("BATS:IGV", "IQ_CLOSEPRICE", "2025-03-14", "USD")</f>
        <v>91.66</v>
      </c>
      <c r="F111">
        <f>_xll.ciqfunctions.udf.CIQ("NasdaqGM:BOTZ", "IQ_CLOSEPRICE", "2025-03-14", "USD")</f>
        <v>30.66</v>
      </c>
      <c r="G111">
        <f>_xll.ciqfunctions.udf.CIQ("NasdaqGM:AIQ", "IQ_CLOSEPRICE", "2025-03-14", "USD")</f>
        <v>37.700000000000003</v>
      </c>
      <c r="H111">
        <f>_xll.ciqfunctions.udf.CIQ("ARCA:ARTY", "IQ_CLOSEPRICE", "2025-03-14", "USD")</f>
        <v>33.97</v>
      </c>
      <c r="I111">
        <f>_xll.ciqfunctions.udf.CIQ("NasdaqGM:ROBT", "IQ_CLOSEPRICE", "2025-03-14", "USD")</f>
        <v>42.68</v>
      </c>
      <c r="J111">
        <f>_xll.ciqfunctions.udf.CIQ("ARCA:IGPT", "IQ_CLOSEPRICE", "2025-03-14", "USD")</f>
        <v>42.61</v>
      </c>
      <c r="K111">
        <f>_xll.ciqfunctions.udf.CIQ("BATS:WTAI", "IQ_CLOSEPRICE", "2025-03-14", "USD")</f>
        <v>20.03</v>
      </c>
      <c r="L111">
        <f>_xll.ciqfunctions.udf.CIQ("ARCA:THNQ", "IQ_CLOSEPRICE", "2025-03-14", "USD")</f>
        <v>46.76</v>
      </c>
      <c r="M111">
        <f>_xll.ciqfunctions.udf.CIQ("NasdaqGM:FDTX", "IQ_CLOSEPRICE", "2025-03-14", "USD")</f>
        <v>32.8551</v>
      </c>
      <c r="N111">
        <f>_xll.ciqfunctions.udf.CIQ("ARCA:CHAT", "IQ_CLOSEPRICE", "2025-03-14", "USD")</f>
        <v>37.479999999999997</v>
      </c>
      <c r="O111">
        <f>_xll.ciqfunctions.udf.CIQ("ARCA:LOUP", "IQ_CLOSEPRICE", "2025-03-14", "USD")</f>
        <v>49.111699999999999</v>
      </c>
      <c r="P111">
        <f>_xll.ciqfunctions.udf.CIQ("ARCA:LRNZ", "IQ_CLOSEPRICE", "2025-03-14", "USD")</f>
        <v>36.049999999999997</v>
      </c>
      <c r="Q111">
        <f>_xll.ciqfunctions.udf.CIQ("ARCA:AIS", "IQ_CLOSEPRICE", "2025-03-14", "USD")</f>
        <v>23.583300000000001</v>
      </c>
      <c r="R111">
        <f>_xll.ciqfunctions.udf.CIQ("NasdaqGM:WISE", "IQ_CLOSEPRICE", "2025-03-14", "USD")</f>
        <v>33.4</v>
      </c>
      <c r="S111">
        <f>_xll.ciqfunctions.udf.CIQ("LSE:RBOT", "IQ_CLOSEPRICE", "2025-03-14", "USD")</f>
        <v>13.44</v>
      </c>
      <c r="T111">
        <f>_xll.ciqfunctions.udf.CIQ("XTRA:XAIX", "IQ_CLOSEPRICE", "2025-03-14", "USD")</f>
        <v>134.59530000000001</v>
      </c>
      <c r="U111">
        <f>_xll.ciqfunctions.udf.CIQ("BIT:WTAI", "IQ_CLOSEPRICE", "2025-03-14", "USD")</f>
        <v>60.835509999999999</v>
      </c>
      <c r="V111">
        <f>_xll.ciqfunctions.udf.CIQ("LSE:AIAG", "IQ_CLOSEPRICE", "2025-03-14", "USD")</f>
        <v>20.545339999999999</v>
      </c>
      <c r="W111">
        <f>_xll.ciqfunctions.udf.CIQ("ASX:RBTZ", "IQ_CLOSEPRICE", "2025-03-14", "USD")</f>
        <v>8.6270100000000003</v>
      </c>
      <c r="X111">
        <f>_xll.ciqfunctions.udf.CIQ("DB:XB0T", "IQ_CLOSEPRICE", "2025-03-14", "USD")</f>
        <v>19.756309999999999</v>
      </c>
    </row>
    <row r="112" spans="1:24" x14ac:dyDescent="0.25">
      <c r="A112" t="s">
        <v>134</v>
      </c>
      <c r="B112">
        <f>_xll.ciqfunctions.udf.CIQ("NasdaqGM:QQQ", "IQ_CLOSEPRICE", "2025-03-13", "USD")</f>
        <v>468.34</v>
      </c>
      <c r="C112">
        <f>_xll.ciqfunctions.udf.CIQ("NasdaqGM:AGIX", "IQ_CLOSEPRICE", "2025-03-13", "USD")</f>
        <v>25.02</v>
      </c>
      <c r="D112">
        <f>_xll.ciqfunctions.udf.CIQ("NasdaqGM:SMH", "IQ_CLOSEPRICE", "2025-03-13", "USD")</f>
        <v>219.55</v>
      </c>
      <c r="E112">
        <f>_xll.ciqfunctions.udf.CIQ("BATS:IGV", "IQ_CLOSEPRICE", "2025-03-13", "USD")</f>
        <v>88.3</v>
      </c>
      <c r="F112">
        <f>_xll.ciqfunctions.udf.CIQ("NasdaqGM:BOTZ", "IQ_CLOSEPRICE", "2025-03-13", "USD")</f>
        <v>29.75</v>
      </c>
      <c r="G112">
        <f>_xll.ciqfunctions.udf.CIQ("NasdaqGM:AIQ", "IQ_CLOSEPRICE", "2025-03-13", "USD")</f>
        <v>36.630000000000003</v>
      </c>
      <c r="H112">
        <f>_xll.ciqfunctions.udf.CIQ("ARCA:ARTY", "IQ_CLOSEPRICE", "2025-03-13", "USD")</f>
        <v>32.94</v>
      </c>
      <c r="I112">
        <f>_xll.ciqfunctions.udf.CIQ("NasdaqGM:ROBT", "IQ_CLOSEPRICE", "2025-03-13", "USD")</f>
        <v>41.32</v>
      </c>
      <c r="J112">
        <f>_xll.ciqfunctions.udf.CIQ("ARCA:IGPT", "IQ_CLOSEPRICE", "2025-03-13", "USD")</f>
        <v>41.23</v>
      </c>
      <c r="K112">
        <f>_xll.ciqfunctions.udf.CIQ("BATS:WTAI", "IQ_CLOSEPRICE", "2025-03-13", "USD")</f>
        <v>19.329999999999998</v>
      </c>
      <c r="L112">
        <f>_xll.ciqfunctions.udf.CIQ("ARCA:THNQ", "IQ_CLOSEPRICE", "2025-03-13", "USD")</f>
        <v>45.27</v>
      </c>
      <c r="M112">
        <f>_xll.ciqfunctions.udf.CIQ("NasdaqGM:FDTX", "IQ_CLOSEPRICE", "2025-03-13", "USD")</f>
        <v>31.83</v>
      </c>
      <c r="N112">
        <f>_xll.ciqfunctions.udf.CIQ("ARCA:CHAT", "IQ_CLOSEPRICE", "2025-03-13", "USD")</f>
        <v>36.25</v>
      </c>
      <c r="O112">
        <f>_xll.ciqfunctions.udf.CIQ("ARCA:LOUP", "IQ_CLOSEPRICE", "2025-03-13", "USD")</f>
        <v>47.293999999999997</v>
      </c>
      <c r="P112">
        <f>_xll.ciqfunctions.udf.CIQ("ARCA:LRNZ", "IQ_CLOSEPRICE", "2025-03-13", "USD")</f>
        <v>34.844799999999999</v>
      </c>
      <c r="Q112">
        <f>_xll.ciqfunctions.udf.CIQ("ARCA:AIS", "IQ_CLOSEPRICE", "2025-03-13", "USD")</f>
        <v>22.686399999999999</v>
      </c>
      <c r="R112">
        <f>_xll.ciqfunctions.udf.CIQ("NasdaqGM:WISE", "IQ_CLOSEPRICE", "2025-03-13", "USD")</f>
        <v>31.61</v>
      </c>
      <c r="S112">
        <f>_xll.ciqfunctions.udf.CIQ("LSE:RBOT", "IQ_CLOSEPRICE", "2025-03-13", "USD")</f>
        <v>13.14</v>
      </c>
      <c r="T112">
        <f>_xll.ciqfunctions.udf.CIQ("XTRA:XAIX", "IQ_CLOSEPRICE", "2025-03-13", "USD")</f>
        <v>131.51548</v>
      </c>
      <c r="U112">
        <f>_xll.ciqfunctions.udf.CIQ("BIT:WTAI", "IQ_CLOSEPRICE", "2025-03-13", "USD")</f>
        <v>59.424230000000001</v>
      </c>
      <c r="V112">
        <f>_xll.ciqfunctions.udf.CIQ("LSE:AIAG", "IQ_CLOSEPRICE", "2025-03-13", "USD")</f>
        <v>20.044789999999999</v>
      </c>
      <c r="W112">
        <f>_xll.ciqfunctions.udf.CIQ("ASX:RBTZ", "IQ_CLOSEPRICE", "2025-03-13", "USD")</f>
        <v>8.6625599999999991</v>
      </c>
      <c r="X112">
        <f>_xll.ciqfunctions.udf.CIQ("DB:XB0T", "IQ_CLOSEPRICE", "2025-03-13", "USD")</f>
        <v>19.834869999999999</v>
      </c>
    </row>
    <row r="113" spans="1:24" x14ac:dyDescent="0.25">
      <c r="A113" t="s">
        <v>135</v>
      </c>
      <c r="B113">
        <f>_xll.ciqfunctions.udf.CIQ("NasdaqGM:QQQ", "IQ_CLOSEPRICE", "2025-03-12", "USD")</f>
        <v>476.92</v>
      </c>
      <c r="C113">
        <f>_xll.ciqfunctions.udf.CIQ("NasdaqGM:AGIX", "IQ_CLOSEPRICE", "2025-03-12", "USD")</f>
        <v>25.88</v>
      </c>
      <c r="D113">
        <f>_xll.ciqfunctions.udf.CIQ("NasdaqGM:SMH", "IQ_CLOSEPRICE", "2025-03-12", "USD")</f>
        <v>220.52</v>
      </c>
      <c r="E113">
        <f>_xll.ciqfunctions.udf.CIQ("BATS:IGV", "IQ_CLOSEPRICE", "2025-03-12", "USD")</f>
        <v>91.33</v>
      </c>
      <c r="F113">
        <f>_xll.ciqfunctions.udf.CIQ("NasdaqGM:BOTZ", "IQ_CLOSEPRICE", "2025-03-12", "USD")</f>
        <v>30.6</v>
      </c>
      <c r="G113">
        <f>_xll.ciqfunctions.udf.CIQ("NasdaqGM:AIQ", "IQ_CLOSEPRICE", "2025-03-12", "USD")</f>
        <v>37.46</v>
      </c>
      <c r="H113">
        <f>_xll.ciqfunctions.udf.CIQ("ARCA:ARTY", "IQ_CLOSEPRICE", "2025-03-12", "USD")</f>
        <v>33.799999999999997</v>
      </c>
      <c r="I113">
        <f>_xll.ciqfunctions.udf.CIQ("NasdaqGM:ROBT", "IQ_CLOSEPRICE", "2025-03-12", "USD")</f>
        <v>42.35</v>
      </c>
      <c r="J113">
        <f>_xll.ciqfunctions.udf.CIQ("ARCA:IGPT", "IQ_CLOSEPRICE", "2025-03-12", "USD")</f>
        <v>42.34</v>
      </c>
      <c r="K113">
        <f>_xll.ciqfunctions.udf.CIQ("BATS:WTAI", "IQ_CLOSEPRICE", "2025-03-12", "USD")</f>
        <v>19.84</v>
      </c>
      <c r="L113">
        <f>_xll.ciqfunctions.udf.CIQ("ARCA:THNQ", "IQ_CLOSEPRICE", "2025-03-12", "USD")</f>
        <v>46.27</v>
      </c>
      <c r="M113">
        <f>_xll.ciqfunctions.udf.CIQ("NasdaqGM:FDTX", "IQ_CLOSEPRICE", "2025-03-12", "USD")</f>
        <v>32.72</v>
      </c>
      <c r="N113">
        <f>_xll.ciqfunctions.udf.CIQ("ARCA:CHAT", "IQ_CLOSEPRICE", "2025-03-12", "USD")</f>
        <v>37.020000000000003</v>
      </c>
      <c r="O113">
        <f>_xll.ciqfunctions.udf.CIQ("ARCA:LOUP", "IQ_CLOSEPRICE", "2025-03-12", "USD")</f>
        <v>48.588900000000002</v>
      </c>
      <c r="P113">
        <f>_xll.ciqfunctions.udf.CIQ("ARCA:LRNZ", "IQ_CLOSEPRICE", "2025-03-12", "USD")</f>
        <v>36.01</v>
      </c>
      <c r="Q113">
        <f>_xll.ciqfunctions.udf.CIQ("ARCA:AIS", "IQ_CLOSEPRICE", "2025-03-12", "USD")</f>
        <v>23.041</v>
      </c>
      <c r="R113">
        <f>_xll.ciqfunctions.udf.CIQ("NasdaqGM:WISE", "IQ_CLOSEPRICE", "2025-03-12", "USD")</f>
        <v>32.36</v>
      </c>
      <c r="S113">
        <f>_xll.ciqfunctions.udf.CIQ("LSE:RBOT", "IQ_CLOSEPRICE", "2025-03-12", "USD")</f>
        <v>13.345000000000001</v>
      </c>
      <c r="T113">
        <f>_xll.ciqfunctions.udf.CIQ("XTRA:XAIX", "IQ_CLOSEPRICE", "2025-03-12", "USD")</f>
        <v>134.19213999999999</v>
      </c>
      <c r="U113">
        <f>_xll.ciqfunctions.udf.CIQ("BIT:WTAI", "IQ_CLOSEPRICE", "2025-03-12", "USD")</f>
        <v>60.807859999999998</v>
      </c>
      <c r="V113">
        <f>_xll.ciqfunctions.udf.CIQ("LSE:AIAG", "IQ_CLOSEPRICE", "2025-03-12", "USD")</f>
        <v>20.544499999999999</v>
      </c>
      <c r="W113">
        <f>_xll.ciqfunctions.udf.CIQ("ASX:RBTZ", "IQ_CLOSEPRICE", "2025-03-12", "USD")</f>
        <v>8.7897499999999997</v>
      </c>
      <c r="X113">
        <f>_xll.ciqfunctions.udf.CIQ("DB:XB0T", "IQ_CLOSEPRICE", "2025-03-12", "USD")</f>
        <v>20.08079</v>
      </c>
    </row>
    <row r="114" spans="1:24" x14ac:dyDescent="0.25">
      <c r="A114" t="s">
        <v>136</v>
      </c>
      <c r="B114">
        <f>_xll.ciqfunctions.udf.CIQ("NasdaqGM:QQQ", "IQ_CLOSEPRICE", "2025-03-11", "USD")</f>
        <v>471.6</v>
      </c>
      <c r="C114">
        <f>_xll.ciqfunctions.udf.CIQ("NasdaqGM:AGIX", "IQ_CLOSEPRICE", "2025-03-11", "USD")</f>
        <v>25.35</v>
      </c>
      <c r="D114">
        <f>_xll.ciqfunctions.udf.CIQ("NasdaqGM:SMH", "IQ_CLOSEPRICE", "2025-03-11", "USD")</f>
        <v>214.22</v>
      </c>
      <c r="E114">
        <f>_xll.ciqfunctions.udf.CIQ("BATS:IGV", "IQ_CLOSEPRICE", "2025-03-11", "USD")</f>
        <v>89.54</v>
      </c>
      <c r="F114">
        <f>_xll.ciqfunctions.udf.CIQ("NasdaqGM:BOTZ", "IQ_CLOSEPRICE", "2025-03-11", "USD")</f>
        <v>30.18</v>
      </c>
      <c r="G114">
        <f>_xll.ciqfunctions.udf.CIQ("NasdaqGM:AIQ", "IQ_CLOSEPRICE", "2025-03-11", "USD")</f>
        <v>36.840000000000003</v>
      </c>
      <c r="H114">
        <f>_xll.ciqfunctions.udf.CIQ("ARCA:ARTY", "IQ_CLOSEPRICE", "2025-03-11", "USD")</f>
        <v>33.25</v>
      </c>
      <c r="I114">
        <f>_xll.ciqfunctions.udf.CIQ("NasdaqGM:ROBT", "IQ_CLOSEPRICE", "2025-03-11", "USD")</f>
        <v>41.97</v>
      </c>
      <c r="J114">
        <f>_xll.ciqfunctions.udf.CIQ("ARCA:IGPT", "IQ_CLOSEPRICE", "2025-03-11", "USD")</f>
        <v>41.37</v>
      </c>
      <c r="K114">
        <f>_xll.ciqfunctions.udf.CIQ("BATS:WTAI", "IQ_CLOSEPRICE", "2025-03-11", "USD")</f>
        <v>19.39</v>
      </c>
      <c r="L114">
        <f>_xll.ciqfunctions.udf.CIQ("ARCA:THNQ", "IQ_CLOSEPRICE", "2025-03-11", "USD")</f>
        <v>45.76</v>
      </c>
      <c r="M114">
        <f>_xll.ciqfunctions.udf.CIQ("NasdaqGM:FDTX", "IQ_CLOSEPRICE", "2025-03-11", "USD")</f>
        <v>32.049999999999997</v>
      </c>
      <c r="N114">
        <f>_xll.ciqfunctions.udf.CIQ("ARCA:CHAT", "IQ_CLOSEPRICE", "2025-03-11", "USD")</f>
        <v>36.130000000000003</v>
      </c>
      <c r="O114">
        <f>_xll.ciqfunctions.udf.CIQ("ARCA:LOUP", "IQ_CLOSEPRICE", "2025-03-11", "USD")</f>
        <v>47.17</v>
      </c>
      <c r="P114">
        <f>_xll.ciqfunctions.udf.CIQ("ARCA:LRNZ", "IQ_CLOSEPRICE", "2025-03-11", "USD")</f>
        <v>35.164299999999997</v>
      </c>
      <c r="Q114">
        <f>_xll.ciqfunctions.udf.CIQ("ARCA:AIS", "IQ_CLOSEPRICE", "2025-03-11", "USD")</f>
        <v>22.592400000000001</v>
      </c>
      <c r="R114">
        <f>_xll.ciqfunctions.udf.CIQ("NasdaqGM:WISE", "IQ_CLOSEPRICE", "2025-03-11", "USD")</f>
        <v>31.81</v>
      </c>
      <c r="S114">
        <f>_xll.ciqfunctions.udf.CIQ("LSE:RBOT", "IQ_CLOSEPRICE", "2025-03-11", "USD")</f>
        <v>13.15</v>
      </c>
      <c r="T114">
        <f>_xll.ciqfunctions.udf.CIQ("XTRA:XAIX", "IQ_CLOSEPRICE", "2025-03-11", "USD")</f>
        <v>131.6876</v>
      </c>
      <c r="U114">
        <f>_xll.ciqfunctions.udf.CIQ("BIT:WTAI", "IQ_CLOSEPRICE", "2025-03-11", "USD")</f>
        <v>59.148009999999999</v>
      </c>
      <c r="V114">
        <f>_xll.ciqfunctions.udf.CIQ("LSE:AIAG", "IQ_CLOSEPRICE", "2025-03-11", "USD")</f>
        <v>20.16696</v>
      </c>
      <c r="W114">
        <f>_xll.ciqfunctions.udf.CIQ("ASX:RBTZ", "IQ_CLOSEPRICE", "2025-03-11", "USD")</f>
        <v>8.6377100000000002</v>
      </c>
      <c r="X114">
        <f>_xll.ciqfunctions.udf.CIQ("DB:XB0T", "IQ_CLOSEPRICE", "2025-03-11", "USD")</f>
        <v>19.916989999999998</v>
      </c>
    </row>
    <row r="115" spans="1:24" x14ac:dyDescent="0.25">
      <c r="A115" t="s">
        <v>137</v>
      </c>
      <c r="B115">
        <f>_xll.ciqfunctions.udf.CIQ("NasdaqGM:QQQ", "IQ_CLOSEPRICE", "2025-03-10", "USD")</f>
        <v>472.73</v>
      </c>
      <c r="C115">
        <f>_xll.ciqfunctions.udf.CIQ("NasdaqGM:AGIX", "IQ_CLOSEPRICE", "2025-03-10", "USD")</f>
        <v>24.96</v>
      </c>
      <c r="D115">
        <f>_xll.ciqfunctions.udf.CIQ("NasdaqGM:SMH", "IQ_CLOSEPRICE", "2025-03-10", "USD")</f>
        <v>214.53</v>
      </c>
      <c r="E115">
        <f>_xll.ciqfunctions.udf.CIQ("BATS:IGV", "IQ_CLOSEPRICE", "2025-03-10", "USD")</f>
        <v>88.68</v>
      </c>
      <c r="F115">
        <f>_xll.ciqfunctions.udf.CIQ("NasdaqGM:BOTZ", "IQ_CLOSEPRICE", "2025-03-10", "USD")</f>
        <v>29.99</v>
      </c>
      <c r="G115">
        <f>_xll.ciqfunctions.udf.CIQ("NasdaqGM:AIQ", "IQ_CLOSEPRICE", "2025-03-10", "USD")</f>
        <v>36.61</v>
      </c>
      <c r="H115">
        <f>_xll.ciqfunctions.udf.CIQ("ARCA:ARTY", "IQ_CLOSEPRICE", "2025-03-10", "USD")</f>
        <v>32.729999999999997</v>
      </c>
      <c r="I115">
        <f>_xll.ciqfunctions.udf.CIQ("NasdaqGM:ROBT", "IQ_CLOSEPRICE", "2025-03-10", "USD")</f>
        <v>42.14</v>
      </c>
      <c r="J115">
        <f>_xll.ciqfunctions.udf.CIQ("ARCA:IGPT", "IQ_CLOSEPRICE", "2025-03-10", "USD")</f>
        <v>41.0749</v>
      </c>
      <c r="K115">
        <f>_xll.ciqfunctions.udf.CIQ("BATS:WTAI", "IQ_CLOSEPRICE", "2025-03-10", "USD")</f>
        <v>19.2</v>
      </c>
      <c r="L115">
        <f>_xll.ciqfunctions.udf.CIQ("ARCA:THNQ", "IQ_CLOSEPRICE", "2025-03-10", "USD")</f>
        <v>45.53</v>
      </c>
      <c r="M115">
        <f>_xll.ciqfunctions.udf.CIQ("NasdaqGM:FDTX", "IQ_CLOSEPRICE", "2025-03-10", "USD")</f>
        <v>31.63</v>
      </c>
      <c r="N115">
        <f>_xll.ciqfunctions.udf.CIQ("ARCA:CHAT", "IQ_CLOSEPRICE", "2025-03-10", "USD")</f>
        <v>35.67</v>
      </c>
      <c r="O115">
        <f>_xll.ciqfunctions.udf.CIQ("ARCA:LOUP", "IQ_CLOSEPRICE", "2025-03-10", "USD")</f>
        <v>45.766599999999997</v>
      </c>
      <c r="P115">
        <f>_xll.ciqfunctions.udf.CIQ("ARCA:LRNZ", "IQ_CLOSEPRICE", "2025-03-10", "USD")</f>
        <v>34.04</v>
      </c>
      <c r="Q115">
        <f>_xll.ciqfunctions.udf.CIQ("ARCA:AIS", "IQ_CLOSEPRICE", "2025-03-10", "USD")</f>
        <v>22.1982</v>
      </c>
      <c r="R115">
        <f>_xll.ciqfunctions.udf.CIQ("NasdaqGM:WISE", "IQ_CLOSEPRICE", "2025-03-10", "USD")</f>
        <v>31.55</v>
      </c>
      <c r="S115">
        <f>_xll.ciqfunctions.udf.CIQ("LSE:RBOT", "IQ_CLOSEPRICE", "2025-03-10", "USD")</f>
        <v>13.345000000000001</v>
      </c>
      <c r="T115">
        <f>_xll.ciqfunctions.udf.CIQ("XTRA:XAIX", "IQ_CLOSEPRICE", "2025-03-10", "USD")</f>
        <v>132.58913999999999</v>
      </c>
      <c r="U115">
        <f>_xll.ciqfunctions.udf.CIQ("BIT:WTAI", "IQ_CLOSEPRICE", "2025-03-10", "USD")</f>
        <v>59.99783</v>
      </c>
      <c r="V115">
        <f>_xll.ciqfunctions.udf.CIQ("LSE:AIAG", "IQ_CLOSEPRICE", "2025-03-10", "USD")</f>
        <v>20.221019999999999</v>
      </c>
      <c r="W115">
        <f>_xll.ciqfunctions.udf.CIQ("ASX:RBTZ", "IQ_CLOSEPRICE", "2025-03-10", "USD")</f>
        <v>8.8932300000000009</v>
      </c>
      <c r="X115">
        <f>_xll.ciqfunctions.udf.CIQ("DB:XB0T", "IQ_CLOSEPRICE", "2025-03-10", "USD")</f>
        <v>19.826599999999999</v>
      </c>
    </row>
    <row r="116" spans="1:24" x14ac:dyDescent="0.25">
      <c r="A116" t="s">
        <v>138</v>
      </c>
      <c r="B116">
        <f>_xll.ciqfunctions.udf.CIQ("NasdaqGM:QQQ", "IQ_CLOSEPRICE", "2025-03-07", "USD")</f>
        <v>491.79</v>
      </c>
      <c r="C116">
        <f>_xll.ciqfunctions.udf.CIQ("NasdaqGM:AGIX", "IQ_CLOSEPRICE", "2025-03-07", "USD")</f>
        <v>26.356300000000001</v>
      </c>
      <c r="D116">
        <f>_xll.ciqfunctions.udf.CIQ("NasdaqGM:SMH", "IQ_CLOSEPRICE", "2025-03-07", "USD")</f>
        <v>225.09</v>
      </c>
      <c r="E116">
        <f>_xll.ciqfunctions.udf.CIQ("BATS:IGV", "IQ_CLOSEPRICE", "2025-03-07", "USD")</f>
        <v>93.42</v>
      </c>
      <c r="F116">
        <f>_xll.ciqfunctions.udf.CIQ("NasdaqGM:BOTZ", "IQ_CLOSEPRICE", "2025-03-07", "USD")</f>
        <v>31.24</v>
      </c>
      <c r="G116">
        <f>_xll.ciqfunctions.udf.CIQ("NasdaqGM:AIQ", "IQ_CLOSEPRICE", "2025-03-07", "USD")</f>
        <v>38.450000000000003</v>
      </c>
      <c r="H116">
        <f>_xll.ciqfunctions.udf.CIQ("ARCA:ARTY", "IQ_CLOSEPRICE", "2025-03-07", "USD")</f>
        <v>34.17</v>
      </c>
      <c r="I116">
        <f>_xll.ciqfunctions.udf.CIQ("NasdaqGM:ROBT", "IQ_CLOSEPRICE", "2025-03-07", "USD")</f>
        <v>43.75</v>
      </c>
      <c r="J116">
        <f>_xll.ciqfunctions.udf.CIQ("ARCA:IGPT", "IQ_CLOSEPRICE", "2025-03-07", "USD")</f>
        <v>43.02</v>
      </c>
      <c r="K116">
        <f>_xll.ciqfunctions.udf.CIQ("BATS:WTAI", "IQ_CLOSEPRICE", "2025-03-07", "USD")</f>
        <v>20.39</v>
      </c>
      <c r="L116">
        <f>_xll.ciqfunctions.udf.CIQ("ARCA:THNQ", "IQ_CLOSEPRICE", "2025-03-07", "USD")</f>
        <v>47.872500000000002</v>
      </c>
      <c r="M116">
        <f>_xll.ciqfunctions.udf.CIQ("NasdaqGM:FDTX", "IQ_CLOSEPRICE", "2025-03-07", "USD")</f>
        <v>33.29</v>
      </c>
      <c r="N116">
        <f>_xll.ciqfunctions.udf.CIQ("ARCA:CHAT", "IQ_CLOSEPRICE", "2025-03-07", "USD")</f>
        <v>37.43</v>
      </c>
      <c r="O116">
        <f>_xll.ciqfunctions.udf.CIQ("ARCA:LOUP", "IQ_CLOSEPRICE", "2025-03-07", "USD")</f>
        <v>49.349600000000002</v>
      </c>
      <c r="P116">
        <f>_xll.ciqfunctions.udf.CIQ("ARCA:LRNZ", "IQ_CLOSEPRICE", "2025-03-07", "USD")</f>
        <v>36.250399999999999</v>
      </c>
      <c r="Q116">
        <f>_xll.ciqfunctions.udf.CIQ("ARCA:AIS", "IQ_CLOSEPRICE", "2025-03-07", "USD")</f>
        <v>23.335699999999999</v>
      </c>
      <c r="R116">
        <f>_xll.ciqfunctions.udf.CIQ("NasdaqGM:WISE", "IQ_CLOSEPRICE", "2025-03-07", "USD")</f>
        <v>33.33</v>
      </c>
      <c r="S116">
        <f>_xll.ciqfunctions.udf.CIQ("LSE:RBOT", "IQ_CLOSEPRICE", "2025-03-07", "USD")</f>
        <v>13.5</v>
      </c>
      <c r="T116">
        <f>_xll.ciqfunctions.udf.CIQ("XTRA:XAIX", "IQ_CLOSEPRICE", "2025-03-07", "USD")</f>
        <v>134.65046000000001</v>
      </c>
      <c r="U116">
        <f>_xll.ciqfunctions.udf.CIQ("BIT:WTAI", "IQ_CLOSEPRICE", "2025-03-07", "USD")</f>
        <v>60.649149999999999</v>
      </c>
      <c r="V116">
        <f>_xll.ciqfunctions.udf.CIQ("LSE:AIAG", "IQ_CLOSEPRICE", "2025-03-07", "USD")</f>
        <v>20.623830000000002</v>
      </c>
      <c r="W116">
        <f>_xll.ciqfunctions.udf.CIQ("ASX:RBTZ", "IQ_CLOSEPRICE", "2025-03-07", "USD")</f>
        <v>8.9619999999999997</v>
      </c>
      <c r="X116">
        <f>_xll.ciqfunctions.udf.CIQ("DB:XB0T", "IQ_CLOSEPRICE", "2025-03-07", "USD")</f>
        <v>20.557970000000001</v>
      </c>
    </row>
    <row r="117" spans="1:24" x14ac:dyDescent="0.25">
      <c r="A117" t="s">
        <v>139</v>
      </c>
      <c r="B117">
        <f>_xll.ciqfunctions.udf.CIQ("NasdaqGM:QQQ", "IQ_CLOSEPRICE", "2025-03-06", "USD")</f>
        <v>488.2</v>
      </c>
      <c r="C117">
        <f>_xll.ciqfunctions.udf.CIQ("NasdaqGM:AGIX", "IQ_CLOSEPRICE", "2025-03-06", "USD")</f>
        <v>26.3</v>
      </c>
      <c r="D117">
        <f>_xll.ciqfunctions.udf.CIQ("NasdaqGM:SMH", "IQ_CLOSEPRICE", "2025-03-06", "USD")</f>
        <v>219.78</v>
      </c>
      <c r="E117">
        <f>_xll.ciqfunctions.udf.CIQ("BATS:IGV", "IQ_CLOSEPRICE", "2025-03-06", "USD")</f>
        <v>93.44</v>
      </c>
      <c r="F117">
        <f>_xll.ciqfunctions.udf.CIQ("NasdaqGM:BOTZ", "IQ_CLOSEPRICE", "2025-03-06", "USD")</f>
        <v>30.96</v>
      </c>
      <c r="G117">
        <f>_xll.ciqfunctions.udf.CIQ("NasdaqGM:AIQ", "IQ_CLOSEPRICE", "2025-03-06", "USD")</f>
        <v>38.049999999999997</v>
      </c>
      <c r="H117">
        <f>_xll.ciqfunctions.udf.CIQ("ARCA:ARTY", "IQ_CLOSEPRICE", "2025-03-06", "USD")</f>
        <v>33.590000000000003</v>
      </c>
      <c r="I117">
        <f>_xll.ciqfunctions.udf.CIQ("NasdaqGM:ROBT", "IQ_CLOSEPRICE", "2025-03-06", "USD")</f>
        <v>43.24</v>
      </c>
      <c r="J117">
        <f>_xll.ciqfunctions.udf.CIQ("ARCA:IGPT", "IQ_CLOSEPRICE", "2025-03-06", "USD")</f>
        <v>42.77</v>
      </c>
      <c r="K117">
        <f>_xll.ciqfunctions.udf.CIQ("BATS:WTAI", "IQ_CLOSEPRICE", "2025-03-06", "USD")</f>
        <v>20.23</v>
      </c>
      <c r="L117">
        <f>_xll.ciqfunctions.udf.CIQ("ARCA:THNQ", "IQ_CLOSEPRICE", "2025-03-06", "USD")</f>
        <v>47.907600000000002</v>
      </c>
      <c r="M117">
        <f>_xll.ciqfunctions.udf.CIQ("NasdaqGM:FDTX", "IQ_CLOSEPRICE", "2025-03-06", "USD")</f>
        <v>33.21</v>
      </c>
      <c r="N117">
        <f>_xll.ciqfunctions.udf.CIQ("ARCA:CHAT", "IQ_CLOSEPRICE", "2025-03-06", "USD")</f>
        <v>37.31</v>
      </c>
      <c r="O117">
        <f>_xll.ciqfunctions.udf.CIQ("ARCA:LOUP", "IQ_CLOSEPRICE", "2025-03-06", "USD")</f>
        <v>49.190800000000003</v>
      </c>
      <c r="P117">
        <f>_xll.ciqfunctions.udf.CIQ("ARCA:LRNZ", "IQ_CLOSEPRICE", "2025-03-06", "USD")</f>
        <v>37.1389</v>
      </c>
      <c r="Q117">
        <f>_xll.ciqfunctions.udf.CIQ("ARCA:AIS", "IQ_CLOSEPRICE", "2025-03-06", "USD")</f>
        <v>23.1129</v>
      </c>
      <c r="R117">
        <f>_xll.ciqfunctions.udf.CIQ("NasdaqGM:WISE", "IQ_CLOSEPRICE", "2025-03-06", "USD")</f>
        <v>33.39</v>
      </c>
      <c r="S117">
        <f>_xll.ciqfunctions.udf.CIQ("LSE:RBOT", "IQ_CLOSEPRICE", "2025-03-06", "USD")</f>
        <v>13.91</v>
      </c>
      <c r="T117">
        <f>_xll.ciqfunctions.udf.CIQ("XTRA:XAIX", "IQ_CLOSEPRICE", "2025-03-06", "USD")</f>
        <v>138.70479</v>
      </c>
      <c r="U117">
        <f>_xll.ciqfunctions.udf.CIQ("BIT:WTAI", "IQ_CLOSEPRICE", "2025-03-06", "USD")</f>
        <v>62.540610000000001</v>
      </c>
      <c r="V117">
        <f>_xll.ciqfunctions.udf.CIQ("LSE:AIAG", "IQ_CLOSEPRICE", "2025-03-06", "USD")</f>
        <v>21.640699999999999</v>
      </c>
      <c r="W117">
        <f>_xll.ciqfunctions.udf.CIQ("ASX:RBTZ", "IQ_CLOSEPRICE", "2025-03-06", "USD")</f>
        <v>9.2077600000000004</v>
      </c>
      <c r="X117">
        <f>_xll.ciqfunctions.udf.CIQ("DB:XB0T", "IQ_CLOSEPRICE", "2025-03-06", "USD")</f>
        <v>20.820879999999999</v>
      </c>
    </row>
    <row r="118" spans="1:24" x14ac:dyDescent="0.25">
      <c r="A118" t="s">
        <v>140</v>
      </c>
      <c r="B118">
        <f>_xll.ciqfunctions.udf.CIQ("NasdaqGM:QQQ", "IQ_CLOSEPRICE", "2025-03-05", "USD")</f>
        <v>502.01</v>
      </c>
      <c r="C118">
        <f>_xll.ciqfunctions.udf.CIQ("NasdaqGM:AGIX", "IQ_CLOSEPRICE", "2025-03-05", "USD")</f>
        <v>27.71</v>
      </c>
      <c r="D118">
        <f>_xll.ciqfunctions.udf.CIQ("NasdaqGM:SMH", "IQ_CLOSEPRICE", "2025-03-05", "USD")</f>
        <v>229.4</v>
      </c>
      <c r="E118">
        <f>_xll.ciqfunctions.udf.CIQ("BATS:IGV", "IQ_CLOSEPRICE", "2025-03-05", "USD")</f>
        <v>97.1</v>
      </c>
      <c r="F118">
        <f>_xll.ciqfunctions.udf.CIQ("NasdaqGM:BOTZ", "IQ_CLOSEPRICE", "2025-03-05", "USD")</f>
        <v>31.89</v>
      </c>
      <c r="G118">
        <f>_xll.ciqfunctions.udf.CIQ("NasdaqGM:AIQ", "IQ_CLOSEPRICE", "2025-03-05", "USD")</f>
        <v>39.24</v>
      </c>
      <c r="H118">
        <f>_xll.ciqfunctions.udf.CIQ("ARCA:ARTY", "IQ_CLOSEPRICE", "2025-03-05", "USD")</f>
        <v>35.270000000000003</v>
      </c>
      <c r="I118">
        <f>_xll.ciqfunctions.udf.CIQ("NasdaqGM:ROBT", "IQ_CLOSEPRICE", "2025-03-05", "USD")</f>
        <v>44.08</v>
      </c>
      <c r="J118">
        <f>_xll.ciqfunctions.udf.CIQ("ARCA:IGPT", "IQ_CLOSEPRICE", "2025-03-05", "USD")</f>
        <v>44.42</v>
      </c>
      <c r="K118">
        <f>_xll.ciqfunctions.udf.CIQ("BATS:WTAI", "IQ_CLOSEPRICE", "2025-03-05", "USD")</f>
        <v>21.22</v>
      </c>
      <c r="L118">
        <f>_xll.ciqfunctions.udf.CIQ("ARCA:THNQ", "IQ_CLOSEPRICE", "2025-03-05", "USD")</f>
        <v>49.75</v>
      </c>
      <c r="M118">
        <f>_xll.ciqfunctions.udf.CIQ("NasdaqGM:FDTX", "IQ_CLOSEPRICE", "2025-03-05", "USD")</f>
        <v>34.86</v>
      </c>
      <c r="N118">
        <f>_xll.ciqfunctions.udf.CIQ("ARCA:CHAT", "IQ_CLOSEPRICE", "2025-03-05", "USD")</f>
        <v>38.770000000000003</v>
      </c>
      <c r="O118">
        <f>_xll.ciqfunctions.udf.CIQ("ARCA:LOUP", "IQ_CLOSEPRICE", "2025-03-05", "USD")</f>
        <v>52.651299999999999</v>
      </c>
      <c r="P118">
        <f>_xll.ciqfunctions.udf.CIQ("ARCA:LRNZ", "IQ_CLOSEPRICE", "2025-03-05", "USD")</f>
        <v>39.388300000000001</v>
      </c>
      <c r="Q118">
        <f>_xll.ciqfunctions.udf.CIQ("ARCA:AIS", "IQ_CLOSEPRICE", "2025-03-05", "USD")</f>
        <v>23.952400000000001</v>
      </c>
      <c r="R118">
        <f>_xll.ciqfunctions.udf.CIQ("NasdaqGM:WISE", "IQ_CLOSEPRICE", "2025-03-05", "USD")</f>
        <v>34.68</v>
      </c>
      <c r="S118">
        <f>_xll.ciqfunctions.udf.CIQ("LSE:RBOT", "IQ_CLOSEPRICE", "2025-03-05", "USD")</f>
        <v>13.77</v>
      </c>
      <c r="T118">
        <f>_xll.ciqfunctions.udf.CIQ("XTRA:XAIX", "IQ_CLOSEPRICE", "2025-03-05", "USD")</f>
        <v>137.48518000000001</v>
      </c>
      <c r="U118">
        <f>_xll.ciqfunctions.udf.CIQ("BIT:WTAI", "IQ_CLOSEPRICE", "2025-03-05", "USD")</f>
        <v>61.814459999999997</v>
      </c>
      <c r="V118">
        <f>_xll.ciqfunctions.udf.CIQ("LSE:AIAG", "IQ_CLOSEPRICE", "2025-03-05", "USD")</f>
        <v>21.475729999999999</v>
      </c>
      <c r="W118">
        <f>_xll.ciqfunctions.udf.CIQ("ASX:RBTZ", "IQ_CLOSEPRICE", "2025-03-05", "USD")</f>
        <v>9.0863200000000006</v>
      </c>
      <c r="X118">
        <f>_xll.ciqfunctions.udf.CIQ("DB:XB0T", "IQ_CLOSEPRICE", "2025-03-05", "USD")</f>
        <v>20.8706</v>
      </c>
    </row>
    <row r="119" spans="1:24" x14ac:dyDescent="0.25">
      <c r="A119" t="s">
        <v>141</v>
      </c>
      <c r="B119">
        <f>_xll.ciqfunctions.udf.CIQ("NasdaqGM:QQQ", "IQ_CLOSEPRICE", "2025-03-04", "USD")</f>
        <v>495.55</v>
      </c>
      <c r="C119">
        <f>_xll.ciqfunctions.udf.CIQ("NasdaqGM:AGIX", "IQ_CLOSEPRICE", "2025-03-04", "USD")</f>
        <v>27.17</v>
      </c>
      <c r="D119">
        <f>_xll.ciqfunctions.udf.CIQ("NasdaqGM:SMH", "IQ_CLOSEPRICE", "2025-03-04", "USD")</f>
        <v>225.23</v>
      </c>
      <c r="E119">
        <f>_xll.ciqfunctions.udf.CIQ("BATS:IGV", "IQ_CLOSEPRICE", "2025-03-04", "USD")</f>
        <v>95.44</v>
      </c>
      <c r="F119">
        <f>_xll.ciqfunctions.udf.CIQ("NasdaqGM:BOTZ", "IQ_CLOSEPRICE", "2025-03-04", "USD")</f>
        <v>31.23</v>
      </c>
      <c r="G119">
        <f>_xll.ciqfunctions.udf.CIQ("NasdaqGM:AIQ", "IQ_CLOSEPRICE", "2025-03-04", "USD")</f>
        <v>38.29</v>
      </c>
      <c r="H119">
        <f>_xll.ciqfunctions.udf.CIQ("ARCA:ARTY", "IQ_CLOSEPRICE", "2025-03-04", "USD")</f>
        <v>34.68</v>
      </c>
      <c r="I119">
        <f>_xll.ciqfunctions.udf.CIQ("NasdaqGM:ROBT", "IQ_CLOSEPRICE", "2025-03-04", "USD")</f>
        <v>42.88</v>
      </c>
      <c r="J119">
        <f>_xll.ciqfunctions.udf.CIQ("ARCA:IGPT", "IQ_CLOSEPRICE", "2025-03-04", "USD")</f>
        <v>43.57</v>
      </c>
      <c r="K119">
        <f>_xll.ciqfunctions.udf.CIQ("BATS:WTAI", "IQ_CLOSEPRICE", "2025-03-04", "USD")</f>
        <v>20.89</v>
      </c>
      <c r="L119">
        <f>_xll.ciqfunctions.udf.CIQ("ARCA:THNQ", "IQ_CLOSEPRICE", "2025-03-04", "USD")</f>
        <v>48.91</v>
      </c>
      <c r="M119">
        <f>_xll.ciqfunctions.udf.CIQ("NasdaqGM:FDTX", "IQ_CLOSEPRICE", "2025-03-04", "USD")</f>
        <v>34.04</v>
      </c>
      <c r="N119">
        <f>_xll.ciqfunctions.udf.CIQ("ARCA:CHAT", "IQ_CLOSEPRICE", "2025-03-04", "USD")</f>
        <v>37.74</v>
      </c>
      <c r="O119">
        <f>_xll.ciqfunctions.udf.CIQ("ARCA:LOUP", "IQ_CLOSEPRICE", "2025-03-04", "USD")</f>
        <v>51.183199999999999</v>
      </c>
      <c r="P119">
        <f>_xll.ciqfunctions.udf.CIQ("ARCA:LRNZ", "IQ_CLOSEPRICE", "2025-03-04", "USD")</f>
        <v>39.08</v>
      </c>
      <c r="Q119">
        <f>_xll.ciqfunctions.udf.CIQ("ARCA:AIS", "IQ_CLOSEPRICE", "2025-03-04", "USD")</f>
        <v>23.377099999999999</v>
      </c>
      <c r="R119">
        <f>_xll.ciqfunctions.udf.CIQ("NasdaqGM:WISE", "IQ_CLOSEPRICE", "2025-03-04", "USD")</f>
        <v>33.79</v>
      </c>
      <c r="S119">
        <f>_xll.ciqfunctions.udf.CIQ("LSE:RBOT", "IQ_CLOSEPRICE", "2025-03-04", "USD")</f>
        <v>13.494999999999999</v>
      </c>
      <c r="T119">
        <f>_xll.ciqfunctions.udf.CIQ("XTRA:XAIX", "IQ_CLOSEPRICE", "2025-03-04", "USD")</f>
        <v>135.90986000000001</v>
      </c>
      <c r="U119">
        <f>_xll.ciqfunctions.udf.CIQ("BIT:WTAI", "IQ_CLOSEPRICE", "2025-03-04", "USD")</f>
        <v>60.657119999999999</v>
      </c>
      <c r="V119">
        <f>_xll.ciqfunctions.udf.CIQ("LSE:AIAG", "IQ_CLOSEPRICE", "2025-03-04", "USD")</f>
        <v>20.997900000000001</v>
      </c>
      <c r="W119">
        <f>_xll.ciqfunctions.udf.CIQ("ASX:RBTZ", "IQ_CLOSEPRICE", "2025-03-04", "USD")</f>
        <v>9.1765899999999991</v>
      </c>
      <c r="X119">
        <f>_xll.ciqfunctions.udf.CIQ("DB:XB0T", "IQ_CLOSEPRICE", "2025-03-04", "USD")</f>
        <v>20.583400000000001</v>
      </c>
    </row>
    <row r="120" spans="1:24" x14ac:dyDescent="0.25">
      <c r="A120" t="s">
        <v>142</v>
      </c>
      <c r="B120">
        <f>_xll.ciqfunctions.udf.CIQ("NasdaqGM:QQQ", "IQ_CLOSEPRICE", "2025-03-03", "USD")</f>
        <v>497.05</v>
      </c>
      <c r="C120">
        <f>_xll.ciqfunctions.udf.CIQ("NasdaqGM:AGIX", "IQ_CLOSEPRICE", "2025-03-03", "USD")</f>
        <v>27.100200000000001</v>
      </c>
      <c r="D120">
        <f>_xll.ciqfunctions.udf.CIQ("NasdaqGM:SMH", "IQ_CLOSEPRICE", "2025-03-03", "USD")</f>
        <v>223.01</v>
      </c>
      <c r="E120">
        <f>_xll.ciqfunctions.udf.CIQ("BATS:IGV", "IQ_CLOSEPRICE", "2025-03-03", "USD")</f>
        <v>95.63</v>
      </c>
      <c r="F120">
        <f>_xll.ciqfunctions.udf.CIQ("NasdaqGM:BOTZ", "IQ_CLOSEPRICE", "2025-03-03", "USD")</f>
        <v>31.28</v>
      </c>
      <c r="G120">
        <f>_xll.ciqfunctions.udf.CIQ("NasdaqGM:AIQ", "IQ_CLOSEPRICE", "2025-03-03", "USD")</f>
        <v>38.26</v>
      </c>
      <c r="H120">
        <f>_xll.ciqfunctions.udf.CIQ("ARCA:ARTY", "IQ_CLOSEPRICE", "2025-03-03", "USD")</f>
        <v>34.53</v>
      </c>
      <c r="I120">
        <f>_xll.ciqfunctions.udf.CIQ("NasdaqGM:ROBT", "IQ_CLOSEPRICE", "2025-03-03", "USD")</f>
        <v>43.15</v>
      </c>
      <c r="J120">
        <f>_xll.ciqfunctions.udf.CIQ("ARCA:IGPT", "IQ_CLOSEPRICE", "2025-03-03", "USD")</f>
        <v>43.63</v>
      </c>
      <c r="K120">
        <f>_xll.ciqfunctions.udf.CIQ("BATS:WTAI", "IQ_CLOSEPRICE", "2025-03-03", "USD")</f>
        <v>20.82</v>
      </c>
      <c r="L120">
        <f>_xll.ciqfunctions.udf.CIQ("ARCA:THNQ", "IQ_CLOSEPRICE", "2025-03-03", "USD")</f>
        <v>48.99</v>
      </c>
      <c r="M120">
        <f>_xll.ciqfunctions.udf.CIQ("NasdaqGM:FDTX", "IQ_CLOSEPRICE", "2025-03-03", "USD")</f>
        <v>34.1</v>
      </c>
      <c r="N120">
        <f>_xll.ciqfunctions.udf.CIQ("ARCA:CHAT", "IQ_CLOSEPRICE", "2025-03-03", "USD")</f>
        <v>37.479999999999997</v>
      </c>
      <c r="O120">
        <f>_xll.ciqfunctions.udf.CIQ("ARCA:LOUP", "IQ_CLOSEPRICE", "2025-03-03", "USD")</f>
        <v>51.529600000000002</v>
      </c>
      <c r="P120">
        <f>_xll.ciqfunctions.udf.CIQ("ARCA:LRNZ", "IQ_CLOSEPRICE", "2025-03-03", "USD")</f>
        <v>39.049999999999997</v>
      </c>
      <c r="Q120">
        <f>_xll.ciqfunctions.udf.CIQ("ARCA:AIS", "IQ_CLOSEPRICE", "2025-03-03", "USD")</f>
        <v>23.229299999999999</v>
      </c>
      <c r="R120">
        <f>_xll.ciqfunctions.udf.CIQ("NasdaqGM:WISE", "IQ_CLOSEPRICE", "2025-03-03", "USD")</f>
        <v>33.409999999999997</v>
      </c>
      <c r="S120">
        <f>_xll.ciqfunctions.udf.CIQ("LSE:RBOT", "IQ_CLOSEPRICE", "2025-03-03", "USD")</f>
        <v>14.03</v>
      </c>
      <c r="T120">
        <f>_xll.ciqfunctions.udf.CIQ("XTRA:XAIX", "IQ_CLOSEPRICE", "2025-03-03", "USD")</f>
        <v>141.89147</v>
      </c>
      <c r="U120">
        <f>_xll.ciqfunctions.udf.CIQ("BIT:WTAI", "IQ_CLOSEPRICE", "2025-03-03", "USD")</f>
        <v>63.923589999999997</v>
      </c>
      <c r="V120">
        <f>_xll.ciqfunctions.udf.CIQ("LSE:AIAG", "IQ_CLOSEPRICE", "2025-03-03", "USD")</f>
        <v>22.089200000000002</v>
      </c>
      <c r="W120">
        <f>_xll.ciqfunctions.udf.CIQ("ASX:RBTZ", "IQ_CLOSEPRICE", "2025-03-03", "USD")</f>
        <v>9.3043600000000009</v>
      </c>
      <c r="X120">
        <f>_xll.ciqfunctions.udf.CIQ("DB:XB0T", "IQ_CLOSEPRICE", "2025-03-03", "USD")</f>
        <v>21.260629999999999</v>
      </c>
    </row>
    <row r="121" spans="1:24" x14ac:dyDescent="0.25">
      <c r="A121" t="s">
        <v>143</v>
      </c>
      <c r="B121">
        <f>_xll.ciqfunctions.udf.CIQ("NasdaqGM:QQQ", "IQ_CLOSEPRICE", "2025-02-28", "USD")</f>
        <v>508.17</v>
      </c>
      <c r="C121">
        <f>_xll.ciqfunctions.udf.CIQ("NasdaqGM:AGIX", "IQ_CLOSEPRICE", "2025-02-28", "USD")</f>
        <v>28.15</v>
      </c>
      <c r="D121">
        <f>_xll.ciqfunctions.udf.CIQ("NasdaqGM:SMH", "IQ_CLOSEPRICE", "2025-02-28", "USD")</f>
        <v>232.77</v>
      </c>
      <c r="E121">
        <f>_xll.ciqfunctions.udf.CIQ("BATS:IGV", "IQ_CLOSEPRICE", "2025-02-28", "USD")</f>
        <v>97.47</v>
      </c>
      <c r="F121">
        <f>_xll.ciqfunctions.udf.CIQ("NasdaqGM:BOTZ", "IQ_CLOSEPRICE", "2025-02-28", "USD")</f>
        <v>32.07</v>
      </c>
      <c r="G121">
        <f>_xll.ciqfunctions.udf.CIQ("NasdaqGM:AIQ", "IQ_CLOSEPRICE", "2025-02-28", "USD")</f>
        <v>39.07</v>
      </c>
      <c r="H121">
        <f>_xll.ciqfunctions.udf.CIQ("ARCA:ARTY", "IQ_CLOSEPRICE", "2025-02-28", "USD")</f>
        <v>35.99</v>
      </c>
      <c r="I121">
        <f>_xll.ciqfunctions.udf.CIQ("NasdaqGM:ROBT", "IQ_CLOSEPRICE", "2025-02-28", "USD")</f>
        <v>44.04</v>
      </c>
      <c r="J121">
        <f>_xll.ciqfunctions.udf.CIQ("ARCA:IGPT", "IQ_CLOSEPRICE", "2025-02-28", "USD")</f>
        <v>44.6</v>
      </c>
      <c r="K121">
        <f>_xll.ciqfunctions.udf.CIQ("BATS:WTAI", "IQ_CLOSEPRICE", "2025-02-28", "USD")</f>
        <v>21.59</v>
      </c>
      <c r="L121">
        <f>_xll.ciqfunctions.udf.CIQ("ARCA:THNQ", "IQ_CLOSEPRICE", "2025-02-28", "USD")</f>
        <v>50.37</v>
      </c>
      <c r="M121">
        <f>_xll.ciqfunctions.udf.CIQ("NasdaqGM:FDTX", "IQ_CLOSEPRICE", "2025-02-28", "USD")</f>
        <v>34.950000000000003</v>
      </c>
      <c r="N121">
        <f>_xll.ciqfunctions.udf.CIQ("ARCA:CHAT", "IQ_CLOSEPRICE", "2025-02-28", "USD")</f>
        <v>38.86</v>
      </c>
      <c r="O121">
        <f>_xll.ciqfunctions.udf.CIQ("ARCA:LOUP", "IQ_CLOSEPRICE", "2025-02-28", "USD")</f>
        <v>53.4</v>
      </c>
      <c r="P121">
        <f>_xll.ciqfunctions.udf.CIQ("ARCA:LRNZ", "IQ_CLOSEPRICE", "2025-02-28", "USD")</f>
        <v>40.563099999999999</v>
      </c>
      <c r="Q121">
        <f>_xll.ciqfunctions.udf.CIQ("ARCA:AIS", "IQ_CLOSEPRICE", "2025-02-28", "USD")</f>
        <v>24.131900000000002</v>
      </c>
      <c r="R121">
        <f>_xll.ciqfunctions.udf.CIQ("NasdaqGM:WISE", "IQ_CLOSEPRICE", "2025-02-28", "USD")</f>
        <v>34.549999999999997</v>
      </c>
      <c r="S121">
        <f>_xll.ciqfunctions.udf.CIQ("LSE:RBOT", "IQ_CLOSEPRICE", "2025-02-28", "USD")</f>
        <v>13.9</v>
      </c>
      <c r="T121">
        <f>_xll.ciqfunctions.udf.CIQ("XTRA:XAIX", "IQ_CLOSEPRICE", "2025-02-28", "USD")</f>
        <v>140.25595999999999</v>
      </c>
      <c r="U121">
        <f>_xll.ciqfunctions.udf.CIQ("BIT:WTAI", "IQ_CLOSEPRICE", "2025-02-28", "USD")</f>
        <v>63.87473</v>
      </c>
      <c r="V121">
        <f>_xll.ciqfunctions.udf.CIQ("LSE:AIAG", "IQ_CLOSEPRICE", "2025-02-28", "USD")</f>
        <v>21.940750000000001</v>
      </c>
      <c r="W121">
        <f>_xll.ciqfunctions.udf.CIQ("ASX:RBTZ", "IQ_CLOSEPRICE", "2025-02-28", "USD")</f>
        <v>9.1761300000000006</v>
      </c>
      <c r="X121">
        <f>_xll.ciqfunctions.udf.CIQ("DB:XB0T", "IQ_CLOSEPRICE", "2025-02-28", "USD")</f>
        <v>20.923940000000002</v>
      </c>
    </row>
    <row r="122" spans="1:24" x14ac:dyDescent="0.25">
      <c r="A122" t="s">
        <v>144</v>
      </c>
      <c r="B122">
        <f>_xll.ciqfunctions.udf.CIQ("NasdaqGM:QQQ", "IQ_CLOSEPRICE", "2025-02-27", "USD")</f>
        <v>500.27</v>
      </c>
      <c r="C122">
        <f>_xll.ciqfunctions.udf.CIQ("NasdaqGM:AGIX", "IQ_CLOSEPRICE", "2025-02-27", "USD")</f>
        <v>27.85</v>
      </c>
      <c r="D122">
        <f>_xll.ciqfunctions.udf.CIQ("NasdaqGM:SMH", "IQ_CLOSEPRICE", "2025-02-27", "USD")</f>
        <v>228.79</v>
      </c>
      <c r="E122">
        <f>_xll.ciqfunctions.udf.CIQ("BATS:IGV", "IQ_CLOSEPRICE", "2025-02-27", "USD")</f>
        <v>96.33</v>
      </c>
      <c r="F122">
        <f>_xll.ciqfunctions.udf.CIQ("NasdaqGM:BOTZ", "IQ_CLOSEPRICE", "2025-02-27", "USD")</f>
        <v>32.22</v>
      </c>
      <c r="G122">
        <f>_xll.ciqfunctions.udf.CIQ("NasdaqGM:AIQ", "IQ_CLOSEPRICE", "2025-02-27", "USD")</f>
        <v>38.93</v>
      </c>
      <c r="H122">
        <f>_xll.ciqfunctions.udf.CIQ("ARCA:ARTY", "IQ_CLOSEPRICE", "2025-02-27", "USD")</f>
        <v>36.01</v>
      </c>
      <c r="I122">
        <f>_xll.ciqfunctions.udf.CIQ("NasdaqGM:ROBT", "IQ_CLOSEPRICE", "2025-02-27", "USD")</f>
        <v>44.25</v>
      </c>
      <c r="J122">
        <f>_xll.ciqfunctions.udf.CIQ("ARCA:IGPT", "IQ_CLOSEPRICE", "2025-02-27", "USD")</f>
        <v>44.18</v>
      </c>
      <c r="K122">
        <f>_xll.ciqfunctions.udf.CIQ("BATS:WTAI", "IQ_CLOSEPRICE", "2025-02-27", "USD")</f>
        <v>21.36</v>
      </c>
      <c r="L122">
        <f>_xll.ciqfunctions.udf.CIQ("ARCA:THNQ", "IQ_CLOSEPRICE", "2025-02-27", "USD")</f>
        <v>49.79</v>
      </c>
      <c r="M122">
        <f>_xll.ciqfunctions.udf.CIQ("NasdaqGM:FDTX", "IQ_CLOSEPRICE", "2025-02-27", "USD")</f>
        <v>34.6</v>
      </c>
      <c r="N122">
        <f>_xll.ciqfunctions.udf.CIQ("ARCA:CHAT", "IQ_CLOSEPRICE", "2025-02-27", "USD")</f>
        <v>38.72</v>
      </c>
      <c r="O122">
        <f>_xll.ciqfunctions.udf.CIQ("ARCA:LOUP", "IQ_CLOSEPRICE", "2025-02-27", "USD")</f>
        <v>53.0306</v>
      </c>
      <c r="P122">
        <f>_xll.ciqfunctions.udf.CIQ("ARCA:LRNZ", "IQ_CLOSEPRICE", "2025-02-27", "USD")</f>
        <v>39.520000000000003</v>
      </c>
      <c r="Q122">
        <f>_xll.ciqfunctions.udf.CIQ("ARCA:AIS", "IQ_CLOSEPRICE", "2025-02-27", "USD")</f>
        <v>24.146100000000001</v>
      </c>
      <c r="R122">
        <f>_xll.ciqfunctions.udf.CIQ("NasdaqGM:WISE", "IQ_CLOSEPRICE", "2025-02-27", "USD")</f>
        <v>34.1</v>
      </c>
      <c r="S122">
        <f>_xll.ciqfunctions.udf.CIQ("LSE:RBOT", "IQ_CLOSEPRICE", "2025-02-27", "USD")</f>
        <v>14.2</v>
      </c>
      <c r="T122">
        <f>_xll.ciqfunctions.udf.CIQ("XTRA:XAIX", "IQ_CLOSEPRICE", "2025-02-27", "USD")</f>
        <v>143.55878999999999</v>
      </c>
      <c r="U122">
        <f>_xll.ciqfunctions.udf.CIQ("BIT:WTAI", "IQ_CLOSEPRICE", "2025-02-27", "USD")</f>
        <v>66.056190000000001</v>
      </c>
      <c r="V122">
        <f>_xll.ciqfunctions.udf.CIQ("LSE:AIAG", "IQ_CLOSEPRICE", "2025-02-27", "USD")</f>
        <v>22.547049999999999</v>
      </c>
      <c r="W122">
        <f>_xll.ciqfunctions.udf.CIQ("ASX:RBTZ", "IQ_CLOSEPRICE", "2025-02-27", "USD")</f>
        <v>9.5223200000000006</v>
      </c>
      <c r="X122">
        <f>_xll.ciqfunctions.udf.CIQ("DB:XB0T", "IQ_CLOSEPRICE", "2025-02-27", "USD")</f>
        <v>21.7898</v>
      </c>
    </row>
    <row r="123" spans="1:24" x14ac:dyDescent="0.25">
      <c r="A123" t="s">
        <v>145</v>
      </c>
      <c r="B123">
        <f>_xll.ciqfunctions.udf.CIQ("NasdaqGM:QQQ", "IQ_CLOSEPRICE", "2025-02-26", "USD")</f>
        <v>514.55999999999995</v>
      </c>
      <c r="C123">
        <f>_xll.ciqfunctions.udf.CIQ("NasdaqGM:AGIX", "IQ_CLOSEPRICE", "2025-02-26", "USD")</f>
        <v>28.84</v>
      </c>
      <c r="D123">
        <f>_xll.ciqfunctions.udf.CIQ("NasdaqGM:SMH", "IQ_CLOSEPRICE", "2025-02-26", "USD")</f>
        <v>243.82</v>
      </c>
      <c r="E123">
        <f>_xll.ciqfunctions.udf.CIQ("BATS:IGV", "IQ_CLOSEPRICE", "2025-02-26", "USD")</f>
        <v>98.95</v>
      </c>
      <c r="F123">
        <f>_xll.ciqfunctions.udf.CIQ("NasdaqGM:BOTZ", "IQ_CLOSEPRICE", "2025-02-26", "USD")</f>
        <v>33.229999999999997</v>
      </c>
      <c r="G123">
        <f>_xll.ciqfunctions.udf.CIQ("NasdaqGM:AIQ", "IQ_CLOSEPRICE", "2025-02-26", "USD")</f>
        <v>40.090000000000003</v>
      </c>
      <c r="H123">
        <f>_xll.ciqfunctions.udf.CIQ("ARCA:ARTY", "IQ_CLOSEPRICE", "2025-02-26", "USD")</f>
        <v>37.68</v>
      </c>
      <c r="I123">
        <f>_xll.ciqfunctions.udf.CIQ("NasdaqGM:ROBT", "IQ_CLOSEPRICE", "2025-02-26", "USD")</f>
        <v>45.8</v>
      </c>
      <c r="J123">
        <f>_xll.ciqfunctions.udf.CIQ("ARCA:IGPT", "IQ_CLOSEPRICE", "2025-02-26", "USD")</f>
        <v>45.89</v>
      </c>
      <c r="K123">
        <f>_xll.ciqfunctions.udf.CIQ("BATS:WTAI", "IQ_CLOSEPRICE", "2025-02-26", "USD")</f>
        <v>22.24</v>
      </c>
      <c r="L123">
        <f>_xll.ciqfunctions.udf.CIQ("ARCA:THNQ", "IQ_CLOSEPRICE", "2025-02-26", "USD")</f>
        <v>51.51</v>
      </c>
      <c r="M123">
        <f>_xll.ciqfunctions.udf.CIQ("NasdaqGM:FDTX", "IQ_CLOSEPRICE", "2025-02-26", "USD")</f>
        <v>35.96</v>
      </c>
      <c r="N123">
        <f>_xll.ciqfunctions.udf.CIQ("ARCA:CHAT", "IQ_CLOSEPRICE", "2025-02-26", "USD")</f>
        <v>40.590000000000003</v>
      </c>
      <c r="O123">
        <f>_xll.ciqfunctions.udf.CIQ("ARCA:LOUP", "IQ_CLOSEPRICE", "2025-02-26", "USD")</f>
        <v>54.654000000000003</v>
      </c>
      <c r="P123">
        <f>_xll.ciqfunctions.udf.CIQ("ARCA:LRNZ", "IQ_CLOSEPRICE", "2025-02-26", "USD")</f>
        <v>40.560499999999998</v>
      </c>
      <c r="Q123">
        <f>_xll.ciqfunctions.udf.CIQ("ARCA:AIS", "IQ_CLOSEPRICE", "2025-02-26", "USD")</f>
        <v>25.106300000000001</v>
      </c>
      <c r="R123">
        <f>_xll.ciqfunctions.udf.CIQ("NasdaqGM:WISE", "IQ_CLOSEPRICE", "2025-02-26", "USD")</f>
        <v>35.93</v>
      </c>
      <c r="S123">
        <f>_xll.ciqfunctions.udf.CIQ("LSE:RBOT", "IQ_CLOSEPRICE", "2025-02-26", "USD")</f>
        <v>14.41</v>
      </c>
      <c r="T123">
        <f>_xll.ciqfunctions.udf.CIQ("XTRA:XAIX", "IQ_CLOSEPRICE", "2025-02-26", "USD")</f>
        <v>145.37620999999999</v>
      </c>
      <c r="U123">
        <f>_xll.ciqfunctions.udf.CIQ("BIT:WTAI", "IQ_CLOSEPRICE", "2025-02-26", "USD")</f>
        <v>67.675489999999996</v>
      </c>
      <c r="V123">
        <f>_xll.ciqfunctions.udf.CIQ("LSE:AIAG", "IQ_CLOSEPRICE", "2025-02-26", "USD")</f>
        <v>23.006720000000001</v>
      </c>
      <c r="W123">
        <f>_xll.ciqfunctions.udf.CIQ("ASX:RBTZ", "IQ_CLOSEPRICE", "2025-02-26", "USD")</f>
        <v>9.4627099999999995</v>
      </c>
      <c r="X123">
        <f>_xll.ciqfunctions.udf.CIQ("DB:XB0T", "IQ_CLOSEPRICE", "2025-02-26", "USD")</f>
        <v>21.78436</v>
      </c>
    </row>
    <row r="124" spans="1:24" x14ac:dyDescent="0.25">
      <c r="A124" t="s">
        <v>146</v>
      </c>
      <c r="B124">
        <f>_xll.ciqfunctions.udf.CIQ("NasdaqGM:QQQ", "IQ_CLOSEPRICE", "2025-02-25", "USD")</f>
        <v>513.32000000000005</v>
      </c>
      <c r="C124">
        <f>_xll.ciqfunctions.udf.CIQ("NasdaqGM:AGIX", "IQ_CLOSEPRICE", "2025-02-25", "USD")</f>
        <v>28.47</v>
      </c>
      <c r="D124">
        <f>_xll.ciqfunctions.udf.CIQ("NasdaqGM:SMH", "IQ_CLOSEPRICE", "2025-02-25", "USD")</f>
        <v>238.25</v>
      </c>
      <c r="E124">
        <f>_xll.ciqfunctions.udf.CIQ("BATS:IGV", "IQ_CLOSEPRICE", "2025-02-25", "USD")</f>
        <v>97.59</v>
      </c>
      <c r="F124">
        <f>_xll.ciqfunctions.udf.CIQ("NasdaqGM:BOTZ", "IQ_CLOSEPRICE", "2025-02-25", "USD")</f>
        <v>32.979999999999997</v>
      </c>
      <c r="G124">
        <f>_xll.ciqfunctions.udf.CIQ("NasdaqGM:AIQ", "IQ_CLOSEPRICE", "2025-02-25", "USD")</f>
        <v>39.76</v>
      </c>
      <c r="H124">
        <f>_xll.ciqfunctions.udf.CIQ("ARCA:ARTY", "IQ_CLOSEPRICE", "2025-02-25", "USD")</f>
        <v>36.93</v>
      </c>
      <c r="I124">
        <f>_xll.ciqfunctions.udf.CIQ("NasdaqGM:ROBT", "IQ_CLOSEPRICE", "2025-02-25", "USD")</f>
        <v>45.42</v>
      </c>
      <c r="J124">
        <f>_xll.ciqfunctions.udf.CIQ("ARCA:IGPT", "IQ_CLOSEPRICE", "2025-02-25", "USD")</f>
        <v>45.17</v>
      </c>
      <c r="K124">
        <f>_xll.ciqfunctions.udf.CIQ("BATS:WTAI", "IQ_CLOSEPRICE", "2025-02-25", "USD")</f>
        <v>21.8858</v>
      </c>
      <c r="L124">
        <f>_xll.ciqfunctions.udf.CIQ("ARCA:THNQ", "IQ_CLOSEPRICE", "2025-02-25", "USD")</f>
        <v>50.92</v>
      </c>
      <c r="M124">
        <f>_xll.ciqfunctions.udf.CIQ("NasdaqGM:FDTX", "IQ_CLOSEPRICE", "2025-02-25", "USD")</f>
        <v>35.43</v>
      </c>
      <c r="N124">
        <f>_xll.ciqfunctions.udf.CIQ("ARCA:CHAT", "IQ_CLOSEPRICE", "2025-02-25", "USD")</f>
        <v>39.74</v>
      </c>
      <c r="O124">
        <f>_xll.ciqfunctions.udf.CIQ("ARCA:LOUP", "IQ_CLOSEPRICE", "2025-02-25", "USD")</f>
        <v>53.1</v>
      </c>
      <c r="P124">
        <f>_xll.ciqfunctions.udf.CIQ("ARCA:LRNZ", "IQ_CLOSEPRICE", "2025-02-25", "USD")</f>
        <v>39.984699999999997</v>
      </c>
      <c r="Q124">
        <f>_xll.ciqfunctions.udf.CIQ("ARCA:AIS", "IQ_CLOSEPRICE", "2025-02-25", "USD")</f>
        <v>24.547499999999999</v>
      </c>
      <c r="R124">
        <f>_xll.ciqfunctions.udf.CIQ("NasdaqGM:WISE", "IQ_CLOSEPRICE", "2025-02-25", "USD")</f>
        <v>35.130000000000003</v>
      </c>
      <c r="S124">
        <f>_xll.ciqfunctions.udf.CIQ("LSE:RBOT", "IQ_CLOSEPRICE", "2025-02-25", "USD")</f>
        <v>14.09</v>
      </c>
      <c r="T124">
        <f>_xll.ciqfunctions.udf.CIQ("XTRA:XAIX", "IQ_CLOSEPRICE", "2025-02-25", "USD")</f>
        <v>141.62117000000001</v>
      </c>
      <c r="U124">
        <f>_xll.ciqfunctions.udf.CIQ("BIT:WTAI", "IQ_CLOSEPRICE", "2025-02-25", "USD")</f>
        <v>65.644689999999997</v>
      </c>
      <c r="V124">
        <f>_xll.ciqfunctions.udf.CIQ("LSE:AIAG", "IQ_CLOSEPRICE", "2025-02-25", "USD")</f>
        <v>22.237690000000001</v>
      </c>
      <c r="W124">
        <f>_xll.ciqfunctions.udf.CIQ("ASX:RBTZ", "IQ_CLOSEPRICE", "2025-02-25", "USD")</f>
        <v>9.5738599999999998</v>
      </c>
      <c r="X124">
        <f>_xll.ciqfunctions.udf.CIQ("DB:XB0T", "IQ_CLOSEPRICE", "2025-02-25", "USD")</f>
        <v>21.356570000000001</v>
      </c>
    </row>
    <row r="125" spans="1:24" x14ac:dyDescent="0.25">
      <c r="A125" t="s">
        <v>147</v>
      </c>
      <c r="B125">
        <f>_xll.ciqfunctions.udf.CIQ("NasdaqGM:QQQ", "IQ_CLOSEPRICE", "2025-02-24", "USD")</f>
        <v>519.87</v>
      </c>
      <c r="C125">
        <f>_xll.ciqfunctions.udf.CIQ("NasdaqGM:AGIX", "IQ_CLOSEPRICE", "2025-02-24", "USD")</f>
        <v>29</v>
      </c>
      <c r="D125">
        <f>_xll.ciqfunctions.udf.CIQ("NasdaqGM:SMH", "IQ_CLOSEPRICE", "2025-02-24", "USD")</f>
        <v>243.42</v>
      </c>
      <c r="E125">
        <f>_xll.ciqfunctions.udf.CIQ("BATS:IGV", "IQ_CLOSEPRICE", "2025-02-24", "USD")</f>
        <v>99.2</v>
      </c>
      <c r="F125">
        <f>_xll.ciqfunctions.udf.CIQ("NasdaqGM:BOTZ", "IQ_CLOSEPRICE", "2025-02-24", "USD")</f>
        <v>33.020000000000003</v>
      </c>
      <c r="G125">
        <f>_xll.ciqfunctions.udf.CIQ("NasdaqGM:AIQ", "IQ_CLOSEPRICE", "2025-02-24", "USD")</f>
        <v>40.31</v>
      </c>
      <c r="H125">
        <f>_xll.ciqfunctions.udf.CIQ("ARCA:ARTY", "IQ_CLOSEPRICE", "2025-02-24", "USD")</f>
        <v>37.81</v>
      </c>
      <c r="I125">
        <f>_xll.ciqfunctions.udf.CIQ("NasdaqGM:ROBT", "IQ_CLOSEPRICE", "2025-02-24", "USD")</f>
        <v>45.84</v>
      </c>
      <c r="J125">
        <f>_xll.ciqfunctions.udf.CIQ("ARCA:IGPT", "IQ_CLOSEPRICE", "2025-02-24", "USD")</f>
        <v>46.17</v>
      </c>
      <c r="K125">
        <f>_xll.ciqfunctions.udf.CIQ("BATS:WTAI", "IQ_CLOSEPRICE", "2025-02-24", "USD")</f>
        <v>22.33</v>
      </c>
      <c r="L125">
        <f>_xll.ciqfunctions.udf.CIQ("ARCA:THNQ", "IQ_CLOSEPRICE", "2025-02-24", "USD")</f>
        <v>51.98</v>
      </c>
      <c r="M125">
        <f>_xll.ciqfunctions.udf.CIQ("NasdaqGM:FDTX", "IQ_CLOSEPRICE", "2025-02-24", "USD")</f>
        <v>35.93</v>
      </c>
      <c r="N125">
        <f>_xll.ciqfunctions.udf.CIQ("ARCA:CHAT", "IQ_CLOSEPRICE", "2025-02-24", "USD")</f>
        <v>40.6</v>
      </c>
      <c r="O125">
        <f>_xll.ciqfunctions.udf.CIQ("ARCA:LOUP", "IQ_CLOSEPRICE", "2025-02-24", "USD")</f>
        <v>54.35</v>
      </c>
      <c r="P125">
        <f>_xll.ciqfunctions.udf.CIQ("ARCA:LRNZ", "IQ_CLOSEPRICE", "2025-02-24", "USD")</f>
        <v>40.908900000000003</v>
      </c>
      <c r="Q125">
        <f>_xll.ciqfunctions.udf.CIQ("ARCA:AIS", "IQ_CLOSEPRICE", "2025-02-24", "USD")</f>
        <v>25.111899999999999</v>
      </c>
      <c r="R125">
        <f>_xll.ciqfunctions.udf.CIQ("NasdaqGM:WISE", "IQ_CLOSEPRICE", "2025-02-24", "USD")</f>
        <v>36.31</v>
      </c>
      <c r="S125">
        <f>_xll.ciqfunctions.udf.CIQ("LSE:RBOT", "IQ_CLOSEPRICE", "2025-02-24", "USD")</f>
        <v>14.414999999999999</v>
      </c>
      <c r="T125">
        <f>_xll.ciqfunctions.udf.CIQ("XTRA:XAIX", "IQ_CLOSEPRICE", "2025-02-24", "USD")</f>
        <v>145.4298</v>
      </c>
      <c r="U125">
        <f>_xll.ciqfunctions.udf.CIQ("BIT:WTAI", "IQ_CLOSEPRICE", "2025-02-24", "USD")</f>
        <v>68.055700000000002</v>
      </c>
      <c r="V125">
        <f>_xll.ciqfunctions.udf.CIQ("LSE:AIAG", "IQ_CLOSEPRICE", "2025-02-24", "USD")</f>
        <v>22.979240000000001</v>
      </c>
      <c r="W125">
        <f>_xll.ciqfunctions.udf.CIQ("ASX:RBTZ", "IQ_CLOSEPRICE", "2025-02-24", "USD")</f>
        <v>9.6025399999999994</v>
      </c>
      <c r="X125">
        <f>_xll.ciqfunctions.udf.CIQ("DB:XB0T", "IQ_CLOSEPRICE", "2025-02-24", "USD")</f>
        <v>22.10763</v>
      </c>
    </row>
    <row r="126" spans="1:24" x14ac:dyDescent="0.25">
      <c r="A126" t="s">
        <v>148</v>
      </c>
      <c r="B126">
        <f>_xll.ciqfunctions.udf.CIQ("NasdaqGM:QQQ", "IQ_CLOSEPRICE", "2025-02-21", "USD")</f>
        <v>526.08000000000004</v>
      </c>
      <c r="C126">
        <f>_xll.ciqfunctions.udf.CIQ("NasdaqGM:AGIX", "IQ_CLOSEPRICE", "2025-02-21", "USD")</f>
        <v>29.67</v>
      </c>
      <c r="D126">
        <f>_xll.ciqfunctions.udf.CIQ("NasdaqGM:SMH", "IQ_CLOSEPRICE", "2025-02-21", "USD")</f>
        <v>249.99</v>
      </c>
      <c r="E126">
        <f>_xll.ciqfunctions.udf.CIQ("BATS:IGV", "IQ_CLOSEPRICE", "2025-02-21", "USD")</f>
        <v>100.45</v>
      </c>
      <c r="F126">
        <f>_xll.ciqfunctions.udf.CIQ("NasdaqGM:BOTZ", "IQ_CLOSEPRICE", "2025-02-21", "USD")</f>
        <v>33.630000000000003</v>
      </c>
      <c r="G126">
        <f>_xll.ciqfunctions.udf.CIQ("NasdaqGM:AIQ", "IQ_CLOSEPRICE", "2025-02-21", "USD")</f>
        <v>41.24</v>
      </c>
      <c r="H126">
        <f>_xll.ciqfunctions.udf.CIQ("ARCA:ARTY", "IQ_CLOSEPRICE", "2025-02-21", "USD")</f>
        <v>38.9</v>
      </c>
      <c r="I126">
        <f>_xll.ciqfunctions.udf.CIQ("NasdaqGM:ROBT", "IQ_CLOSEPRICE", "2025-02-21", "USD")</f>
        <v>46.45</v>
      </c>
      <c r="J126">
        <f>_xll.ciqfunctions.udf.CIQ("ARCA:IGPT", "IQ_CLOSEPRICE", "2025-02-21", "USD")</f>
        <v>47.09</v>
      </c>
      <c r="K126">
        <f>_xll.ciqfunctions.udf.CIQ("BATS:WTAI", "IQ_CLOSEPRICE", "2025-02-21", "USD")</f>
        <v>22.95</v>
      </c>
      <c r="L126">
        <f>_xll.ciqfunctions.udf.CIQ("ARCA:THNQ", "IQ_CLOSEPRICE", "2025-02-21", "USD")</f>
        <v>52.95</v>
      </c>
      <c r="M126">
        <f>_xll.ciqfunctions.udf.CIQ("NasdaqGM:FDTX", "IQ_CLOSEPRICE", "2025-02-21", "USD")</f>
        <v>36.6</v>
      </c>
      <c r="N126">
        <f>_xll.ciqfunctions.udf.CIQ("ARCA:CHAT", "IQ_CLOSEPRICE", "2025-02-21", "USD")</f>
        <v>41.75</v>
      </c>
      <c r="O126">
        <f>_xll.ciqfunctions.udf.CIQ("ARCA:LOUP", "IQ_CLOSEPRICE", "2025-02-21", "USD")</f>
        <v>55.6</v>
      </c>
      <c r="P126">
        <f>_xll.ciqfunctions.udf.CIQ("ARCA:LRNZ", "IQ_CLOSEPRICE", "2025-02-21", "USD")</f>
        <v>41.939500000000002</v>
      </c>
      <c r="Q126">
        <f>_xll.ciqfunctions.udf.CIQ("ARCA:AIS", "IQ_CLOSEPRICE", "2025-02-21", "USD")</f>
        <v>25.7439</v>
      </c>
      <c r="R126">
        <f>_xll.ciqfunctions.udf.CIQ("NasdaqGM:WISE", "IQ_CLOSEPRICE", "2025-02-21", "USD")</f>
        <v>37.97</v>
      </c>
      <c r="S126">
        <f>_xll.ciqfunctions.udf.CIQ("LSE:RBOT", "IQ_CLOSEPRICE", "2025-02-21", "USD")</f>
        <v>14.71</v>
      </c>
      <c r="T126">
        <f>_xll.ciqfunctions.udf.CIQ("XTRA:XAIX", "IQ_CLOSEPRICE", "2025-02-21", "USD")</f>
        <v>149.03845999999999</v>
      </c>
      <c r="U126">
        <f>_xll.ciqfunctions.udf.CIQ("BIT:WTAI", "IQ_CLOSEPRICE", "2025-02-21", "USD")</f>
        <v>70.599919999999997</v>
      </c>
      <c r="V126">
        <f>_xll.ciqfunctions.udf.CIQ("LSE:AIAG", "IQ_CLOSEPRICE", "2025-02-21", "USD")</f>
        <v>23.789899999999999</v>
      </c>
      <c r="W126">
        <f>_xll.ciqfunctions.udf.CIQ("ASX:RBTZ", "IQ_CLOSEPRICE", "2025-02-21", "USD")</f>
        <v>9.8437999999999999</v>
      </c>
      <c r="X126">
        <f>_xll.ciqfunctions.udf.CIQ("DB:XB0T", "IQ_CLOSEPRICE", "2025-02-21", "USD")</f>
        <v>22.570029999999999</v>
      </c>
    </row>
    <row r="127" spans="1:24" x14ac:dyDescent="0.25">
      <c r="A127" t="s">
        <v>149</v>
      </c>
      <c r="B127">
        <f>_xll.ciqfunctions.udf.CIQ("NasdaqGM:QQQ", "IQ_CLOSEPRICE", "2025-02-20", "USD")</f>
        <v>537.23</v>
      </c>
      <c r="C127">
        <f>_xll.ciqfunctions.udf.CIQ("NasdaqGM:AGIX", "IQ_CLOSEPRICE", "2025-02-20", "USD")</f>
        <v>30.63</v>
      </c>
      <c r="D127">
        <f>_xll.ciqfunctions.udf.CIQ("NasdaqGM:SMH", "IQ_CLOSEPRICE", "2025-02-20", "USD")</f>
        <v>257.8</v>
      </c>
      <c r="E127">
        <f>_xll.ciqfunctions.udf.CIQ("BATS:IGV", "IQ_CLOSEPRICE", "2025-02-20", "USD")</f>
        <v>104</v>
      </c>
      <c r="F127">
        <f>_xll.ciqfunctions.udf.CIQ("NasdaqGM:BOTZ", "IQ_CLOSEPRICE", "2025-02-20", "USD")</f>
        <v>34.32</v>
      </c>
      <c r="G127">
        <f>_xll.ciqfunctions.udf.CIQ("NasdaqGM:AIQ", "IQ_CLOSEPRICE", "2025-02-20", "USD")</f>
        <v>42.23</v>
      </c>
      <c r="H127">
        <f>_xll.ciqfunctions.udf.CIQ("ARCA:ARTY", "IQ_CLOSEPRICE", "2025-02-20", "USD")</f>
        <v>40.39</v>
      </c>
      <c r="I127">
        <f>_xll.ciqfunctions.udf.CIQ("NasdaqGM:ROBT", "IQ_CLOSEPRICE", "2025-02-20", "USD")</f>
        <v>47.86</v>
      </c>
      <c r="J127">
        <f>_xll.ciqfunctions.udf.CIQ("ARCA:IGPT", "IQ_CLOSEPRICE", "2025-02-20", "USD")</f>
        <v>48.54</v>
      </c>
      <c r="K127">
        <f>_xll.ciqfunctions.udf.CIQ("BATS:WTAI", "IQ_CLOSEPRICE", "2025-02-20", "USD")</f>
        <v>23.69</v>
      </c>
      <c r="L127">
        <f>_xll.ciqfunctions.udf.CIQ("ARCA:THNQ", "IQ_CLOSEPRICE", "2025-02-20", "USD")</f>
        <v>54.43</v>
      </c>
      <c r="M127">
        <f>_xll.ciqfunctions.udf.CIQ("NasdaqGM:FDTX", "IQ_CLOSEPRICE", "2025-02-20", "USD")</f>
        <v>37.664999999999999</v>
      </c>
      <c r="N127">
        <f>_xll.ciqfunctions.udf.CIQ("ARCA:CHAT", "IQ_CLOSEPRICE", "2025-02-20", "USD")</f>
        <v>43.05</v>
      </c>
      <c r="O127">
        <f>_xll.ciqfunctions.udf.CIQ("ARCA:LOUP", "IQ_CLOSEPRICE", "2025-02-20", "USD")</f>
        <v>58.15</v>
      </c>
      <c r="P127">
        <f>_xll.ciqfunctions.udf.CIQ("ARCA:LRNZ", "IQ_CLOSEPRICE", "2025-02-20", "USD")</f>
        <v>43.390799999999999</v>
      </c>
      <c r="Q127">
        <f>_xll.ciqfunctions.udf.CIQ("ARCA:AIS", "IQ_CLOSEPRICE", "2025-02-20", "USD")</f>
        <v>26.234400000000001</v>
      </c>
      <c r="R127">
        <f>_xll.ciqfunctions.udf.CIQ("NasdaqGM:WISE", "IQ_CLOSEPRICE", "2025-02-20", "USD")</f>
        <v>39.58</v>
      </c>
      <c r="S127">
        <f>_xll.ciqfunctions.udf.CIQ("LSE:RBOT", "IQ_CLOSEPRICE", "2025-02-20", "USD")</f>
        <v>14.785</v>
      </c>
      <c r="T127">
        <f>_xll.ciqfunctions.udf.CIQ("XTRA:XAIX", "IQ_CLOSEPRICE", "2025-02-20", "USD")</f>
        <v>149.05817999999999</v>
      </c>
      <c r="U127">
        <f>_xll.ciqfunctions.udf.CIQ("BIT:WTAI", "IQ_CLOSEPRICE", "2025-02-20", "USD")</f>
        <v>70.84554</v>
      </c>
      <c r="V127">
        <f>_xll.ciqfunctions.udf.CIQ("LSE:AIAG", "IQ_CLOSEPRICE", "2025-02-20", "USD")</f>
        <v>23.797429999999999</v>
      </c>
      <c r="W127">
        <f>_xll.ciqfunctions.udf.CIQ("ASX:RBTZ", "IQ_CLOSEPRICE", "2025-02-20", "USD")</f>
        <v>9.8446599999999993</v>
      </c>
      <c r="X127">
        <f>_xll.ciqfunctions.udf.CIQ("DB:XB0T", "IQ_CLOSEPRICE", "2025-02-20", "USD")</f>
        <v>22.598369999999999</v>
      </c>
    </row>
    <row r="128" spans="1:24" x14ac:dyDescent="0.25">
      <c r="A128" t="s">
        <v>150</v>
      </c>
      <c r="B128">
        <f>_xll.ciqfunctions.udf.CIQ("NasdaqGM:QQQ", "IQ_CLOSEPRICE", "2025-02-19", "USD")</f>
        <v>539.52</v>
      </c>
      <c r="C128">
        <f>_xll.ciqfunctions.udf.CIQ("NasdaqGM:AGIX", "IQ_CLOSEPRICE", "2025-02-19", "USD")</f>
        <v>31.21</v>
      </c>
      <c r="D128">
        <f>_xll.ciqfunctions.udf.CIQ("NasdaqGM:SMH", "IQ_CLOSEPRICE", "2025-02-19", "USD")</f>
        <v>257.33999999999997</v>
      </c>
      <c r="E128">
        <f>_xll.ciqfunctions.udf.CIQ("BATS:IGV", "IQ_CLOSEPRICE", "2025-02-19", "USD")</f>
        <v>105.94</v>
      </c>
      <c r="F128">
        <f>_xll.ciqfunctions.udf.CIQ("NasdaqGM:BOTZ", "IQ_CLOSEPRICE", "2025-02-19", "USD")</f>
        <v>34.33</v>
      </c>
      <c r="G128">
        <f>_xll.ciqfunctions.udf.CIQ("NasdaqGM:AIQ", "IQ_CLOSEPRICE", "2025-02-19", "USD")</f>
        <v>42.47</v>
      </c>
      <c r="H128">
        <f>_xll.ciqfunctions.udf.CIQ("ARCA:ARTY", "IQ_CLOSEPRICE", "2025-02-19", "USD")</f>
        <v>40.99</v>
      </c>
      <c r="I128">
        <f>_xll.ciqfunctions.udf.CIQ("NasdaqGM:ROBT", "IQ_CLOSEPRICE", "2025-02-19", "USD")</f>
        <v>48.44</v>
      </c>
      <c r="J128">
        <f>_xll.ciqfunctions.udf.CIQ("ARCA:IGPT", "IQ_CLOSEPRICE", "2025-02-19", "USD")</f>
        <v>48.58</v>
      </c>
      <c r="K128">
        <f>_xll.ciqfunctions.udf.CIQ("BATS:WTAI", "IQ_CLOSEPRICE", "2025-02-19", "USD")</f>
        <v>24.03</v>
      </c>
      <c r="L128">
        <f>_xll.ciqfunctions.udf.CIQ("ARCA:THNQ", "IQ_CLOSEPRICE", "2025-02-19", "USD")</f>
        <v>55.04</v>
      </c>
      <c r="M128">
        <f>_xll.ciqfunctions.udf.CIQ("NasdaqGM:FDTX", "IQ_CLOSEPRICE", "2025-02-19", "USD")</f>
        <v>38.049999999999997</v>
      </c>
      <c r="N128">
        <f>_xll.ciqfunctions.udf.CIQ("ARCA:CHAT", "IQ_CLOSEPRICE", "2025-02-19", "USD")</f>
        <v>43.43</v>
      </c>
      <c r="O128">
        <f>_xll.ciqfunctions.udf.CIQ("ARCA:LOUP", "IQ_CLOSEPRICE", "2025-02-19", "USD")</f>
        <v>59.430399999999999</v>
      </c>
      <c r="P128">
        <f>_xll.ciqfunctions.udf.CIQ("ARCA:LRNZ", "IQ_CLOSEPRICE", "2025-02-19", "USD")</f>
        <v>44.379199999999997</v>
      </c>
      <c r="Q128">
        <f>_xll.ciqfunctions.udf.CIQ("ARCA:AIS", "IQ_CLOSEPRICE", "2025-02-19", "USD")</f>
        <v>26.369299999999999</v>
      </c>
      <c r="R128">
        <f>_xll.ciqfunctions.udf.CIQ("NasdaqGM:WISE", "IQ_CLOSEPRICE", "2025-02-19", "USD")</f>
        <v>40.25</v>
      </c>
      <c r="S128">
        <f>_xll.ciqfunctions.udf.CIQ("LSE:RBOT", "IQ_CLOSEPRICE", "2025-02-19", "USD")</f>
        <v>14.925000000000001</v>
      </c>
      <c r="T128">
        <f>_xll.ciqfunctions.udf.CIQ("XTRA:XAIX", "IQ_CLOSEPRICE", "2025-02-19", "USD")</f>
        <v>151.58705</v>
      </c>
      <c r="U128">
        <f>_xll.ciqfunctions.udf.CIQ("BIT:WTAI", "IQ_CLOSEPRICE", "2025-02-19", "USD")</f>
        <v>72.723489999999998</v>
      </c>
      <c r="V128">
        <f>_xll.ciqfunctions.udf.CIQ("LSE:AIAG", "IQ_CLOSEPRICE", "2025-02-19", "USD")</f>
        <v>24.22711</v>
      </c>
      <c r="W128">
        <f>_xll.ciqfunctions.udf.CIQ("ASX:RBTZ", "IQ_CLOSEPRICE", "2025-02-19", "USD")</f>
        <v>9.9194499999999994</v>
      </c>
      <c r="X128">
        <f>_xll.ciqfunctions.udf.CIQ("DB:XB0T", "IQ_CLOSEPRICE", "2025-02-19", "USD")</f>
        <v>22.609010000000001</v>
      </c>
    </row>
    <row r="129" spans="1:24" x14ac:dyDescent="0.25">
      <c r="A129" t="s">
        <v>151</v>
      </c>
      <c r="B129">
        <f>_xll.ciqfunctions.udf.CIQ("NasdaqGM:QQQ", "IQ_CLOSEPRICE", "2025-02-18", "USD")</f>
        <v>539.37</v>
      </c>
      <c r="C129">
        <f>_xll.ciqfunctions.udf.CIQ("NasdaqGM:AGIX", "IQ_CLOSEPRICE", "2025-02-18", "USD")</f>
        <v>31.51</v>
      </c>
      <c r="D129">
        <f>_xll.ciqfunctions.udf.CIQ("NasdaqGM:SMH", "IQ_CLOSEPRICE", "2025-02-18", "USD")</f>
        <v>256.22000000000003</v>
      </c>
      <c r="E129">
        <f>_xll.ciqfunctions.udf.CIQ("BATS:IGV", "IQ_CLOSEPRICE", "2025-02-18", "USD")</f>
        <v>107.83</v>
      </c>
      <c r="F129">
        <f>_xll.ciqfunctions.udf.CIQ("NasdaqGM:BOTZ", "IQ_CLOSEPRICE", "2025-02-18", "USD")</f>
        <v>34.49</v>
      </c>
      <c r="G129">
        <f>_xll.ciqfunctions.udf.CIQ("NasdaqGM:AIQ", "IQ_CLOSEPRICE", "2025-02-18", "USD")</f>
        <v>42.77</v>
      </c>
      <c r="H129">
        <f>_xll.ciqfunctions.udf.CIQ("ARCA:ARTY", "IQ_CLOSEPRICE", "2025-02-18", "USD")</f>
        <v>41.22</v>
      </c>
      <c r="I129">
        <f>_xll.ciqfunctions.udf.CIQ("NasdaqGM:ROBT", "IQ_CLOSEPRICE", "2025-02-18", "USD")</f>
        <v>48.92</v>
      </c>
      <c r="J129">
        <f>_xll.ciqfunctions.udf.CIQ("ARCA:IGPT", "IQ_CLOSEPRICE", "2025-02-18", "USD")</f>
        <v>48.89</v>
      </c>
      <c r="K129">
        <f>_xll.ciqfunctions.udf.CIQ("BATS:WTAI", "IQ_CLOSEPRICE", "2025-02-18", "USD")</f>
        <v>24.32</v>
      </c>
      <c r="L129">
        <f>_xll.ciqfunctions.udf.CIQ("ARCA:THNQ", "IQ_CLOSEPRICE", "2025-02-18", "USD")</f>
        <v>55.22</v>
      </c>
      <c r="M129">
        <f>_xll.ciqfunctions.udf.CIQ("NasdaqGM:FDTX", "IQ_CLOSEPRICE", "2025-02-18", "USD")</f>
        <v>38.285299999999999</v>
      </c>
      <c r="N129">
        <f>_xll.ciqfunctions.udf.CIQ("ARCA:CHAT", "IQ_CLOSEPRICE", "2025-02-18", "USD")</f>
        <v>43.85</v>
      </c>
      <c r="O129">
        <f>_xll.ciqfunctions.udf.CIQ("ARCA:LOUP", "IQ_CLOSEPRICE", "2025-02-18", "USD")</f>
        <v>60.946199999999997</v>
      </c>
      <c r="P129">
        <f>_xll.ciqfunctions.udf.CIQ("ARCA:LRNZ", "IQ_CLOSEPRICE", "2025-02-18", "USD")</f>
        <v>45.037799999999997</v>
      </c>
      <c r="Q129">
        <f>_xll.ciqfunctions.udf.CIQ("ARCA:AIS", "IQ_CLOSEPRICE", "2025-02-18", "USD")</f>
        <v>26.389600000000002</v>
      </c>
      <c r="R129">
        <f>_xll.ciqfunctions.udf.CIQ("NasdaqGM:WISE", "IQ_CLOSEPRICE", "2025-02-18", "USD")</f>
        <v>41.334000000000003</v>
      </c>
      <c r="S129">
        <f>_xll.ciqfunctions.udf.CIQ("LSE:RBOT", "IQ_CLOSEPRICE", "2025-02-18", "USD")</f>
        <v>14.92</v>
      </c>
      <c r="T129">
        <f>_xll.ciqfunctions.udf.CIQ("XTRA:XAIX", "IQ_CLOSEPRICE", "2025-02-18", "USD")</f>
        <v>152.02427</v>
      </c>
      <c r="U129">
        <f>_xll.ciqfunctions.udf.CIQ("BIT:WTAI", "IQ_CLOSEPRICE", "2025-02-18", "USD")</f>
        <v>72.559889999999996</v>
      </c>
      <c r="V129">
        <f>_xll.ciqfunctions.udf.CIQ("LSE:AIAG", "IQ_CLOSEPRICE", "2025-02-18", "USD")</f>
        <v>24.25909</v>
      </c>
      <c r="W129">
        <f>_xll.ciqfunctions.udf.CIQ("ASX:RBTZ", "IQ_CLOSEPRICE", "2025-02-18", "USD")</f>
        <v>9.8520000000000003</v>
      </c>
      <c r="X129">
        <f>_xll.ciqfunctions.udf.CIQ("DB:XB0T", "IQ_CLOSEPRICE", "2025-02-18", "USD")</f>
        <v>22.52328</v>
      </c>
    </row>
    <row r="130" spans="1:24" x14ac:dyDescent="0.25">
      <c r="A130" t="s">
        <v>152</v>
      </c>
      <c r="B130">
        <f>_xll.ciqfunctions.udf.CIQ("NasdaqGM:QQQ", "IQ_CLOSEPRICE", "2025-02-17", "USD")</f>
        <v>0</v>
      </c>
      <c r="C130">
        <f>_xll.ciqfunctions.udf.CIQ("NasdaqGM:AGIX", "IQ_CLOSEPRICE", "2025-02-17", "USD")</f>
        <v>0</v>
      </c>
      <c r="D130">
        <f>_xll.ciqfunctions.udf.CIQ("NasdaqGM:SMH", "IQ_CLOSEPRICE", "2025-02-17", "USD")</f>
        <v>0</v>
      </c>
      <c r="E130">
        <f>_xll.ciqfunctions.udf.CIQ("BATS:IGV", "IQ_CLOSEPRICE", "2025-02-17", "USD")</f>
        <v>0</v>
      </c>
      <c r="F130">
        <f>_xll.ciqfunctions.udf.CIQ("NasdaqGM:BOTZ", "IQ_CLOSEPRICE", "2025-02-17", "USD")</f>
        <v>0</v>
      </c>
      <c r="G130">
        <f>_xll.ciqfunctions.udf.CIQ("NasdaqGM:AIQ", "IQ_CLOSEPRICE", "2025-02-17", "USD")</f>
        <v>0</v>
      </c>
      <c r="H130">
        <f>_xll.ciqfunctions.udf.CIQ("ARCA:ARTY", "IQ_CLOSEPRICE", "2025-02-17", "USD")</f>
        <v>0</v>
      </c>
      <c r="I130">
        <f>_xll.ciqfunctions.udf.CIQ("NasdaqGM:ROBT", "IQ_CLOSEPRICE", "2025-02-17", "USD")</f>
        <v>0</v>
      </c>
      <c r="J130">
        <f>_xll.ciqfunctions.udf.CIQ("ARCA:IGPT", "IQ_CLOSEPRICE", "2025-02-17", "USD")</f>
        <v>0</v>
      </c>
      <c r="K130">
        <f>_xll.ciqfunctions.udf.CIQ("BATS:WTAI", "IQ_CLOSEPRICE", "2025-02-17", "USD")</f>
        <v>0</v>
      </c>
      <c r="L130">
        <f>_xll.ciqfunctions.udf.CIQ("ARCA:THNQ", "IQ_CLOSEPRICE", "2025-02-17", "USD")</f>
        <v>0</v>
      </c>
      <c r="M130">
        <f>_xll.ciqfunctions.udf.CIQ("NasdaqGM:FDTX", "IQ_CLOSEPRICE", "2025-02-17", "USD")</f>
        <v>0</v>
      </c>
      <c r="N130">
        <f>_xll.ciqfunctions.udf.CIQ("ARCA:CHAT", "IQ_CLOSEPRICE", "2025-02-17", "USD")</f>
        <v>0</v>
      </c>
      <c r="O130">
        <f>_xll.ciqfunctions.udf.CIQ("ARCA:LOUP", "IQ_CLOSEPRICE", "2025-02-17", "USD")</f>
        <v>0</v>
      </c>
      <c r="P130">
        <f>_xll.ciqfunctions.udf.CIQ("ARCA:LRNZ", "IQ_CLOSEPRICE", "2025-02-17", "USD")</f>
        <v>0</v>
      </c>
      <c r="Q130">
        <f>_xll.ciqfunctions.udf.CIQ("ARCA:AIS", "IQ_CLOSEPRICE", "2025-02-17", "USD")</f>
        <v>0</v>
      </c>
      <c r="R130">
        <f>_xll.ciqfunctions.udf.CIQ("NasdaqGM:WISE", "IQ_CLOSEPRICE", "2025-02-17", "USD")</f>
        <v>0</v>
      </c>
      <c r="S130">
        <f>_xll.ciqfunctions.udf.CIQ("LSE:RBOT", "IQ_CLOSEPRICE", "2025-02-17", "USD")</f>
        <v>14.855</v>
      </c>
      <c r="T130">
        <f>_xll.ciqfunctions.udf.CIQ("XTRA:XAIX", "IQ_CLOSEPRICE", "2025-02-17", "USD")</f>
        <v>151.88095999999999</v>
      </c>
      <c r="U130">
        <f>_xll.ciqfunctions.udf.CIQ("BIT:WTAI", "IQ_CLOSEPRICE", "2025-02-17", "USD")</f>
        <v>71.874669999999995</v>
      </c>
      <c r="V130">
        <f>_xll.ciqfunctions.udf.CIQ("LSE:AIAG", "IQ_CLOSEPRICE", "2025-02-17", "USD")</f>
        <v>24.350709999999999</v>
      </c>
      <c r="W130">
        <f>_xll.ciqfunctions.udf.CIQ("ASX:RBTZ", "IQ_CLOSEPRICE", "2025-02-17", "USD")</f>
        <v>9.7930600000000005</v>
      </c>
      <c r="X130">
        <f>_xll.ciqfunctions.udf.CIQ("DB:XB0T", "IQ_CLOSEPRICE", "2025-02-17", "USD")</f>
        <v>22.351459999999999</v>
      </c>
    </row>
    <row r="131" spans="1:24" x14ac:dyDescent="0.25">
      <c r="A131" t="s">
        <v>153</v>
      </c>
      <c r="B131">
        <f>_xll.ciqfunctions.udf.CIQ("NasdaqGM:QQQ", "IQ_CLOSEPRICE", "2025-02-14", "USD")</f>
        <v>538.15</v>
      </c>
      <c r="C131">
        <f>_xll.ciqfunctions.udf.CIQ("NasdaqGM:AGIX", "IQ_CLOSEPRICE", "2025-02-14", "USD")</f>
        <v>31.3</v>
      </c>
      <c r="D131">
        <f>_xll.ciqfunctions.udf.CIQ("NasdaqGM:SMH", "IQ_CLOSEPRICE", "2025-02-14", "USD")</f>
        <v>252.58</v>
      </c>
      <c r="E131">
        <f>_xll.ciqfunctions.udf.CIQ("BATS:IGV", "IQ_CLOSEPRICE", "2025-02-14", "USD")</f>
        <v>106.76</v>
      </c>
      <c r="F131">
        <f>_xll.ciqfunctions.udf.CIQ("NasdaqGM:BOTZ", "IQ_CLOSEPRICE", "2025-02-14", "USD")</f>
        <v>33.82</v>
      </c>
      <c r="G131">
        <f>_xll.ciqfunctions.udf.CIQ("NasdaqGM:AIQ", "IQ_CLOSEPRICE", "2025-02-14", "USD")</f>
        <v>42.41</v>
      </c>
      <c r="H131">
        <f>_xll.ciqfunctions.udf.CIQ("ARCA:ARTY", "IQ_CLOSEPRICE", "2025-02-14", "USD")</f>
        <v>40.79</v>
      </c>
      <c r="I131">
        <f>_xll.ciqfunctions.udf.CIQ("NasdaqGM:ROBT", "IQ_CLOSEPRICE", "2025-02-14", "USD")</f>
        <v>48.58</v>
      </c>
      <c r="J131">
        <f>_xll.ciqfunctions.udf.CIQ("ARCA:IGPT", "IQ_CLOSEPRICE", "2025-02-14", "USD")</f>
        <v>48.41</v>
      </c>
      <c r="K131">
        <f>_xll.ciqfunctions.udf.CIQ("BATS:WTAI", "IQ_CLOSEPRICE", "2025-02-14", "USD")</f>
        <v>24.09</v>
      </c>
      <c r="L131">
        <f>_xll.ciqfunctions.udf.CIQ("ARCA:THNQ", "IQ_CLOSEPRICE", "2025-02-14", "USD")</f>
        <v>55.13</v>
      </c>
      <c r="M131">
        <f>_xll.ciqfunctions.udf.CIQ("NasdaqGM:FDTX", "IQ_CLOSEPRICE", "2025-02-14", "USD")</f>
        <v>38.159999999999997</v>
      </c>
      <c r="N131">
        <f>_xll.ciqfunctions.udf.CIQ("ARCA:CHAT", "IQ_CLOSEPRICE", "2025-02-14", "USD")</f>
        <v>43.41</v>
      </c>
      <c r="O131">
        <f>_xll.ciqfunctions.udf.CIQ("ARCA:LOUP", "IQ_CLOSEPRICE", "2025-02-14", "USD")</f>
        <v>60.54</v>
      </c>
      <c r="P131">
        <f>_xll.ciqfunctions.udf.CIQ("ARCA:LRNZ", "IQ_CLOSEPRICE", "2025-02-14", "USD")</f>
        <v>44.67</v>
      </c>
      <c r="Q131">
        <f>_xll.ciqfunctions.udf.CIQ("ARCA:AIS", "IQ_CLOSEPRICE", "2025-02-14", "USD")</f>
        <v>25.742799999999999</v>
      </c>
      <c r="R131">
        <f>_xll.ciqfunctions.udf.CIQ("NasdaqGM:WISE", "IQ_CLOSEPRICE", "2025-02-14", "USD")</f>
        <v>41.26</v>
      </c>
      <c r="S131">
        <f>_xll.ciqfunctions.udf.CIQ("LSE:RBOT", "IQ_CLOSEPRICE", "2025-02-14", "USD")</f>
        <v>14.755000000000001</v>
      </c>
      <c r="T131">
        <f>_xll.ciqfunctions.udf.CIQ("XTRA:XAIX", "IQ_CLOSEPRICE", "2025-02-14", "USD")</f>
        <v>150.63024999999999</v>
      </c>
      <c r="U131">
        <f>_xll.ciqfunctions.udf.CIQ("BIT:WTAI", "IQ_CLOSEPRICE", "2025-02-14", "USD")</f>
        <v>71.439080000000004</v>
      </c>
      <c r="V131">
        <f>_xll.ciqfunctions.udf.CIQ("LSE:AIAG", "IQ_CLOSEPRICE", "2025-02-14", "USD")</f>
        <v>24.158280000000001</v>
      </c>
      <c r="W131">
        <f>_xll.ciqfunctions.udf.CIQ("ASX:RBTZ", "IQ_CLOSEPRICE", "2025-02-14", "USD")</f>
        <v>9.8524399999999996</v>
      </c>
      <c r="X131">
        <f>_xll.ciqfunctions.udf.CIQ("DB:XB0T", "IQ_CLOSEPRICE", "2025-02-14", "USD")</f>
        <v>22.32668</v>
      </c>
    </row>
    <row r="132" spans="1:24" x14ac:dyDescent="0.25">
      <c r="A132" t="s">
        <v>154</v>
      </c>
      <c r="B132">
        <f>_xll.ciqfunctions.udf.CIQ("NasdaqGM:QQQ", "IQ_CLOSEPRICE", "2025-02-13", "USD")</f>
        <v>535.9</v>
      </c>
      <c r="C132">
        <f>_xll.ciqfunctions.udf.CIQ("NasdaqGM:AGIX", "IQ_CLOSEPRICE", "2025-02-13", "USD")</f>
        <v>31.3</v>
      </c>
      <c r="D132">
        <f>_xll.ciqfunctions.udf.CIQ("NasdaqGM:SMH", "IQ_CLOSEPRICE", "2025-02-13", "USD")</f>
        <v>251.92</v>
      </c>
      <c r="E132">
        <f>_xll.ciqfunctions.udf.CIQ("BATS:IGV", "IQ_CLOSEPRICE", "2025-02-13", "USD")</f>
        <v>106.67</v>
      </c>
      <c r="F132">
        <f>_xll.ciqfunctions.udf.CIQ("NasdaqGM:BOTZ", "IQ_CLOSEPRICE", "2025-02-13", "USD")</f>
        <v>33.96</v>
      </c>
      <c r="G132">
        <f>_xll.ciqfunctions.udf.CIQ("NasdaqGM:AIQ", "IQ_CLOSEPRICE", "2025-02-13", "USD")</f>
        <v>42.17</v>
      </c>
      <c r="H132">
        <f>_xll.ciqfunctions.udf.CIQ("ARCA:ARTY", "IQ_CLOSEPRICE", "2025-02-13", "USD")</f>
        <v>40.549999999999997</v>
      </c>
      <c r="I132">
        <f>_xll.ciqfunctions.udf.CIQ("NasdaqGM:ROBT", "IQ_CLOSEPRICE", "2025-02-13", "USD")</f>
        <v>48.44</v>
      </c>
      <c r="J132">
        <f>_xll.ciqfunctions.udf.CIQ("ARCA:IGPT", "IQ_CLOSEPRICE", "2025-02-13", "USD")</f>
        <v>48.03</v>
      </c>
      <c r="K132">
        <f>_xll.ciqfunctions.udf.CIQ("BATS:WTAI", "IQ_CLOSEPRICE", "2025-02-13", "USD")</f>
        <v>24.059200000000001</v>
      </c>
      <c r="L132">
        <f>_xll.ciqfunctions.udf.CIQ("ARCA:THNQ", "IQ_CLOSEPRICE", "2025-02-13", "USD")</f>
        <v>54.75</v>
      </c>
      <c r="M132">
        <f>_xll.ciqfunctions.udf.CIQ("NasdaqGM:FDTX", "IQ_CLOSEPRICE", "2025-02-13", "USD")</f>
        <v>37.984999999999999</v>
      </c>
      <c r="N132">
        <f>_xll.ciqfunctions.udf.CIQ("ARCA:CHAT", "IQ_CLOSEPRICE", "2025-02-13", "USD")</f>
        <v>43.06</v>
      </c>
      <c r="O132">
        <f>_xll.ciqfunctions.udf.CIQ("ARCA:LOUP", "IQ_CLOSEPRICE", "2025-02-13", "USD")</f>
        <v>60.5503</v>
      </c>
      <c r="P132">
        <f>_xll.ciqfunctions.udf.CIQ("ARCA:LRNZ", "IQ_CLOSEPRICE", "2025-02-13", "USD")</f>
        <v>44.866999999999997</v>
      </c>
      <c r="Q132">
        <f>_xll.ciqfunctions.udf.CIQ("ARCA:AIS", "IQ_CLOSEPRICE", "2025-02-13", "USD")</f>
        <v>25.397200000000002</v>
      </c>
      <c r="R132">
        <f>_xll.ciqfunctions.udf.CIQ("NasdaqGM:WISE", "IQ_CLOSEPRICE", "2025-02-13", "USD")</f>
        <v>42.550600000000003</v>
      </c>
      <c r="S132">
        <f>_xll.ciqfunctions.udf.CIQ("LSE:RBOT", "IQ_CLOSEPRICE", "2025-02-13", "USD")</f>
        <v>14.72</v>
      </c>
      <c r="T132">
        <f>_xll.ciqfunctions.udf.CIQ("XTRA:XAIX", "IQ_CLOSEPRICE", "2025-02-13", "USD")</f>
        <v>150.16188</v>
      </c>
      <c r="U132">
        <f>_xll.ciqfunctions.udf.CIQ("BIT:WTAI", "IQ_CLOSEPRICE", "2025-02-13", "USD")</f>
        <v>71.644909999999996</v>
      </c>
      <c r="V132">
        <f>_xll.ciqfunctions.udf.CIQ("LSE:AIAG", "IQ_CLOSEPRICE", "2025-02-13", "USD")</f>
        <v>23.985959999999999</v>
      </c>
      <c r="W132">
        <f>_xll.ciqfunctions.udf.CIQ("ASX:RBTZ", "IQ_CLOSEPRICE", "2025-02-13", "USD")</f>
        <v>9.82925</v>
      </c>
      <c r="X132">
        <f>_xll.ciqfunctions.udf.CIQ("DB:XB0T", "IQ_CLOSEPRICE", "2025-02-13", "USD")</f>
        <v>22.328980000000001</v>
      </c>
    </row>
    <row r="133" spans="1:24" x14ac:dyDescent="0.25">
      <c r="A133" t="s">
        <v>155</v>
      </c>
      <c r="B133">
        <f>_xll.ciqfunctions.udf.CIQ("NasdaqGM:QQQ", "IQ_CLOSEPRICE", "2025-02-12", "USD")</f>
        <v>528.29999999999995</v>
      </c>
      <c r="C133">
        <f>_xll.ciqfunctions.udf.CIQ("NasdaqGM:AGIX", "IQ_CLOSEPRICE", "2025-02-12", "USD")</f>
        <v>30.85</v>
      </c>
      <c r="D133">
        <f>_xll.ciqfunctions.udf.CIQ("NasdaqGM:SMH", "IQ_CLOSEPRICE", "2025-02-12", "USD")</f>
        <v>248.51</v>
      </c>
      <c r="E133">
        <f>_xll.ciqfunctions.udf.CIQ("BATS:IGV", "IQ_CLOSEPRICE", "2025-02-12", "USD")</f>
        <v>104.96</v>
      </c>
      <c r="F133">
        <f>_xll.ciqfunctions.udf.CIQ("NasdaqGM:BOTZ", "IQ_CLOSEPRICE", "2025-02-12", "USD")</f>
        <v>34.14</v>
      </c>
      <c r="G133">
        <f>_xll.ciqfunctions.udf.CIQ("NasdaqGM:AIQ", "IQ_CLOSEPRICE", "2025-02-12", "USD")</f>
        <v>41.55</v>
      </c>
      <c r="H133">
        <f>_xll.ciqfunctions.udf.CIQ("ARCA:ARTY", "IQ_CLOSEPRICE", "2025-02-12", "USD")</f>
        <v>40.049999999999997</v>
      </c>
      <c r="I133">
        <f>_xll.ciqfunctions.udf.CIQ("NasdaqGM:ROBT", "IQ_CLOSEPRICE", "2025-02-12", "USD")</f>
        <v>48.13</v>
      </c>
      <c r="J133">
        <f>_xll.ciqfunctions.udf.CIQ("ARCA:IGPT", "IQ_CLOSEPRICE", "2025-02-12", "USD")</f>
        <v>47.73</v>
      </c>
      <c r="K133">
        <f>_xll.ciqfunctions.udf.CIQ("BATS:WTAI", "IQ_CLOSEPRICE", "2025-02-12", "USD")</f>
        <v>23.795000000000002</v>
      </c>
      <c r="L133">
        <f>_xll.ciqfunctions.udf.CIQ("ARCA:THNQ", "IQ_CLOSEPRICE", "2025-02-12", "USD")</f>
        <v>54.07</v>
      </c>
      <c r="M133">
        <f>_xll.ciqfunctions.udf.CIQ("NasdaqGM:FDTX", "IQ_CLOSEPRICE", "2025-02-12", "USD")</f>
        <v>37.5946</v>
      </c>
      <c r="N133">
        <f>_xll.ciqfunctions.udf.CIQ("ARCA:CHAT", "IQ_CLOSEPRICE", "2025-02-12", "USD")</f>
        <v>42.65</v>
      </c>
      <c r="O133">
        <f>_xll.ciqfunctions.udf.CIQ("ARCA:LOUP", "IQ_CLOSEPRICE", "2025-02-12", "USD")</f>
        <v>59.42</v>
      </c>
      <c r="P133">
        <f>_xll.ciqfunctions.udf.CIQ("ARCA:LRNZ", "IQ_CLOSEPRICE", "2025-02-12", "USD")</f>
        <v>44.302599999999998</v>
      </c>
      <c r="Q133">
        <f>_xll.ciqfunctions.udf.CIQ("ARCA:AIS", "IQ_CLOSEPRICE", "2025-02-12", "USD")</f>
        <v>24.905799999999999</v>
      </c>
      <c r="R133">
        <f>_xll.ciqfunctions.udf.CIQ("NasdaqGM:WISE", "IQ_CLOSEPRICE", "2025-02-12", "USD")</f>
        <v>41.21</v>
      </c>
      <c r="S133">
        <f>_xll.ciqfunctions.udf.CIQ("LSE:RBOT", "IQ_CLOSEPRICE", "2025-02-12", "USD")</f>
        <v>14.49</v>
      </c>
      <c r="T133">
        <f>_xll.ciqfunctions.udf.CIQ("XTRA:XAIX", "IQ_CLOSEPRICE", "2025-02-12", "USD")</f>
        <v>147.87200999999999</v>
      </c>
      <c r="U133">
        <f>_xll.ciqfunctions.udf.CIQ("BIT:WTAI", "IQ_CLOSEPRICE", "2025-02-12", "USD")</f>
        <v>70.80874</v>
      </c>
      <c r="V133">
        <f>_xll.ciqfunctions.udf.CIQ("LSE:AIAG", "IQ_CLOSEPRICE", "2025-02-12", "USD")</f>
        <v>23.573</v>
      </c>
      <c r="W133">
        <f>_xll.ciqfunctions.udf.CIQ("ASX:RBTZ", "IQ_CLOSEPRICE", "2025-02-12", "USD")</f>
        <v>9.7457100000000008</v>
      </c>
      <c r="X133">
        <f>_xll.ciqfunctions.udf.CIQ("DB:XB0T", "IQ_CLOSEPRICE", "2025-02-12", "USD")</f>
        <v>22.34648</v>
      </c>
    </row>
    <row r="134" spans="1:24" x14ac:dyDescent="0.25">
      <c r="A134" t="s">
        <v>156</v>
      </c>
      <c r="B134">
        <f>_xll.ciqfunctions.udf.CIQ("NasdaqGM:QQQ", "IQ_CLOSEPRICE", "2025-02-11", "USD")</f>
        <v>527.99</v>
      </c>
      <c r="C134">
        <f>_xll.ciqfunctions.udf.CIQ("NasdaqGM:AGIX", "IQ_CLOSEPRICE", "2025-02-11", "USD")</f>
        <v>30.82</v>
      </c>
      <c r="D134">
        <f>_xll.ciqfunctions.udf.CIQ("NasdaqGM:SMH", "IQ_CLOSEPRICE", "2025-02-11", "USD")</f>
        <v>249.87</v>
      </c>
      <c r="E134">
        <f>_xll.ciqfunctions.udf.CIQ("BATS:IGV", "IQ_CLOSEPRICE", "2025-02-11", "USD")</f>
        <v>105.32</v>
      </c>
      <c r="F134">
        <f>_xll.ciqfunctions.udf.CIQ("NasdaqGM:BOTZ", "IQ_CLOSEPRICE", "2025-02-11", "USD")</f>
        <v>34.020000000000003</v>
      </c>
      <c r="G134">
        <f>_xll.ciqfunctions.udf.CIQ("NasdaqGM:AIQ", "IQ_CLOSEPRICE", "2025-02-11", "USD")</f>
        <v>41.4</v>
      </c>
      <c r="H134">
        <f>_xll.ciqfunctions.udf.CIQ("ARCA:ARTY", "IQ_CLOSEPRICE", "2025-02-11", "USD")</f>
        <v>40.19</v>
      </c>
      <c r="I134">
        <f>_xll.ciqfunctions.udf.CIQ("NasdaqGM:ROBT", "IQ_CLOSEPRICE", "2025-02-11", "USD")</f>
        <v>47.91</v>
      </c>
      <c r="J134">
        <f>_xll.ciqfunctions.udf.CIQ("ARCA:IGPT", "IQ_CLOSEPRICE", "2025-02-11", "USD")</f>
        <v>47.777500000000003</v>
      </c>
      <c r="K134">
        <f>_xll.ciqfunctions.udf.CIQ("BATS:WTAI", "IQ_CLOSEPRICE", "2025-02-11", "USD")</f>
        <v>23.76</v>
      </c>
      <c r="L134">
        <f>_xll.ciqfunctions.udf.CIQ("ARCA:THNQ", "IQ_CLOSEPRICE", "2025-02-11", "USD")</f>
        <v>54.11</v>
      </c>
      <c r="M134">
        <f>_xll.ciqfunctions.udf.CIQ("NasdaqGM:FDTX", "IQ_CLOSEPRICE", "2025-02-11", "USD")</f>
        <v>37.658299999999997</v>
      </c>
      <c r="N134">
        <f>_xll.ciqfunctions.udf.CIQ("ARCA:CHAT", "IQ_CLOSEPRICE", "2025-02-11", "USD")</f>
        <v>42.84</v>
      </c>
      <c r="O134">
        <f>_xll.ciqfunctions.udf.CIQ("ARCA:LOUP", "IQ_CLOSEPRICE", "2025-02-11", "USD")</f>
        <v>59.724400000000003</v>
      </c>
      <c r="P134">
        <f>_xll.ciqfunctions.udf.CIQ("ARCA:LRNZ", "IQ_CLOSEPRICE", "2025-02-11", "USD")</f>
        <v>44.190600000000003</v>
      </c>
      <c r="Q134">
        <f>_xll.ciqfunctions.udf.CIQ("ARCA:AIS", "IQ_CLOSEPRICE", "2025-02-11", "USD")</f>
        <v>25.054600000000001</v>
      </c>
      <c r="R134">
        <f>_xll.ciqfunctions.udf.CIQ("NasdaqGM:WISE", "IQ_CLOSEPRICE", "2025-02-11", "USD")</f>
        <v>40.055</v>
      </c>
      <c r="S134">
        <f>_xll.ciqfunctions.udf.CIQ("LSE:RBOT", "IQ_CLOSEPRICE", "2025-02-11", "USD")</f>
        <v>14.65</v>
      </c>
      <c r="T134">
        <f>_xll.ciqfunctions.udf.CIQ("XTRA:XAIX", "IQ_CLOSEPRICE", "2025-02-11", "USD")</f>
        <v>149.44646</v>
      </c>
      <c r="U134">
        <f>_xll.ciqfunctions.udf.CIQ("BIT:WTAI", "IQ_CLOSEPRICE", "2025-02-11", "USD")</f>
        <v>71.536469999999994</v>
      </c>
      <c r="V134">
        <f>_xll.ciqfunctions.udf.CIQ("LSE:AIAG", "IQ_CLOSEPRICE", "2025-02-11", "USD")</f>
        <v>23.905889999999999</v>
      </c>
      <c r="W134">
        <f>_xll.ciqfunctions.udf.CIQ("ASX:RBTZ", "IQ_CLOSEPRICE", "2025-02-11", "USD")</f>
        <v>9.86022</v>
      </c>
      <c r="X134">
        <f>_xll.ciqfunctions.udf.CIQ("DB:XB0T", "IQ_CLOSEPRICE", "2025-02-11", "USD")</f>
        <v>22.44697</v>
      </c>
    </row>
    <row r="135" spans="1:24" x14ac:dyDescent="0.25">
      <c r="A135" t="s">
        <v>157</v>
      </c>
      <c r="B135">
        <f>_xll.ciqfunctions.udf.CIQ("NasdaqGM:QQQ", "IQ_CLOSEPRICE", "2025-02-10", "USD")</f>
        <v>529.25</v>
      </c>
      <c r="C135">
        <f>_xll.ciqfunctions.udf.CIQ("NasdaqGM:AGIX", "IQ_CLOSEPRICE", "2025-02-10", "USD")</f>
        <v>31.05</v>
      </c>
      <c r="D135">
        <f>_xll.ciqfunctions.udf.CIQ("NasdaqGM:SMH", "IQ_CLOSEPRICE", "2025-02-10", "USD")</f>
        <v>249.62</v>
      </c>
      <c r="E135">
        <f>_xll.ciqfunctions.udf.CIQ("BATS:IGV", "IQ_CLOSEPRICE", "2025-02-10", "USD")</f>
        <v>106.4</v>
      </c>
      <c r="F135">
        <f>_xll.ciqfunctions.udf.CIQ("NasdaqGM:BOTZ", "IQ_CLOSEPRICE", "2025-02-10", "USD")</f>
        <v>34.270000000000003</v>
      </c>
      <c r="G135">
        <f>_xll.ciqfunctions.udf.CIQ("NasdaqGM:AIQ", "IQ_CLOSEPRICE", "2025-02-10", "USD")</f>
        <v>41.61</v>
      </c>
      <c r="H135">
        <f>_xll.ciqfunctions.udf.CIQ("ARCA:ARTY", "IQ_CLOSEPRICE", "2025-02-10", "USD")</f>
        <v>40.729999999999997</v>
      </c>
      <c r="I135">
        <f>_xll.ciqfunctions.udf.CIQ("NasdaqGM:ROBT", "IQ_CLOSEPRICE", "2025-02-10", "USD")</f>
        <v>48.3</v>
      </c>
      <c r="J135">
        <f>_xll.ciqfunctions.udf.CIQ("ARCA:IGPT", "IQ_CLOSEPRICE", "2025-02-10", "USD")</f>
        <v>47.94</v>
      </c>
      <c r="K135">
        <f>_xll.ciqfunctions.udf.CIQ("BATS:WTAI", "IQ_CLOSEPRICE", "2025-02-10", "USD")</f>
        <v>24.004999999999999</v>
      </c>
      <c r="L135">
        <f>_xll.ciqfunctions.udf.CIQ("ARCA:THNQ", "IQ_CLOSEPRICE", "2025-02-10", "USD")</f>
        <v>54.42</v>
      </c>
      <c r="M135">
        <f>_xll.ciqfunctions.udf.CIQ("NasdaqGM:FDTX", "IQ_CLOSEPRICE", "2025-02-10", "USD")</f>
        <v>37.690899999999999</v>
      </c>
      <c r="N135">
        <f>_xll.ciqfunctions.udf.CIQ("ARCA:CHAT", "IQ_CLOSEPRICE", "2025-02-10", "USD")</f>
        <v>43.26</v>
      </c>
      <c r="O135">
        <f>_xll.ciqfunctions.udf.CIQ("ARCA:LOUP", "IQ_CLOSEPRICE", "2025-02-10", "USD")</f>
        <v>60.926200000000001</v>
      </c>
      <c r="P135">
        <f>_xll.ciqfunctions.udf.CIQ("ARCA:LRNZ", "IQ_CLOSEPRICE", "2025-02-10", "USD")</f>
        <v>44.45</v>
      </c>
      <c r="Q135">
        <f>_xll.ciqfunctions.udf.CIQ("ARCA:AIS", "IQ_CLOSEPRICE", "2025-02-10", "USD")</f>
        <v>25.245799999999999</v>
      </c>
      <c r="R135">
        <f>_xll.ciqfunctions.udf.CIQ("NasdaqGM:WISE", "IQ_CLOSEPRICE", "2025-02-10", "USD")</f>
        <v>41.224899999999998</v>
      </c>
      <c r="S135">
        <f>_xll.ciqfunctions.udf.CIQ("LSE:RBOT", "IQ_CLOSEPRICE", "2025-02-10", "USD")</f>
        <v>14.635</v>
      </c>
      <c r="T135">
        <f>_xll.ciqfunctions.udf.CIQ("XTRA:XAIX", "IQ_CLOSEPRICE", "2025-02-10", "USD")</f>
        <v>149.17001999999999</v>
      </c>
      <c r="U135">
        <f>_xll.ciqfunctions.udf.CIQ("BIT:WTAI", "IQ_CLOSEPRICE", "2025-02-10", "USD")</f>
        <v>71.966179999999994</v>
      </c>
      <c r="V135">
        <f>_xll.ciqfunctions.udf.CIQ("LSE:AIAG", "IQ_CLOSEPRICE", "2025-02-10", "USD")</f>
        <v>23.945789999999999</v>
      </c>
      <c r="W135">
        <f>_xll.ciqfunctions.udf.CIQ("ASX:RBTZ", "IQ_CLOSEPRICE", "2025-02-10", "USD")</f>
        <v>9.7393999999999998</v>
      </c>
      <c r="X135">
        <f>_xll.ciqfunctions.udf.CIQ("DB:XB0T", "IQ_CLOSEPRICE", "2025-02-10", "USD")</f>
        <v>22.280650000000001</v>
      </c>
    </row>
    <row r="136" spans="1:24" x14ac:dyDescent="0.25">
      <c r="A136" t="s">
        <v>158</v>
      </c>
      <c r="B136">
        <f>_xll.ciqfunctions.udf.CIQ("NasdaqGM:QQQ", "IQ_CLOSEPRICE", "2025-02-07", "USD")</f>
        <v>522.91999999999996</v>
      </c>
      <c r="C136">
        <f>_xll.ciqfunctions.udf.CIQ("NasdaqGM:AGIX", "IQ_CLOSEPRICE", "2025-02-07", "USD")</f>
        <v>30.5</v>
      </c>
      <c r="D136">
        <f>_xll.ciqfunctions.udf.CIQ("NasdaqGM:SMH", "IQ_CLOSEPRICE", "2025-02-07", "USD")</f>
        <v>245</v>
      </c>
      <c r="E136">
        <f>_xll.ciqfunctions.udf.CIQ("BATS:IGV", "IQ_CLOSEPRICE", "2025-02-07", "USD")</f>
        <v>104.62</v>
      </c>
      <c r="F136">
        <f>_xll.ciqfunctions.udf.CIQ("NasdaqGM:BOTZ", "IQ_CLOSEPRICE", "2025-02-07", "USD")</f>
        <v>33.56</v>
      </c>
      <c r="G136">
        <f>_xll.ciqfunctions.udf.CIQ("NasdaqGM:AIQ", "IQ_CLOSEPRICE", "2025-02-07", "USD")</f>
        <v>40.82</v>
      </c>
      <c r="H136">
        <f>_xll.ciqfunctions.udf.CIQ("ARCA:ARTY", "IQ_CLOSEPRICE", "2025-02-07", "USD")</f>
        <v>39.880000000000003</v>
      </c>
      <c r="I136">
        <f>_xll.ciqfunctions.udf.CIQ("NasdaqGM:ROBT", "IQ_CLOSEPRICE", "2025-02-07", "USD")</f>
        <v>47.47</v>
      </c>
      <c r="J136">
        <f>_xll.ciqfunctions.udf.CIQ("ARCA:IGPT", "IQ_CLOSEPRICE", "2025-02-07", "USD")</f>
        <v>47.16</v>
      </c>
      <c r="K136">
        <f>_xll.ciqfunctions.udf.CIQ("BATS:WTAI", "IQ_CLOSEPRICE", "2025-02-07", "USD")</f>
        <v>23.64</v>
      </c>
      <c r="L136">
        <f>_xll.ciqfunctions.udf.CIQ("ARCA:THNQ", "IQ_CLOSEPRICE", "2025-02-07", "USD")</f>
        <v>53.8</v>
      </c>
      <c r="M136">
        <f>_xll.ciqfunctions.udf.CIQ("NasdaqGM:FDTX", "IQ_CLOSEPRICE", "2025-02-07", "USD")</f>
        <v>37.06</v>
      </c>
      <c r="N136">
        <f>_xll.ciqfunctions.udf.CIQ("ARCA:CHAT", "IQ_CLOSEPRICE", "2025-02-07", "USD")</f>
        <v>42.47</v>
      </c>
      <c r="O136">
        <f>_xll.ciqfunctions.udf.CIQ("ARCA:LOUP", "IQ_CLOSEPRICE", "2025-02-07", "USD")</f>
        <v>60.071100000000001</v>
      </c>
      <c r="P136">
        <f>_xll.ciqfunctions.udf.CIQ("ARCA:LRNZ", "IQ_CLOSEPRICE", "2025-02-07", "USD")</f>
        <v>43.745800000000003</v>
      </c>
      <c r="Q136">
        <f>_xll.ciqfunctions.udf.CIQ("ARCA:AIS", "IQ_CLOSEPRICE", "2025-02-07", "USD")</f>
        <v>24.745799999999999</v>
      </c>
      <c r="R136">
        <f>_xll.ciqfunctions.udf.CIQ("NasdaqGM:WISE", "IQ_CLOSEPRICE", "2025-02-07", "USD")</f>
        <v>40.700000000000003</v>
      </c>
      <c r="S136">
        <f>_xll.ciqfunctions.udf.CIQ("LSE:RBOT", "IQ_CLOSEPRICE", "2025-02-07", "USD")</f>
        <v>14.52</v>
      </c>
      <c r="T136">
        <f>_xll.ciqfunctions.udf.CIQ("XTRA:XAIX", "IQ_CLOSEPRICE", "2025-02-07", "USD")</f>
        <v>147.73526000000001</v>
      </c>
      <c r="U136">
        <f>_xll.ciqfunctions.udf.CIQ("BIT:WTAI", "IQ_CLOSEPRICE", "2025-02-07", "USD")</f>
        <v>71.354709999999997</v>
      </c>
      <c r="V136">
        <f>_xll.ciqfunctions.udf.CIQ("LSE:AIAG", "IQ_CLOSEPRICE", "2025-02-07", "USD")</f>
        <v>23.711790000000001</v>
      </c>
      <c r="W136">
        <f>_xll.ciqfunctions.udf.CIQ("ASX:RBTZ", "IQ_CLOSEPRICE", "2025-02-07", "USD")</f>
        <v>9.6830800000000004</v>
      </c>
      <c r="X136">
        <f>_xll.ciqfunctions.udf.CIQ("DB:XB0T", "IQ_CLOSEPRICE", "2025-02-07", "USD")</f>
        <v>22.05791</v>
      </c>
    </row>
    <row r="137" spans="1:24" x14ac:dyDescent="0.25">
      <c r="A137" t="s">
        <v>159</v>
      </c>
      <c r="B137">
        <f>_xll.ciqfunctions.udf.CIQ("NasdaqGM:QQQ", "IQ_CLOSEPRICE", "2025-02-06", "USD")</f>
        <v>529.6</v>
      </c>
      <c r="C137">
        <f>_xll.ciqfunctions.udf.CIQ("NasdaqGM:AGIX", "IQ_CLOSEPRICE", "2025-02-06", "USD")</f>
        <v>30.62</v>
      </c>
      <c r="D137">
        <f>_xll.ciqfunctions.udf.CIQ("NasdaqGM:SMH", "IQ_CLOSEPRICE", "2025-02-06", "USD")</f>
        <v>248.35</v>
      </c>
      <c r="E137">
        <f>_xll.ciqfunctions.udf.CIQ("BATS:IGV", "IQ_CLOSEPRICE", "2025-02-06", "USD")</f>
        <v>105.24</v>
      </c>
      <c r="F137">
        <f>_xll.ciqfunctions.udf.CIQ("NasdaqGM:BOTZ", "IQ_CLOSEPRICE", "2025-02-06", "USD")</f>
        <v>33.549999999999997</v>
      </c>
      <c r="G137">
        <f>_xll.ciqfunctions.udf.CIQ("NasdaqGM:AIQ", "IQ_CLOSEPRICE", "2025-02-06", "USD")</f>
        <v>41.16</v>
      </c>
      <c r="H137">
        <f>_xll.ciqfunctions.udf.CIQ("ARCA:ARTY", "IQ_CLOSEPRICE", "2025-02-06", "USD")</f>
        <v>40.14</v>
      </c>
      <c r="I137">
        <f>_xll.ciqfunctions.udf.CIQ("NasdaqGM:ROBT", "IQ_CLOSEPRICE", "2025-02-06", "USD")</f>
        <v>47.75</v>
      </c>
      <c r="J137">
        <f>_xll.ciqfunctions.udf.CIQ("ARCA:IGPT", "IQ_CLOSEPRICE", "2025-02-06", "USD")</f>
        <v>47.57</v>
      </c>
      <c r="K137">
        <f>_xll.ciqfunctions.udf.CIQ("BATS:WTAI", "IQ_CLOSEPRICE", "2025-02-06", "USD")</f>
        <v>23.8</v>
      </c>
      <c r="L137">
        <f>_xll.ciqfunctions.udf.CIQ("ARCA:THNQ", "IQ_CLOSEPRICE", "2025-02-06", "USD")</f>
        <v>53.84</v>
      </c>
      <c r="M137">
        <f>_xll.ciqfunctions.udf.CIQ("NasdaqGM:FDTX", "IQ_CLOSEPRICE", "2025-02-06", "USD")</f>
        <v>37.54</v>
      </c>
      <c r="N137">
        <f>_xll.ciqfunctions.udf.CIQ("ARCA:CHAT", "IQ_CLOSEPRICE", "2025-02-06", "USD")</f>
        <v>42.78</v>
      </c>
      <c r="O137">
        <f>_xll.ciqfunctions.udf.CIQ("ARCA:LOUP", "IQ_CLOSEPRICE", "2025-02-06", "USD")</f>
        <v>60.457500000000003</v>
      </c>
      <c r="P137">
        <f>_xll.ciqfunctions.udf.CIQ("ARCA:LRNZ", "IQ_CLOSEPRICE", "2025-02-06", "USD")</f>
        <v>43.39</v>
      </c>
      <c r="Q137">
        <f>_xll.ciqfunctions.udf.CIQ("ARCA:AIS", "IQ_CLOSEPRICE", "2025-02-06", "USD")</f>
        <v>24.892900000000001</v>
      </c>
      <c r="R137">
        <f>_xll.ciqfunctions.udf.CIQ("NasdaqGM:WISE", "IQ_CLOSEPRICE", "2025-02-06", "USD")</f>
        <v>40.004399999999997</v>
      </c>
      <c r="S137">
        <f>_xll.ciqfunctions.udf.CIQ("LSE:RBOT", "IQ_CLOSEPRICE", "2025-02-06", "USD")</f>
        <v>14.63</v>
      </c>
      <c r="T137">
        <f>_xll.ciqfunctions.udf.CIQ("XTRA:XAIX", "IQ_CLOSEPRICE", "2025-02-06", "USD")</f>
        <v>148.01826</v>
      </c>
      <c r="U137">
        <f>_xll.ciqfunctions.udf.CIQ("BIT:WTAI", "IQ_CLOSEPRICE", "2025-02-06", "USD")</f>
        <v>71.819879999999998</v>
      </c>
      <c r="V137">
        <f>_xll.ciqfunctions.udf.CIQ("LSE:AIAG", "IQ_CLOSEPRICE", "2025-02-06", "USD")</f>
        <v>23.774619999999999</v>
      </c>
      <c r="W137">
        <f>_xll.ciqfunctions.udf.CIQ("ASX:RBTZ", "IQ_CLOSEPRICE", "2025-02-06", "USD")</f>
        <v>9.6593800000000005</v>
      </c>
      <c r="X137">
        <f>_xll.ciqfunctions.udf.CIQ("DB:XB0T", "IQ_CLOSEPRICE", "2025-02-06", "USD")</f>
        <v>22.100020000000001</v>
      </c>
    </row>
    <row r="138" spans="1:24" x14ac:dyDescent="0.25">
      <c r="A138" t="s">
        <v>160</v>
      </c>
      <c r="B138">
        <f>_xll.ciqfunctions.udf.CIQ("NasdaqGM:QQQ", "IQ_CLOSEPRICE", "2025-02-05", "USD")</f>
        <v>526.85</v>
      </c>
      <c r="C138">
        <f>_xll.ciqfunctions.udf.CIQ("NasdaqGM:AGIX", "IQ_CLOSEPRICE", "2025-02-05", "USD")</f>
        <v>30.65</v>
      </c>
      <c r="D138">
        <f>_xll.ciqfunctions.udf.CIQ("NasdaqGM:SMH", "IQ_CLOSEPRICE", "2025-02-05", "USD")</f>
        <v>247.14</v>
      </c>
      <c r="E138">
        <f>_xll.ciqfunctions.udf.CIQ("BATS:IGV", "IQ_CLOSEPRICE", "2025-02-05", "USD")</f>
        <v>104.97</v>
      </c>
      <c r="F138">
        <f>_xll.ciqfunctions.udf.CIQ("NasdaqGM:BOTZ", "IQ_CLOSEPRICE", "2025-02-05", "USD")</f>
        <v>33.61</v>
      </c>
      <c r="G138">
        <f>_xll.ciqfunctions.udf.CIQ("NasdaqGM:AIQ", "IQ_CLOSEPRICE", "2025-02-05", "USD")</f>
        <v>41.02</v>
      </c>
      <c r="H138">
        <f>_xll.ciqfunctions.udf.CIQ("ARCA:ARTY", "IQ_CLOSEPRICE", "2025-02-05", "USD")</f>
        <v>40.03</v>
      </c>
      <c r="I138">
        <f>_xll.ciqfunctions.udf.CIQ("NasdaqGM:ROBT", "IQ_CLOSEPRICE", "2025-02-05", "USD")</f>
        <v>47.99</v>
      </c>
      <c r="J138">
        <f>_xll.ciqfunctions.udf.CIQ("ARCA:IGPT", "IQ_CLOSEPRICE", "2025-02-05", "USD")</f>
        <v>47.49</v>
      </c>
      <c r="K138">
        <f>_xll.ciqfunctions.udf.CIQ("BATS:WTAI", "IQ_CLOSEPRICE", "2025-02-05", "USD")</f>
        <v>23.95</v>
      </c>
      <c r="L138">
        <f>_xll.ciqfunctions.udf.CIQ("ARCA:THNQ", "IQ_CLOSEPRICE", "2025-02-05", "USD")</f>
        <v>54.177900000000001</v>
      </c>
      <c r="M138">
        <f>_xll.ciqfunctions.udf.CIQ("NasdaqGM:FDTX", "IQ_CLOSEPRICE", "2025-02-05", "USD")</f>
        <v>37.46</v>
      </c>
      <c r="N138">
        <f>_xll.ciqfunctions.udf.CIQ("ARCA:CHAT", "IQ_CLOSEPRICE", "2025-02-05", "USD")</f>
        <v>42.41</v>
      </c>
      <c r="O138">
        <f>_xll.ciqfunctions.udf.CIQ("ARCA:LOUP", "IQ_CLOSEPRICE", "2025-02-05", "USD")</f>
        <v>60.78</v>
      </c>
      <c r="P138">
        <f>_xll.ciqfunctions.udf.CIQ("ARCA:LRNZ", "IQ_CLOSEPRICE", "2025-02-05", "USD")</f>
        <v>43.384799999999998</v>
      </c>
      <c r="Q138">
        <f>_xll.ciqfunctions.udf.CIQ("ARCA:AIS", "IQ_CLOSEPRICE", "2025-02-05", "USD")</f>
        <v>24.946100000000001</v>
      </c>
      <c r="R138">
        <f>_xll.ciqfunctions.udf.CIQ("NasdaqGM:WISE", "IQ_CLOSEPRICE", "2025-02-05", "USD")</f>
        <v>40.17</v>
      </c>
      <c r="S138">
        <f>_xll.ciqfunctions.udf.CIQ("LSE:RBOT", "IQ_CLOSEPRICE", "2025-02-05", "USD")</f>
        <v>14.545</v>
      </c>
      <c r="T138">
        <f>_xll.ciqfunctions.udf.CIQ("XTRA:XAIX", "IQ_CLOSEPRICE", "2025-02-05", "USD")</f>
        <v>146.66111000000001</v>
      </c>
      <c r="U138">
        <f>_xll.ciqfunctions.udf.CIQ("BIT:WTAI", "IQ_CLOSEPRICE", "2025-02-05", "USD")</f>
        <v>70.913640000000001</v>
      </c>
      <c r="V138">
        <f>_xll.ciqfunctions.udf.CIQ("LSE:AIAG", "IQ_CLOSEPRICE", "2025-02-05", "USD")</f>
        <v>23.642009999999999</v>
      </c>
      <c r="W138">
        <f>_xll.ciqfunctions.udf.CIQ("ASX:RBTZ", "IQ_CLOSEPRICE", "2025-02-05", "USD")</f>
        <v>9.5702499999999997</v>
      </c>
      <c r="X138">
        <f>_xll.ciqfunctions.udf.CIQ("DB:XB0T", "IQ_CLOSEPRICE", "2025-02-05", "USD")</f>
        <v>21.752269999999999</v>
      </c>
    </row>
    <row r="139" spans="1:24" x14ac:dyDescent="0.25">
      <c r="A139" t="s">
        <v>161</v>
      </c>
      <c r="B139">
        <f>_xll.ciqfunctions.udf.CIQ("NasdaqGM:QQQ", "IQ_CLOSEPRICE", "2025-02-04", "USD")</f>
        <v>524.47</v>
      </c>
      <c r="C139">
        <f>_xll.ciqfunctions.udf.CIQ("NasdaqGM:AGIX", "IQ_CLOSEPRICE", "2025-02-04", "USD")</f>
        <v>30.39</v>
      </c>
      <c r="D139">
        <f>_xll.ciqfunctions.udf.CIQ("NasdaqGM:SMH", "IQ_CLOSEPRICE", "2025-02-04", "USD")</f>
        <v>241.47</v>
      </c>
      <c r="E139">
        <f>_xll.ciqfunctions.udf.CIQ("BATS:IGV", "IQ_CLOSEPRICE", "2025-02-04", "USD")</f>
        <v>104.31</v>
      </c>
      <c r="F139">
        <f>_xll.ciqfunctions.udf.CIQ("NasdaqGM:BOTZ", "IQ_CLOSEPRICE", "2025-02-04", "USD")</f>
        <v>33.14</v>
      </c>
      <c r="G139">
        <f>_xll.ciqfunctions.udf.CIQ("NasdaqGM:AIQ", "IQ_CLOSEPRICE", "2025-02-04", "USD")</f>
        <v>40.93</v>
      </c>
      <c r="H139">
        <f>_xll.ciqfunctions.udf.CIQ("ARCA:ARTY", "IQ_CLOSEPRICE", "2025-02-04", "USD")</f>
        <v>39.49</v>
      </c>
      <c r="I139">
        <f>_xll.ciqfunctions.udf.CIQ("NasdaqGM:ROBT", "IQ_CLOSEPRICE", "2025-02-04", "USD")</f>
        <v>47.48</v>
      </c>
      <c r="J139">
        <f>_xll.ciqfunctions.udf.CIQ("ARCA:IGPT", "IQ_CLOSEPRICE", "2025-02-04", "USD")</f>
        <v>47.31</v>
      </c>
      <c r="K139">
        <f>_xll.ciqfunctions.udf.CIQ("BATS:WTAI", "IQ_CLOSEPRICE", "2025-02-04", "USD")</f>
        <v>23.61</v>
      </c>
      <c r="L139">
        <f>_xll.ciqfunctions.udf.CIQ("ARCA:THNQ", "IQ_CLOSEPRICE", "2025-02-04", "USD")</f>
        <v>53.56</v>
      </c>
      <c r="M139">
        <f>_xll.ciqfunctions.udf.CIQ("NasdaqGM:FDTX", "IQ_CLOSEPRICE", "2025-02-04", "USD")</f>
        <v>37.06</v>
      </c>
      <c r="N139">
        <f>_xll.ciqfunctions.udf.CIQ("ARCA:CHAT", "IQ_CLOSEPRICE", "2025-02-04", "USD")</f>
        <v>41.97</v>
      </c>
      <c r="O139">
        <f>_xll.ciqfunctions.udf.CIQ("ARCA:LOUP", "IQ_CLOSEPRICE", "2025-02-04", "USD")</f>
        <v>59.225200000000001</v>
      </c>
      <c r="P139">
        <f>_xll.ciqfunctions.udf.CIQ("ARCA:LRNZ", "IQ_CLOSEPRICE", "2025-02-04", "USD")</f>
        <v>42.775599999999997</v>
      </c>
      <c r="Q139">
        <f>_xll.ciqfunctions.udf.CIQ("ARCA:AIS", "IQ_CLOSEPRICE", "2025-02-04", "USD")</f>
        <v>24.3721</v>
      </c>
      <c r="R139">
        <f>_xll.ciqfunctions.udf.CIQ("NasdaqGM:WISE", "IQ_CLOSEPRICE", "2025-02-04", "USD")</f>
        <v>38.742199999999997</v>
      </c>
      <c r="S139">
        <f>_xll.ciqfunctions.udf.CIQ("LSE:RBOT", "IQ_CLOSEPRICE", "2025-02-04", "USD")</f>
        <v>14.494999999999999</v>
      </c>
      <c r="T139">
        <f>_xll.ciqfunctions.udf.CIQ("XTRA:XAIX", "IQ_CLOSEPRICE", "2025-02-04", "USD")</f>
        <v>147.33347000000001</v>
      </c>
      <c r="U139">
        <f>_xll.ciqfunctions.udf.CIQ("BIT:WTAI", "IQ_CLOSEPRICE", "2025-02-04", "USD")</f>
        <v>70.813450000000003</v>
      </c>
      <c r="V139">
        <f>_xll.ciqfunctions.udf.CIQ("LSE:AIAG", "IQ_CLOSEPRICE", "2025-02-04", "USD")</f>
        <v>23.591539999999998</v>
      </c>
      <c r="W139">
        <f>_xll.ciqfunctions.udf.CIQ("ASX:RBTZ", "IQ_CLOSEPRICE", "2025-02-04", "USD")</f>
        <v>9.5038499999999999</v>
      </c>
      <c r="X139">
        <f>_xll.ciqfunctions.udf.CIQ("DB:XB0T", "IQ_CLOSEPRICE", "2025-02-04", "USD")</f>
        <v>21.705749999999998</v>
      </c>
    </row>
    <row r="140" spans="1:24" x14ac:dyDescent="0.25">
      <c r="A140" t="s">
        <v>162</v>
      </c>
      <c r="B140">
        <f>_xll.ciqfunctions.udf.CIQ("NasdaqGM:QQQ", "IQ_CLOSEPRICE", "2025-02-03", "USD")</f>
        <v>518.11</v>
      </c>
      <c r="C140">
        <f>_xll.ciqfunctions.udf.CIQ("NasdaqGM:AGIX", "IQ_CLOSEPRICE", "2025-02-03", "USD")</f>
        <v>29.79</v>
      </c>
      <c r="D140">
        <f>_xll.ciqfunctions.udf.CIQ("NasdaqGM:SMH", "IQ_CLOSEPRICE", "2025-02-03", "USD")</f>
        <v>238.78</v>
      </c>
      <c r="E140">
        <f>_xll.ciqfunctions.udf.CIQ("BATS:IGV", "IQ_CLOSEPRICE", "2025-02-03", "USD")</f>
        <v>102.49</v>
      </c>
      <c r="F140">
        <f>_xll.ciqfunctions.udf.CIQ("NasdaqGM:BOTZ", "IQ_CLOSEPRICE", "2025-02-03", "USD")</f>
        <v>32.619999999999997</v>
      </c>
      <c r="G140">
        <f>_xll.ciqfunctions.udf.CIQ("NasdaqGM:AIQ", "IQ_CLOSEPRICE", "2025-02-03", "USD")</f>
        <v>40.06</v>
      </c>
      <c r="H140">
        <f>_xll.ciqfunctions.udf.CIQ("ARCA:ARTY", "IQ_CLOSEPRICE", "2025-02-03", "USD")</f>
        <v>38.4</v>
      </c>
      <c r="I140">
        <f>_xll.ciqfunctions.udf.CIQ("NasdaqGM:ROBT", "IQ_CLOSEPRICE", "2025-02-03", "USD")</f>
        <v>46.48</v>
      </c>
      <c r="J140">
        <f>_xll.ciqfunctions.udf.CIQ("ARCA:IGPT", "IQ_CLOSEPRICE", "2025-02-03", "USD")</f>
        <v>46.83</v>
      </c>
      <c r="K140">
        <f>_xll.ciqfunctions.udf.CIQ("BATS:WTAI", "IQ_CLOSEPRICE", "2025-02-03", "USD")</f>
        <v>23.05</v>
      </c>
      <c r="L140">
        <f>_xll.ciqfunctions.udf.CIQ("ARCA:THNQ", "IQ_CLOSEPRICE", "2025-02-03", "USD")</f>
        <v>52.74</v>
      </c>
      <c r="M140">
        <f>_xll.ciqfunctions.udf.CIQ("NasdaqGM:FDTX", "IQ_CLOSEPRICE", "2025-02-03", "USD")</f>
        <v>36.57</v>
      </c>
      <c r="N140">
        <f>_xll.ciqfunctions.udf.CIQ("ARCA:CHAT", "IQ_CLOSEPRICE", "2025-02-03", "USD")</f>
        <v>41.02</v>
      </c>
      <c r="O140">
        <f>_xll.ciqfunctions.udf.CIQ("ARCA:LOUP", "IQ_CLOSEPRICE", "2025-02-03", "USD")</f>
        <v>58.2485</v>
      </c>
      <c r="P140">
        <f>_xll.ciqfunctions.udf.CIQ("ARCA:LRNZ", "IQ_CLOSEPRICE", "2025-02-03", "USD")</f>
        <v>41.899500000000003</v>
      </c>
      <c r="Q140">
        <f>_xll.ciqfunctions.udf.CIQ("ARCA:AIS", "IQ_CLOSEPRICE", "2025-02-03", "USD")</f>
        <v>24.002099999999999</v>
      </c>
      <c r="R140">
        <f>_xll.ciqfunctions.udf.CIQ("NasdaqGM:WISE", "IQ_CLOSEPRICE", "2025-02-03", "USD")</f>
        <v>36.94</v>
      </c>
      <c r="S140">
        <f>_xll.ciqfunctions.udf.CIQ("LSE:RBOT", "IQ_CLOSEPRICE", "2025-02-03", "USD")</f>
        <v>14.355</v>
      </c>
      <c r="T140">
        <f>_xll.ciqfunctions.udf.CIQ("XTRA:XAIX", "IQ_CLOSEPRICE", "2025-02-03", "USD")</f>
        <v>144.68172999999999</v>
      </c>
      <c r="U140">
        <f>_xll.ciqfunctions.udf.CIQ("BIT:WTAI", "IQ_CLOSEPRICE", "2025-02-03", "USD")</f>
        <v>69.132360000000006</v>
      </c>
      <c r="V140">
        <f>_xll.ciqfunctions.udf.CIQ("LSE:AIAG", "IQ_CLOSEPRICE", "2025-02-03", "USD")</f>
        <v>23.165569999999999</v>
      </c>
      <c r="W140">
        <f>_xll.ciqfunctions.udf.CIQ("ASX:RBTZ", "IQ_CLOSEPRICE", "2025-02-03", "USD")</f>
        <v>9.2562800000000003</v>
      </c>
      <c r="X140">
        <f>_xll.ciqfunctions.udf.CIQ("DB:XB0T", "IQ_CLOSEPRICE", "2025-02-03", "USD")</f>
        <v>21.334980000000002</v>
      </c>
    </row>
    <row r="141" spans="1:24" x14ac:dyDescent="0.25">
      <c r="A141" t="s">
        <v>163</v>
      </c>
      <c r="B141">
        <f>_xll.ciqfunctions.udf.CIQ("NasdaqGM:QQQ", "IQ_CLOSEPRICE", "2025-01-31", "USD")</f>
        <v>522.29</v>
      </c>
      <c r="C141">
        <f>_xll.ciqfunctions.udf.CIQ("NasdaqGM:AGIX", "IQ_CLOSEPRICE", "2025-01-31", "USD")</f>
        <v>30.1</v>
      </c>
      <c r="D141">
        <f>_xll.ciqfunctions.udf.CIQ("NasdaqGM:SMH", "IQ_CLOSEPRICE", "2025-01-31", "USD")</f>
        <v>243.62</v>
      </c>
      <c r="E141">
        <f>_xll.ciqfunctions.udf.CIQ("BATS:IGV", "IQ_CLOSEPRICE", "2025-01-31", "USD")</f>
        <v>102.89</v>
      </c>
      <c r="F141">
        <f>_xll.ciqfunctions.udf.CIQ("NasdaqGM:BOTZ", "IQ_CLOSEPRICE", "2025-01-31", "USD")</f>
        <v>33.18</v>
      </c>
      <c r="G141">
        <f>_xll.ciqfunctions.udf.CIQ("NasdaqGM:AIQ", "IQ_CLOSEPRICE", "2025-01-31", "USD")</f>
        <v>40.450000000000003</v>
      </c>
      <c r="H141">
        <f>_xll.ciqfunctions.udf.CIQ("ARCA:ARTY", "IQ_CLOSEPRICE", "2025-01-31", "USD")</f>
        <v>38.869999999999997</v>
      </c>
      <c r="I141">
        <f>_xll.ciqfunctions.udf.CIQ("NasdaqGM:ROBT", "IQ_CLOSEPRICE", "2025-01-31", "USD")</f>
        <v>47.1</v>
      </c>
      <c r="J141">
        <f>_xll.ciqfunctions.udf.CIQ("ARCA:IGPT", "IQ_CLOSEPRICE", "2025-01-31", "USD")</f>
        <v>47.31</v>
      </c>
      <c r="K141">
        <f>_xll.ciqfunctions.udf.CIQ("BATS:WTAI", "IQ_CLOSEPRICE", "2025-01-31", "USD")</f>
        <v>23.24</v>
      </c>
      <c r="L141">
        <f>_xll.ciqfunctions.udf.CIQ("ARCA:THNQ", "IQ_CLOSEPRICE", "2025-01-31", "USD")</f>
        <v>53.03</v>
      </c>
      <c r="M141">
        <f>_xll.ciqfunctions.udf.CIQ("NasdaqGM:FDTX", "IQ_CLOSEPRICE", "2025-01-31", "USD")</f>
        <v>37.055999999999997</v>
      </c>
      <c r="N141">
        <f>_xll.ciqfunctions.udf.CIQ("ARCA:CHAT", "IQ_CLOSEPRICE", "2025-01-31", "USD")</f>
        <v>41.64</v>
      </c>
      <c r="O141">
        <f>_xll.ciqfunctions.udf.CIQ("ARCA:LOUP", "IQ_CLOSEPRICE", "2025-01-31", "USD")</f>
        <v>59.2042</v>
      </c>
      <c r="P141">
        <f>_xll.ciqfunctions.udf.CIQ("ARCA:LRNZ", "IQ_CLOSEPRICE", "2025-01-31", "USD")</f>
        <v>42.318800000000003</v>
      </c>
      <c r="Q141">
        <f>_xll.ciqfunctions.udf.CIQ("ARCA:AIS", "IQ_CLOSEPRICE", "2025-01-31", "USD")</f>
        <v>24.448699999999999</v>
      </c>
      <c r="R141">
        <f>_xll.ciqfunctions.udf.CIQ("NasdaqGM:WISE", "IQ_CLOSEPRICE", "2025-01-31", "USD")</f>
        <v>37.31</v>
      </c>
      <c r="S141">
        <f>_xll.ciqfunctions.udf.CIQ("LSE:RBOT", "IQ_CLOSEPRICE", "2025-01-31", "USD")</f>
        <v>14.7</v>
      </c>
      <c r="T141">
        <f>_xll.ciqfunctions.udf.CIQ("XTRA:XAIX", "IQ_CLOSEPRICE", "2025-01-31", "USD")</f>
        <v>147.32355999999999</v>
      </c>
      <c r="U141">
        <f>_xll.ciqfunctions.udf.CIQ("BIT:WTAI", "IQ_CLOSEPRICE", "2025-01-31", "USD")</f>
        <v>71.094480000000004</v>
      </c>
      <c r="V141">
        <f>_xll.ciqfunctions.udf.CIQ("LSE:AIAG", "IQ_CLOSEPRICE", "2025-01-31", "USD")</f>
        <v>23.758559999999999</v>
      </c>
      <c r="W141">
        <f>_xll.ciqfunctions.udf.CIQ("ASX:RBTZ", "IQ_CLOSEPRICE", "2025-01-31", "USD")</f>
        <v>9.6351700000000005</v>
      </c>
      <c r="X141">
        <f>_xll.ciqfunctions.udf.CIQ("DB:XB0T", "IQ_CLOSEPRICE", "2025-01-31", "USD")</f>
        <v>22.05592</v>
      </c>
    </row>
    <row r="142" spans="1:24" x14ac:dyDescent="0.25">
      <c r="A142" t="s">
        <v>164</v>
      </c>
      <c r="B142">
        <f>_xll.ciqfunctions.udf.CIQ("NasdaqGM:QQQ", "IQ_CLOSEPRICE", "2025-01-30", "USD")</f>
        <v>523.04999999999995</v>
      </c>
      <c r="C142">
        <f>_xll.ciqfunctions.udf.CIQ("NasdaqGM:AGIX", "IQ_CLOSEPRICE", "2025-01-30", "USD")</f>
        <v>30.01</v>
      </c>
      <c r="D142">
        <f>_xll.ciqfunctions.udf.CIQ("NasdaqGM:SMH", "IQ_CLOSEPRICE", "2025-01-30", "USD")</f>
        <v>245.17</v>
      </c>
      <c r="E142">
        <f>_xll.ciqfunctions.udf.CIQ("BATS:IGV", "IQ_CLOSEPRICE", "2025-01-30", "USD")</f>
        <v>102.76</v>
      </c>
      <c r="F142">
        <f>_xll.ciqfunctions.udf.CIQ("NasdaqGM:BOTZ", "IQ_CLOSEPRICE", "2025-01-30", "USD")</f>
        <v>33.450000000000003</v>
      </c>
      <c r="G142">
        <f>_xll.ciqfunctions.udf.CIQ("NasdaqGM:AIQ", "IQ_CLOSEPRICE", "2025-01-30", "USD")</f>
        <v>40.61</v>
      </c>
      <c r="H142">
        <f>_xll.ciqfunctions.udf.CIQ("ARCA:ARTY", "IQ_CLOSEPRICE", "2025-01-30", "USD")</f>
        <v>38.909999999999997</v>
      </c>
      <c r="I142">
        <f>_xll.ciqfunctions.udf.CIQ("NasdaqGM:ROBT", "IQ_CLOSEPRICE", "2025-01-30", "USD")</f>
        <v>47.3</v>
      </c>
      <c r="J142">
        <f>_xll.ciqfunctions.udf.CIQ("ARCA:IGPT", "IQ_CLOSEPRICE", "2025-01-30", "USD")</f>
        <v>47.67</v>
      </c>
      <c r="K142">
        <f>_xll.ciqfunctions.udf.CIQ("BATS:WTAI", "IQ_CLOSEPRICE", "2025-01-30", "USD")</f>
        <v>23.19</v>
      </c>
      <c r="L142">
        <f>_xll.ciqfunctions.udf.CIQ("ARCA:THNQ", "IQ_CLOSEPRICE", "2025-01-30", "USD")</f>
        <v>53.12</v>
      </c>
      <c r="M142">
        <f>_xll.ciqfunctions.udf.CIQ("NasdaqGM:FDTX", "IQ_CLOSEPRICE", "2025-01-30", "USD")</f>
        <v>37.020000000000003</v>
      </c>
      <c r="N142">
        <f>_xll.ciqfunctions.udf.CIQ("ARCA:CHAT", "IQ_CLOSEPRICE", "2025-01-30", "USD")</f>
        <v>41.81</v>
      </c>
      <c r="O142">
        <f>_xll.ciqfunctions.udf.CIQ("ARCA:LOUP", "IQ_CLOSEPRICE", "2025-01-30", "USD")</f>
        <v>59.206299999999999</v>
      </c>
      <c r="P142">
        <f>_xll.ciqfunctions.udf.CIQ("ARCA:LRNZ", "IQ_CLOSEPRICE", "2025-01-30", "USD")</f>
        <v>42.442700000000002</v>
      </c>
      <c r="Q142">
        <f>_xll.ciqfunctions.udf.CIQ("ARCA:AIS", "IQ_CLOSEPRICE", "2025-01-30", "USD")</f>
        <v>24.495899999999999</v>
      </c>
      <c r="R142">
        <f>_xll.ciqfunctions.udf.CIQ("NasdaqGM:WISE", "IQ_CLOSEPRICE", "2025-01-30", "USD")</f>
        <v>37.340000000000003</v>
      </c>
      <c r="S142">
        <f>_xll.ciqfunctions.udf.CIQ("LSE:RBOT", "IQ_CLOSEPRICE", "2025-01-30", "USD")</f>
        <v>14.48</v>
      </c>
      <c r="T142">
        <f>_xll.ciqfunctions.udf.CIQ("XTRA:XAIX", "IQ_CLOSEPRICE", "2025-01-30", "USD")</f>
        <v>145.35598999999999</v>
      </c>
      <c r="U142">
        <f>_xll.ciqfunctions.udf.CIQ("BIT:WTAI", "IQ_CLOSEPRICE", "2025-01-30", "USD")</f>
        <v>69.436049999999994</v>
      </c>
      <c r="V142">
        <f>_xll.ciqfunctions.udf.CIQ("LSE:AIAG", "IQ_CLOSEPRICE", "2025-01-30", "USD")</f>
        <v>23.259</v>
      </c>
      <c r="W142">
        <f>_xll.ciqfunctions.udf.CIQ("ASX:RBTZ", "IQ_CLOSEPRICE", "2025-01-30", "USD")</f>
        <v>9.6253399999999996</v>
      </c>
      <c r="X142">
        <f>_xll.ciqfunctions.udf.CIQ("DB:XB0T", "IQ_CLOSEPRICE", "2025-01-30", "USD")</f>
        <v>22.078600000000002</v>
      </c>
    </row>
    <row r="143" spans="1:24" x14ac:dyDescent="0.25">
      <c r="A143" t="s">
        <v>165</v>
      </c>
      <c r="B143">
        <f>_xll.ciqfunctions.udf.CIQ("NasdaqGM:QQQ", "IQ_CLOSEPRICE", "2025-01-29", "USD")</f>
        <v>520.83000000000004</v>
      </c>
      <c r="C143">
        <f>_xll.ciqfunctions.udf.CIQ("NasdaqGM:AGIX", "IQ_CLOSEPRICE", "2025-01-29", "USD")</f>
        <v>30.07</v>
      </c>
      <c r="D143">
        <f>_xll.ciqfunctions.udf.CIQ("NasdaqGM:SMH", "IQ_CLOSEPRICE", "2025-01-29", "USD")</f>
        <v>239.53</v>
      </c>
      <c r="E143">
        <f>_xll.ciqfunctions.udf.CIQ("BATS:IGV", "IQ_CLOSEPRICE", "2025-01-29", "USD")</f>
        <v>103.48</v>
      </c>
      <c r="F143">
        <f>_xll.ciqfunctions.udf.CIQ("NasdaqGM:BOTZ", "IQ_CLOSEPRICE", "2025-01-29", "USD")</f>
        <v>33.33</v>
      </c>
      <c r="G143">
        <f>_xll.ciqfunctions.udf.CIQ("NasdaqGM:AIQ", "IQ_CLOSEPRICE", "2025-01-29", "USD")</f>
        <v>40.159999999999997</v>
      </c>
      <c r="H143">
        <f>_xll.ciqfunctions.udf.CIQ("ARCA:ARTY", "IQ_CLOSEPRICE", "2025-01-29", "USD")</f>
        <v>38.11</v>
      </c>
      <c r="I143">
        <f>_xll.ciqfunctions.udf.CIQ("NasdaqGM:ROBT", "IQ_CLOSEPRICE", "2025-01-29", "USD")</f>
        <v>47.01</v>
      </c>
      <c r="J143">
        <f>_xll.ciqfunctions.udf.CIQ("ARCA:IGPT", "IQ_CLOSEPRICE", "2025-01-29", "USD")</f>
        <v>47.04</v>
      </c>
      <c r="K143">
        <f>_xll.ciqfunctions.udf.CIQ("BATS:WTAI", "IQ_CLOSEPRICE", "2025-01-29", "USD")</f>
        <v>22.98</v>
      </c>
      <c r="L143">
        <f>_xll.ciqfunctions.udf.CIQ("ARCA:THNQ", "IQ_CLOSEPRICE", "2025-01-29", "USD")</f>
        <v>52.38</v>
      </c>
      <c r="M143">
        <f>_xll.ciqfunctions.udf.CIQ("NasdaqGM:FDTX", "IQ_CLOSEPRICE", "2025-01-29", "USD")</f>
        <v>36.96</v>
      </c>
      <c r="N143">
        <f>_xll.ciqfunctions.udf.CIQ("ARCA:CHAT", "IQ_CLOSEPRICE", "2025-01-29", "USD")</f>
        <v>41.06</v>
      </c>
      <c r="O143">
        <f>_xll.ciqfunctions.udf.CIQ("ARCA:LOUP", "IQ_CLOSEPRICE", "2025-01-29", "USD")</f>
        <v>57.8</v>
      </c>
      <c r="P143">
        <f>_xll.ciqfunctions.udf.CIQ("ARCA:LRNZ", "IQ_CLOSEPRICE", "2025-01-29", "USD")</f>
        <v>42.584299999999999</v>
      </c>
      <c r="Q143">
        <f>_xll.ciqfunctions.udf.CIQ("ARCA:AIS", "IQ_CLOSEPRICE", "2025-01-29", "USD")</f>
        <v>24.0183</v>
      </c>
      <c r="R143">
        <f>_xll.ciqfunctions.udf.CIQ("NasdaqGM:WISE", "IQ_CLOSEPRICE", "2025-01-29", "USD")</f>
        <v>36.53</v>
      </c>
      <c r="S143">
        <f>_xll.ciqfunctions.udf.CIQ("LSE:RBOT", "IQ_CLOSEPRICE", "2025-01-29", "USD")</f>
        <v>14.445</v>
      </c>
      <c r="T143">
        <f>_xll.ciqfunctions.udf.CIQ("XTRA:XAIX", "IQ_CLOSEPRICE", "2025-01-29", "USD")</f>
        <v>144.95832999999999</v>
      </c>
      <c r="U143">
        <f>_xll.ciqfunctions.udf.CIQ("BIT:WTAI", "IQ_CLOSEPRICE", "2025-01-29", "USD")</f>
        <v>69.1875</v>
      </c>
      <c r="V143">
        <f>_xll.ciqfunctions.udf.CIQ("LSE:AIAG", "IQ_CLOSEPRICE", "2025-01-29", "USD")</f>
        <v>23.02806</v>
      </c>
      <c r="W143">
        <f>_xll.ciqfunctions.udf.CIQ("ASX:RBTZ", "IQ_CLOSEPRICE", "2025-01-29", "USD")</f>
        <v>9.7023299999999999</v>
      </c>
      <c r="X143">
        <f>_xll.ciqfunctions.udf.CIQ("DB:XB0T", "IQ_CLOSEPRICE", "2025-01-29", "USD")</f>
        <v>22.21875</v>
      </c>
    </row>
    <row r="144" spans="1:24" x14ac:dyDescent="0.25">
      <c r="A144" t="s">
        <v>166</v>
      </c>
      <c r="B144">
        <f>_xll.ciqfunctions.udf.CIQ("NasdaqGM:QQQ", "IQ_CLOSEPRICE", "2025-01-28", "USD")</f>
        <v>521.80999999999995</v>
      </c>
      <c r="C144">
        <f>_xll.ciqfunctions.udf.CIQ("NasdaqGM:AGIX", "IQ_CLOSEPRICE", "2025-01-28", "USD")</f>
        <v>30.27</v>
      </c>
      <c r="D144">
        <f>_xll.ciqfunctions.udf.CIQ("NasdaqGM:SMH", "IQ_CLOSEPRICE", "2025-01-28", "USD")</f>
        <v>240.45</v>
      </c>
      <c r="E144">
        <f>_xll.ciqfunctions.udf.CIQ("BATS:IGV", "IQ_CLOSEPRICE", "2025-01-28", "USD")</f>
        <v>104.99</v>
      </c>
      <c r="F144">
        <f>_xll.ciqfunctions.udf.CIQ("NasdaqGM:BOTZ", "IQ_CLOSEPRICE", "2025-01-28", "USD")</f>
        <v>33.78</v>
      </c>
      <c r="G144">
        <f>_xll.ciqfunctions.udf.CIQ("NasdaqGM:AIQ", "IQ_CLOSEPRICE", "2025-01-28", "USD")</f>
        <v>40.4</v>
      </c>
      <c r="H144">
        <f>_xll.ciqfunctions.udf.CIQ("ARCA:ARTY", "IQ_CLOSEPRICE", "2025-01-28", "USD")</f>
        <v>38.119999999999997</v>
      </c>
      <c r="I144">
        <f>_xll.ciqfunctions.udf.CIQ("NasdaqGM:ROBT", "IQ_CLOSEPRICE", "2025-01-28", "USD")</f>
        <v>47.55</v>
      </c>
      <c r="J144">
        <f>_xll.ciqfunctions.udf.CIQ("ARCA:IGPT", "IQ_CLOSEPRICE", "2025-01-28", "USD")</f>
        <v>47.18</v>
      </c>
      <c r="K144">
        <f>_xll.ciqfunctions.udf.CIQ("BATS:WTAI", "IQ_CLOSEPRICE", "2025-01-28", "USD")</f>
        <v>23.12</v>
      </c>
      <c r="L144">
        <f>_xll.ciqfunctions.udf.CIQ("ARCA:THNQ", "IQ_CLOSEPRICE", "2025-01-28", "USD")</f>
        <v>52.75</v>
      </c>
      <c r="M144">
        <f>_xll.ciqfunctions.udf.CIQ("NasdaqGM:FDTX", "IQ_CLOSEPRICE", "2025-01-28", "USD")</f>
        <v>37.049999999999997</v>
      </c>
      <c r="N144">
        <f>_xll.ciqfunctions.udf.CIQ("ARCA:CHAT", "IQ_CLOSEPRICE", "2025-01-28", "USD")</f>
        <v>41.15</v>
      </c>
      <c r="O144">
        <f>_xll.ciqfunctions.udf.CIQ("ARCA:LOUP", "IQ_CLOSEPRICE", "2025-01-28", "USD")</f>
        <v>57.29</v>
      </c>
      <c r="P144">
        <f>_xll.ciqfunctions.udf.CIQ("ARCA:LRNZ", "IQ_CLOSEPRICE", "2025-01-28", "USD")</f>
        <v>43.363100000000003</v>
      </c>
      <c r="Q144">
        <f>_xll.ciqfunctions.udf.CIQ("ARCA:AIS", "IQ_CLOSEPRICE", "2025-01-28", "USD")</f>
        <v>23.9925</v>
      </c>
      <c r="R144">
        <f>_xll.ciqfunctions.udf.CIQ("NasdaqGM:WISE", "IQ_CLOSEPRICE", "2025-01-28", "USD")</f>
        <v>37.01</v>
      </c>
      <c r="S144">
        <f>_xll.ciqfunctions.udf.CIQ("LSE:RBOT", "IQ_CLOSEPRICE", "2025-01-28", "USD")</f>
        <v>14.395</v>
      </c>
      <c r="T144">
        <f>_xll.ciqfunctions.udf.CIQ("XTRA:XAIX", "IQ_CLOSEPRICE", "2025-01-28", "USD")</f>
        <v>145.14547999999999</v>
      </c>
      <c r="U144">
        <f>_xll.ciqfunctions.udf.CIQ("BIT:WTAI", "IQ_CLOSEPRICE", "2025-01-28", "USD")</f>
        <v>68.995720000000006</v>
      </c>
      <c r="V144">
        <f>_xll.ciqfunctions.udf.CIQ("LSE:AIAG", "IQ_CLOSEPRICE", "2025-01-28", "USD")</f>
        <v>22.95955</v>
      </c>
      <c r="W144">
        <f>_xll.ciqfunctions.udf.CIQ("ASX:RBTZ", "IQ_CLOSEPRICE", "2025-01-28", "USD")</f>
        <v>9.4952500000000004</v>
      </c>
      <c r="X144">
        <f>_xll.ciqfunctions.udf.CIQ("DB:XB0T", "IQ_CLOSEPRICE", "2025-01-28", "USD")</f>
        <v>22.212949999999999</v>
      </c>
    </row>
    <row r="145" spans="1:24" x14ac:dyDescent="0.25">
      <c r="A145" t="s">
        <v>167</v>
      </c>
      <c r="B145">
        <f>_xll.ciqfunctions.udf.CIQ("NasdaqGM:QQQ", "IQ_CLOSEPRICE", "2025-01-27", "USD")</f>
        <v>514.21</v>
      </c>
      <c r="C145">
        <f>_xll.ciqfunctions.udf.CIQ("NasdaqGM:AGIX", "IQ_CLOSEPRICE", "2025-01-27", "USD")</f>
        <v>29.25</v>
      </c>
      <c r="D145">
        <f>_xll.ciqfunctions.udf.CIQ("NasdaqGM:SMH", "IQ_CLOSEPRICE", "2025-01-27", "USD")</f>
        <v>235.81</v>
      </c>
      <c r="E145">
        <f>_xll.ciqfunctions.udf.CIQ("BATS:IGV", "IQ_CLOSEPRICE", "2025-01-27", "USD")</f>
        <v>102.13</v>
      </c>
      <c r="F145">
        <f>_xll.ciqfunctions.udf.CIQ("NasdaqGM:BOTZ", "IQ_CLOSEPRICE", "2025-01-27", "USD")</f>
        <v>33.01</v>
      </c>
      <c r="G145">
        <f>_xll.ciqfunctions.udf.CIQ("NasdaqGM:AIQ", "IQ_CLOSEPRICE", "2025-01-27", "USD")</f>
        <v>39.659999999999997</v>
      </c>
      <c r="H145">
        <f>_xll.ciqfunctions.udf.CIQ("ARCA:ARTY", "IQ_CLOSEPRICE", "2025-01-27", "USD")</f>
        <v>37.17</v>
      </c>
      <c r="I145">
        <f>_xll.ciqfunctions.udf.CIQ("NasdaqGM:ROBT", "IQ_CLOSEPRICE", "2025-01-27", "USD")</f>
        <v>46.75</v>
      </c>
      <c r="J145">
        <f>_xll.ciqfunctions.udf.CIQ("ARCA:IGPT", "IQ_CLOSEPRICE", "2025-01-27", "USD")</f>
        <v>46.56</v>
      </c>
      <c r="K145">
        <f>_xll.ciqfunctions.udf.CIQ("BATS:WTAI", "IQ_CLOSEPRICE", "2025-01-27", "USD")</f>
        <v>22.48</v>
      </c>
      <c r="L145">
        <f>_xll.ciqfunctions.udf.CIQ("ARCA:THNQ", "IQ_CLOSEPRICE", "2025-01-27", "USD")</f>
        <v>51.4</v>
      </c>
      <c r="M145">
        <f>_xll.ciqfunctions.udf.CIQ("NasdaqGM:FDTX", "IQ_CLOSEPRICE", "2025-01-27", "USD")</f>
        <v>36.06</v>
      </c>
      <c r="N145">
        <f>_xll.ciqfunctions.udf.CIQ("ARCA:CHAT", "IQ_CLOSEPRICE", "2025-01-27", "USD")</f>
        <v>40.130000000000003</v>
      </c>
      <c r="O145">
        <f>_xll.ciqfunctions.udf.CIQ("ARCA:LOUP", "IQ_CLOSEPRICE", "2025-01-27", "USD")</f>
        <v>55.35</v>
      </c>
      <c r="P145">
        <f>_xll.ciqfunctions.udf.CIQ("ARCA:LRNZ", "IQ_CLOSEPRICE", "2025-01-27", "USD")</f>
        <v>41.067300000000003</v>
      </c>
      <c r="Q145">
        <f>_xll.ciqfunctions.udf.CIQ("ARCA:AIS", "IQ_CLOSEPRICE", "2025-01-27", "USD")</f>
        <v>23.7316</v>
      </c>
      <c r="R145">
        <f>_xll.ciqfunctions.udf.CIQ("NasdaqGM:WISE", "IQ_CLOSEPRICE", "2025-01-27", "USD")</f>
        <v>35.909999999999997</v>
      </c>
      <c r="S145">
        <f>_xll.ciqfunctions.udf.CIQ("LSE:RBOT", "IQ_CLOSEPRICE", "2025-01-27", "USD")</f>
        <v>14.36</v>
      </c>
      <c r="T145">
        <f>_xll.ciqfunctions.udf.CIQ("XTRA:XAIX", "IQ_CLOSEPRICE", "2025-01-27", "USD")</f>
        <v>143.26822000000001</v>
      </c>
      <c r="U145">
        <f>_xll.ciqfunctions.udf.CIQ("BIT:WTAI", "IQ_CLOSEPRICE", "2025-01-27", "USD")</f>
        <v>68.693550000000002</v>
      </c>
      <c r="V145">
        <f>_xll.ciqfunctions.udf.CIQ("LSE:AIAG", "IQ_CLOSEPRICE", "2025-01-27", "USD")</f>
        <v>22.623370000000001</v>
      </c>
      <c r="W145">
        <f>_xll.ciqfunctions.udf.CIQ("ASX:RBTZ", "IQ_CLOSEPRICE", "2025-01-27", "USD")</f>
        <v>0</v>
      </c>
      <c r="X145">
        <f>_xll.ciqfunctions.udf.CIQ("DB:XB0T", "IQ_CLOSEPRICE", "2025-01-27", "USD")</f>
        <v>21.87566</v>
      </c>
    </row>
    <row r="146" spans="1:24" x14ac:dyDescent="0.25">
      <c r="A146" t="s">
        <v>168</v>
      </c>
      <c r="B146">
        <f>_xll.ciqfunctions.udf.CIQ("NasdaqGM:QQQ", "IQ_CLOSEPRICE", "2025-01-24", "USD")</f>
        <v>529.63</v>
      </c>
      <c r="C146">
        <f>_xll.ciqfunctions.udf.CIQ("NasdaqGM:AGIX", "IQ_CLOSEPRICE", "2025-01-24", "USD")</f>
        <v>30.344999999999999</v>
      </c>
      <c r="D146">
        <f>_xll.ciqfunctions.udf.CIQ("NasdaqGM:SMH", "IQ_CLOSEPRICE", "2025-01-24", "USD")</f>
        <v>261.52999999999997</v>
      </c>
      <c r="E146">
        <f>_xll.ciqfunctions.udf.CIQ("BATS:IGV", "IQ_CLOSEPRICE", "2025-01-24", "USD")</f>
        <v>103.85</v>
      </c>
      <c r="F146">
        <f>_xll.ciqfunctions.udf.CIQ("NasdaqGM:BOTZ", "IQ_CLOSEPRICE", "2025-01-24", "USD")</f>
        <v>34.49</v>
      </c>
      <c r="G146">
        <f>_xll.ciqfunctions.udf.CIQ("NasdaqGM:AIQ", "IQ_CLOSEPRICE", "2025-01-24", "USD")</f>
        <v>40.76</v>
      </c>
      <c r="H146">
        <f>_xll.ciqfunctions.udf.CIQ("ARCA:ARTY", "IQ_CLOSEPRICE", "2025-01-24", "USD")</f>
        <v>40.58</v>
      </c>
      <c r="I146">
        <f>_xll.ciqfunctions.udf.CIQ("NasdaqGM:ROBT", "IQ_CLOSEPRICE", "2025-01-24", "USD")</f>
        <v>47.82</v>
      </c>
      <c r="J146">
        <f>_xll.ciqfunctions.udf.CIQ("ARCA:IGPT", "IQ_CLOSEPRICE", "2025-01-24", "USD")</f>
        <v>48.62</v>
      </c>
      <c r="K146">
        <f>_xll.ciqfunctions.udf.CIQ("BATS:WTAI", "IQ_CLOSEPRICE", "2025-01-24", "USD")</f>
        <v>23.74</v>
      </c>
      <c r="L146">
        <f>_xll.ciqfunctions.udf.CIQ("ARCA:THNQ", "IQ_CLOSEPRICE", "2025-01-24", "USD")</f>
        <v>52.515700000000002</v>
      </c>
      <c r="M146">
        <f>_xll.ciqfunctions.udf.CIQ("NasdaqGM:FDTX", "IQ_CLOSEPRICE", "2025-01-24", "USD")</f>
        <v>37.373600000000003</v>
      </c>
      <c r="N146">
        <f>_xll.ciqfunctions.udf.CIQ("ARCA:CHAT", "IQ_CLOSEPRICE", "2025-01-24", "USD")</f>
        <v>44.07</v>
      </c>
      <c r="O146">
        <f>_xll.ciqfunctions.udf.CIQ("ARCA:LOUP", "IQ_CLOSEPRICE", "2025-01-24", "USD")</f>
        <v>60.066499999999998</v>
      </c>
      <c r="P146">
        <f>_xll.ciqfunctions.udf.CIQ("ARCA:LRNZ", "IQ_CLOSEPRICE", "2025-01-24", "USD")</f>
        <v>41.78</v>
      </c>
      <c r="Q146">
        <f>_xll.ciqfunctions.udf.CIQ("ARCA:AIS", "IQ_CLOSEPRICE", "2025-01-24", "USD")</f>
        <v>26.186800000000002</v>
      </c>
      <c r="R146">
        <f>_xll.ciqfunctions.udf.CIQ("NasdaqGM:WISE", "IQ_CLOSEPRICE", "2025-01-24", "USD")</f>
        <v>38.32</v>
      </c>
      <c r="S146">
        <f>_xll.ciqfunctions.udf.CIQ("LSE:RBOT", "IQ_CLOSEPRICE", "2025-01-24", "USD")</f>
        <v>14.92</v>
      </c>
      <c r="T146">
        <f>_xll.ciqfunctions.udf.CIQ("XTRA:XAIX", "IQ_CLOSEPRICE", "2025-01-24", "USD")</f>
        <v>147.91293999999999</v>
      </c>
      <c r="U146">
        <f>_xll.ciqfunctions.udf.CIQ("BIT:WTAI", "IQ_CLOSEPRICE", "2025-01-24", "USD")</f>
        <v>73.357169999999996</v>
      </c>
      <c r="V146">
        <f>_xll.ciqfunctions.udf.CIQ("LSE:AIAG", "IQ_CLOSEPRICE", "2025-01-24", "USD")</f>
        <v>23.301729999999999</v>
      </c>
      <c r="W146">
        <f>_xll.ciqfunctions.udf.CIQ("ASX:RBTZ", "IQ_CLOSEPRICE", "2025-01-24", "USD")</f>
        <v>9.9456199999999999</v>
      </c>
      <c r="X146">
        <f>_xll.ciqfunctions.udf.CIQ("DB:XB0T", "IQ_CLOSEPRICE", "2025-01-24", "USD")</f>
        <v>22.81569</v>
      </c>
    </row>
    <row r="147" spans="1:24" x14ac:dyDescent="0.25">
      <c r="A147" t="s">
        <v>169</v>
      </c>
      <c r="B147">
        <f>_xll.ciqfunctions.udf.CIQ("NasdaqGM:QQQ", "IQ_CLOSEPRICE", "2025-01-23", "USD")</f>
        <v>532.64</v>
      </c>
      <c r="C147">
        <f>_xll.ciqfunctions.udf.CIQ("NasdaqGM:AGIX", "IQ_CLOSEPRICE", "2025-01-23", "USD")</f>
        <v>30.48</v>
      </c>
      <c r="D147">
        <f>_xll.ciqfunctions.udf.CIQ("NasdaqGM:SMH", "IQ_CLOSEPRICE", "2025-01-23", "USD")</f>
        <v>266.85000000000002</v>
      </c>
      <c r="E147">
        <f>_xll.ciqfunctions.udf.CIQ("BATS:IGV", "IQ_CLOSEPRICE", "2025-01-23", "USD")</f>
        <v>104.29</v>
      </c>
      <c r="F147">
        <f>_xll.ciqfunctions.udf.CIQ("NasdaqGM:BOTZ", "IQ_CLOSEPRICE", "2025-01-23", "USD")</f>
        <v>34.53</v>
      </c>
      <c r="G147">
        <f>_xll.ciqfunctions.udf.CIQ("NasdaqGM:AIQ", "IQ_CLOSEPRICE", "2025-01-23", "USD")</f>
        <v>40.81</v>
      </c>
      <c r="H147">
        <f>_xll.ciqfunctions.udf.CIQ("ARCA:ARTY", "IQ_CLOSEPRICE", "2025-01-23", "USD")</f>
        <v>40.71</v>
      </c>
      <c r="I147">
        <f>_xll.ciqfunctions.udf.CIQ("NasdaqGM:ROBT", "IQ_CLOSEPRICE", "2025-01-23", "USD")</f>
        <v>47.92</v>
      </c>
      <c r="J147">
        <f>_xll.ciqfunctions.udf.CIQ("ARCA:IGPT", "IQ_CLOSEPRICE", "2025-01-23", "USD")</f>
        <v>48.99</v>
      </c>
      <c r="K147">
        <f>_xll.ciqfunctions.udf.CIQ("BATS:WTAI", "IQ_CLOSEPRICE", "2025-01-23", "USD")</f>
        <v>23.94</v>
      </c>
      <c r="L147">
        <f>_xll.ciqfunctions.udf.CIQ("ARCA:THNQ", "IQ_CLOSEPRICE", "2025-01-23", "USD")</f>
        <v>52.646900000000002</v>
      </c>
      <c r="M147">
        <f>_xll.ciqfunctions.udf.CIQ("NasdaqGM:FDTX", "IQ_CLOSEPRICE", "2025-01-23", "USD")</f>
        <v>37.5</v>
      </c>
      <c r="N147">
        <f>_xll.ciqfunctions.udf.CIQ("ARCA:CHAT", "IQ_CLOSEPRICE", "2025-01-23", "USD")</f>
        <v>44.16</v>
      </c>
      <c r="O147">
        <f>_xll.ciqfunctions.udf.CIQ("ARCA:LOUP", "IQ_CLOSEPRICE", "2025-01-23", "USD")</f>
        <v>60.406500000000001</v>
      </c>
      <c r="P147">
        <f>_xll.ciqfunctions.udf.CIQ("ARCA:LRNZ", "IQ_CLOSEPRICE", "2025-01-23", "USD")</f>
        <v>41.748600000000003</v>
      </c>
      <c r="Q147">
        <f>_xll.ciqfunctions.udf.CIQ("ARCA:AIS", "IQ_CLOSEPRICE", "2025-01-23", "USD")</f>
        <v>26.4299</v>
      </c>
      <c r="R147">
        <f>_xll.ciqfunctions.udf.CIQ("NasdaqGM:WISE", "IQ_CLOSEPRICE", "2025-01-23", "USD")</f>
        <v>38.5</v>
      </c>
      <c r="S147">
        <f>_xll.ciqfunctions.udf.CIQ("LSE:RBOT", "IQ_CLOSEPRICE", "2025-01-23", "USD")</f>
        <v>14.824999999999999</v>
      </c>
      <c r="T147">
        <f>_xll.ciqfunctions.udf.CIQ("XTRA:XAIX", "IQ_CLOSEPRICE", "2025-01-23", "USD")</f>
        <v>146.84019000000001</v>
      </c>
      <c r="U147">
        <f>_xll.ciqfunctions.udf.CIQ("BIT:WTAI", "IQ_CLOSEPRICE", "2025-01-23", "USD")</f>
        <v>72.628839999999997</v>
      </c>
      <c r="V147">
        <f>_xll.ciqfunctions.udf.CIQ("LSE:AIAG", "IQ_CLOSEPRICE", "2025-01-23", "USD")</f>
        <v>23.035920000000001</v>
      </c>
      <c r="W147">
        <f>_xll.ciqfunctions.udf.CIQ("ASX:RBTZ", "IQ_CLOSEPRICE", "2025-01-23", "USD")</f>
        <v>9.9014299999999995</v>
      </c>
      <c r="X147">
        <f>_xll.ciqfunctions.udf.CIQ("DB:XB0T", "IQ_CLOSEPRICE", "2025-01-23", "USD")</f>
        <v>22.467459999999999</v>
      </c>
    </row>
    <row r="148" spans="1:24" x14ac:dyDescent="0.25">
      <c r="A148" t="s">
        <v>170</v>
      </c>
      <c r="B148">
        <f>_xll.ciqfunctions.udf.CIQ("NasdaqGM:QQQ", "IQ_CLOSEPRICE", "2025-01-22", "USD")</f>
        <v>531.51</v>
      </c>
      <c r="C148">
        <f>_xll.ciqfunctions.udf.CIQ("NasdaqGM:AGIX", "IQ_CLOSEPRICE", "2025-01-22", "USD")</f>
        <v>30.45</v>
      </c>
      <c r="D148">
        <f>_xll.ciqfunctions.udf.CIQ("NasdaqGM:SMH", "IQ_CLOSEPRICE", "2025-01-22", "USD")</f>
        <v>267.17</v>
      </c>
      <c r="E148">
        <f>_xll.ciqfunctions.udf.CIQ("BATS:IGV", "IQ_CLOSEPRICE", "2025-01-22", "USD")</f>
        <v>104.11</v>
      </c>
      <c r="F148">
        <f>_xll.ciqfunctions.udf.CIQ("NasdaqGM:BOTZ", "IQ_CLOSEPRICE", "2025-01-22", "USD")</f>
        <v>34.380000000000003</v>
      </c>
      <c r="G148">
        <f>_xll.ciqfunctions.udf.CIQ("NasdaqGM:AIQ", "IQ_CLOSEPRICE", "2025-01-22", "USD")</f>
        <v>40.64</v>
      </c>
      <c r="H148">
        <f>_xll.ciqfunctions.udf.CIQ("ARCA:ARTY", "IQ_CLOSEPRICE", "2025-01-22", "USD")</f>
        <v>40.49</v>
      </c>
      <c r="I148">
        <f>_xll.ciqfunctions.udf.CIQ("NasdaqGM:ROBT", "IQ_CLOSEPRICE", "2025-01-22", "USD")</f>
        <v>47.65</v>
      </c>
      <c r="J148">
        <f>_xll.ciqfunctions.udf.CIQ("ARCA:IGPT", "IQ_CLOSEPRICE", "2025-01-22", "USD")</f>
        <v>49.24</v>
      </c>
      <c r="K148">
        <f>_xll.ciqfunctions.udf.CIQ("BATS:WTAI", "IQ_CLOSEPRICE", "2025-01-22", "USD")</f>
        <v>23.94</v>
      </c>
      <c r="L148">
        <f>_xll.ciqfunctions.udf.CIQ("ARCA:THNQ", "IQ_CLOSEPRICE", "2025-01-22", "USD")</f>
        <v>52.63</v>
      </c>
      <c r="M148">
        <f>_xll.ciqfunctions.udf.CIQ("NasdaqGM:FDTX", "IQ_CLOSEPRICE", "2025-01-22", "USD")</f>
        <v>37.42</v>
      </c>
      <c r="N148">
        <f>_xll.ciqfunctions.udf.CIQ("ARCA:CHAT", "IQ_CLOSEPRICE", "2025-01-22", "USD")</f>
        <v>44.14</v>
      </c>
      <c r="O148">
        <f>_xll.ciqfunctions.udf.CIQ("ARCA:LOUP", "IQ_CLOSEPRICE", "2025-01-22", "USD")</f>
        <v>60.631599999999999</v>
      </c>
      <c r="P148">
        <f>_xll.ciqfunctions.udf.CIQ("ARCA:LRNZ", "IQ_CLOSEPRICE", "2025-01-22", "USD")</f>
        <v>41.664700000000003</v>
      </c>
      <c r="Q148">
        <f>_xll.ciqfunctions.udf.CIQ("ARCA:AIS", "IQ_CLOSEPRICE", "2025-01-22", "USD")</f>
        <v>26.6309</v>
      </c>
      <c r="R148">
        <f>_xll.ciqfunctions.udf.CIQ("NasdaqGM:WISE", "IQ_CLOSEPRICE", "2025-01-22", "USD")</f>
        <v>38.61</v>
      </c>
      <c r="S148">
        <f>_xll.ciqfunctions.udf.CIQ("LSE:RBOT", "IQ_CLOSEPRICE", "2025-01-22", "USD")</f>
        <v>14.824999999999999</v>
      </c>
      <c r="T148">
        <f>_xll.ciqfunctions.udf.CIQ("XTRA:XAIX", "IQ_CLOSEPRICE", "2025-01-22", "USD")</f>
        <v>146.94302999999999</v>
      </c>
      <c r="U148">
        <f>_xll.ciqfunctions.udf.CIQ("BIT:WTAI", "IQ_CLOSEPRICE", "2025-01-22", "USD")</f>
        <v>73.211119999999994</v>
      </c>
      <c r="V148">
        <f>_xll.ciqfunctions.udf.CIQ("LSE:AIAG", "IQ_CLOSEPRICE", "2025-01-22", "USD")</f>
        <v>23.176300000000001</v>
      </c>
      <c r="W148">
        <f>_xll.ciqfunctions.udf.CIQ("ASX:RBTZ", "IQ_CLOSEPRICE", "2025-01-22", "USD")</f>
        <v>9.8395600000000005</v>
      </c>
      <c r="X148">
        <f>_xll.ciqfunctions.udf.CIQ("DB:XB0T", "IQ_CLOSEPRICE", "2025-01-22", "USD")</f>
        <v>22.903860000000002</v>
      </c>
    </row>
    <row r="149" spans="1:24" x14ac:dyDescent="0.25">
      <c r="A149" t="s">
        <v>171</v>
      </c>
      <c r="B149">
        <f>_xll.ciqfunctions.udf.CIQ("NasdaqGM:QQQ", "IQ_CLOSEPRICE", "2025-01-21", "USD")</f>
        <v>524.79999999999995</v>
      </c>
      <c r="C149">
        <f>_xll.ciqfunctions.udf.CIQ("NasdaqGM:AGIX", "IQ_CLOSEPRICE", "2025-01-21", "USD")</f>
        <v>30.12</v>
      </c>
      <c r="D149">
        <f>_xll.ciqfunctions.udf.CIQ("NasdaqGM:SMH", "IQ_CLOSEPRICE", "2025-01-21", "USD")</f>
        <v>262.39</v>
      </c>
      <c r="E149">
        <f>_xll.ciqfunctions.udf.CIQ("BATS:IGV", "IQ_CLOSEPRICE", "2025-01-21", "USD")</f>
        <v>101.95</v>
      </c>
      <c r="F149">
        <f>_xll.ciqfunctions.udf.CIQ("NasdaqGM:BOTZ", "IQ_CLOSEPRICE", "2025-01-21", "USD")</f>
        <v>33.979999999999997</v>
      </c>
      <c r="G149">
        <f>_xll.ciqfunctions.udf.CIQ("NasdaqGM:AIQ", "IQ_CLOSEPRICE", "2025-01-21", "USD")</f>
        <v>40.08</v>
      </c>
      <c r="H149">
        <f>_xll.ciqfunctions.udf.CIQ("ARCA:ARTY", "IQ_CLOSEPRICE", "2025-01-21", "USD")</f>
        <v>39.68</v>
      </c>
      <c r="I149">
        <f>_xll.ciqfunctions.udf.CIQ("NasdaqGM:ROBT", "IQ_CLOSEPRICE", "2025-01-21", "USD")</f>
        <v>47.28</v>
      </c>
      <c r="J149">
        <f>_xll.ciqfunctions.udf.CIQ("ARCA:IGPT", "IQ_CLOSEPRICE", "2025-01-21", "USD")</f>
        <v>48.58</v>
      </c>
      <c r="K149">
        <f>_xll.ciqfunctions.udf.CIQ("BATS:WTAI", "IQ_CLOSEPRICE", "2025-01-21", "USD")</f>
        <v>23.54</v>
      </c>
      <c r="L149">
        <f>_xll.ciqfunctions.udf.CIQ("ARCA:THNQ", "IQ_CLOSEPRICE", "2025-01-21", "USD")</f>
        <v>52.01</v>
      </c>
      <c r="M149">
        <f>_xll.ciqfunctions.udf.CIQ("NasdaqGM:FDTX", "IQ_CLOSEPRICE", "2025-01-21", "USD")</f>
        <v>36.770000000000003</v>
      </c>
      <c r="N149">
        <f>_xll.ciqfunctions.udf.CIQ("ARCA:CHAT", "IQ_CLOSEPRICE", "2025-01-21", "USD")</f>
        <v>43.14</v>
      </c>
      <c r="O149">
        <f>_xll.ciqfunctions.udf.CIQ("ARCA:LOUP", "IQ_CLOSEPRICE", "2025-01-21", "USD")</f>
        <v>59.85</v>
      </c>
      <c r="P149">
        <f>_xll.ciqfunctions.udf.CIQ("ARCA:LRNZ", "IQ_CLOSEPRICE", "2025-01-21", "USD")</f>
        <v>40.763399999999997</v>
      </c>
      <c r="Q149">
        <f>_xll.ciqfunctions.udf.CIQ("ARCA:AIS", "IQ_CLOSEPRICE", "2025-01-21", "USD")</f>
        <v>26.045200000000001</v>
      </c>
      <c r="R149">
        <f>_xll.ciqfunctions.udf.CIQ("NasdaqGM:WISE", "IQ_CLOSEPRICE", "2025-01-21", "USD")</f>
        <v>38.159999999999997</v>
      </c>
      <c r="S149">
        <f>_xll.ciqfunctions.udf.CIQ("LSE:RBOT", "IQ_CLOSEPRICE", "2025-01-21", "USD")</f>
        <v>14.65</v>
      </c>
      <c r="T149">
        <f>_xll.ciqfunctions.udf.CIQ("XTRA:XAIX", "IQ_CLOSEPRICE", "2025-01-21", "USD")</f>
        <v>143.77860999999999</v>
      </c>
      <c r="U149">
        <f>_xll.ciqfunctions.udf.CIQ("BIT:WTAI", "IQ_CLOSEPRICE", "2025-01-21", "USD")</f>
        <v>71.681229999999999</v>
      </c>
      <c r="V149">
        <f>_xll.ciqfunctions.udf.CIQ("LSE:AIAG", "IQ_CLOSEPRICE", "2025-01-21", "USD")</f>
        <v>22.79195</v>
      </c>
      <c r="W149">
        <f>_xll.ciqfunctions.udf.CIQ("ASX:RBTZ", "IQ_CLOSEPRICE", "2025-01-21", "USD")</f>
        <v>9.6189999999999998</v>
      </c>
      <c r="X149">
        <f>_xll.ciqfunctions.udf.CIQ("DB:XB0T", "IQ_CLOSEPRICE", "2025-01-21", "USD")</f>
        <v>22.071370000000002</v>
      </c>
    </row>
    <row r="150" spans="1:24" x14ac:dyDescent="0.25">
      <c r="A150" t="s">
        <v>172</v>
      </c>
      <c r="B150">
        <f>_xll.ciqfunctions.udf.CIQ("NasdaqGM:QQQ", "IQ_CLOSEPRICE", "2025-01-20", "USD")</f>
        <v>0</v>
      </c>
      <c r="C150">
        <f>_xll.ciqfunctions.udf.CIQ("NasdaqGM:AGIX", "IQ_CLOSEPRICE", "2025-01-20", "USD")</f>
        <v>0</v>
      </c>
      <c r="D150">
        <f>_xll.ciqfunctions.udf.CIQ("NasdaqGM:SMH", "IQ_CLOSEPRICE", "2025-01-20", "USD")</f>
        <v>0</v>
      </c>
      <c r="E150">
        <f>_xll.ciqfunctions.udf.CIQ("BATS:IGV", "IQ_CLOSEPRICE", "2025-01-20", "USD")</f>
        <v>0</v>
      </c>
      <c r="F150">
        <f>_xll.ciqfunctions.udf.CIQ("NasdaqGM:BOTZ", "IQ_CLOSEPRICE", "2025-01-20", "USD")</f>
        <v>0</v>
      </c>
      <c r="G150">
        <f>_xll.ciqfunctions.udf.CIQ("NasdaqGM:AIQ", "IQ_CLOSEPRICE", "2025-01-20", "USD")</f>
        <v>0</v>
      </c>
      <c r="H150">
        <f>_xll.ciqfunctions.udf.CIQ("ARCA:ARTY", "IQ_CLOSEPRICE", "2025-01-20", "USD")</f>
        <v>0</v>
      </c>
      <c r="I150">
        <f>_xll.ciqfunctions.udf.CIQ("NasdaqGM:ROBT", "IQ_CLOSEPRICE", "2025-01-20", "USD")</f>
        <v>0</v>
      </c>
      <c r="J150">
        <f>_xll.ciqfunctions.udf.CIQ("ARCA:IGPT", "IQ_CLOSEPRICE", "2025-01-20", "USD")</f>
        <v>0</v>
      </c>
      <c r="K150">
        <f>_xll.ciqfunctions.udf.CIQ("BATS:WTAI", "IQ_CLOSEPRICE", "2025-01-20", "USD")</f>
        <v>0</v>
      </c>
      <c r="L150">
        <f>_xll.ciqfunctions.udf.CIQ("ARCA:THNQ", "IQ_CLOSEPRICE", "2025-01-20", "USD")</f>
        <v>0</v>
      </c>
      <c r="M150">
        <f>_xll.ciqfunctions.udf.CIQ("NasdaqGM:FDTX", "IQ_CLOSEPRICE", "2025-01-20", "USD")</f>
        <v>0</v>
      </c>
      <c r="N150">
        <f>_xll.ciqfunctions.udf.CIQ("ARCA:CHAT", "IQ_CLOSEPRICE", "2025-01-20", "USD")</f>
        <v>0</v>
      </c>
      <c r="O150">
        <f>_xll.ciqfunctions.udf.CIQ("ARCA:LOUP", "IQ_CLOSEPRICE", "2025-01-20", "USD")</f>
        <v>0</v>
      </c>
      <c r="P150">
        <f>_xll.ciqfunctions.udf.CIQ("ARCA:LRNZ", "IQ_CLOSEPRICE", "2025-01-20", "USD")</f>
        <v>0</v>
      </c>
      <c r="Q150">
        <f>_xll.ciqfunctions.udf.CIQ("ARCA:AIS", "IQ_CLOSEPRICE", "2025-01-20", "USD")</f>
        <v>0</v>
      </c>
      <c r="R150">
        <f>_xll.ciqfunctions.udf.CIQ("NasdaqGM:WISE", "IQ_CLOSEPRICE", "2025-01-20", "USD")</f>
        <v>0</v>
      </c>
      <c r="S150">
        <f>_xll.ciqfunctions.udf.CIQ("LSE:RBOT", "IQ_CLOSEPRICE", "2025-01-20", "USD")</f>
        <v>14.66</v>
      </c>
      <c r="T150">
        <f>_xll.ciqfunctions.udf.CIQ("XTRA:XAIX", "IQ_CLOSEPRICE", "2025-01-20", "USD")</f>
        <v>143.57320999999999</v>
      </c>
      <c r="U150">
        <f>_xll.ciqfunctions.udf.CIQ("BIT:WTAI", "IQ_CLOSEPRICE", "2025-01-20", "USD")</f>
        <v>71.869799999999998</v>
      </c>
      <c r="V150">
        <f>_xll.ciqfunctions.udf.CIQ("LSE:AIAG", "IQ_CLOSEPRICE", "2025-01-20", "USD")</f>
        <v>22.60981</v>
      </c>
      <c r="W150">
        <f>_xll.ciqfunctions.udf.CIQ("ASX:RBTZ", "IQ_CLOSEPRICE", "2025-01-20", "USD")</f>
        <v>9.6123700000000003</v>
      </c>
      <c r="X150">
        <f>_xll.ciqfunctions.udf.CIQ("DB:XB0T", "IQ_CLOSEPRICE", "2025-01-20", "USD")</f>
        <v>22.020589999999999</v>
      </c>
    </row>
    <row r="151" spans="1:24" x14ac:dyDescent="0.25">
      <c r="A151" t="s">
        <v>173</v>
      </c>
      <c r="B151">
        <f>_xll.ciqfunctions.udf.CIQ("NasdaqGM:QQQ", "IQ_CLOSEPRICE", "2025-01-17", "USD")</f>
        <v>521.74</v>
      </c>
      <c r="C151">
        <f>_xll.ciqfunctions.udf.CIQ("NasdaqGM:AGIX", "IQ_CLOSEPRICE", "2025-01-17", "USD")</f>
        <v>29.5</v>
      </c>
      <c r="D151">
        <f>_xll.ciqfunctions.udf.CIQ("NasdaqGM:SMH", "IQ_CLOSEPRICE", "2025-01-17", "USD")</f>
        <v>258.25</v>
      </c>
      <c r="E151">
        <f>_xll.ciqfunctions.udf.CIQ("BATS:IGV", "IQ_CLOSEPRICE", "2025-01-17", "USD")</f>
        <v>100.32</v>
      </c>
      <c r="F151">
        <f>_xll.ciqfunctions.udf.CIQ("NasdaqGM:BOTZ", "IQ_CLOSEPRICE", "2025-01-17", "USD")</f>
        <v>33.03</v>
      </c>
      <c r="G151">
        <f>_xll.ciqfunctions.udf.CIQ("NasdaqGM:AIQ", "IQ_CLOSEPRICE", "2025-01-17", "USD")</f>
        <v>39.46</v>
      </c>
      <c r="H151">
        <f>_xll.ciqfunctions.udf.CIQ("ARCA:ARTY", "IQ_CLOSEPRICE", "2025-01-17", "USD")</f>
        <v>38.909999999999997</v>
      </c>
      <c r="I151">
        <f>_xll.ciqfunctions.udf.CIQ("NasdaqGM:ROBT", "IQ_CLOSEPRICE", "2025-01-17", "USD")</f>
        <v>46.09</v>
      </c>
      <c r="J151">
        <f>_xll.ciqfunctions.udf.CIQ("ARCA:IGPT", "IQ_CLOSEPRICE", "2025-01-17", "USD")</f>
        <v>47.76</v>
      </c>
      <c r="K151">
        <f>_xll.ciqfunctions.udf.CIQ("BATS:WTAI", "IQ_CLOSEPRICE", "2025-01-17", "USD")</f>
        <v>23.09</v>
      </c>
      <c r="L151">
        <f>_xll.ciqfunctions.udf.CIQ("ARCA:THNQ", "IQ_CLOSEPRICE", "2025-01-17", "USD")</f>
        <v>50.81</v>
      </c>
      <c r="M151">
        <f>_xll.ciqfunctions.udf.CIQ("NasdaqGM:FDTX", "IQ_CLOSEPRICE", "2025-01-17", "USD")</f>
        <v>36.19</v>
      </c>
      <c r="N151">
        <f>_xll.ciqfunctions.udf.CIQ("ARCA:CHAT", "IQ_CLOSEPRICE", "2025-01-17", "USD")</f>
        <v>42.27</v>
      </c>
      <c r="O151">
        <f>_xll.ciqfunctions.udf.CIQ("ARCA:LOUP", "IQ_CLOSEPRICE", "2025-01-17", "USD")</f>
        <v>58.558700000000002</v>
      </c>
      <c r="P151">
        <f>_xll.ciqfunctions.udf.CIQ("ARCA:LRNZ", "IQ_CLOSEPRICE", "2025-01-17", "USD")</f>
        <v>39.918700000000001</v>
      </c>
      <c r="Q151">
        <f>_xll.ciqfunctions.udf.CIQ("ARCA:AIS", "IQ_CLOSEPRICE", "2025-01-17", "USD")</f>
        <v>25.415600000000001</v>
      </c>
      <c r="R151">
        <f>_xll.ciqfunctions.udf.CIQ("NasdaqGM:WISE", "IQ_CLOSEPRICE", "2025-01-17", "USD")</f>
        <v>36.72</v>
      </c>
      <c r="S151">
        <f>_xll.ciqfunctions.udf.CIQ("LSE:RBOT", "IQ_CLOSEPRICE", "2025-01-17", "USD")</f>
        <v>14.46</v>
      </c>
      <c r="T151">
        <f>_xll.ciqfunctions.udf.CIQ("XTRA:XAIX", "IQ_CLOSEPRICE", "2025-01-17", "USD")</f>
        <v>142.84244000000001</v>
      </c>
      <c r="U151">
        <f>_xll.ciqfunctions.udf.CIQ("BIT:WTAI", "IQ_CLOSEPRICE", "2025-01-17", "USD")</f>
        <v>71.318309999999997</v>
      </c>
      <c r="V151">
        <f>_xll.ciqfunctions.udf.CIQ("LSE:AIAG", "IQ_CLOSEPRICE", "2025-01-17", "USD")</f>
        <v>22.419450000000001</v>
      </c>
      <c r="W151">
        <f>_xll.ciqfunctions.udf.CIQ("ASX:RBTZ", "IQ_CLOSEPRICE", "2025-01-17", "USD")</f>
        <v>9.4581199999999992</v>
      </c>
      <c r="X151">
        <f>_xll.ciqfunctions.udf.CIQ("DB:XB0T", "IQ_CLOSEPRICE", "2025-01-17", "USD")</f>
        <v>21.601320000000001</v>
      </c>
    </row>
    <row r="152" spans="1:24" x14ac:dyDescent="0.25">
      <c r="A152" t="s">
        <v>174</v>
      </c>
      <c r="B152">
        <f>_xll.ciqfunctions.udf.CIQ("NasdaqGM:QQQ", "IQ_CLOSEPRICE", "2025-01-16", "USD")</f>
        <v>513.08000000000004</v>
      </c>
      <c r="C152">
        <f>_xll.ciqfunctions.udf.CIQ("NasdaqGM:AGIX", "IQ_CLOSEPRICE", "2025-01-16", "USD")</f>
        <v>29.45</v>
      </c>
      <c r="D152">
        <f>_xll.ciqfunctions.udf.CIQ("NasdaqGM:SMH", "IQ_CLOSEPRICE", "2025-01-16", "USD")</f>
        <v>252.29</v>
      </c>
      <c r="E152">
        <f>_xll.ciqfunctions.udf.CIQ("BATS:IGV", "IQ_CLOSEPRICE", "2025-01-16", "USD")</f>
        <v>99.35</v>
      </c>
      <c r="F152">
        <f>_xll.ciqfunctions.udf.CIQ("NasdaqGM:BOTZ", "IQ_CLOSEPRICE", "2025-01-16", "USD")</f>
        <v>32.590000000000003</v>
      </c>
      <c r="G152">
        <f>_xll.ciqfunctions.udf.CIQ("NasdaqGM:AIQ", "IQ_CLOSEPRICE", "2025-01-16", "USD")</f>
        <v>38.880000000000003</v>
      </c>
      <c r="H152">
        <f>_xll.ciqfunctions.udf.CIQ("ARCA:ARTY", "IQ_CLOSEPRICE", "2025-01-16", "USD")</f>
        <v>38.36</v>
      </c>
      <c r="I152">
        <f>_xll.ciqfunctions.udf.CIQ("NasdaqGM:ROBT", "IQ_CLOSEPRICE", "2025-01-16", "USD")</f>
        <v>45.73</v>
      </c>
      <c r="J152">
        <f>_xll.ciqfunctions.udf.CIQ("ARCA:IGPT", "IQ_CLOSEPRICE", "2025-01-16", "USD")</f>
        <v>46.84</v>
      </c>
      <c r="K152">
        <f>_xll.ciqfunctions.udf.CIQ("BATS:WTAI", "IQ_CLOSEPRICE", "2025-01-16", "USD")</f>
        <v>22.77</v>
      </c>
      <c r="L152">
        <f>_xll.ciqfunctions.udf.CIQ("ARCA:THNQ", "IQ_CLOSEPRICE", "2025-01-16", "USD")</f>
        <v>50.41</v>
      </c>
      <c r="M152">
        <f>_xll.ciqfunctions.udf.CIQ("NasdaqGM:FDTX", "IQ_CLOSEPRICE", "2025-01-16", "USD")</f>
        <v>35.9</v>
      </c>
      <c r="N152">
        <f>_xll.ciqfunctions.udf.CIQ("ARCA:CHAT", "IQ_CLOSEPRICE", "2025-01-16", "USD")</f>
        <v>41.6</v>
      </c>
      <c r="O152">
        <f>_xll.ciqfunctions.udf.CIQ("ARCA:LOUP", "IQ_CLOSEPRICE", "2025-01-16", "USD")</f>
        <v>57.474200000000003</v>
      </c>
      <c r="P152">
        <f>_xll.ciqfunctions.udf.CIQ("ARCA:LRNZ", "IQ_CLOSEPRICE", "2025-01-16", "USD")</f>
        <v>39.641399999999997</v>
      </c>
      <c r="Q152">
        <f>_xll.ciqfunctions.udf.CIQ("ARCA:AIS", "IQ_CLOSEPRICE", "2025-01-16", "USD")</f>
        <v>24.976900000000001</v>
      </c>
      <c r="R152">
        <f>_xll.ciqfunctions.udf.CIQ("NasdaqGM:WISE", "IQ_CLOSEPRICE", "2025-01-16", "USD")</f>
        <v>36.4</v>
      </c>
      <c r="S152">
        <f>_xll.ciqfunctions.udf.CIQ("LSE:RBOT", "IQ_CLOSEPRICE", "2025-01-16", "USD")</f>
        <v>14.275</v>
      </c>
      <c r="T152">
        <f>_xll.ciqfunctions.udf.CIQ("XTRA:XAIX", "IQ_CLOSEPRICE", "2025-01-16", "USD")</f>
        <v>141.71298999999999</v>
      </c>
      <c r="U152">
        <f>_xll.ciqfunctions.udf.CIQ("BIT:WTAI", "IQ_CLOSEPRICE", "2025-01-16", "USD")</f>
        <v>70.630020000000002</v>
      </c>
      <c r="V152">
        <f>_xll.ciqfunctions.udf.CIQ("LSE:AIAG", "IQ_CLOSEPRICE", "2025-01-16", "USD")</f>
        <v>22.305689999999998</v>
      </c>
      <c r="W152">
        <f>_xll.ciqfunctions.udf.CIQ("ASX:RBTZ", "IQ_CLOSEPRICE", "2025-01-16", "USD")</f>
        <v>9.3730600000000006</v>
      </c>
      <c r="X152">
        <f>_xll.ciqfunctions.udf.CIQ("DB:XB0T", "IQ_CLOSEPRICE", "2025-01-16", "USD")</f>
        <v>21.489599999999999</v>
      </c>
    </row>
    <row r="153" spans="1:24" x14ac:dyDescent="0.25">
      <c r="A153" t="s">
        <v>175</v>
      </c>
      <c r="B153">
        <f>_xll.ciqfunctions.udf.CIQ("NasdaqGM:QQQ", "IQ_CLOSEPRICE", "2025-01-15", "USD")</f>
        <v>516.70000000000005</v>
      </c>
      <c r="C153">
        <f>_xll.ciqfunctions.udf.CIQ("NasdaqGM:AGIX", "IQ_CLOSEPRICE", "2025-01-15", "USD")</f>
        <v>29.08</v>
      </c>
      <c r="D153">
        <f>_xll.ciqfunctions.udf.CIQ("NasdaqGM:SMH", "IQ_CLOSEPRICE", "2025-01-15", "USD")</f>
        <v>251.21</v>
      </c>
      <c r="E153">
        <f>_xll.ciqfunctions.udf.CIQ("BATS:IGV", "IQ_CLOSEPRICE", "2025-01-15", "USD")</f>
        <v>99.17</v>
      </c>
      <c r="F153">
        <f>_xll.ciqfunctions.udf.CIQ("NasdaqGM:BOTZ", "IQ_CLOSEPRICE", "2025-01-15", "USD")</f>
        <v>32.39</v>
      </c>
      <c r="G153">
        <f>_xll.ciqfunctions.udf.CIQ("NasdaqGM:AIQ", "IQ_CLOSEPRICE", "2025-01-15", "USD")</f>
        <v>38.97</v>
      </c>
      <c r="H153">
        <f>_xll.ciqfunctions.udf.CIQ("ARCA:ARTY", "IQ_CLOSEPRICE", "2025-01-15", "USD")</f>
        <v>38.130000000000003</v>
      </c>
      <c r="I153">
        <f>_xll.ciqfunctions.udf.CIQ("NasdaqGM:ROBT", "IQ_CLOSEPRICE", "2025-01-15", "USD")</f>
        <v>45.3</v>
      </c>
      <c r="J153">
        <f>_xll.ciqfunctions.udf.CIQ("ARCA:IGPT", "IQ_CLOSEPRICE", "2025-01-15", "USD")</f>
        <v>46.88</v>
      </c>
      <c r="K153">
        <f>_xll.ciqfunctions.udf.CIQ("BATS:WTAI", "IQ_CLOSEPRICE", "2025-01-15", "USD")</f>
        <v>22.7</v>
      </c>
      <c r="L153">
        <f>_xll.ciqfunctions.udf.CIQ("ARCA:THNQ", "IQ_CLOSEPRICE", "2025-01-15", "USD")</f>
        <v>49.97</v>
      </c>
      <c r="M153">
        <f>_xll.ciqfunctions.udf.CIQ("NasdaqGM:FDTX", "IQ_CLOSEPRICE", "2025-01-15", "USD")</f>
        <v>35.79</v>
      </c>
      <c r="N153">
        <f>_xll.ciqfunctions.udf.CIQ("ARCA:CHAT", "IQ_CLOSEPRICE", "2025-01-15", "USD")</f>
        <v>41.59</v>
      </c>
      <c r="O153">
        <f>_xll.ciqfunctions.udf.CIQ("ARCA:LOUP", "IQ_CLOSEPRICE", "2025-01-15", "USD")</f>
        <v>56.95</v>
      </c>
      <c r="P153">
        <f>_xll.ciqfunctions.udf.CIQ("ARCA:LRNZ", "IQ_CLOSEPRICE", "2025-01-15", "USD")</f>
        <v>39.640099999999997</v>
      </c>
      <c r="Q153">
        <f>_xll.ciqfunctions.udf.CIQ("ARCA:AIS", "IQ_CLOSEPRICE", "2025-01-15", "USD")</f>
        <v>24.919799999999999</v>
      </c>
      <c r="R153">
        <f>_xll.ciqfunctions.udf.CIQ("NasdaqGM:WISE", "IQ_CLOSEPRICE", "2025-01-15", "USD")</f>
        <v>36.020000000000003</v>
      </c>
      <c r="S153">
        <f>_xll.ciqfunctions.udf.CIQ("LSE:RBOT", "IQ_CLOSEPRICE", "2025-01-15", "USD")</f>
        <v>14.074999999999999</v>
      </c>
      <c r="T153">
        <f>_xll.ciqfunctions.udf.CIQ("XTRA:XAIX", "IQ_CLOSEPRICE", "2025-01-15", "USD")</f>
        <v>141.06389999999999</v>
      </c>
      <c r="U153">
        <f>_xll.ciqfunctions.udf.CIQ("BIT:WTAI", "IQ_CLOSEPRICE", "2025-01-15", "USD")</f>
        <v>69.801419999999993</v>
      </c>
      <c r="V153">
        <f>_xll.ciqfunctions.udf.CIQ("LSE:AIAG", "IQ_CLOSEPRICE", "2025-01-15", "USD")</f>
        <v>21.973659999999999</v>
      </c>
      <c r="W153">
        <f>_xll.ciqfunctions.udf.CIQ("ASX:RBTZ", "IQ_CLOSEPRICE", "2025-01-15", "USD")</f>
        <v>9.1508599999999998</v>
      </c>
      <c r="X153">
        <f>_xll.ciqfunctions.udf.CIQ("DB:XB0T", "IQ_CLOSEPRICE", "2025-01-15", "USD")</f>
        <v>20.758310000000002</v>
      </c>
    </row>
    <row r="154" spans="1:24" x14ac:dyDescent="0.25">
      <c r="A154" t="s">
        <v>176</v>
      </c>
      <c r="B154">
        <f>_xll.ciqfunctions.udf.CIQ("NasdaqGM:QQQ", "IQ_CLOSEPRICE", "2025-01-14", "USD")</f>
        <v>505.08</v>
      </c>
      <c r="C154">
        <f>_xll.ciqfunctions.udf.CIQ("NasdaqGM:AGIX", "IQ_CLOSEPRICE", "2025-01-14", "USD")</f>
        <v>28.34</v>
      </c>
      <c r="D154">
        <f>_xll.ciqfunctions.udf.CIQ("NasdaqGM:SMH", "IQ_CLOSEPRICE", "2025-01-14", "USD")</f>
        <v>245.44</v>
      </c>
      <c r="E154">
        <f>_xll.ciqfunctions.udf.CIQ("BATS:IGV", "IQ_CLOSEPRICE", "2025-01-14", "USD")</f>
        <v>97.41</v>
      </c>
      <c r="F154">
        <f>_xll.ciqfunctions.udf.CIQ("NasdaqGM:BOTZ", "IQ_CLOSEPRICE", "2025-01-14", "USD")</f>
        <v>31.49</v>
      </c>
      <c r="G154">
        <f>_xll.ciqfunctions.udf.CIQ("NasdaqGM:AIQ", "IQ_CLOSEPRICE", "2025-01-14", "USD")</f>
        <v>38.1</v>
      </c>
      <c r="H154">
        <f>_xll.ciqfunctions.udf.CIQ("ARCA:ARTY", "IQ_CLOSEPRICE", "2025-01-14", "USD")</f>
        <v>37.5</v>
      </c>
      <c r="I154">
        <f>_xll.ciqfunctions.udf.CIQ("NasdaqGM:ROBT", "IQ_CLOSEPRICE", "2025-01-14", "USD")</f>
        <v>44.33</v>
      </c>
      <c r="J154">
        <f>_xll.ciqfunctions.udf.CIQ("ARCA:IGPT", "IQ_CLOSEPRICE", "2025-01-14", "USD")</f>
        <v>45.53</v>
      </c>
      <c r="K154">
        <f>_xll.ciqfunctions.udf.CIQ("BATS:WTAI", "IQ_CLOSEPRICE", "2025-01-14", "USD")</f>
        <v>22.02</v>
      </c>
      <c r="L154">
        <f>_xll.ciqfunctions.udf.CIQ("ARCA:THNQ", "IQ_CLOSEPRICE", "2025-01-14", "USD")</f>
        <v>48.85</v>
      </c>
      <c r="M154">
        <f>_xll.ciqfunctions.udf.CIQ("NasdaqGM:FDTX", "IQ_CLOSEPRICE", "2025-01-14", "USD")</f>
        <v>35.1</v>
      </c>
      <c r="N154">
        <f>_xll.ciqfunctions.udf.CIQ("ARCA:CHAT", "IQ_CLOSEPRICE", "2025-01-14", "USD")</f>
        <v>40.68</v>
      </c>
      <c r="O154">
        <f>_xll.ciqfunctions.udf.CIQ("ARCA:LOUP", "IQ_CLOSEPRICE", "2025-01-14", "USD")</f>
        <v>55.47</v>
      </c>
      <c r="P154">
        <f>_xll.ciqfunctions.udf.CIQ("ARCA:LRNZ", "IQ_CLOSEPRICE", "2025-01-14", "USD")</f>
        <v>38.700000000000003</v>
      </c>
      <c r="Q154">
        <f>_xll.ciqfunctions.udf.CIQ("ARCA:AIS", "IQ_CLOSEPRICE", "2025-01-14", "USD")</f>
        <v>24.227799999999998</v>
      </c>
      <c r="R154">
        <f>_xll.ciqfunctions.udf.CIQ("NasdaqGM:WISE", "IQ_CLOSEPRICE", "2025-01-14", "USD")</f>
        <v>34.950000000000003</v>
      </c>
      <c r="S154">
        <f>_xll.ciqfunctions.udf.CIQ("LSE:RBOT", "IQ_CLOSEPRICE", "2025-01-14", "USD")</f>
        <v>13.805</v>
      </c>
      <c r="T154">
        <f>_xll.ciqfunctions.udf.CIQ("XTRA:XAIX", "IQ_CLOSEPRICE", "2025-01-14", "USD")</f>
        <v>138.35701</v>
      </c>
      <c r="U154">
        <f>_xll.ciqfunctions.udf.CIQ("BIT:WTAI", "IQ_CLOSEPRICE", "2025-01-14", "USD")</f>
        <v>68.241709999999998</v>
      </c>
      <c r="V154">
        <f>_xll.ciqfunctions.udf.CIQ("LSE:AIAG", "IQ_CLOSEPRICE", "2025-01-14", "USD")</f>
        <v>21.511150000000001</v>
      </c>
      <c r="W154">
        <f>_xll.ciqfunctions.udf.CIQ("ASX:RBTZ", "IQ_CLOSEPRICE", "2025-01-14", "USD")</f>
        <v>9.0807800000000007</v>
      </c>
      <c r="X154">
        <f>_xll.ciqfunctions.udf.CIQ("DB:XB0T", "IQ_CLOSEPRICE", "2025-01-14", "USD")</f>
        <v>20.835909999999998</v>
      </c>
    </row>
    <row r="155" spans="1:24" x14ac:dyDescent="0.25">
      <c r="A155" t="s">
        <v>177</v>
      </c>
      <c r="B155">
        <f>_xll.ciqfunctions.udf.CIQ("NasdaqGM:QQQ", "IQ_CLOSEPRICE", "2025-01-13", "USD")</f>
        <v>505.56</v>
      </c>
      <c r="C155">
        <f>_xll.ciqfunctions.udf.CIQ("NasdaqGM:AGIX", "IQ_CLOSEPRICE", "2025-01-13", "USD")</f>
        <v>28.24</v>
      </c>
      <c r="D155">
        <f>_xll.ciqfunctions.udf.CIQ("NasdaqGM:SMH", "IQ_CLOSEPRICE", "2025-01-13", "USD")</f>
        <v>244.64</v>
      </c>
      <c r="E155">
        <f>_xll.ciqfunctions.udf.CIQ("BATS:IGV", "IQ_CLOSEPRICE", "2025-01-13", "USD")</f>
        <v>96.36</v>
      </c>
      <c r="F155">
        <f>_xll.ciqfunctions.udf.CIQ("NasdaqGM:BOTZ", "IQ_CLOSEPRICE", "2025-01-13", "USD")</f>
        <v>31.46</v>
      </c>
      <c r="G155">
        <f>_xll.ciqfunctions.udf.CIQ("NasdaqGM:AIQ", "IQ_CLOSEPRICE", "2025-01-13", "USD")</f>
        <v>38</v>
      </c>
      <c r="H155">
        <f>_xll.ciqfunctions.udf.CIQ("ARCA:ARTY", "IQ_CLOSEPRICE", "2025-01-13", "USD")</f>
        <v>37.33</v>
      </c>
      <c r="I155">
        <f>_xll.ciqfunctions.udf.CIQ("NasdaqGM:ROBT", "IQ_CLOSEPRICE", "2025-01-13", "USD")</f>
        <v>44.02</v>
      </c>
      <c r="J155">
        <f>_xll.ciqfunctions.udf.CIQ("ARCA:IGPT", "IQ_CLOSEPRICE", "2025-01-13", "USD")</f>
        <v>45.47</v>
      </c>
      <c r="K155">
        <f>_xll.ciqfunctions.udf.CIQ("BATS:WTAI", "IQ_CLOSEPRICE", "2025-01-13", "USD")</f>
        <v>21.895</v>
      </c>
      <c r="L155">
        <f>_xll.ciqfunctions.udf.CIQ("ARCA:THNQ", "IQ_CLOSEPRICE", "2025-01-13", "USD")</f>
        <v>48.58</v>
      </c>
      <c r="M155">
        <f>_xll.ciqfunctions.udf.CIQ("NasdaqGM:FDTX", "IQ_CLOSEPRICE", "2025-01-13", "USD")</f>
        <v>35.1</v>
      </c>
      <c r="N155">
        <f>_xll.ciqfunctions.udf.CIQ("ARCA:CHAT", "IQ_CLOSEPRICE", "2025-01-13", "USD")</f>
        <v>40.520000000000003</v>
      </c>
      <c r="O155">
        <f>_xll.ciqfunctions.udf.CIQ("ARCA:LOUP", "IQ_CLOSEPRICE", "2025-01-13", "USD")</f>
        <v>54.56</v>
      </c>
      <c r="P155">
        <f>_xll.ciqfunctions.udf.CIQ("ARCA:LRNZ", "IQ_CLOSEPRICE", "2025-01-13", "USD")</f>
        <v>38.74</v>
      </c>
      <c r="Q155">
        <f>_xll.ciqfunctions.udf.CIQ("ARCA:AIS", "IQ_CLOSEPRICE", "2025-01-13", "USD")</f>
        <v>23.9358</v>
      </c>
      <c r="R155">
        <f>_xll.ciqfunctions.udf.CIQ("NasdaqGM:WISE", "IQ_CLOSEPRICE", "2025-01-13", "USD")</f>
        <v>34.659999999999997</v>
      </c>
      <c r="S155">
        <f>_xll.ciqfunctions.udf.CIQ("LSE:RBOT", "IQ_CLOSEPRICE", "2025-01-13", "USD")</f>
        <v>13.654999999999999</v>
      </c>
      <c r="T155">
        <f>_xll.ciqfunctions.udf.CIQ("XTRA:XAIX", "IQ_CLOSEPRICE", "2025-01-13", "USD")</f>
        <v>137.16849999999999</v>
      </c>
      <c r="U155">
        <f>_xll.ciqfunctions.udf.CIQ("BIT:WTAI", "IQ_CLOSEPRICE", "2025-01-13", "USD")</f>
        <v>67.207260000000005</v>
      </c>
      <c r="V155">
        <f>_xll.ciqfunctions.udf.CIQ("LSE:AIAG", "IQ_CLOSEPRICE", "2025-01-13", "USD")</f>
        <v>21.239090000000001</v>
      </c>
      <c r="W155">
        <f>_xll.ciqfunctions.udf.CIQ("ASX:RBTZ", "IQ_CLOSEPRICE", "2025-01-13", "USD")</f>
        <v>9.1188800000000008</v>
      </c>
      <c r="X155">
        <f>_xll.ciqfunctions.udf.CIQ("DB:XB0T", "IQ_CLOSEPRICE", "2025-01-13", "USD")</f>
        <v>20.573239999999998</v>
      </c>
    </row>
    <row r="156" spans="1:24" x14ac:dyDescent="0.25">
      <c r="A156" t="s">
        <v>178</v>
      </c>
      <c r="B156">
        <f>_xll.ciqfunctions.udf.CIQ("NasdaqGM:QQQ", "IQ_CLOSEPRICE", "2025-01-10", "USD")</f>
        <v>507.19</v>
      </c>
      <c r="C156">
        <f>_xll.ciqfunctions.udf.CIQ("NasdaqGM:AGIX", "IQ_CLOSEPRICE", "2025-01-10", "USD")</f>
        <v>28.55</v>
      </c>
      <c r="D156">
        <f>_xll.ciqfunctions.udf.CIQ("NasdaqGM:SMH", "IQ_CLOSEPRICE", "2025-01-10", "USD")</f>
        <v>247.18</v>
      </c>
      <c r="E156">
        <f>_xll.ciqfunctions.udf.CIQ("BATS:IGV", "IQ_CLOSEPRICE", "2025-01-10", "USD")</f>
        <v>97.21</v>
      </c>
      <c r="F156">
        <f>_xll.ciqfunctions.udf.CIQ("NasdaqGM:BOTZ", "IQ_CLOSEPRICE", "2025-01-10", "USD")</f>
        <v>31.79</v>
      </c>
      <c r="G156">
        <f>_xll.ciqfunctions.udf.CIQ("NasdaqGM:AIQ", "IQ_CLOSEPRICE", "2025-01-10", "USD")</f>
        <v>38.200000000000003</v>
      </c>
      <c r="H156">
        <f>_xll.ciqfunctions.udf.CIQ("ARCA:ARTY", "IQ_CLOSEPRICE", "2025-01-10", "USD")</f>
        <v>37.81</v>
      </c>
      <c r="I156">
        <f>_xll.ciqfunctions.udf.CIQ("NasdaqGM:ROBT", "IQ_CLOSEPRICE", "2025-01-10", "USD")</f>
        <v>44.37</v>
      </c>
      <c r="J156">
        <f>_xll.ciqfunctions.udf.CIQ("ARCA:IGPT", "IQ_CLOSEPRICE", "2025-01-10", "USD")</f>
        <v>45.82</v>
      </c>
      <c r="K156">
        <f>_xll.ciqfunctions.udf.CIQ("BATS:WTAI", "IQ_CLOSEPRICE", "2025-01-10", "USD")</f>
        <v>22.21</v>
      </c>
      <c r="L156">
        <f>_xll.ciqfunctions.udf.CIQ("ARCA:THNQ", "IQ_CLOSEPRICE", "2025-01-10", "USD")</f>
        <v>49.17</v>
      </c>
      <c r="M156">
        <f>_xll.ciqfunctions.udf.CIQ("NasdaqGM:FDTX", "IQ_CLOSEPRICE", "2025-01-10", "USD")</f>
        <v>35.549999999999997</v>
      </c>
      <c r="N156">
        <f>_xll.ciqfunctions.udf.CIQ("ARCA:CHAT", "IQ_CLOSEPRICE", "2025-01-10", "USD")</f>
        <v>41.03</v>
      </c>
      <c r="O156">
        <f>_xll.ciqfunctions.udf.CIQ("ARCA:LOUP", "IQ_CLOSEPRICE", "2025-01-10", "USD")</f>
        <v>55.516500000000001</v>
      </c>
      <c r="P156">
        <f>_xll.ciqfunctions.udf.CIQ("ARCA:LRNZ", "IQ_CLOSEPRICE", "2025-01-10", "USD")</f>
        <v>39.200000000000003</v>
      </c>
      <c r="Q156">
        <f>_xll.ciqfunctions.udf.CIQ("ARCA:AIS", "IQ_CLOSEPRICE", "2025-01-10", "USD")</f>
        <v>24.386399999999998</v>
      </c>
      <c r="R156">
        <f>_xll.ciqfunctions.udf.CIQ("NasdaqGM:WISE", "IQ_CLOSEPRICE", "2025-01-10", "USD")</f>
        <v>35.5</v>
      </c>
      <c r="S156">
        <f>_xll.ciqfunctions.udf.CIQ("LSE:RBOT", "IQ_CLOSEPRICE", "2025-01-10", "USD")</f>
        <v>13.79</v>
      </c>
      <c r="T156">
        <f>_xll.ciqfunctions.udf.CIQ("XTRA:XAIX", "IQ_CLOSEPRICE", "2025-01-10", "USD")</f>
        <v>138.67567</v>
      </c>
      <c r="U156">
        <f>_xll.ciqfunctions.udf.CIQ("BIT:WTAI", "IQ_CLOSEPRICE", "2025-01-10", "USD")</f>
        <v>68.263229999999993</v>
      </c>
      <c r="V156">
        <f>_xll.ciqfunctions.udf.CIQ("LSE:AIAG", "IQ_CLOSEPRICE", "2025-01-10", "USD")</f>
        <v>21.547509999999999</v>
      </c>
      <c r="W156">
        <f>_xll.ciqfunctions.udf.CIQ("ASX:RBTZ", "IQ_CLOSEPRICE", "2025-01-10", "USD")</f>
        <v>9.2221700000000002</v>
      </c>
      <c r="X156">
        <f>_xll.ciqfunctions.udf.CIQ("DB:XB0T", "IQ_CLOSEPRICE", "2025-01-10", "USD")</f>
        <v>21.026509999999998</v>
      </c>
    </row>
    <row r="157" spans="1:24" x14ac:dyDescent="0.25">
      <c r="A157" t="s">
        <v>179</v>
      </c>
      <c r="B157">
        <f>_xll.ciqfunctions.udf.CIQ("NasdaqGM:QQQ", "IQ_CLOSEPRICE", "2025-01-09", "USD")</f>
        <v>0</v>
      </c>
      <c r="C157">
        <f>_xll.ciqfunctions.udf.CIQ("NasdaqGM:AGIX", "IQ_CLOSEPRICE", "2025-01-09", "USD")</f>
        <v>0</v>
      </c>
      <c r="D157">
        <f>_xll.ciqfunctions.udf.CIQ("NasdaqGM:SMH", "IQ_CLOSEPRICE", "2025-01-09", "USD")</f>
        <v>0</v>
      </c>
      <c r="E157">
        <f>_xll.ciqfunctions.udf.CIQ("BATS:IGV", "IQ_CLOSEPRICE", "2025-01-09", "USD")</f>
        <v>0</v>
      </c>
      <c r="F157">
        <f>_xll.ciqfunctions.udf.CIQ("NasdaqGM:BOTZ", "IQ_CLOSEPRICE", "2025-01-09", "USD")</f>
        <v>0</v>
      </c>
      <c r="G157">
        <f>_xll.ciqfunctions.udf.CIQ("NasdaqGM:AIQ", "IQ_CLOSEPRICE", "2025-01-09", "USD")</f>
        <v>0</v>
      </c>
      <c r="H157">
        <f>_xll.ciqfunctions.udf.CIQ("ARCA:ARTY", "IQ_CLOSEPRICE", "2025-01-09", "USD")</f>
        <v>0</v>
      </c>
      <c r="I157">
        <f>_xll.ciqfunctions.udf.CIQ("NasdaqGM:ROBT", "IQ_CLOSEPRICE", "2025-01-09", "USD")</f>
        <v>0</v>
      </c>
      <c r="J157">
        <f>_xll.ciqfunctions.udf.CIQ("ARCA:IGPT", "IQ_CLOSEPRICE", "2025-01-09", "USD")</f>
        <v>0</v>
      </c>
      <c r="K157">
        <f>_xll.ciqfunctions.udf.CIQ("BATS:WTAI", "IQ_CLOSEPRICE", "2025-01-09", "USD")</f>
        <v>0</v>
      </c>
      <c r="L157">
        <f>_xll.ciqfunctions.udf.CIQ("ARCA:THNQ", "IQ_CLOSEPRICE", "2025-01-09", "USD")</f>
        <v>0</v>
      </c>
      <c r="M157">
        <f>_xll.ciqfunctions.udf.CIQ("NasdaqGM:FDTX", "IQ_CLOSEPRICE", "2025-01-09", "USD")</f>
        <v>0</v>
      </c>
      <c r="N157">
        <f>_xll.ciqfunctions.udf.CIQ("ARCA:CHAT", "IQ_CLOSEPRICE", "2025-01-09", "USD")</f>
        <v>0</v>
      </c>
      <c r="O157">
        <f>_xll.ciqfunctions.udf.CIQ("ARCA:LOUP", "IQ_CLOSEPRICE", "2025-01-09", "USD")</f>
        <v>0</v>
      </c>
      <c r="P157">
        <f>_xll.ciqfunctions.udf.CIQ("ARCA:LRNZ", "IQ_CLOSEPRICE", "2025-01-09", "USD")</f>
        <v>0</v>
      </c>
      <c r="Q157">
        <f>_xll.ciqfunctions.udf.CIQ("ARCA:AIS", "IQ_CLOSEPRICE", "2025-01-09", "USD")</f>
        <v>0</v>
      </c>
      <c r="R157">
        <f>_xll.ciqfunctions.udf.CIQ("NasdaqGM:WISE", "IQ_CLOSEPRICE", "2025-01-09", "USD")</f>
        <v>0</v>
      </c>
      <c r="S157">
        <f>_xll.ciqfunctions.udf.CIQ("LSE:RBOT", "IQ_CLOSEPRICE", "2025-01-09", "USD")</f>
        <v>13.98</v>
      </c>
      <c r="T157">
        <f>_xll.ciqfunctions.udf.CIQ("XTRA:XAIX", "IQ_CLOSEPRICE", "2025-01-09", "USD")</f>
        <v>141.34238999999999</v>
      </c>
      <c r="U157">
        <f>_xll.ciqfunctions.udf.CIQ("BIT:WTAI", "IQ_CLOSEPRICE", "2025-01-09", "USD")</f>
        <v>69.857939999999999</v>
      </c>
      <c r="V157">
        <f>_xll.ciqfunctions.udf.CIQ("LSE:AIAG", "IQ_CLOSEPRICE", "2025-01-09", "USD")</f>
        <v>22.008289999999999</v>
      </c>
      <c r="W157">
        <f>_xll.ciqfunctions.udf.CIQ("ASX:RBTZ", "IQ_CLOSEPRICE", "2025-01-09", "USD")</f>
        <v>9.2856299999999994</v>
      </c>
      <c r="X157">
        <f>_xll.ciqfunctions.udf.CIQ("DB:XB0T", "IQ_CLOSEPRICE", "2025-01-09", "USD")</f>
        <v>21.22709</v>
      </c>
    </row>
    <row r="158" spans="1:24" x14ac:dyDescent="0.25">
      <c r="A158" t="s">
        <v>180</v>
      </c>
      <c r="B158">
        <f>_xll.ciqfunctions.udf.CIQ("NasdaqGM:QQQ", "IQ_CLOSEPRICE", "2025-01-08", "USD")</f>
        <v>515.27</v>
      </c>
      <c r="C158">
        <f>_xll.ciqfunctions.udf.CIQ("NasdaqGM:AGIX", "IQ_CLOSEPRICE", "2025-01-08", "USD")</f>
        <v>28.85</v>
      </c>
      <c r="D158">
        <f>_xll.ciqfunctions.udf.CIQ("NasdaqGM:SMH", "IQ_CLOSEPRICE", "2025-01-08", "USD")</f>
        <v>252.23</v>
      </c>
      <c r="E158">
        <f>_xll.ciqfunctions.udf.CIQ("BATS:IGV", "IQ_CLOSEPRICE", "2025-01-08", "USD")</f>
        <v>99.2</v>
      </c>
      <c r="F158">
        <f>_xll.ciqfunctions.udf.CIQ("NasdaqGM:BOTZ", "IQ_CLOSEPRICE", "2025-01-08", "USD")</f>
        <v>32.39</v>
      </c>
      <c r="G158">
        <f>_xll.ciqfunctions.udf.CIQ("NasdaqGM:AIQ", "IQ_CLOSEPRICE", "2025-01-08", "USD")</f>
        <v>38.92</v>
      </c>
      <c r="H158">
        <f>_xll.ciqfunctions.udf.CIQ("ARCA:ARTY", "IQ_CLOSEPRICE", "2025-01-08", "USD")</f>
        <v>38.03</v>
      </c>
      <c r="I158">
        <f>_xll.ciqfunctions.udf.CIQ("NasdaqGM:ROBT", "IQ_CLOSEPRICE", "2025-01-08", "USD")</f>
        <v>45.23</v>
      </c>
      <c r="J158">
        <f>_xll.ciqfunctions.udf.CIQ("ARCA:IGPT", "IQ_CLOSEPRICE", "2025-01-08", "USD")</f>
        <v>46.53</v>
      </c>
      <c r="K158">
        <f>_xll.ciqfunctions.udf.CIQ("BATS:WTAI", "IQ_CLOSEPRICE", "2025-01-08", "USD")</f>
        <v>22.49</v>
      </c>
      <c r="L158">
        <f>_xll.ciqfunctions.udf.CIQ("ARCA:THNQ", "IQ_CLOSEPRICE", "2025-01-08", "USD")</f>
        <v>50.03</v>
      </c>
      <c r="M158">
        <f>_xll.ciqfunctions.udf.CIQ("NasdaqGM:FDTX", "IQ_CLOSEPRICE", "2025-01-08", "USD")</f>
        <v>36.17</v>
      </c>
      <c r="N158">
        <f>_xll.ciqfunctions.udf.CIQ("ARCA:CHAT", "IQ_CLOSEPRICE", "2025-01-08", "USD")</f>
        <v>41.52</v>
      </c>
      <c r="O158">
        <f>_xll.ciqfunctions.udf.CIQ("ARCA:LOUP", "IQ_CLOSEPRICE", "2025-01-08", "USD")</f>
        <v>56.136499999999998</v>
      </c>
      <c r="P158">
        <f>_xll.ciqfunctions.udf.CIQ("ARCA:LRNZ", "IQ_CLOSEPRICE", "2025-01-08", "USD")</f>
        <v>39.896000000000001</v>
      </c>
      <c r="Q158">
        <f>_xll.ciqfunctions.udf.CIQ("ARCA:AIS", "IQ_CLOSEPRICE", "2025-01-08", "USD")</f>
        <v>24.740300000000001</v>
      </c>
      <c r="R158">
        <f>_xll.ciqfunctions.udf.CIQ("NasdaqGM:WISE", "IQ_CLOSEPRICE", "2025-01-08", "USD")</f>
        <v>36.520000000000003</v>
      </c>
      <c r="S158">
        <f>_xll.ciqfunctions.udf.CIQ("LSE:RBOT", "IQ_CLOSEPRICE", "2025-01-08", "USD")</f>
        <v>14.005000000000001</v>
      </c>
      <c r="T158">
        <f>_xll.ciqfunctions.udf.CIQ("XTRA:XAIX", "IQ_CLOSEPRICE", "2025-01-08", "USD")</f>
        <v>141.39957000000001</v>
      </c>
      <c r="U158">
        <f>_xll.ciqfunctions.udf.CIQ("BIT:WTAI", "IQ_CLOSEPRICE", "2025-01-08", "USD")</f>
        <v>69.875299999999996</v>
      </c>
      <c r="V158">
        <f>_xll.ciqfunctions.udf.CIQ("LSE:AIAG", "IQ_CLOSEPRICE", "2025-01-08", "USD")</f>
        <v>21.945589999999999</v>
      </c>
      <c r="W158">
        <f>_xll.ciqfunctions.udf.CIQ("ASX:RBTZ", "IQ_CLOSEPRICE", "2025-01-08", "USD")</f>
        <v>9.3446300000000004</v>
      </c>
      <c r="X158">
        <f>_xll.ciqfunctions.udf.CIQ("DB:XB0T", "IQ_CLOSEPRICE", "2025-01-08", "USD")</f>
        <v>21.27692</v>
      </c>
    </row>
    <row r="159" spans="1:24" x14ac:dyDescent="0.25">
      <c r="A159" t="s">
        <v>181</v>
      </c>
      <c r="B159">
        <f>_xll.ciqfunctions.udf.CIQ("NasdaqGM:QQQ", "IQ_CLOSEPRICE", "2025-01-07", "USD")</f>
        <v>515.17999999999995</v>
      </c>
      <c r="C159">
        <f>_xll.ciqfunctions.udf.CIQ("NasdaqGM:AGIX", "IQ_CLOSEPRICE", "2025-01-07", "USD")</f>
        <v>28.88</v>
      </c>
      <c r="D159">
        <f>_xll.ciqfunctions.udf.CIQ("NasdaqGM:SMH", "IQ_CLOSEPRICE", "2025-01-07", "USD")</f>
        <v>254.04</v>
      </c>
      <c r="E159">
        <f>_xll.ciqfunctions.udf.CIQ("BATS:IGV", "IQ_CLOSEPRICE", "2025-01-07", "USD")</f>
        <v>99.19</v>
      </c>
      <c r="F159">
        <f>_xll.ciqfunctions.udf.CIQ("NasdaqGM:BOTZ", "IQ_CLOSEPRICE", "2025-01-07", "USD")</f>
        <v>32.56</v>
      </c>
      <c r="G159">
        <f>_xll.ciqfunctions.udf.CIQ("NasdaqGM:AIQ", "IQ_CLOSEPRICE", "2025-01-07", "USD")</f>
        <v>38.96</v>
      </c>
      <c r="H159">
        <f>_xll.ciqfunctions.udf.CIQ("ARCA:ARTY", "IQ_CLOSEPRICE", "2025-01-07", "USD")</f>
        <v>38.26</v>
      </c>
      <c r="I159">
        <f>_xll.ciqfunctions.udf.CIQ("NasdaqGM:ROBT", "IQ_CLOSEPRICE", "2025-01-07", "USD")</f>
        <v>45.57</v>
      </c>
      <c r="J159">
        <f>_xll.ciqfunctions.udf.CIQ("ARCA:IGPT", "IQ_CLOSEPRICE", "2025-01-07", "USD")</f>
        <v>46.75</v>
      </c>
      <c r="K159">
        <f>_xll.ciqfunctions.udf.CIQ("BATS:WTAI", "IQ_CLOSEPRICE", "2025-01-07", "USD")</f>
        <v>22.69</v>
      </c>
      <c r="L159">
        <f>_xll.ciqfunctions.udf.CIQ("ARCA:THNQ", "IQ_CLOSEPRICE", "2025-01-07", "USD")</f>
        <v>50</v>
      </c>
      <c r="M159">
        <f>_xll.ciqfunctions.udf.CIQ("NasdaqGM:FDTX", "IQ_CLOSEPRICE", "2025-01-07", "USD")</f>
        <v>36.1</v>
      </c>
      <c r="N159">
        <f>_xll.ciqfunctions.udf.CIQ("ARCA:CHAT", "IQ_CLOSEPRICE", "2025-01-07", "USD")</f>
        <v>41.78</v>
      </c>
      <c r="O159">
        <f>_xll.ciqfunctions.udf.CIQ("ARCA:LOUP", "IQ_CLOSEPRICE", "2025-01-07", "USD")</f>
        <v>56.2136</v>
      </c>
      <c r="P159">
        <f>_xll.ciqfunctions.udf.CIQ("ARCA:LRNZ", "IQ_CLOSEPRICE", "2025-01-07", "USD")</f>
        <v>39.9101</v>
      </c>
      <c r="Q159">
        <f>_xll.ciqfunctions.udf.CIQ("ARCA:AIS", "IQ_CLOSEPRICE", "2025-01-07", "USD")</f>
        <v>25.023800000000001</v>
      </c>
      <c r="R159">
        <f>_xll.ciqfunctions.udf.CIQ("NasdaqGM:WISE", "IQ_CLOSEPRICE", "2025-01-07", "USD")</f>
        <v>38.020000000000003</v>
      </c>
      <c r="S159">
        <f>_xll.ciqfunctions.udf.CIQ("LSE:RBOT", "IQ_CLOSEPRICE", "2025-01-07", "USD")</f>
        <v>14.145</v>
      </c>
      <c r="T159">
        <f>_xll.ciqfunctions.udf.CIQ("XTRA:XAIX", "IQ_CLOSEPRICE", "2025-01-07", "USD")</f>
        <v>142.90452999999999</v>
      </c>
      <c r="U159">
        <f>_xll.ciqfunctions.udf.CIQ("BIT:WTAI", "IQ_CLOSEPRICE", "2025-01-07", "USD")</f>
        <v>71.711410000000001</v>
      </c>
      <c r="V159">
        <f>_xll.ciqfunctions.udf.CIQ("LSE:AIAG", "IQ_CLOSEPRICE", "2025-01-07", "USD")</f>
        <v>22.26136</v>
      </c>
      <c r="W159">
        <f>_xll.ciqfunctions.udf.CIQ("ASX:RBTZ", "IQ_CLOSEPRICE", "2025-01-07", "USD")</f>
        <v>9.5573999999999995</v>
      </c>
      <c r="X159">
        <f>_xll.ciqfunctions.udf.CIQ("DB:XB0T", "IQ_CLOSEPRICE", "2025-01-07", "USD")</f>
        <v>21.789159999999999</v>
      </c>
    </row>
    <row r="160" spans="1:24" x14ac:dyDescent="0.25">
      <c r="A160" t="s">
        <v>182</v>
      </c>
      <c r="B160">
        <f>_xll.ciqfunctions.udf.CIQ("NasdaqGM:QQQ", "IQ_CLOSEPRICE", "2025-01-06", "USD")</f>
        <v>524.54</v>
      </c>
      <c r="C160">
        <f>_xll.ciqfunctions.udf.CIQ("NasdaqGM:AGIX", "IQ_CLOSEPRICE", "2025-01-06", "USD")</f>
        <v>29.57</v>
      </c>
      <c r="D160">
        <f>_xll.ciqfunctions.udf.CIQ("NasdaqGM:SMH", "IQ_CLOSEPRICE", "2025-01-06", "USD")</f>
        <v>260.23</v>
      </c>
      <c r="E160">
        <f>_xll.ciqfunctions.udf.CIQ("BATS:IGV", "IQ_CLOSEPRICE", "2025-01-06", "USD")</f>
        <v>101.68</v>
      </c>
      <c r="F160">
        <f>_xll.ciqfunctions.udf.CIQ("NasdaqGM:BOTZ", "IQ_CLOSEPRICE", "2025-01-06", "USD")</f>
        <v>33.18</v>
      </c>
      <c r="G160">
        <f>_xll.ciqfunctions.udf.CIQ("NasdaqGM:AIQ", "IQ_CLOSEPRICE", "2025-01-06", "USD")</f>
        <v>39.590000000000003</v>
      </c>
      <c r="H160">
        <f>_xll.ciqfunctions.udf.CIQ("ARCA:ARTY", "IQ_CLOSEPRICE", "2025-01-06", "USD")</f>
        <v>39.090000000000003</v>
      </c>
      <c r="I160">
        <f>_xll.ciqfunctions.udf.CIQ("NasdaqGM:ROBT", "IQ_CLOSEPRICE", "2025-01-06", "USD")</f>
        <v>46.39</v>
      </c>
      <c r="J160">
        <f>_xll.ciqfunctions.udf.CIQ("ARCA:IGPT", "IQ_CLOSEPRICE", "2025-01-06", "USD")</f>
        <v>47.54</v>
      </c>
      <c r="K160">
        <f>_xll.ciqfunctions.udf.CIQ("BATS:WTAI", "IQ_CLOSEPRICE", "2025-01-06", "USD")</f>
        <v>23.22</v>
      </c>
      <c r="L160">
        <f>_xll.ciqfunctions.udf.CIQ("ARCA:THNQ", "IQ_CLOSEPRICE", "2025-01-06", "USD")</f>
        <v>50.94</v>
      </c>
      <c r="M160">
        <f>_xll.ciqfunctions.udf.CIQ("NasdaqGM:FDTX", "IQ_CLOSEPRICE", "2025-01-06", "USD")</f>
        <v>36.92</v>
      </c>
      <c r="N160">
        <f>_xll.ciqfunctions.udf.CIQ("ARCA:CHAT", "IQ_CLOSEPRICE", "2025-01-06", "USD")</f>
        <v>42.76</v>
      </c>
      <c r="O160">
        <f>_xll.ciqfunctions.udf.CIQ("ARCA:LOUP", "IQ_CLOSEPRICE", "2025-01-06", "USD")</f>
        <v>57.546100000000003</v>
      </c>
      <c r="P160">
        <f>_xll.ciqfunctions.udf.CIQ("ARCA:LRNZ", "IQ_CLOSEPRICE", "2025-01-06", "USD")</f>
        <v>40.960999999999999</v>
      </c>
      <c r="Q160">
        <f>_xll.ciqfunctions.udf.CIQ("ARCA:AIS", "IQ_CLOSEPRICE", "2025-01-06", "USD")</f>
        <v>25.316600000000001</v>
      </c>
      <c r="R160">
        <f>_xll.ciqfunctions.udf.CIQ("NasdaqGM:WISE", "IQ_CLOSEPRICE", "2025-01-06", "USD")</f>
        <v>39.54</v>
      </c>
      <c r="S160">
        <f>_xll.ciqfunctions.udf.CIQ("LSE:RBOT", "IQ_CLOSEPRICE", "2025-01-06", "USD")</f>
        <v>14.27</v>
      </c>
      <c r="T160">
        <f>_xll.ciqfunctions.udf.CIQ("XTRA:XAIX", "IQ_CLOSEPRICE", "2025-01-06", "USD")</f>
        <v>144.70075</v>
      </c>
      <c r="U160">
        <f>_xll.ciqfunctions.udf.CIQ("BIT:WTAI", "IQ_CLOSEPRICE", "2025-01-06", "USD")</f>
        <v>73.046549999999996</v>
      </c>
      <c r="V160">
        <f>_xll.ciqfunctions.udf.CIQ("LSE:AIAG", "IQ_CLOSEPRICE", "2025-01-06", "USD")</f>
        <v>22.5335</v>
      </c>
      <c r="W160">
        <f>_xll.ciqfunctions.udf.CIQ("ASX:RBTZ", "IQ_CLOSEPRICE", "2025-01-06", "USD")</f>
        <v>9.4777000000000005</v>
      </c>
      <c r="X160">
        <f>_xll.ciqfunctions.udf.CIQ("DB:XB0T", "IQ_CLOSEPRICE", "2025-01-06", "USD")</f>
        <v>21.700959999999998</v>
      </c>
    </row>
    <row r="161" spans="1:24" x14ac:dyDescent="0.25">
      <c r="A161" t="s">
        <v>183</v>
      </c>
      <c r="B161">
        <f>_xll.ciqfunctions.udf.CIQ("NasdaqGM:QQQ", "IQ_CLOSEPRICE", "2025-01-03", "USD")</f>
        <v>518.58000000000004</v>
      </c>
      <c r="C161">
        <f>_xll.ciqfunctions.udf.CIQ("NasdaqGM:AGIX", "IQ_CLOSEPRICE", "2025-01-03", "USD")</f>
        <v>29.09</v>
      </c>
      <c r="D161">
        <f>_xll.ciqfunctions.udf.CIQ("NasdaqGM:SMH", "IQ_CLOSEPRICE", "2025-01-03", "USD")</f>
        <v>251.88</v>
      </c>
      <c r="E161">
        <f>_xll.ciqfunctions.udf.CIQ("BATS:IGV", "IQ_CLOSEPRICE", "2025-01-03", "USD")</f>
        <v>101.47</v>
      </c>
      <c r="F161">
        <f>_xll.ciqfunctions.udf.CIQ("NasdaqGM:BOTZ", "IQ_CLOSEPRICE", "2025-01-03", "USD")</f>
        <v>32.950000000000003</v>
      </c>
      <c r="G161">
        <f>_xll.ciqfunctions.udf.CIQ("NasdaqGM:AIQ", "IQ_CLOSEPRICE", "2025-01-03", "USD")</f>
        <v>39.130000000000003</v>
      </c>
      <c r="H161">
        <f>_xll.ciqfunctions.udf.CIQ("ARCA:ARTY", "IQ_CLOSEPRICE", "2025-01-03", "USD")</f>
        <v>38.159999999999997</v>
      </c>
      <c r="I161">
        <f>_xll.ciqfunctions.udf.CIQ("NasdaqGM:ROBT", "IQ_CLOSEPRICE", "2025-01-03", "USD")</f>
        <v>45.83</v>
      </c>
      <c r="J161">
        <f>_xll.ciqfunctions.udf.CIQ("ARCA:IGPT", "IQ_CLOSEPRICE", "2025-01-03", "USD")</f>
        <v>46.6</v>
      </c>
      <c r="K161">
        <f>_xll.ciqfunctions.udf.CIQ("BATS:WTAI", "IQ_CLOSEPRICE", "2025-01-03", "USD")</f>
        <v>22.76</v>
      </c>
      <c r="L161">
        <f>_xll.ciqfunctions.udf.CIQ("ARCA:THNQ", "IQ_CLOSEPRICE", "2025-01-03", "USD")</f>
        <v>50.17</v>
      </c>
      <c r="M161">
        <f>_xll.ciqfunctions.udf.CIQ("NasdaqGM:FDTX", "IQ_CLOSEPRICE", "2025-01-03", "USD")</f>
        <v>36.130000000000003</v>
      </c>
      <c r="N161">
        <f>_xll.ciqfunctions.udf.CIQ("ARCA:CHAT", "IQ_CLOSEPRICE", "2025-01-03", "USD")</f>
        <v>41.85</v>
      </c>
      <c r="O161">
        <f>_xll.ciqfunctions.udf.CIQ("ARCA:LOUP", "IQ_CLOSEPRICE", "2025-01-03", "USD")</f>
        <v>55.985999999999997</v>
      </c>
      <c r="P161">
        <f>_xll.ciqfunctions.udf.CIQ("ARCA:LRNZ", "IQ_CLOSEPRICE", "2025-01-03", "USD")</f>
        <v>40.598399999999998</v>
      </c>
      <c r="Q161">
        <f>_xll.ciqfunctions.udf.CIQ("ARCA:AIS", "IQ_CLOSEPRICE", "2025-01-03", "USD")</f>
        <v>24.604500000000002</v>
      </c>
      <c r="R161">
        <f>_xll.ciqfunctions.udf.CIQ("NasdaqGM:WISE", "IQ_CLOSEPRICE", "2025-01-03", "USD")</f>
        <v>39.619999999999997</v>
      </c>
      <c r="S161">
        <f>_xll.ciqfunctions.udf.CIQ("LSE:RBOT", "IQ_CLOSEPRICE", "2025-01-03", "USD")</f>
        <v>13.87</v>
      </c>
      <c r="T161">
        <f>_xll.ciqfunctions.udf.CIQ("XTRA:XAIX", "IQ_CLOSEPRICE", "2025-01-03", "USD")</f>
        <v>141.58090000000001</v>
      </c>
      <c r="U161">
        <f>_xll.ciqfunctions.udf.CIQ("BIT:WTAI", "IQ_CLOSEPRICE", "2025-01-03", "USD")</f>
        <v>70.553730000000002</v>
      </c>
      <c r="V161">
        <f>_xll.ciqfunctions.udf.CIQ("LSE:AIAG", "IQ_CLOSEPRICE", "2025-01-03", "USD")</f>
        <v>21.899319999999999</v>
      </c>
      <c r="W161">
        <f>_xll.ciqfunctions.udf.CIQ("ASX:RBTZ", "IQ_CLOSEPRICE", "2025-01-03", "USD")</f>
        <v>9.3272899999999996</v>
      </c>
      <c r="X161">
        <f>_xll.ciqfunctions.udf.CIQ("DB:XB0T", "IQ_CLOSEPRICE", "2025-01-03", "USD")</f>
        <v>21.279330000000002</v>
      </c>
    </row>
    <row r="162" spans="1:24" x14ac:dyDescent="0.25">
      <c r="A162" t="s">
        <v>184</v>
      </c>
      <c r="B162">
        <f>_xll.ciqfunctions.udf.CIQ("NasdaqGM:QQQ", "IQ_CLOSEPRICE", "2025-01-02", "USD")</f>
        <v>510.23</v>
      </c>
      <c r="C162">
        <f>_xll.ciqfunctions.udf.CIQ("NasdaqGM:AGIX", "IQ_CLOSEPRICE", "2025-01-02", "USD")</f>
        <v>28.4</v>
      </c>
      <c r="D162">
        <f>_xll.ciqfunctions.udf.CIQ("NasdaqGM:SMH", "IQ_CLOSEPRICE", "2025-01-02", "USD")</f>
        <v>244.79</v>
      </c>
      <c r="E162">
        <f>_xll.ciqfunctions.udf.CIQ("BATS:IGV", "IQ_CLOSEPRICE", "2025-01-02", "USD")</f>
        <v>99.91</v>
      </c>
      <c r="F162">
        <f>_xll.ciqfunctions.udf.CIQ("NasdaqGM:BOTZ", "IQ_CLOSEPRICE", "2025-01-02", "USD")</f>
        <v>32.33</v>
      </c>
      <c r="G162">
        <f>_xll.ciqfunctions.udf.CIQ("NasdaqGM:AIQ", "IQ_CLOSEPRICE", "2025-01-02", "USD")</f>
        <v>38.46</v>
      </c>
      <c r="H162">
        <f>_xll.ciqfunctions.udf.CIQ("ARCA:ARTY", "IQ_CLOSEPRICE", "2025-01-02", "USD")</f>
        <v>37.22</v>
      </c>
      <c r="I162">
        <f>_xll.ciqfunctions.udf.CIQ("NasdaqGM:ROBT", "IQ_CLOSEPRICE", "2025-01-02", "USD")</f>
        <v>44.97</v>
      </c>
      <c r="J162">
        <f>_xll.ciqfunctions.udf.CIQ("ARCA:IGPT", "IQ_CLOSEPRICE", "2025-01-02", "USD")</f>
        <v>45.59</v>
      </c>
      <c r="K162">
        <f>_xll.ciqfunctions.udf.CIQ("BATS:WTAI", "IQ_CLOSEPRICE", "2025-01-02", "USD")</f>
        <v>22.12</v>
      </c>
      <c r="L162">
        <f>_xll.ciqfunctions.udf.CIQ("ARCA:THNQ", "IQ_CLOSEPRICE", "2025-01-02", "USD")</f>
        <v>49.06</v>
      </c>
      <c r="M162">
        <f>_xll.ciqfunctions.udf.CIQ("NasdaqGM:FDTX", "IQ_CLOSEPRICE", "2025-01-02", "USD")</f>
        <v>35.57</v>
      </c>
      <c r="N162">
        <f>_xll.ciqfunctions.udf.CIQ("ARCA:CHAT", "IQ_CLOSEPRICE", "2025-01-02", "USD")</f>
        <v>40.729999999999997</v>
      </c>
      <c r="O162">
        <f>_xll.ciqfunctions.udf.CIQ("ARCA:LOUP", "IQ_CLOSEPRICE", "2025-01-02", "USD")</f>
        <v>54.1252</v>
      </c>
      <c r="P162">
        <f>_xll.ciqfunctions.udf.CIQ("ARCA:LRNZ", "IQ_CLOSEPRICE", "2025-01-02", "USD")</f>
        <v>39.619900000000001</v>
      </c>
      <c r="Q162">
        <f>_xll.ciqfunctions.udf.CIQ("ARCA:AIS", "IQ_CLOSEPRICE", "2025-01-02", "USD")</f>
        <v>23.915800000000001</v>
      </c>
      <c r="R162">
        <f>_xll.ciqfunctions.udf.CIQ("NasdaqGM:WISE", "IQ_CLOSEPRICE", "2025-01-02", "USD")</f>
        <v>38.630000000000003</v>
      </c>
      <c r="S162">
        <f>_xll.ciqfunctions.udf.CIQ("LSE:RBOT", "IQ_CLOSEPRICE", "2025-01-02", "USD")</f>
        <v>13.82</v>
      </c>
      <c r="T162">
        <f>_xll.ciqfunctions.udf.CIQ("XTRA:XAIX", "IQ_CLOSEPRICE", "2025-01-02", "USD")</f>
        <v>140.78556</v>
      </c>
      <c r="U162">
        <f>_xll.ciqfunctions.udf.CIQ("BIT:WTAI", "IQ_CLOSEPRICE", "2025-01-02", "USD")</f>
        <v>69.726179999999999</v>
      </c>
      <c r="V162">
        <f>_xll.ciqfunctions.udf.CIQ("LSE:AIAG", "IQ_CLOSEPRICE", "2025-01-02", "USD")</f>
        <v>21.713419999999999</v>
      </c>
      <c r="W162">
        <f>_xll.ciqfunctions.udf.CIQ("ASX:RBTZ", "IQ_CLOSEPRICE", "2025-01-02", "USD")</f>
        <v>9.2972800000000007</v>
      </c>
      <c r="X162">
        <f>_xll.ciqfunctions.udf.CIQ("DB:XB0T", "IQ_CLOSEPRICE", "2025-01-02", "USD")</f>
        <v>21.023479999999999</v>
      </c>
    </row>
    <row r="163" spans="1:24" x14ac:dyDescent="0.25">
      <c r="A163" t="s">
        <v>185</v>
      </c>
      <c r="B163">
        <f>_xll.ciqfunctions.udf.CIQ("NasdaqGM:QQQ", "IQ_CLOSEPRICE", "2025-01-01", "USD")</f>
        <v>0</v>
      </c>
      <c r="C163">
        <f>_xll.ciqfunctions.udf.CIQ("NasdaqGM:AGIX", "IQ_CLOSEPRICE", "2025-01-01", "USD")</f>
        <v>0</v>
      </c>
      <c r="D163">
        <f>_xll.ciqfunctions.udf.CIQ("NasdaqGM:SMH", "IQ_CLOSEPRICE", "2025-01-01", "USD")</f>
        <v>0</v>
      </c>
      <c r="E163">
        <f>_xll.ciqfunctions.udf.CIQ("BATS:IGV", "IQ_CLOSEPRICE", "2025-01-01", "USD")</f>
        <v>0</v>
      </c>
      <c r="F163">
        <f>_xll.ciqfunctions.udf.CIQ("NasdaqGM:BOTZ", "IQ_CLOSEPRICE", "2025-01-01", "USD")</f>
        <v>0</v>
      </c>
      <c r="G163">
        <f>_xll.ciqfunctions.udf.CIQ("NasdaqGM:AIQ", "IQ_CLOSEPRICE", "2025-01-01", "USD")</f>
        <v>0</v>
      </c>
      <c r="H163">
        <f>_xll.ciqfunctions.udf.CIQ("ARCA:ARTY", "IQ_CLOSEPRICE", "2025-01-01", "USD")</f>
        <v>0</v>
      </c>
      <c r="I163">
        <f>_xll.ciqfunctions.udf.CIQ("NasdaqGM:ROBT", "IQ_CLOSEPRICE", "2025-01-01", "USD")</f>
        <v>0</v>
      </c>
      <c r="J163">
        <f>_xll.ciqfunctions.udf.CIQ("ARCA:IGPT", "IQ_CLOSEPRICE", "2025-01-01", "USD")</f>
        <v>0</v>
      </c>
      <c r="K163">
        <f>_xll.ciqfunctions.udf.CIQ("BATS:WTAI", "IQ_CLOSEPRICE", "2025-01-01", "USD")</f>
        <v>0</v>
      </c>
      <c r="L163">
        <f>_xll.ciqfunctions.udf.CIQ("ARCA:THNQ", "IQ_CLOSEPRICE", "2025-01-01", "USD")</f>
        <v>0</v>
      </c>
      <c r="M163">
        <f>_xll.ciqfunctions.udf.CIQ("NasdaqGM:FDTX", "IQ_CLOSEPRICE", "2025-01-01", "USD")</f>
        <v>0</v>
      </c>
      <c r="N163">
        <f>_xll.ciqfunctions.udf.CIQ("ARCA:CHAT", "IQ_CLOSEPRICE", "2025-01-01", "USD")</f>
        <v>0</v>
      </c>
      <c r="O163">
        <f>_xll.ciqfunctions.udf.CIQ("ARCA:LOUP", "IQ_CLOSEPRICE", "2025-01-01", "USD")</f>
        <v>0</v>
      </c>
      <c r="P163">
        <f>_xll.ciqfunctions.udf.CIQ("ARCA:LRNZ", "IQ_CLOSEPRICE", "2025-01-01", "USD")</f>
        <v>0</v>
      </c>
      <c r="Q163">
        <f>_xll.ciqfunctions.udf.CIQ("ARCA:AIS", "IQ_CLOSEPRICE", "2025-01-01", "USD")</f>
        <v>0</v>
      </c>
      <c r="R163">
        <f>_xll.ciqfunctions.udf.CIQ("NasdaqGM:WISE", "IQ_CLOSEPRICE", "2025-01-01", "USD")</f>
        <v>0</v>
      </c>
      <c r="S163">
        <f>_xll.ciqfunctions.udf.CIQ("LSE:RBOT", "IQ_CLOSEPRICE", "2025-01-01", "USD")</f>
        <v>0</v>
      </c>
      <c r="T163">
        <f>_xll.ciqfunctions.udf.CIQ("XTRA:XAIX", "IQ_CLOSEPRICE", "2025-01-01", "USD")</f>
        <v>0</v>
      </c>
      <c r="U163">
        <f>_xll.ciqfunctions.udf.CIQ("BIT:WTAI", "IQ_CLOSEPRICE", "2025-01-01", "USD")</f>
        <v>0</v>
      </c>
      <c r="V163">
        <f>_xll.ciqfunctions.udf.CIQ("LSE:AIAG", "IQ_CLOSEPRICE", "2025-01-01", "USD")</f>
        <v>0</v>
      </c>
      <c r="W163">
        <f>_xll.ciqfunctions.udf.CIQ("ASX:RBTZ", "IQ_CLOSEPRICE", "2025-01-01", "USD")</f>
        <v>0</v>
      </c>
      <c r="X163">
        <f>_xll.ciqfunctions.udf.CIQ("DB:XB0T", "IQ_CLOSEPRICE", "2025-01-01", "USD")</f>
        <v>0</v>
      </c>
    </row>
    <row r="164" spans="1:24" x14ac:dyDescent="0.25">
      <c r="A164" t="s">
        <v>186</v>
      </c>
      <c r="B164">
        <f>_xll.ciqfunctions.udf.CIQ("NasdaqGM:QQQ", "IQ_CLOSEPRICE", "2024-12-31", "USD")</f>
        <v>511.23</v>
      </c>
      <c r="C164">
        <f>_xll.ciqfunctions.udf.CIQ("NasdaqGM:AGIX", "IQ_CLOSEPRICE", "2024-12-31", "USD")</f>
        <v>28.43</v>
      </c>
      <c r="D164">
        <f>_xll.ciqfunctions.udf.CIQ("NasdaqGM:SMH", "IQ_CLOSEPRICE", "2024-12-31", "USD")</f>
        <v>242.17</v>
      </c>
      <c r="E164">
        <f>_xll.ciqfunctions.udf.CIQ("BATS:IGV", "IQ_CLOSEPRICE", "2024-12-31", "USD")</f>
        <v>100.12</v>
      </c>
      <c r="F164">
        <f>_xll.ciqfunctions.udf.CIQ("NasdaqGM:BOTZ", "IQ_CLOSEPRICE", "2024-12-31", "USD")</f>
        <v>31.95</v>
      </c>
      <c r="G164">
        <f>_xll.ciqfunctions.udf.CIQ("NasdaqGM:AIQ", "IQ_CLOSEPRICE", "2024-12-31", "USD")</f>
        <v>38.64</v>
      </c>
      <c r="H164">
        <f>_xll.ciqfunctions.udf.CIQ("ARCA:ARTY", "IQ_CLOSEPRICE", "2024-12-31", "USD")</f>
        <v>37.07</v>
      </c>
      <c r="I164">
        <f>_xll.ciqfunctions.udf.CIQ("NasdaqGM:ROBT", "IQ_CLOSEPRICE", "2024-12-31", "USD")</f>
        <v>45.04</v>
      </c>
      <c r="J164">
        <f>_xll.ciqfunctions.udf.CIQ("ARCA:IGPT", "IQ_CLOSEPRICE", "2024-12-31", "USD")</f>
        <v>45.23</v>
      </c>
      <c r="K164">
        <f>_xll.ciqfunctions.udf.CIQ("BATS:WTAI", "IQ_CLOSEPRICE", "2024-12-31", "USD")</f>
        <v>22</v>
      </c>
      <c r="L164">
        <f>_xll.ciqfunctions.udf.CIQ("ARCA:THNQ", "IQ_CLOSEPRICE", "2024-12-31", "USD")</f>
        <v>49</v>
      </c>
      <c r="M164">
        <f>_xll.ciqfunctions.udf.CIQ("NasdaqGM:FDTX", "IQ_CLOSEPRICE", "2024-12-31", "USD")</f>
        <v>35.35</v>
      </c>
      <c r="N164">
        <f>_xll.ciqfunctions.udf.CIQ("ARCA:CHAT", "IQ_CLOSEPRICE", "2024-12-31", "USD")</f>
        <v>40.46</v>
      </c>
      <c r="O164">
        <f>_xll.ciqfunctions.udf.CIQ("ARCA:LOUP", "IQ_CLOSEPRICE", "2024-12-31", "USD")</f>
        <v>53.342799999999997</v>
      </c>
      <c r="P164">
        <f>_xll.ciqfunctions.udf.CIQ("ARCA:LRNZ", "IQ_CLOSEPRICE", "2024-12-31", "USD")</f>
        <v>38.978400000000001</v>
      </c>
      <c r="Q164">
        <f>_xll.ciqfunctions.udf.CIQ("ARCA:AIS", "IQ_CLOSEPRICE", "2024-12-31", "USD")</f>
        <v>23.852699999999999</v>
      </c>
      <c r="R164">
        <f>_xll.ciqfunctions.udf.CIQ("NasdaqGM:WISE", "IQ_CLOSEPRICE", "2024-12-31", "USD")</f>
        <v>38.369999999999997</v>
      </c>
      <c r="S164">
        <f>_xll.ciqfunctions.udf.CIQ("LSE:RBOT", "IQ_CLOSEPRICE", "2024-12-31", "USD")</f>
        <v>13.875</v>
      </c>
      <c r="T164">
        <f>_xll.ciqfunctions.udf.CIQ("XTRA:XAIX", "IQ_CLOSEPRICE", "2024-12-31", "USD")</f>
        <v>0</v>
      </c>
      <c r="U164">
        <f>_xll.ciqfunctions.udf.CIQ("BIT:WTAI", "IQ_CLOSEPRICE", "2024-12-31", "USD")</f>
        <v>0</v>
      </c>
      <c r="V164">
        <f>_xll.ciqfunctions.udf.CIQ("LSE:AIAG", "IQ_CLOSEPRICE", "2024-12-31", "USD")</f>
        <v>21.69586</v>
      </c>
      <c r="W164">
        <f>_xll.ciqfunctions.udf.CIQ("ASX:RBTZ", "IQ_CLOSEPRICE", "2024-12-31", "USD")</f>
        <v>9.2456200000000006</v>
      </c>
      <c r="X164">
        <f>_xll.ciqfunctions.udf.CIQ("DB:XB0T", "IQ_CLOSEPRICE", "2024-12-31", "USD")</f>
        <v>0</v>
      </c>
    </row>
    <row r="165" spans="1:24" x14ac:dyDescent="0.25">
      <c r="A165" t="s">
        <v>187</v>
      </c>
      <c r="B165">
        <f>_xll.ciqfunctions.udf.CIQ("NasdaqGM:QQQ", "IQ_CLOSEPRICE", "2024-12-30", "USD")</f>
        <v>515.61</v>
      </c>
      <c r="C165">
        <f>_xll.ciqfunctions.udf.CIQ("NasdaqGM:AGIX", "IQ_CLOSEPRICE", "2024-12-30", "USD")</f>
        <v>28.71</v>
      </c>
      <c r="D165">
        <f>_xll.ciqfunctions.udf.CIQ("NasdaqGM:SMH", "IQ_CLOSEPRICE", "2024-12-30", "USD")</f>
        <v>244.66</v>
      </c>
      <c r="E165">
        <f>_xll.ciqfunctions.udf.CIQ("BATS:IGV", "IQ_CLOSEPRICE", "2024-12-30", "USD")</f>
        <v>100.94</v>
      </c>
      <c r="F165">
        <f>_xll.ciqfunctions.udf.CIQ("NasdaqGM:BOTZ", "IQ_CLOSEPRICE", "2024-12-30", "USD")</f>
        <v>32.22</v>
      </c>
      <c r="G165">
        <f>_xll.ciqfunctions.udf.CIQ("NasdaqGM:AIQ", "IQ_CLOSEPRICE", "2024-12-30", "USD")</f>
        <v>38.880000000000003</v>
      </c>
      <c r="H165">
        <f>_xll.ciqfunctions.udf.CIQ("ARCA:ARTY", "IQ_CLOSEPRICE", "2024-12-30", "USD")</f>
        <v>37.340000000000003</v>
      </c>
      <c r="I165">
        <f>_xll.ciqfunctions.udf.CIQ("NasdaqGM:ROBT", "IQ_CLOSEPRICE", "2024-12-30", "USD")</f>
        <v>45.15</v>
      </c>
      <c r="J165">
        <f>_xll.ciqfunctions.udf.CIQ("ARCA:IGPT", "IQ_CLOSEPRICE", "2024-12-30", "USD")</f>
        <v>45.53</v>
      </c>
      <c r="K165">
        <f>_xll.ciqfunctions.udf.CIQ("BATS:WTAI", "IQ_CLOSEPRICE", "2024-12-30", "USD")</f>
        <v>22.16</v>
      </c>
      <c r="L165">
        <f>_xll.ciqfunctions.udf.CIQ("ARCA:THNQ", "IQ_CLOSEPRICE", "2024-12-30", "USD")</f>
        <v>49.209899999999998</v>
      </c>
      <c r="M165">
        <f>_xll.ciqfunctions.udf.CIQ("NasdaqGM:FDTX", "IQ_CLOSEPRICE", "2024-12-30", "USD")</f>
        <v>35.779600000000002</v>
      </c>
      <c r="N165">
        <f>_xll.ciqfunctions.udf.CIQ("ARCA:CHAT", "IQ_CLOSEPRICE", "2024-12-30", "USD")</f>
        <v>40.83</v>
      </c>
      <c r="O165">
        <f>_xll.ciqfunctions.udf.CIQ("ARCA:LOUP", "IQ_CLOSEPRICE", "2024-12-30", "USD")</f>
        <v>53.86</v>
      </c>
      <c r="P165">
        <f>_xll.ciqfunctions.udf.CIQ("ARCA:LRNZ", "IQ_CLOSEPRICE", "2024-12-30", "USD")</f>
        <v>39.375799999999998</v>
      </c>
      <c r="Q165">
        <f>_xll.ciqfunctions.udf.CIQ("ARCA:AIS", "IQ_CLOSEPRICE", "2024-12-30", "USD")</f>
        <v>24.170100000000001</v>
      </c>
      <c r="R165">
        <f>_xll.ciqfunctions.udf.CIQ("NasdaqGM:WISE", "IQ_CLOSEPRICE", "2024-12-30", "USD")</f>
        <v>39.61</v>
      </c>
      <c r="S165">
        <f>_xll.ciqfunctions.udf.CIQ("LSE:RBOT", "IQ_CLOSEPRICE", "2024-12-30", "USD")</f>
        <v>13.805</v>
      </c>
      <c r="T165">
        <f>_xll.ciqfunctions.udf.CIQ("XTRA:XAIX", "IQ_CLOSEPRICE", "2024-12-30", "USD")</f>
        <v>140.0498</v>
      </c>
      <c r="U165">
        <f>_xll.ciqfunctions.udf.CIQ("BIT:WTAI", "IQ_CLOSEPRICE", "2024-12-30", "USD")</f>
        <v>69.641000000000005</v>
      </c>
      <c r="V165">
        <f>_xll.ciqfunctions.udf.CIQ("LSE:AIAG", "IQ_CLOSEPRICE", "2024-12-30", "USD")</f>
        <v>21.564699999999998</v>
      </c>
      <c r="W165">
        <f>_xll.ciqfunctions.udf.CIQ("ASX:RBTZ", "IQ_CLOSEPRICE", "2024-12-30", "USD")</f>
        <v>9.3406300000000009</v>
      </c>
      <c r="X165">
        <f>_xll.ciqfunctions.udf.CIQ("DB:XB0T", "IQ_CLOSEPRICE", "2024-12-30", "USD")</f>
        <v>21.197340000000001</v>
      </c>
    </row>
    <row r="166" spans="1:24" x14ac:dyDescent="0.25">
      <c r="A166" t="s">
        <v>188</v>
      </c>
      <c r="B166">
        <f>_xll.ciqfunctions.udf.CIQ("NasdaqGM:QQQ", "IQ_CLOSEPRICE", "2024-12-27", "USD")</f>
        <v>522.55999999999995</v>
      </c>
      <c r="C166">
        <f>_xll.ciqfunctions.udf.CIQ("NasdaqGM:AGIX", "IQ_CLOSEPRICE", "2024-12-27", "USD")</f>
        <v>29.13</v>
      </c>
      <c r="D166">
        <f>_xll.ciqfunctions.udf.CIQ("NasdaqGM:SMH", "IQ_CLOSEPRICE", "2024-12-27", "USD")</f>
        <v>248.4</v>
      </c>
      <c r="E166">
        <f>_xll.ciqfunctions.udf.CIQ("BATS:IGV", "IQ_CLOSEPRICE", "2024-12-27", "USD")</f>
        <v>102.28</v>
      </c>
      <c r="F166">
        <f>_xll.ciqfunctions.udf.CIQ("NasdaqGM:BOTZ", "IQ_CLOSEPRICE", "2024-12-27", "USD")</f>
        <v>32.520000000000003</v>
      </c>
      <c r="G166">
        <f>_xll.ciqfunctions.udf.CIQ("NasdaqGM:AIQ", "IQ_CLOSEPRICE", "2024-12-27", "USD")</f>
        <v>39.409999999999997</v>
      </c>
      <c r="H166">
        <f>_xll.ciqfunctions.udf.CIQ("ARCA:ARTY", "IQ_CLOSEPRICE", "2024-12-27", "USD")</f>
        <v>37.89</v>
      </c>
      <c r="I166">
        <f>_xll.ciqfunctions.udf.CIQ("NasdaqGM:ROBT", "IQ_CLOSEPRICE", "2024-12-27", "USD")</f>
        <v>45.74</v>
      </c>
      <c r="J166">
        <f>_xll.ciqfunctions.udf.CIQ("ARCA:IGPT", "IQ_CLOSEPRICE", "2024-12-27", "USD")</f>
        <v>46.26</v>
      </c>
      <c r="K166">
        <f>_xll.ciqfunctions.udf.CIQ("BATS:WTAI", "IQ_CLOSEPRICE", "2024-12-27", "USD")</f>
        <v>22.58</v>
      </c>
      <c r="L166">
        <f>_xll.ciqfunctions.udf.CIQ("ARCA:THNQ", "IQ_CLOSEPRICE", "2024-12-27", "USD")</f>
        <v>49.873899999999999</v>
      </c>
      <c r="M166">
        <f>_xll.ciqfunctions.udf.CIQ("NasdaqGM:FDTX", "IQ_CLOSEPRICE", "2024-12-27", "USD")</f>
        <v>36.11</v>
      </c>
      <c r="N166">
        <f>_xll.ciqfunctions.udf.CIQ("ARCA:CHAT", "IQ_CLOSEPRICE", "2024-12-27", "USD")</f>
        <v>41.4</v>
      </c>
      <c r="O166">
        <f>_xll.ciqfunctions.udf.CIQ("ARCA:LOUP", "IQ_CLOSEPRICE", "2024-12-27", "USD")</f>
        <v>54.7378</v>
      </c>
      <c r="P166">
        <f>_xll.ciqfunctions.udf.CIQ("ARCA:LRNZ", "IQ_CLOSEPRICE", "2024-12-27", "USD")</f>
        <v>39.92</v>
      </c>
      <c r="Q166">
        <f>_xll.ciqfunctions.udf.CIQ("ARCA:AIS", "IQ_CLOSEPRICE", "2024-12-27", "USD")</f>
        <v>24.505600000000001</v>
      </c>
      <c r="R166">
        <f>_xll.ciqfunctions.udf.CIQ("NasdaqGM:WISE", "IQ_CLOSEPRICE", "2024-12-27", "USD")</f>
        <v>39.770000000000003</v>
      </c>
      <c r="S166">
        <f>_xll.ciqfunctions.udf.CIQ("LSE:RBOT", "IQ_CLOSEPRICE", "2024-12-27", "USD")</f>
        <v>13.99</v>
      </c>
      <c r="T166">
        <f>_xll.ciqfunctions.udf.CIQ("XTRA:XAIX", "IQ_CLOSEPRICE", "2024-12-27", "USD")</f>
        <v>142.16289</v>
      </c>
      <c r="U166">
        <f>_xll.ciqfunctions.udf.CIQ("BIT:WTAI", "IQ_CLOSEPRICE", "2024-12-27", "USD")</f>
        <v>70.768590000000003</v>
      </c>
      <c r="V166">
        <f>_xll.ciqfunctions.udf.CIQ("LSE:AIAG", "IQ_CLOSEPRICE", "2024-12-27", "USD")</f>
        <v>21.84703</v>
      </c>
      <c r="W166">
        <f>_xll.ciqfunctions.udf.CIQ("ASX:RBTZ", "IQ_CLOSEPRICE", "2024-12-27", "USD")</f>
        <v>9.4554299999999998</v>
      </c>
      <c r="X166">
        <f>_xll.ciqfunctions.udf.CIQ("DB:XB0T", "IQ_CLOSEPRICE", "2024-12-27", "USD")</f>
        <v>21.623740000000002</v>
      </c>
    </row>
    <row r="167" spans="1:24" x14ac:dyDescent="0.25">
      <c r="A167" t="s">
        <v>189</v>
      </c>
      <c r="B167">
        <f>_xll.ciqfunctions.udf.CIQ("NasdaqGM:QQQ", "IQ_CLOSEPRICE", "2024-12-26", "USD")</f>
        <v>529.6</v>
      </c>
      <c r="C167">
        <f>_xll.ciqfunctions.udf.CIQ("NasdaqGM:AGIX", "IQ_CLOSEPRICE", "2024-12-26", "USD")</f>
        <v>29.57</v>
      </c>
      <c r="D167">
        <f>_xll.ciqfunctions.udf.CIQ("NasdaqGM:SMH", "IQ_CLOSEPRICE", "2024-12-26", "USD")</f>
        <v>250.93</v>
      </c>
      <c r="E167">
        <f>_xll.ciqfunctions.udf.CIQ("BATS:IGV", "IQ_CLOSEPRICE", "2024-12-26", "USD")</f>
        <v>103.87</v>
      </c>
      <c r="F167">
        <f>_xll.ciqfunctions.udf.CIQ("NasdaqGM:BOTZ", "IQ_CLOSEPRICE", "2024-12-26", "USD")</f>
        <v>32.92</v>
      </c>
      <c r="G167">
        <f>_xll.ciqfunctions.udf.CIQ("NasdaqGM:AIQ", "IQ_CLOSEPRICE", "2024-12-26", "USD")</f>
        <v>39.93</v>
      </c>
      <c r="H167">
        <f>_xll.ciqfunctions.udf.CIQ("ARCA:ARTY", "IQ_CLOSEPRICE", "2024-12-26", "USD")</f>
        <v>38.380000000000003</v>
      </c>
      <c r="I167">
        <f>_xll.ciqfunctions.udf.CIQ("NasdaqGM:ROBT", "IQ_CLOSEPRICE", "2024-12-26", "USD")</f>
        <v>46.23</v>
      </c>
      <c r="J167">
        <f>_xll.ciqfunctions.udf.CIQ("ARCA:IGPT", "IQ_CLOSEPRICE", "2024-12-26", "USD")</f>
        <v>46.8</v>
      </c>
      <c r="K167">
        <f>_xll.ciqfunctions.udf.CIQ("BATS:WTAI", "IQ_CLOSEPRICE", "2024-12-26", "USD")</f>
        <v>22.93</v>
      </c>
      <c r="L167">
        <f>_xll.ciqfunctions.udf.CIQ("ARCA:THNQ", "IQ_CLOSEPRICE", "2024-12-26", "USD")</f>
        <v>50.445799999999998</v>
      </c>
      <c r="M167">
        <f>_xll.ciqfunctions.udf.CIQ("NasdaqGM:FDTX", "IQ_CLOSEPRICE", "2024-12-26", "USD")</f>
        <v>36.57</v>
      </c>
      <c r="N167">
        <f>_xll.ciqfunctions.udf.CIQ("ARCA:CHAT", "IQ_CLOSEPRICE", "2024-12-26", "USD")</f>
        <v>41.97</v>
      </c>
      <c r="O167">
        <f>_xll.ciqfunctions.udf.CIQ("ARCA:LOUP", "IQ_CLOSEPRICE", "2024-12-26", "USD")</f>
        <v>55.725999999999999</v>
      </c>
      <c r="P167">
        <f>_xll.ciqfunctions.udf.CIQ("ARCA:LRNZ", "IQ_CLOSEPRICE", "2024-12-26", "USD")</f>
        <v>40.653599999999997</v>
      </c>
      <c r="Q167">
        <f>_xll.ciqfunctions.udf.CIQ("ARCA:AIS", "IQ_CLOSEPRICE", "2024-12-26", "USD")</f>
        <v>24.9162</v>
      </c>
      <c r="R167">
        <f>_xll.ciqfunctions.udf.CIQ("NasdaqGM:WISE", "IQ_CLOSEPRICE", "2024-12-26", "USD")</f>
        <v>40.35</v>
      </c>
      <c r="S167">
        <f>_xll.ciqfunctions.udf.CIQ("LSE:RBOT", "IQ_CLOSEPRICE", "2024-12-26", "USD")</f>
        <v>0</v>
      </c>
      <c r="T167">
        <f>_xll.ciqfunctions.udf.CIQ("XTRA:XAIX", "IQ_CLOSEPRICE", "2024-12-26", "USD")</f>
        <v>0</v>
      </c>
      <c r="U167">
        <f>_xll.ciqfunctions.udf.CIQ("BIT:WTAI", "IQ_CLOSEPRICE", "2024-12-26", "USD")</f>
        <v>0</v>
      </c>
      <c r="V167">
        <f>_xll.ciqfunctions.udf.CIQ("LSE:AIAG", "IQ_CLOSEPRICE", "2024-12-26", "USD")</f>
        <v>0</v>
      </c>
      <c r="W167">
        <f>_xll.ciqfunctions.udf.CIQ("ASX:RBTZ", "IQ_CLOSEPRICE", "2024-12-26", "USD")</f>
        <v>0</v>
      </c>
      <c r="X167">
        <f>_xll.ciqfunctions.udf.CIQ("DB:XB0T", "IQ_CLOSEPRICE", "2024-12-26", "USD")</f>
        <v>0</v>
      </c>
    </row>
    <row r="168" spans="1:24" x14ac:dyDescent="0.25">
      <c r="A168" t="s">
        <v>190</v>
      </c>
      <c r="B168">
        <f>_xll.ciqfunctions.udf.CIQ("NasdaqGM:QQQ", "IQ_CLOSEPRICE", "2024-12-25", "USD")</f>
        <v>0</v>
      </c>
      <c r="C168">
        <f>_xll.ciqfunctions.udf.CIQ("NasdaqGM:AGIX", "IQ_CLOSEPRICE", "2024-12-25", "USD")</f>
        <v>0</v>
      </c>
      <c r="D168">
        <f>_xll.ciqfunctions.udf.CIQ("NasdaqGM:SMH", "IQ_CLOSEPRICE", "2024-12-25", "USD")</f>
        <v>0</v>
      </c>
      <c r="E168">
        <f>_xll.ciqfunctions.udf.CIQ("BATS:IGV", "IQ_CLOSEPRICE", "2024-12-25", "USD")</f>
        <v>0</v>
      </c>
      <c r="F168">
        <f>_xll.ciqfunctions.udf.CIQ("NasdaqGM:BOTZ", "IQ_CLOSEPRICE", "2024-12-25", "USD")</f>
        <v>0</v>
      </c>
      <c r="G168">
        <f>_xll.ciqfunctions.udf.CIQ("NasdaqGM:AIQ", "IQ_CLOSEPRICE", "2024-12-25", "USD")</f>
        <v>0</v>
      </c>
      <c r="H168">
        <f>_xll.ciqfunctions.udf.CIQ("ARCA:ARTY", "IQ_CLOSEPRICE", "2024-12-25", "USD")</f>
        <v>0</v>
      </c>
      <c r="I168">
        <f>_xll.ciqfunctions.udf.CIQ("NasdaqGM:ROBT", "IQ_CLOSEPRICE", "2024-12-25", "USD")</f>
        <v>0</v>
      </c>
      <c r="J168">
        <f>_xll.ciqfunctions.udf.CIQ("ARCA:IGPT", "IQ_CLOSEPRICE", "2024-12-25", "USD")</f>
        <v>0</v>
      </c>
      <c r="K168">
        <f>_xll.ciqfunctions.udf.CIQ("BATS:WTAI", "IQ_CLOSEPRICE", "2024-12-25", "USD")</f>
        <v>0</v>
      </c>
      <c r="L168">
        <f>_xll.ciqfunctions.udf.CIQ("ARCA:THNQ", "IQ_CLOSEPRICE", "2024-12-25", "USD")</f>
        <v>0</v>
      </c>
      <c r="M168">
        <f>_xll.ciqfunctions.udf.CIQ("NasdaqGM:FDTX", "IQ_CLOSEPRICE", "2024-12-25", "USD")</f>
        <v>0</v>
      </c>
      <c r="N168">
        <f>_xll.ciqfunctions.udf.CIQ("ARCA:CHAT", "IQ_CLOSEPRICE", "2024-12-25", "USD")</f>
        <v>0</v>
      </c>
      <c r="O168">
        <f>_xll.ciqfunctions.udf.CIQ("ARCA:LOUP", "IQ_CLOSEPRICE", "2024-12-25", "USD")</f>
        <v>0</v>
      </c>
      <c r="P168">
        <f>_xll.ciqfunctions.udf.CIQ("ARCA:LRNZ", "IQ_CLOSEPRICE", "2024-12-25", "USD")</f>
        <v>0</v>
      </c>
      <c r="Q168">
        <f>_xll.ciqfunctions.udf.CIQ("ARCA:AIS", "IQ_CLOSEPRICE", "2024-12-25", "USD")</f>
        <v>0</v>
      </c>
      <c r="R168">
        <f>_xll.ciqfunctions.udf.CIQ("NasdaqGM:WISE", "IQ_CLOSEPRICE", "2024-12-25", "USD")</f>
        <v>0</v>
      </c>
      <c r="S168">
        <f>_xll.ciqfunctions.udf.CIQ("LSE:RBOT", "IQ_CLOSEPRICE", "2024-12-25", "USD")</f>
        <v>0</v>
      </c>
      <c r="T168">
        <f>_xll.ciqfunctions.udf.CIQ("XTRA:XAIX", "IQ_CLOSEPRICE", "2024-12-25", "USD")</f>
        <v>0</v>
      </c>
      <c r="U168">
        <f>_xll.ciqfunctions.udf.CIQ("BIT:WTAI", "IQ_CLOSEPRICE", "2024-12-25", "USD")</f>
        <v>0</v>
      </c>
      <c r="V168">
        <f>_xll.ciqfunctions.udf.CIQ("LSE:AIAG", "IQ_CLOSEPRICE", "2024-12-25", "USD")</f>
        <v>0</v>
      </c>
      <c r="W168">
        <f>_xll.ciqfunctions.udf.CIQ("ASX:RBTZ", "IQ_CLOSEPRICE", "2024-12-25", "USD")</f>
        <v>0</v>
      </c>
      <c r="X168">
        <f>_xll.ciqfunctions.udf.CIQ("DB:XB0T", "IQ_CLOSEPRICE", "2024-12-25", "USD")</f>
        <v>0</v>
      </c>
    </row>
    <row r="169" spans="1:24" x14ac:dyDescent="0.25">
      <c r="A169" t="s">
        <v>191</v>
      </c>
      <c r="B169">
        <f>_xll.ciqfunctions.udf.CIQ("NasdaqGM:QQQ", "IQ_CLOSEPRICE", "2024-12-24", "USD")</f>
        <v>529.96</v>
      </c>
      <c r="C169">
        <f>_xll.ciqfunctions.udf.CIQ("NasdaqGM:AGIX", "IQ_CLOSEPRICE", "2024-12-24", "USD")</f>
        <v>29.64</v>
      </c>
      <c r="D169">
        <f>_xll.ciqfunctions.udf.CIQ("NasdaqGM:SMH", "IQ_CLOSEPRICE", "2024-12-24", "USD")</f>
        <v>251.37</v>
      </c>
      <c r="E169">
        <f>_xll.ciqfunctions.udf.CIQ("BATS:IGV", "IQ_CLOSEPRICE", "2024-12-24", "USD")</f>
        <v>104.1</v>
      </c>
      <c r="F169">
        <f>_xll.ciqfunctions.udf.CIQ("NasdaqGM:BOTZ", "IQ_CLOSEPRICE", "2024-12-24", "USD")</f>
        <v>32.64</v>
      </c>
      <c r="G169">
        <f>_xll.ciqfunctions.udf.CIQ("NasdaqGM:AIQ", "IQ_CLOSEPRICE", "2024-12-24", "USD")</f>
        <v>39.950000000000003</v>
      </c>
      <c r="H169">
        <f>_xll.ciqfunctions.udf.CIQ("ARCA:ARTY", "IQ_CLOSEPRICE", "2024-12-24", "USD")</f>
        <v>38.36</v>
      </c>
      <c r="I169">
        <f>_xll.ciqfunctions.udf.CIQ("NasdaqGM:ROBT", "IQ_CLOSEPRICE", "2024-12-24", "USD")</f>
        <v>46</v>
      </c>
      <c r="J169">
        <f>_xll.ciqfunctions.udf.CIQ("ARCA:IGPT", "IQ_CLOSEPRICE", "2024-12-24", "USD")</f>
        <v>46.7</v>
      </c>
      <c r="K169">
        <f>_xll.ciqfunctions.udf.CIQ("BATS:WTAI", "IQ_CLOSEPRICE", "2024-12-24", "USD")</f>
        <v>22.92</v>
      </c>
      <c r="L169">
        <f>_xll.ciqfunctions.udf.CIQ("ARCA:THNQ", "IQ_CLOSEPRICE", "2024-12-24", "USD")</f>
        <v>50.343299999999999</v>
      </c>
      <c r="M169">
        <f>_xll.ciqfunctions.udf.CIQ("NasdaqGM:FDTX", "IQ_CLOSEPRICE", "2024-12-24", "USD")</f>
        <v>36.57</v>
      </c>
      <c r="N169">
        <f>_xll.ciqfunctions.udf.CIQ("ARCA:CHAT", "IQ_CLOSEPRICE", "2024-12-24", "USD")</f>
        <v>41.98</v>
      </c>
      <c r="O169">
        <f>_xll.ciqfunctions.udf.CIQ("ARCA:LOUP", "IQ_CLOSEPRICE", "2024-12-24", "USD")</f>
        <v>55.366799999999998</v>
      </c>
      <c r="P169">
        <f>_xll.ciqfunctions.udf.CIQ("ARCA:LRNZ", "IQ_CLOSEPRICE", "2024-12-24", "USD")</f>
        <v>40.5015</v>
      </c>
      <c r="Q169">
        <f>_xll.ciqfunctions.udf.CIQ("ARCA:AIS", "IQ_CLOSEPRICE", "2024-12-24", "USD")</f>
        <v>24.749199999999998</v>
      </c>
      <c r="R169">
        <f>_xll.ciqfunctions.udf.CIQ("NasdaqGM:WISE", "IQ_CLOSEPRICE", "2024-12-24", "USD")</f>
        <v>38.450000000000003</v>
      </c>
      <c r="S169">
        <f>_xll.ciqfunctions.udf.CIQ("LSE:RBOT", "IQ_CLOSEPRICE", "2024-12-24", "USD")</f>
        <v>13.994999999999999</v>
      </c>
      <c r="T169">
        <f>_xll.ciqfunctions.udf.CIQ("XTRA:XAIX", "IQ_CLOSEPRICE", "2024-12-24", "USD")</f>
        <v>0</v>
      </c>
      <c r="U169">
        <f>_xll.ciqfunctions.udf.CIQ("BIT:WTAI", "IQ_CLOSEPRICE", "2024-12-24", "USD")</f>
        <v>0</v>
      </c>
      <c r="V169">
        <f>_xll.ciqfunctions.udf.CIQ("LSE:AIAG", "IQ_CLOSEPRICE", "2024-12-24", "USD")</f>
        <v>21.953939999999999</v>
      </c>
      <c r="W169">
        <f>_xll.ciqfunctions.udf.CIQ("ASX:RBTZ", "IQ_CLOSEPRICE", "2024-12-24", "USD")</f>
        <v>9.2947900000000008</v>
      </c>
      <c r="X169">
        <f>_xll.ciqfunctions.udf.CIQ("DB:XB0T", "IQ_CLOSEPRICE", "2024-12-24", "USD")</f>
        <v>0</v>
      </c>
    </row>
    <row r="170" spans="1:24" x14ac:dyDescent="0.25">
      <c r="A170" t="s">
        <v>192</v>
      </c>
      <c r="B170">
        <f>_xll.ciqfunctions.udf.CIQ("NasdaqGM:QQQ", "IQ_CLOSEPRICE", "2024-12-23", "USD")</f>
        <v>522.87</v>
      </c>
      <c r="C170">
        <f>_xll.ciqfunctions.udf.CIQ("NasdaqGM:AGIX", "IQ_CLOSEPRICE", "2024-12-23", "USD")</f>
        <v>29.21</v>
      </c>
      <c r="D170">
        <f>_xll.ciqfunctions.udf.CIQ("NasdaqGM:SMH", "IQ_CLOSEPRICE", "2024-12-23", "USD")</f>
        <v>249.22</v>
      </c>
      <c r="E170">
        <f>_xll.ciqfunctions.udf.CIQ("BATS:IGV", "IQ_CLOSEPRICE", "2024-12-23", "USD")</f>
        <v>102.92</v>
      </c>
      <c r="F170">
        <f>_xll.ciqfunctions.udf.CIQ("NasdaqGM:BOTZ", "IQ_CLOSEPRICE", "2024-12-23", "USD")</f>
        <v>32.380000000000003</v>
      </c>
      <c r="G170">
        <f>_xll.ciqfunctions.udf.CIQ("NasdaqGM:AIQ", "IQ_CLOSEPRICE", "2024-12-23", "USD")</f>
        <v>39.5</v>
      </c>
      <c r="H170">
        <f>_xll.ciqfunctions.udf.CIQ("ARCA:ARTY", "IQ_CLOSEPRICE", "2024-12-23", "USD")</f>
        <v>38.03</v>
      </c>
      <c r="I170">
        <f>_xll.ciqfunctions.udf.CIQ("NasdaqGM:ROBT", "IQ_CLOSEPRICE", "2024-12-23", "USD")</f>
        <v>45.66</v>
      </c>
      <c r="J170">
        <f>_xll.ciqfunctions.udf.CIQ("ARCA:IGPT", "IQ_CLOSEPRICE", "2024-12-23", "USD")</f>
        <v>46.27</v>
      </c>
      <c r="K170">
        <f>_xll.ciqfunctions.udf.CIQ("BATS:WTAI", "IQ_CLOSEPRICE", "2024-12-23", "USD")</f>
        <v>22.6</v>
      </c>
      <c r="L170">
        <f>_xll.ciqfunctions.udf.CIQ("ARCA:THNQ", "IQ_CLOSEPRICE", "2024-12-23", "USD")</f>
        <v>50.05</v>
      </c>
      <c r="M170">
        <f>_xll.ciqfunctions.udf.CIQ("NasdaqGM:FDTX", "IQ_CLOSEPRICE", "2024-12-23", "USD")</f>
        <v>36.313400000000001</v>
      </c>
      <c r="N170">
        <f>_xll.ciqfunctions.udf.CIQ("ARCA:CHAT", "IQ_CLOSEPRICE", "2024-12-23", "USD")</f>
        <v>41.58</v>
      </c>
      <c r="O170">
        <f>_xll.ciqfunctions.udf.CIQ("ARCA:LOUP", "IQ_CLOSEPRICE", "2024-12-23", "USD")</f>
        <v>54.951900000000002</v>
      </c>
      <c r="P170">
        <f>_xll.ciqfunctions.udf.CIQ("ARCA:LRNZ", "IQ_CLOSEPRICE", "2024-12-23", "USD")</f>
        <v>40.293799999999997</v>
      </c>
      <c r="Q170">
        <f>_xll.ciqfunctions.udf.CIQ("ARCA:AIS", "IQ_CLOSEPRICE", "2024-12-23", "USD")</f>
        <v>24.55</v>
      </c>
      <c r="R170">
        <f>_xll.ciqfunctions.udf.CIQ("NasdaqGM:WISE", "IQ_CLOSEPRICE", "2024-12-23", "USD")</f>
        <v>37.9</v>
      </c>
      <c r="S170">
        <f>_xll.ciqfunctions.udf.CIQ("LSE:RBOT", "IQ_CLOSEPRICE", "2024-12-23", "USD")</f>
        <v>13.96</v>
      </c>
      <c r="T170">
        <f>_xll.ciqfunctions.udf.CIQ("XTRA:XAIX", "IQ_CLOSEPRICE", "2024-12-23", "USD")</f>
        <v>142.04615999999999</v>
      </c>
      <c r="U170">
        <f>_xll.ciqfunctions.udf.CIQ("BIT:WTAI", "IQ_CLOSEPRICE", "2024-12-23", "USD")</f>
        <v>70.36806</v>
      </c>
      <c r="V170">
        <f>_xll.ciqfunctions.udf.CIQ("LSE:AIAG", "IQ_CLOSEPRICE", "2024-12-23", "USD")</f>
        <v>21.850950000000001</v>
      </c>
      <c r="W170">
        <f>_xll.ciqfunctions.udf.CIQ("ASX:RBTZ", "IQ_CLOSEPRICE", "2024-12-23", "USD")</f>
        <v>9.3068200000000001</v>
      </c>
      <c r="X170">
        <f>_xll.ciqfunctions.udf.CIQ("DB:XB0T", "IQ_CLOSEPRICE", "2024-12-23", "USD")</f>
        <v>21.173839999999998</v>
      </c>
    </row>
    <row r="171" spans="1:24" x14ac:dyDescent="0.25">
      <c r="A171" t="s">
        <v>193</v>
      </c>
      <c r="B171">
        <f>_xll.ciqfunctions.udf.CIQ("NasdaqGM:QQQ", "IQ_CLOSEPRICE", "2024-12-20", "USD")</f>
        <v>518.66</v>
      </c>
      <c r="C171">
        <f>_xll.ciqfunctions.udf.CIQ("NasdaqGM:AGIX", "IQ_CLOSEPRICE", "2024-12-20", "USD")</f>
        <v>29.16</v>
      </c>
      <c r="D171">
        <f>_xll.ciqfunctions.udf.CIQ("NasdaqGM:SMH", "IQ_CLOSEPRICE", "2024-12-20", "USD")</f>
        <v>242.71</v>
      </c>
      <c r="E171">
        <f>_xll.ciqfunctions.udf.CIQ("BATS:IGV", "IQ_CLOSEPRICE", "2024-12-20", "USD")</f>
        <v>103.62</v>
      </c>
      <c r="F171">
        <f>_xll.ciqfunctions.udf.CIQ("NasdaqGM:BOTZ", "IQ_CLOSEPRICE", "2024-12-20", "USD")</f>
        <v>32.29</v>
      </c>
      <c r="G171">
        <f>_xll.ciqfunctions.udf.CIQ("NasdaqGM:AIQ", "IQ_CLOSEPRICE", "2024-12-20", "USD")</f>
        <v>39.25</v>
      </c>
      <c r="H171">
        <f>_xll.ciqfunctions.udf.CIQ("ARCA:ARTY", "IQ_CLOSEPRICE", "2024-12-20", "USD")</f>
        <v>37.630000000000003</v>
      </c>
      <c r="I171">
        <f>_xll.ciqfunctions.udf.CIQ("NasdaqGM:ROBT", "IQ_CLOSEPRICE", "2024-12-20", "USD")</f>
        <v>45.45</v>
      </c>
      <c r="J171">
        <f>_xll.ciqfunctions.udf.CIQ("ARCA:IGPT", "IQ_CLOSEPRICE", "2024-12-20", "USD")</f>
        <v>45.88</v>
      </c>
      <c r="K171">
        <f>_xll.ciqfunctions.udf.CIQ("BATS:WTAI", "IQ_CLOSEPRICE", "2024-12-20", "USD")</f>
        <v>22.41</v>
      </c>
      <c r="L171">
        <f>_xll.ciqfunctions.udf.CIQ("ARCA:THNQ", "IQ_CLOSEPRICE", "2024-12-20", "USD")</f>
        <v>49.737699999999997</v>
      </c>
      <c r="M171">
        <f>_xll.ciqfunctions.udf.CIQ("NasdaqGM:FDTX", "IQ_CLOSEPRICE", "2024-12-20", "USD")</f>
        <v>36.01</v>
      </c>
      <c r="N171">
        <f>_xll.ciqfunctions.udf.CIQ("ARCA:CHAT", "IQ_CLOSEPRICE", "2024-12-20", "USD")</f>
        <v>41.09</v>
      </c>
      <c r="O171">
        <f>_xll.ciqfunctions.udf.CIQ("ARCA:LOUP", "IQ_CLOSEPRICE", "2024-12-20", "USD")</f>
        <v>55</v>
      </c>
      <c r="P171">
        <f>_xll.ciqfunctions.udf.CIQ("ARCA:LRNZ", "IQ_CLOSEPRICE", "2024-12-20", "USD")</f>
        <v>39.908900000000003</v>
      </c>
      <c r="Q171">
        <f>_xll.ciqfunctions.udf.CIQ("ARCA:AIS", "IQ_CLOSEPRICE", "2024-12-20", "USD")</f>
        <v>24.182500000000001</v>
      </c>
      <c r="R171">
        <f>_xll.ciqfunctions.udf.CIQ("NasdaqGM:WISE", "IQ_CLOSEPRICE", "2024-12-20", "USD")</f>
        <v>37.64</v>
      </c>
      <c r="S171">
        <f>_xll.ciqfunctions.udf.CIQ("LSE:RBOT", "IQ_CLOSEPRICE", "2024-12-20", "USD")</f>
        <v>14.02</v>
      </c>
      <c r="T171">
        <f>_xll.ciqfunctions.udf.CIQ("XTRA:XAIX", "IQ_CLOSEPRICE", "2024-12-20", "USD")</f>
        <v>142.75</v>
      </c>
      <c r="U171">
        <f>_xll.ciqfunctions.udf.CIQ("BIT:WTAI", "IQ_CLOSEPRICE", "2024-12-20", "USD")</f>
        <v>70.09375</v>
      </c>
      <c r="V171">
        <f>_xll.ciqfunctions.udf.CIQ("LSE:AIAG", "IQ_CLOSEPRICE", "2024-12-20", "USD")</f>
        <v>21.943950000000001</v>
      </c>
      <c r="W171">
        <f>_xll.ciqfunctions.udf.CIQ("ASX:RBTZ", "IQ_CLOSEPRICE", "2024-12-20", "USD")</f>
        <v>9.1113800000000005</v>
      </c>
      <c r="X171">
        <f>_xll.ciqfunctions.udf.CIQ("DB:XB0T", "IQ_CLOSEPRICE", "2024-12-20", "USD")</f>
        <v>20.704170000000001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DONG Jiayang</cp:lastModifiedBy>
  <dcterms:created xsi:type="dcterms:W3CDTF">2025-08-15T02:07:27Z</dcterms:created>
  <dcterms:modified xsi:type="dcterms:W3CDTF">2025-08-15T02:08:30Z</dcterms:modified>
</cp:coreProperties>
</file>