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Desktop\"/>
    </mc:Choice>
  </mc:AlternateContent>
  <xr:revisionPtr revIDLastSave="0" documentId="13_ncr:1_{8C0A17D5-7C40-403D-B6FA-42867588693D}" xr6:coauthVersionLast="47" xr6:coauthVersionMax="47" xr10:uidLastSave="{00000000-0000-0000-0000-000000000000}"/>
  <bookViews>
    <workbookView xWindow="28680" yWindow="-120" windowWidth="29040" windowHeight="15840" xr2:uid="{00000000-000D-0000-FFFF-FFFF00000000}"/>
  </bookViews>
  <sheets>
    <sheet name="Players Recap" sheetId="1" r:id="rId1"/>
    <sheet name="Valid_players" sheetId="3" state="hidden" r:id="rId2"/>
    <sheet name="Players_aux" sheetId="4" state="hidden" r:id="rId3"/>
    <sheet name="Games Recap" sheetId="5" r:id="rId4"/>
    <sheet name="Questions Recap" sheetId="6" r:id="rId5"/>
    <sheet name="Questions" sheetId="7" r:id="rId6"/>
    <sheet name="Valid_questions" sheetId="8" state="hidden" r:id="rId7"/>
    <sheet name="Tests" sheetId="9" r:id="rId8"/>
    <sheet name="Mutants" sheetId="10" r:id="rId9"/>
    <sheet name="Game 109-1-A" sheetId="11" r:id="rId10"/>
    <sheet name="Game Template" sheetId="12" state="hidden" r:id="rId11"/>
    <sheet name="Game 110-1-A" sheetId="13" r:id="rId12"/>
    <sheet name="Game 111-1-A" sheetId="14" r:id="rId13"/>
    <sheet name="Game 112-1-A" sheetId="15" r:id="rId14"/>
    <sheet name="Game 113-1-N" sheetId="16" r:id="rId15"/>
    <sheet name="Game 114-1-N" sheetId="17" r:id="rId16"/>
    <sheet name="Game 115-1-N" sheetId="18" r:id="rId17"/>
    <sheet name="Game 116-1-N" sheetId="19" r:id="rId18"/>
    <sheet name="Game 117-1-N" sheetId="20" r:id="rId19"/>
    <sheet name="Game 118-2-N" sheetId="21" r:id="rId20"/>
    <sheet name="Game 119-2-N" sheetId="22" r:id="rId21"/>
    <sheet name="Game 120-2-N" sheetId="23" r:id="rId22"/>
    <sheet name="Game 121-2-N" sheetId="24" r:id="rId23"/>
    <sheet name="Game 122-2-A" sheetId="25" r:id="rId24"/>
    <sheet name="Game 123-2-A" sheetId="26" r:id="rId25"/>
    <sheet name="Game 124-2-A" sheetId="27" r:id="rId26"/>
    <sheet name="Game 125-2-A" sheetId="28" r:id="rId27"/>
    <sheet name="Game 126-2-A" sheetId="29" r:id="rId28"/>
  </sheets>
  <definedNames>
    <definedName name="Document">'Players Recap'!#REF!</definedName>
    <definedName name="Graphs">'Players Recap'!$J$55:$J$55</definedName>
    <definedName name="Options">'Players Recap'!#REF!</definedName>
    <definedName name="Performance_recap_table">'Players Recap'!$H$51:$AB$52</definedName>
    <definedName name="Players_recap_table">'Players Recap'!$F$44:$AB$47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24" l="1"/>
  <c r="F50" i="24"/>
  <c r="E51" i="24"/>
  <c r="F51" i="24"/>
  <c r="E52" i="24"/>
  <c r="F52" i="24"/>
  <c r="E53" i="24"/>
  <c r="F53" i="24"/>
  <c r="E54" i="24"/>
  <c r="F54" i="24"/>
  <c r="E55" i="24"/>
  <c r="F55" i="24"/>
  <c r="E56" i="24"/>
  <c r="F56" i="24"/>
  <c r="E57" i="24"/>
  <c r="F57" i="24"/>
  <c r="E58" i="24"/>
  <c r="F58" i="24"/>
  <c r="E63" i="24"/>
  <c r="F63" i="24"/>
  <c r="E64" i="24"/>
  <c r="F64" i="24"/>
  <c r="E65" i="24"/>
  <c r="F65" i="24"/>
  <c r="E66" i="24"/>
  <c r="F66" i="24"/>
  <c r="E67" i="24"/>
  <c r="F67" i="24"/>
  <c r="E68" i="24"/>
  <c r="F68" i="24"/>
  <c r="E69" i="24"/>
  <c r="F69" i="24"/>
  <c r="E70" i="24"/>
  <c r="F70" i="24"/>
  <c r="E71" i="24"/>
  <c r="F71" i="24"/>
  <c r="E72" i="24"/>
  <c r="F72" i="24"/>
  <c r="E73" i="24"/>
  <c r="F73" i="24"/>
  <c r="E74" i="24"/>
  <c r="F74" i="24"/>
  <c r="E75" i="24"/>
  <c r="F75" i="24"/>
  <c r="E76" i="24"/>
  <c r="F76" i="24"/>
  <c r="E77" i="24"/>
  <c r="F77" i="24"/>
  <c r="E78" i="24"/>
  <c r="F78" i="24"/>
  <c r="E79" i="24"/>
  <c r="F79" i="24"/>
  <c r="E80" i="24"/>
  <c r="F80" i="24"/>
  <c r="E81" i="24"/>
  <c r="F81" i="24"/>
  <c r="E82" i="24"/>
  <c r="F82" i="24"/>
  <c r="E83" i="24"/>
  <c r="F83" i="24"/>
  <c r="E84" i="24"/>
  <c r="F84" i="24"/>
  <c r="E85" i="24"/>
  <c r="F85" i="24"/>
  <c r="E86" i="24"/>
  <c r="F86" i="24"/>
  <c r="E91" i="24"/>
  <c r="F91" i="24"/>
  <c r="E92" i="24"/>
  <c r="F92" i="24"/>
  <c r="E93" i="24"/>
  <c r="F93" i="24"/>
  <c r="E94" i="24"/>
  <c r="F94" i="24"/>
  <c r="E95" i="24"/>
  <c r="F95" i="24"/>
  <c r="E96" i="24"/>
  <c r="F96" i="24"/>
  <c r="E97" i="24"/>
  <c r="F97" i="24"/>
  <c r="E98" i="24"/>
  <c r="F98" i="24"/>
  <c r="E99" i="24"/>
  <c r="F99" i="24"/>
  <c r="E100" i="24"/>
  <c r="F100" i="24"/>
  <c r="E101" i="24"/>
  <c r="F101" i="24"/>
  <c r="E102" i="24"/>
  <c r="F102" i="24"/>
  <c r="E103" i="24"/>
  <c r="F103" i="24"/>
  <c r="E104" i="24"/>
  <c r="F104" i="24"/>
  <c r="E105" i="24"/>
  <c r="F105" i="24"/>
  <c r="E106" i="24"/>
  <c r="F106" i="24"/>
  <c r="E107" i="24"/>
  <c r="F107" i="24"/>
  <c r="E108" i="24"/>
  <c r="F108" i="24"/>
  <c r="E109" i="24"/>
  <c r="F109" i="24"/>
  <c r="E110" i="24"/>
  <c r="F110" i="24"/>
  <c r="E111" i="24"/>
  <c r="F111" i="24"/>
  <c r="E112" i="24"/>
  <c r="F112" i="24"/>
  <c r="E113" i="24"/>
  <c r="F113" i="24"/>
  <c r="E114" i="24"/>
  <c r="F114" i="24"/>
  <c r="E115" i="24"/>
  <c r="F115" i="24"/>
  <c r="E116" i="24"/>
  <c r="F116" i="24"/>
  <c r="E117" i="24"/>
  <c r="F117" i="24"/>
  <c r="E122" i="24"/>
  <c r="F122" i="24"/>
  <c r="E123" i="24"/>
  <c r="F123" i="24"/>
  <c r="E124" i="24"/>
  <c r="F124" i="24"/>
  <c r="E125" i="24"/>
  <c r="F125" i="24"/>
  <c r="E126" i="24"/>
  <c r="F126" i="24"/>
  <c r="E127" i="24"/>
  <c r="F127" i="24"/>
  <c r="E128" i="24"/>
  <c r="F128" i="24"/>
  <c r="E129" i="24"/>
  <c r="F129" i="24"/>
  <c r="E130" i="24"/>
  <c r="F130" i="24"/>
  <c r="E131" i="24"/>
  <c r="F131" i="24"/>
  <c r="E132" i="24"/>
  <c r="F132" i="24"/>
  <c r="E133" i="24"/>
  <c r="F133" i="24"/>
  <c r="E134" i="24"/>
  <c r="F134" i="24"/>
  <c r="E135" i="24"/>
  <c r="F135" i="24"/>
  <c r="E136" i="24"/>
  <c r="F136" i="24"/>
  <c r="E58" i="23"/>
  <c r="F58" i="23"/>
  <c r="E59" i="23"/>
  <c r="F59" i="23"/>
  <c r="E60" i="23"/>
  <c r="F60" i="23"/>
  <c r="E61" i="23"/>
  <c r="F61" i="23"/>
  <c r="E62" i="23"/>
  <c r="F62" i="23"/>
  <c r="E63" i="23"/>
  <c r="F63" i="23"/>
  <c r="E64" i="23"/>
  <c r="F64" i="23"/>
  <c r="E65" i="23"/>
  <c r="F65" i="23"/>
  <c r="E66" i="23"/>
  <c r="F66" i="23"/>
  <c r="E67" i="23"/>
  <c r="F67" i="23"/>
  <c r="E68" i="23"/>
  <c r="F68" i="23"/>
  <c r="E69" i="23"/>
  <c r="F69" i="23"/>
  <c r="E70" i="23"/>
  <c r="F70" i="23"/>
  <c r="E71" i="23"/>
  <c r="F71" i="23"/>
  <c r="E72" i="23"/>
  <c r="F72" i="23"/>
  <c r="E73" i="23"/>
  <c r="F73" i="23"/>
  <c r="E74" i="23"/>
  <c r="F74" i="23"/>
  <c r="E75" i="23"/>
  <c r="F75" i="23"/>
  <c r="E76" i="23"/>
  <c r="F76" i="23"/>
  <c r="E77" i="23"/>
  <c r="F77" i="23"/>
  <c r="E78" i="23"/>
  <c r="F78" i="23"/>
  <c r="E79" i="23"/>
  <c r="F79" i="23"/>
  <c r="E80" i="23"/>
  <c r="F80" i="23"/>
  <c r="E81" i="23"/>
  <c r="F81" i="23"/>
  <c r="E82" i="23"/>
  <c r="F82" i="23"/>
  <c r="E83" i="23"/>
  <c r="F83" i="23"/>
  <c r="E84" i="23"/>
  <c r="F84" i="23"/>
  <c r="E89" i="23"/>
  <c r="F89" i="23"/>
  <c r="E90" i="23"/>
  <c r="F90" i="23"/>
  <c r="E91" i="23"/>
  <c r="F91" i="23"/>
  <c r="E92" i="23"/>
  <c r="F92" i="23"/>
  <c r="E93" i="23"/>
  <c r="F93" i="23"/>
  <c r="E94" i="23"/>
  <c r="F94" i="23"/>
  <c r="E95" i="23"/>
  <c r="F95" i="23"/>
  <c r="E96" i="23"/>
  <c r="F96" i="23"/>
  <c r="E97" i="23"/>
  <c r="F97" i="23"/>
  <c r="E98" i="23"/>
  <c r="F98" i="23"/>
  <c r="E99" i="23"/>
  <c r="F99" i="23"/>
  <c r="E100" i="23"/>
  <c r="F100" i="23"/>
  <c r="E101" i="23"/>
  <c r="F101" i="23"/>
  <c r="E102" i="23"/>
  <c r="F102" i="23"/>
  <c r="E103" i="23"/>
  <c r="F103" i="23"/>
  <c r="E104" i="23"/>
  <c r="F104" i="23"/>
  <c r="E105" i="23"/>
  <c r="F105" i="23"/>
  <c r="E106" i="23"/>
  <c r="F106" i="23"/>
  <c r="E107" i="23"/>
  <c r="F107" i="23"/>
  <c r="E108" i="23"/>
  <c r="F108" i="23"/>
  <c r="E109" i="23"/>
  <c r="F109" i="23"/>
  <c r="E110" i="23"/>
  <c r="F110" i="23"/>
  <c r="E111" i="23"/>
  <c r="F111" i="23"/>
  <c r="E112" i="23"/>
  <c r="F112" i="23"/>
  <c r="E113" i="23"/>
  <c r="F113" i="23"/>
  <c r="E114" i="23"/>
  <c r="F114" i="23"/>
  <c r="E115" i="23"/>
  <c r="F115" i="23"/>
  <c r="E116" i="23"/>
  <c r="F116" i="23"/>
  <c r="E121" i="23"/>
  <c r="F121" i="23"/>
  <c r="E122" i="23"/>
  <c r="F122" i="23"/>
  <c r="E123" i="23"/>
  <c r="F123" i="23"/>
  <c r="E124" i="23"/>
  <c r="F124" i="23"/>
  <c r="E125" i="23"/>
  <c r="F125" i="23"/>
  <c r="E126" i="23"/>
  <c r="F126" i="23"/>
  <c r="E127" i="23"/>
  <c r="F127" i="23"/>
  <c r="E128" i="23"/>
  <c r="F128" i="23"/>
  <c r="E129" i="23"/>
  <c r="F129" i="23"/>
  <c r="E130" i="23"/>
  <c r="F130" i="23"/>
  <c r="E131" i="23"/>
  <c r="F131" i="23"/>
  <c r="E132" i="23"/>
  <c r="F132" i="23"/>
  <c r="E133" i="23"/>
  <c r="F133" i="23"/>
  <c r="E134" i="23"/>
  <c r="F134" i="23"/>
  <c r="E135" i="23"/>
  <c r="F135" i="23"/>
  <c r="E136" i="23"/>
  <c r="F136" i="23"/>
  <c r="E137" i="23"/>
  <c r="F137" i="23"/>
  <c r="E138" i="23"/>
  <c r="F138" i="23"/>
  <c r="E139" i="23"/>
  <c r="F139" i="23"/>
  <c r="E140" i="23"/>
  <c r="F140" i="23"/>
  <c r="E141" i="23"/>
  <c r="F141" i="23"/>
  <c r="E142" i="23"/>
  <c r="F142" i="23"/>
  <c r="E143" i="23"/>
  <c r="F143" i="23"/>
  <c r="E144" i="23"/>
  <c r="F144" i="23"/>
  <c r="E145" i="23"/>
  <c r="F145" i="23"/>
  <c r="E146" i="23"/>
  <c r="F146" i="23"/>
  <c r="E147" i="23"/>
  <c r="F147" i="23"/>
  <c r="E148" i="23"/>
  <c r="F148" i="23"/>
  <c r="E149" i="23"/>
  <c r="F149" i="23"/>
  <c r="E150" i="23"/>
  <c r="F150" i="23"/>
  <c r="E151" i="23"/>
  <c r="F151" i="23"/>
  <c r="E152" i="23"/>
  <c r="F152" i="23"/>
  <c r="E153" i="23"/>
  <c r="F153" i="23"/>
  <c r="E158" i="23"/>
  <c r="F158" i="23"/>
  <c r="E159" i="23"/>
  <c r="F159" i="23"/>
  <c r="E160" i="23"/>
  <c r="F160" i="23"/>
  <c r="E161" i="23"/>
  <c r="F161" i="23"/>
  <c r="E162" i="23"/>
  <c r="F162" i="23"/>
  <c r="E163" i="23"/>
  <c r="F163" i="23"/>
  <c r="E164" i="23"/>
  <c r="F164" i="23"/>
  <c r="E165" i="23"/>
  <c r="F165" i="23"/>
  <c r="E170" i="23"/>
  <c r="F170" i="23"/>
  <c r="E171" i="23"/>
  <c r="F171" i="23"/>
  <c r="E172" i="23"/>
  <c r="F172" i="23"/>
  <c r="E173" i="23"/>
  <c r="F173" i="23"/>
  <c r="E174" i="23"/>
  <c r="F174" i="23"/>
  <c r="E175" i="23"/>
  <c r="F175" i="23"/>
  <c r="E176" i="23"/>
  <c r="F176" i="23"/>
  <c r="E177" i="23"/>
  <c r="F177" i="23"/>
  <c r="E178" i="23"/>
  <c r="F178" i="23"/>
  <c r="E179" i="23"/>
  <c r="F179" i="23"/>
  <c r="E180" i="23"/>
  <c r="F180" i="23"/>
  <c r="E181" i="23"/>
  <c r="F181" i="23"/>
  <c r="E182" i="23"/>
  <c r="F182" i="23"/>
  <c r="E48" i="22"/>
  <c r="F48" i="22"/>
  <c r="E49" i="22"/>
  <c r="F49" i="22"/>
  <c r="E50" i="22"/>
  <c r="F50" i="22"/>
  <c r="E51" i="22"/>
  <c r="F51" i="22"/>
  <c r="E52" i="22"/>
  <c r="F52" i="22"/>
  <c r="E53" i="22"/>
  <c r="F53" i="22"/>
  <c r="E54" i="22"/>
  <c r="F54" i="22"/>
  <c r="E55" i="22"/>
  <c r="F55" i="22"/>
  <c r="E56" i="22"/>
  <c r="F56" i="22"/>
  <c r="E57" i="22"/>
  <c r="F57" i="22"/>
  <c r="E58" i="22"/>
  <c r="F58" i="22"/>
  <c r="E59" i="22"/>
  <c r="F59" i="22"/>
  <c r="E60" i="22"/>
  <c r="F60" i="22"/>
  <c r="E61" i="22"/>
  <c r="F61" i="22"/>
  <c r="E62" i="22"/>
  <c r="F62" i="22"/>
  <c r="E63" i="22"/>
  <c r="F63" i="22"/>
  <c r="E64" i="22"/>
  <c r="F64" i="22"/>
  <c r="E65" i="22"/>
  <c r="F65" i="22"/>
  <c r="E66" i="22"/>
  <c r="F66" i="22"/>
  <c r="E71" i="22"/>
  <c r="F71" i="22"/>
  <c r="E72" i="22"/>
  <c r="F72" i="22"/>
  <c r="E73" i="22"/>
  <c r="F73" i="22"/>
  <c r="E74" i="22"/>
  <c r="F74" i="22"/>
  <c r="E75" i="22"/>
  <c r="F75" i="22"/>
  <c r="E76" i="22"/>
  <c r="F76" i="22"/>
  <c r="E77" i="22"/>
  <c r="F77" i="22"/>
  <c r="E78" i="22"/>
  <c r="F78" i="22"/>
  <c r="E79" i="22"/>
  <c r="F79" i="22"/>
  <c r="E80" i="22"/>
  <c r="F80" i="22"/>
  <c r="E81" i="22"/>
  <c r="F81" i="22"/>
  <c r="E82" i="22"/>
  <c r="F82" i="22"/>
  <c r="E83" i="22"/>
  <c r="F83" i="22"/>
  <c r="E84" i="22"/>
  <c r="F84" i="22"/>
  <c r="E85" i="22"/>
  <c r="F85" i="22"/>
  <c r="E86" i="22"/>
  <c r="F86" i="22"/>
  <c r="E87" i="22"/>
  <c r="F87" i="22"/>
  <c r="E88" i="22"/>
  <c r="F88" i="22"/>
  <c r="E89" i="22"/>
  <c r="F89" i="22"/>
  <c r="E90" i="22"/>
  <c r="F90" i="22"/>
  <c r="E91" i="22"/>
  <c r="F91" i="22"/>
  <c r="E92" i="22"/>
  <c r="F92" i="22"/>
  <c r="E93" i="22"/>
  <c r="F93" i="22"/>
  <c r="E94" i="22"/>
  <c r="F94" i="22"/>
  <c r="E95" i="22"/>
  <c r="F95" i="22"/>
  <c r="E96" i="22"/>
  <c r="F96" i="22"/>
  <c r="E97" i="22"/>
  <c r="F97" i="22"/>
  <c r="E98" i="22"/>
  <c r="F98" i="22"/>
  <c r="E99" i="22"/>
  <c r="F99" i="22"/>
  <c r="E100" i="22"/>
  <c r="F100" i="22"/>
  <c r="E101" i="22"/>
  <c r="F101" i="22"/>
  <c r="E102" i="22"/>
  <c r="F102" i="22"/>
  <c r="E103" i="22"/>
  <c r="F103" i="22"/>
  <c r="E104" i="22"/>
  <c r="F104" i="22"/>
  <c r="E105" i="22"/>
  <c r="F105" i="22"/>
  <c r="E106" i="22"/>
  <c r="F106" i="22"/>
  <c r="E107" i="22"/>
  <c r="F107" i="22"/>
  <c r="E108" i="22"/>
  <c r="F108" i="22"/>
  <c r="E109" i="22"/>
  <c r="F109" i="22"/>
  <c r="E110" i="22"/>
  <c r="F110" i="22"/>
  <c r="E111" i="22"/>
  <c r="F111" i="22"/>
  <c r="E116" i="22"/>
  <c r="F116" i="22"/>
  <c r="E117" i="22"/>
  <c r="F117" i="22"/>
  <c r="E118" i="22"/>
  <c r="F118" i="22"/>
  <c r="E119" i="22"/>
  <c r="F119" i="22"/>
  <c r="E120" i="22"/>
  <c r="F120" i="22"/>
  <c r="E121" i="22"/>
  <c r="F121" i="22"/>
  <c r="E122" i="22"/>
  <c r="F122" i="22"/>
  <c r="E127" i="22"/>
  <c r="F127" i="22"/>
  <c r="E128" i="22"/>
  <c r="F128" i="22"/>
  <c r="E129" i="22"/>
  <c r="F129" i="22"/>
  <c r="E130" i="22"/>
  <c r="F130" i="22"/>
  <c r="E131" i="22"/>
  <c r="F131" i="22"/>
  <c r="E132" i="22"/>
  <c r="F132" i="22"/>
  <c r="E133" i="22"/>
  <c r="F133" i="22"/>
  <c r="E134" i="22"/>
  <c r="F134" i="22"/>
  <c r="E135" i="22"/>
  <c r="F135" i="22"/>
  <c r="E136" i="22"/>
  <c r="F136" i="22"/>
  <c r="E137" i="22"/>
  <c r="F137" i="22"/>
  <c r="E138" i="22"/>
  <c r="F138" i="22"/>
  <c r="E139" i="22"/>
  <c r="F139" i="22"/>
  <c r="E140" i="22"/>
  <c r="F140" i="22"/>
  <c r="E141" i="22"/>
  <c r="F141" i="22"/>
  <c r="E142" i="22"/>
  <c r="F142" i="22"/>
  <c r="E143" i="22"/>
  <c r="F143" i="22"/>
  <c r="E144" i="22"/>
  <c r="F144" i="22"/>
  <c r="E145" i="22"/>
  <c r="F145" i="22"/>
  <c r="E146" i="22"/>
  <c r="F146" i="22"/>
  <c r="E147" i="22"/>
  <c r="F147" i="22"/>
  <c r="E148" i="22"/>
  <c r="F148" i="22"/>
  <c r="E149" i="22"/>
  <c r="F149" i="22"/>
  <c r="E154" i="22"/>
  <c r="F154" i="22"/>
  <c r="E155" i="22"/>
  <c r="F155" i="22"/>
  <c r="E156" i="22"/>
  <c r="F156" i="22"/>
  <c r="E157" i="22"/>
  <c r="F157" i="22"/>
  <c r="E158" i="22"/>
  <c r="F158" i="22"/>
  <c r="E159" i="22"/>
  <c r="F159" i="22"/>
  <c r="E160" i="22"/>
  <c r="F160" i="22"/>
  <c r="E161" i="22"/>
  <c r="F161" i="22"/>
  <c r="E162" i="22"/>
  <c r="F162" i="22"/>
  <c r="E163" i="22"/>
  <c r="F163" i="22"/>
  <c r="E164" i="22"/>
  <c r="F164" i="22"/>
  <c r="E165" i="22"/>
  <c r="F165" i="22"/>
  <c r="E166" i="22"/>
  <c r="F166" i="22"/>
  <c r="E167" i="22"/>
  <c r="F167" i="22"/>
  <c r="E168" i="22"/>
  <c r="F168" i="22"/>
  <c r="E169" i="22"/>
  <c r="F169" i="22"/>
  <c r="E170" i="22"/>
  <c r="F170" i="22"/>
  <c r="E171" i="22"/>
  <c r="F171" i="22"/>
  <c r="E172" i="22"/>
  <c r="F172" i="22"/>
  <c r="E173" i="22"/>
  <c r="F173" i="22"/>
  <c r="E174" i="22"/>
  <c r="F174" i="22"/>
  <c r="E175" i="22"/>
  <c r="F175" i="22"/>
  <c r="E176" i="22"/>
  <c r="F176" i="22"/>
  <c r="E177" i="22"/>
  <c r="F177" i="22"/>
  <c r="E178" i="22"/>
  <c r="F178" i="22"/>
  <c r="E179" i="22"/>
  <c r="F179" i="22"/>
  <c r="E180" i="22"/>
  <c r="F180" i="22"/>
  <c r="E181" i="22"/>
  <c r="F181" i="22"/>
  <c r="E182" i="22"/>
  <c r="F182" i="22"/>
  <c r="E183" i="22"/>
  <c r="F183" i="22"/>
  <c r="E51" i="21"/>
  <c r="F51" i="21"/>
  <c r="E52" i="21"/>
  <c r="F52" i="21"/>
  <c r="E53" i="21"/>
  <c r="F53" i="21"/>
  <c r="E54" i="21"/>
  <c r="F54" i="21"/>
  <c r="E55" i="21"/>
  <c r="F55" i="21"/>
  <c r="E56" i="21"/>
  <c r="F56" i="21"/>
  <c r="E57" i="21"/>
  <c r="F57" i="21"/>
  <c r="E58" i="21"/>
  <c r="F58" i="21"/>
  <c r="E59" i="21"/>
  <c r="F59" i="21"/>
  <c r="E60" i="21"/>
  <c r="F60" i="21"/>
  <c r="E61" i="21"/>
  <c r="F61" i="21"/>
  <c r="E62" i="21"/>
  <c r="F62" i="21"/>
  <c r="E63" i="21"/>
  <c r="F63" i="21"/>
  <c r="E64" i="21"/>
  <c r="F64" i="21"/>
  <c r="E65" i="21"/>
  <c r="F65" i="21"/>
  <c r="E66" i="21"/>
  <c r="F66" i="21"/>
  <c r="E67" i="21"/>
  <c r="F67" i="21"/>
  <c r="E68" i="21"/>
  <c r="F68" i="21"/>
  <c r="E69" i="21"/>
  <c r="F69" i="21"/>
  <c r="E70" i="21"/>
  <c r="F70" i="21"/>
  <c r="E71" i="21"/>
  <c r="F71" i="21"/>
  <c r="E72" i="21"/>
  <c r="F72" i="21"/>
  <c r="E73" i="21"/>
  <c r="F73" i="21"/>
  <c r="E74" i="21"/>
  <c r="F74" i="21"/>
  <c r="E75" i="21"/>
  <c r="F75" i="21"/>
  <c r="E76" i="21"/>
  <c r="F76" i="21"/>
  <c r="E77" i="21"/>
  <c r="F77" i="21"/>
  <c r="E78" i="21"/>
  <c r="F78" i="21"/>
  <c r="E79" i="21"/>
  <c r="F79" i="21"/>
  <c r="E80" i="21"/>
  <c r="F80" i="21"/>
  <c r="E85" i="21"/>
  <c r="F85" i="21"/>
  <c r="E86" i="21"/>
  <c r="F86" i="21"/>
  <c r="E87" i="21"/>
  <c r="F87" i="21"/>
  <c r="E88" i="21"/>
  <c r="F88" i="21"/>
  <c r="E89" i="21"/>
  <c r="F89" i="21"/>
  <c r="E90" i="21"/>
  <c r="F90" i="21"/>
  <c r="E91" i="21"/>
  <c r="F91" i="21"/>
  <c r="E92" i="21"/>
  <c r="F92" i="21"/>
  <c r="E93" i="21"/>
  <c r="F93" i="21"/>
  <c r="E94" i="21"/>
  <c r="F94" i="21"/>
  <c r="E95" i="21"/>
  <c r="F95" i="21"/>
  <c r="E96" i="21"/>
  <c r="F96" i="21"/>
  <c r="E97" i="21"/>
  <c r="F97" i="21"/>
  <c r="E98" i="21"/>
  <c r="F98" i="21"/>
  <c r="E103" i="21"/>
  <c r="F103" i="21"/>
  <c r="E104" i="21"/>
  <c r="F104" i="21"/>
  <c r="E105" i="21"/>
  <c r="F105" i="21"/>
  <c r="E106" i="21"/>
  <c r="F106" i="21"/>
  <c r="E107" i="21"/>
  <c r="F107" i="21"/>
  <c r="E108" i="21"/>
  <c r="F108" i="21"/>
  <c r="E109" i="21"/>
  <c r="F109" i="21"/>
  <c r="E110" i="21"/>
  <c r="F110" i="21"/>
  <c r="E111" i="21"/>
  <c r="F111" i="21"/>
  <c r="E112" i="21"/>
  <c r="F112" i="21"/>
  <c r="E113" i="21"/>
  <c r="F113" i="21"/>
  <c r="E114" i="21"/>
  <c r="F114" i="21"/>
  <c r="E115" i="21"/>
  <c r="F115" i="21"/>
  <c r="E116" i="21"/>
  <c r="F116" i="21"/>
  <c r="E121" i="21"/>
  <c r="F121" i="21"/>
  <c r="E122" i="21"/>
  <c r="F122" i="21"/>
  <c r="E123" i="21"/>
  <c r="F123" i="21"/>
  <c r="E124" i="21"/>
  <c r="F124" i="21"/>
  <c r="E125" i="21"/>
  <c r="F125" i="21"/>
  <c r="E126" i="21"/>
  <c r="F126" i="21"/>
  <c r="E127" i="21"/>
  <c r="F127" i="21"/>
  <c r="E128" i="21"/>
  <c r="F128" i="21"/>
  <c r="E129" i="21"/>
  <c r="F129" i="21"/>
  <c r="E130" i="21"/>
  <c r="F130" i="21"/>
  <c r="E131" i="21"/>
  <c r="F131" i="21"/>
  <c r="E132" i="21"/>
  <c r="F132" i="21"/>
  <c r="E133" i="21"/>
  <c r="F133" i="21"/>
  <c r="E134" i="21"/>
  <c r="F134" i="21"/>
  <c r="E135" i="21"/>
  <c r="F135" i="21"/>
  <c r="E136" i="21"/>
  <c r="F136" i="21"/>
  <c r="E137" i="21"/>
  <c r="F137" i="21"/>
  <c r="E138" i="21"/>
  <c r="F138" i="21"/>
  <c r="E139" i="21"/>
  <c r="F139" i="21"/>
  <c r="E140" i="21"/>
  <c r="F140" i="21"/>
  <c r="E141" i="21"/>
  <c r="F141" i="21"/>
  <c r="E142" i="21"/>
  <c r="F142" i="21"/>
  <c r="F49" i="24"/>
  <c r="E49" i="24"/>
  <c r="F57" i="23"/>
  <c r="E57" i="23"/>
  <c r="F47" i="22"/>
  <c r="E47" i="22"/>
  <c r="F50" i="21"/>
  <c r="E50" i="21"/>
  <c r="E60" i="20"/>
  <c r="F60" i="20"/>
  <c r="E61" i="20"/>
  <c r="F61" i="20"/>
  <c r="E62" i="20"/>
  <c r="F62" i="20"/>
  <c r="E63" i="20"/>
  <c r="F63" i="20"/>
  <c r="E64" i="20"/>
  <c r="F64" i="20"/>
  <c r="E65" i="20"/>
  <c r="F65" i="20"/>
  <c r="E66" i="20"/>
  <c r="F66" i="20"/>
  <c r="E67" i="20"/>
  <c r="F67" i="20"/>
  <c r="E68" i="20"/>
  <c r="F68" i="20"/>
  <c r="E69" i="20"/>
  <c r="F69" i="20"/>
  <c r="E70" i="20"/>
  <c r="F70" i="20"/>
  <c r="E71" i="20"/>
  <c r="F71" i="20"/>
  <c r="E72" i="20"/>
  <c r="F72" i="20"/>
  <c r="E73" i="20"/>
  <c r="F73" i="20"/>
  <c r="E74" i="20"/>
  <c r="F74" i="20"/>
  <c r="E75" i="20"/>
  <c r="F75" i="20"/>
  <c r="E76" i="20"/>
  <c r="F76" i="20"/>
  <c r="E77" i="20"/>
  <c r="F77" i="20"/>
  <c r="E78" i="20"/>
  <c r="F78" i="20"/>
  <c r="E79" i="20"/>
  <c r="F79" i="20"/>
  <c r="E80" i="20"/>
  <c r="F80" i="20"/>
  <c r="E81" i="20"/>
  <c r="F81" i="20"/>
  <c r="E82" i="20"/>
  <c r="F82" i="20"/>
  <c r="E83" i="20"/>
  <c r="F83" i="20"/>
  <c r="E88" i="20"/>
  <c r="F88" i="20"/>
  <c r="E89" i="20"/>
  <c r="F89" i="20"/>
  <c r="E90" i="20"/>
  <c r="F90" i="20"/>
  <c r="E91" i="20"/>
  <c r="F91" i="20"/>
  <c r="E92" i="20"/>
  <c r="F92" i="20"/>
  <c r="E93" i="20"/>
  <c r="F93" i="20"/>
  <c r="E94" i="20"/>
  <c r="F94" i="20"/>
  <c r="E95" i="20"/>
  <c r="F95" i="20"/>
  <c r="E96" i="20"/>
  <c r="F96" i="20"/>
  <c r="E97" i="20"/>
  <c r="F97" i="20"/>
  <c r="E98" i="20"/>
  <c r="F98" i="20"/>
  <c r="E99" i="20"/>
  <c r="F99" i="20"/>
  <c r="E100" i="20"/>
  <c r="F100" i="20"/>
  <c r="E101" i="20"/>
  <c r="F101" i="20"/>
  <c r="E102" i="20"/>
  <c r="F102" i="20"/>
  <c r="E107" i="20"/>
  <c r="F107" i="20"/>
  <c r="E108" i="20"/>
  <c r="F108" i="20"/>
  <c r="E109" i="20"/>
  <c r="F109" i="20"/>
  <c r="E110" i="20"/>
  <c r="F110" i="20"/>
  <c r="E111" i="20"/>
  <c r="F111" i="20"/>
  <c r="E112" i="20"/>
  <c r="F112" i="20"/>
  <c r="E113" i="20"/>
  <c r="F113" i="20"/>
  <c r="E114" i="20"/>
  <c r="F114" i="20"/>
  <c r="E115" i="20"/>
  <c r="F115" i="20"/>
  <c r="E116" i="20"/>
  <c r="F116" i="20"/>
  <c r="E121" i="20"/>
  <c r="F121" i="20"/>
  <c r="E122" i="20"/>
  <c r="F122" i="20"/>
  <c r="E123" i="20"/>
  <c r="F123" i="20"/>
  <c r="E124" i="20"/>
  <c r="F124" i="20"/>
  <c r="E125" i="20"/>
  <c r="F125" i="20"/>
  <c r="E126" i="20"/>
  <c r="F126" i="20"/>
  <c r="E127" i="20"/>
  <c r="F127" i="20"/>
  <c r="E128" i="20"/>
  <c r="F128" i="20"/>
  <c r="E129" i="20"/>
  <c r="F129" i="20"/>
  <c r="E130" i="20"/>
  <c r="F130" i="20"/>
  <c r="E131" i="20"/>
  <c r="F131" i="20"/>
  <c r="E132" i="20"/>
  <c r="F132" i="20"/>
  <c r="E133" i="20"/>
  <c r="F133" i="20"/>
  <c r="E134" i="20"/>
  <c r="F134" i="20"/>
  <c r="E135" i="20"/>
  <c r="F135" i="20"/>
  <c r="E136" i="20"/>
  <c r="F136" i="20"/>
  <c r="E137" i="20"/>
  <c r="F137" i="20"/>
  <c r="E138" i="20"/>
  <c r="F138" i="20"/>
  <c r="E139" i="20"/>
  <c r="F139" i="20"/>
  <c r="E140" i="20"/>
  <c r="F140" i="20"/>
  <c r="E141" i="20"/>
  <c r="F141" i="20"/>
  <c r="E142" i="20"/>
  <c r="F142" i="20"/>
  <c r="E143" i="20"/>
  <c r="F143" i="20"/>
  <c r="E144" i="20"/>
  <c r="F144" i="20"/>
  <c r="E145" i="20"/>
  <c r="F145" i="20"/>
  <c r="E146" i="20"/>
  <c r="F146" i="20"/>
  <c r="E147" i="20"/>
  <c r="F147" i="20"/>
  <c r="E148" i="20"/>
  <c r="F148" i="20"/>
  <c r="E149" i="20"/>
  <c r="F149" i="20"/>
  <c r="E150" i="20"/>
  <c r="F150" i="20"/>
  <c r="E151" i="20"/>
  <c r="F151" i="20"/>
  <c r="E152" i="20"/>
  <c r="F152" i="20"/>
  <c r="E153" i="20"/>
  <c r="F153" i="20"/>
  <c r="E154" i="20"/>
  <c r="F154" i="20"/>
  <c r="E155" i="20"/>
  <c r="F155" i="20"/>
  <c r="E156" i="20"/>
  <c r="F156" i="20"/>
  <c r="E157" i="20"/>
  <c r="F157" i="20"/>
  <c r="E158" i="20"/>
  <c r="F158" i="20"/>
  <c r="E159" i="20"/>
  <c r="F159" i="20"/>
  <c r="E160" i="20"/>
  <c r="F160" i="20"/>
  <c r="F59" i="20"/>
  <c r="E59" i="20"/>
  <c r="E52" i="19"/>
  <c r="F52" i="19"/>
  <c r="E53" i="19"/>
  <c r="F53" i="19"/>
  <c r="E54" i="19"/>
  <c r="F54" i="19"/>
  <c r="E55" i="19"/>
  <c r="F55" i="19"/>
  <c r="E56" i="19"/>
  <c r="F56" i="19"/>
  <c r="E57" i="19"/>
  <c r="F57" i="19"/>
  <c r="E62" i="19"/>
  <c r="F62" i="19"/>
  <c r="E63" i="19"/>
  <c r="F63" i="19"/>
  <c r="E64" i="19"/>
  <c r="F64" i="19"/>
  <c r="E65" i="19"/>
  <c r="F65" i="19"/>
  <c r="E66" i="19"/>
  <c r="F66" i="19"/>
  <c r="E67" i="19"/>
  <c r="F67" i="19"/>
  <c r="E68" i="19"/>
  <c r="F68" i="19"/>
  <c r="E69" i="19"/>
  <c r="F69" i="19"/>
  <c r="E70" i="19"/>
  <c r="F70" i="19"/>
  <c r="E71" i="19"/>
  <c r="F71" i="19"/>
  <c r="E72" i="19"/>
  <c r="F72" i="19"/>
  <c r="E73" i="19"/>
  <c r="F73" i="19"/>
  <c r="E74" i="19"/>
  <c r="F74" i="19"/>
  <c r="E75" i="19"/>
  <c r="F75" i="19"/>
  <c r="E76" i="19"/>
  <c r="F76" i="19"/>
  <c r="E77" i="19"/>
  <c r="F77" i="19"/>
  <c r="E78" i="19"/>
  <c r="F78" i="19"/>
  <c r="E83" i="19"/>
  <c r="F83" i="19"/>
  <c r="E88" i="19"/>
  <c r="F88" i="19"/>
  <c r="E89" i="19"/>
  <c r="F89" i="19"/>
  <c r="E90" i="19"/>
  <c r="F90" i="19"/>
  <c r="E91" i="19"/>
  <c r="F91" i="19"/>
  <c r="E92" i="19"/>
  <c r="F92" i="19"/>
  <c r="E93" i="19"/>
  <c r="F93" i="19"/>
  <c r="E94" i="19"/>
  <c r="F94" i="19"/>
  <c r="E95" i="19"/>
  <c r="F95" i="19"/>
  <c r="E96" i="19"/>
  <c r="F96" i="19"/>
  <c r="E97" i="19"/>
  <c r="F97" i="19"/>
  <c r="E98" i="19"/>
  <c r="F98" i="19"/>
  <c r="E99" i="19"/>
  <c r="F99" i="19"/>
  <c r="E100" i="19"/>
  <c r="F100" i="19"/>
  <c r="E101" i="19"/>
  <c r="F101" i="19"/>
  <c r="E102" i="19"/>
  <c r="F102" i="19"/>
  <c r="E103" i="19"/>
  <c r="F103" i="19"/>
  <c r="F51" i="19"/>
  <c r="E51" i="19"/>
  <c r="E45" i="18"/>
  <c r="F45" i="18"/>
  <c r="E46" i="18"/>
  <c r="F46" i="18"/>
  <c r="E47" i="18"/>
  <c r="F47" i="18"/>
  <c r="E52" i="18"/>
  <c r="F52" i="18"/>
  <c r="E53" i="18"/>
  <c r="F53" i="18"/>
  <c r="E54" i="18"/>
  <c r="F54" i="18"/>
  <c r="E55" i="18"/>
  <c r="F55" i="18"/>
  <c r="E56" i="18"/>
  <c r="F56" i="18"/>
  <c r="E57" i="18"/>
  <c r="F57" i="18"/>
  <c r="E58" i="18"/>
  <c r="F58" i="18"/>
  <c r="E59" i="18"/>
  <c r="F59" i="18"/>
  <c r="E60" i="18"/>
  <c r="F60" i="18"/>
  <c r="E61" i="18"/>
  <c r="F61" i="18"/>
  <c r="E62" i="18"/>
  <c r="F62" i="18"/>
  <c r="E63" i="18"/>
  <c r="F63" i="18"/>
  <c r="E64" i="18"/>
  <c r="F64" i="18"/>
  <c r="E65" i="18"/>
  <c r="F65" i="18"/>
  <c r="E66" i="18"/>
  <c r="F66" i="18"/>
  <c r="E67" i="18"/>
  <c r="F67" i="18"/>
  <c r="E68" i="18"/>
  <c r="F68" i="18"/>
  <c r="E69" i="18"/>
  <c r="F69" i="18"/>
  <c r="E70" i="18"/>
  <c r="F70" i="18"/>
  <c r="E75" i="18"/>
  <c r="F75" i="18"/>
  <c r="E76" i="18"/>
  <c r="F76" i="18"/>
  <c r="E77" i="18"/>
  <c r="F77" i="18"/>
  <c r="E78" i="18"/>
  <c r="F78" i="18"/>
  <c r="E79" i="18"/>
  <c r="F79" i="18"/>
  <c r="E80" i="18"/>
  <c r="F80" i="18"/>
  <c r="E81" i="18"/>
  <c r="F81" i="18"/>
  <c r="E82" i="18"/>
  <c r="F82" i="18"/>
  <c r="E83" i="18"/>
  <c r="F83" i="18"/>
  <c r="E84" i="18"/>
  <c r="F84" i="18"/>
  <c r="E85" i="18"/>
  <c r="F85" i="18"/>
  <c r="E86" i="18"/>
  <c r="F86" i="18"/>
  <c r="E87" i="18"/>
  <c r="F87" i="18"/>
  <c r="E92" i="18"/>
  <c r="F92" i="18"/>
  <c r="E93" i="18"/>
  <c r="F93" i="18"/>
  <c r="E94" i="18"/>
  <c r="F94" i="18"/>
  <c r="E95" i="18"/>
  <c r="F95" i="18"/>
  <c r="E96" i="18"/>
  <c r="F96" i="18"/>
  <c r="E97" i="18"/>
  <c r="F97" i="18"/>
  <c r="E98" i="18"/>
  <c r="F98" i="18"/>
  <c r="E99" i="18"/>
  <c r="F99" i="18"/>
  <c r="E100" i="18"/>
  <c r="F100" i="18"/>
  <c r="E101" i="18"/>
  <c r="F101" i="18"/>
  <c r="E102" i="18"/>
  <c r="F102" i="18"/>
  <c r="F44" i="18"/>
  <c r="E44" i="18"/>
  <c r="E54" i="17"/>
  <c r="F54" i="17"/>
  <c r="E55" i="17"/>
  <c r="F55" i="17"/>
  <c r="E56" i="17"/>
  <c r="F56" i="17"/>
  <c r="E57" i="17"/>
  <c r="F57" i="17"/>
  <c r="E58" i="17"/>
  <c r="F58" i="17"/>
  <c r="E59" i="17"/>
  <c r="F59" i="17"/>
  <c r="E60" i="17"/>
  <c r="F60" i="17"/>
  <c r="E61" i="17"/>
  <c r="F61" i="17"/>
  <c r="E62" i="17"/>
  <c r="F62" i="17"/>
  <c r="E63" i="17"/>
  <c r="F63" i="17"/>
  <c r="E64" i="17"/>
  <c r="F64" i="17"/>
  <c r="E65" i="17"/>
  <c r="F65" i="17"/>
  <c r="E70" i="17"/>
  <c r="F70" i="17"/>
  <c r="E71" i="17"/>
  <c r="F71" i="17"/>
  <c r="E72" i="17"/>
  <c r="F72" i="17"/>
  <c r="E73" i="17"/>
  <c r="F73" i="17"/>
  <c r="E74" i="17"/>
  <c r="F74" i="17"/>
  <c r="E75" i="17"/>
  <c r="F75" i="17"/>
  <c r="E76" i="17"/>
  <c r="F76" i="17"/>
  <c r="E77" i="17"/>
  <c r="F77" i="17"/>
  <c r="E78" i="17"/>
  <c r="F78" i="17"/>
  <c r="E79" i="17"/>
  <c r="F79" i="17"/>
  <c r="E80" i="17"/>
  <c r="F80" i="17"/>
  <c r="E85" i="17"/>
  <c r="F85" i="17"/>
  <c r="E86" i="17"/>
  <c r="F86" i="17"/>
  <c r="E87" i="17"/>
  <c r="F87" i="17"/>
  <c r="E88" i="17"/>
  <c r="F88" i="17"/>
  <c r="E89" i="17"/>
  <c r="F89" i="17"/>
  <c r="E90" i="17"/>
  <c r="F90" i="17"/>
  <c r="E91" i="17"/>
  <c r="F91" i="17"/>
  <c r="E92" i="17"/>
  <c r="F92" i="17"/>
  <c r="E93" i="17"/>
  <c r="F93" i="17"/>
  <c r="E94" i="17"/>
  <c r="F94" i="17"/>
  <c r="E95" i="17"/>
  <c r="F95" i="17"/>
  <c r="E96" i="17"/>
  <c r="F96" i="17"/>
  <c r="E97" i="17"/>
  <c r="F97" i="17"/>
  <c r="E98" i="17"/>
  <c r="F98" i="17"/>
  <c r="E99" i="17"/>
  <c r="F99" i="17"/>
  <c r="E100" i="17"/>
  <c r="F100" i="17"/>
  <c r="E101" i="17"/>
  <c r="F101" i="17"/>
  <c r="E102" i="17"/>
  <c r="F102" i="17"/>
  <c r="E103" i="17"/>
  <c r="F103" i="17"/>
  <c r="E104" i="17"/>
  <c r="F104" i="17"/>
  <c r="E109" i="17"/>
  <c r="F109" i="17"/>
  <c r="E110" i="17"/>
  <c r="F110" i="17"/>
  <c r="E111" i="17"/>
  <c r="F111" i="17"/>
  <c r="E112" i="17"/>
  <c r="F112" i="17"/>
  <c r="E113" i="17"/>
  <c r="F113" i="17"/>
  <c r="E114" i="17"/>
  <c r="F114" i="17"/>
  <c r="E115" i="17"/>
  <c r="F115" i="17"/>
  <c r="E116" i="17"/>
  <c r="F116" i="17"/>
  <c r="E117" i="17"/>
  <c r="F117" i="17"/>
  <c r="E118" i="17"/>
  <c r="F118" i="17"/>
  <c r="E119" i="17"/>
  <c r="F119" i="17"/>
  <c r="E120" i="17"/>
  <c r="F120" i="17"/>
  <c r="E121" i="17"/>
  <c r="F121" i="17"/>
  <c r="E122" i="17"/>
  <c r="F122" i="17"/>
  <c r="E123" i="17"/>
  <c r="F123" i="17"/>
  <c r="E124" i="17"/>
  <c r="F124" i="17"/>
  <c r="E125" i="17"/>
  <c r="F125" i="17"/>
  <c r="E126" i="17"/>
  <c r="F126" i="17"/>
  <c r="E127" i="17"/>
  <c r="F127" i="17"/>
  <c r="E128" i="17"/>
  <c r="F128" i="17"/>
  <c r="F53" i="17"/>
  <c r="E53" i="17"/>
  <c r="E37" i="16"/>
  <c r="F37" i="16"/>
  <c r="E38" i="16"/>
  <c r="F38" i="16"/>
  <c r="E39" i="16"/>
  <c r="F39" i="16"/>
  <c r="E40" i="16"/>
  <c r="F40" i="16"/>
  <c r="E41" i="16"/>
  <c r="F41" i="16"/>
  <c r="E42" i="16"/>
  <c r="F42" i="16"/>
  <c r="E43" i="16"/>
  <c r="F43" i="16"/>
  <c r="E44" i="16"/>
  <c r="F44" i="16"/>
  <c r="E45" i="16"/>
  <c r="F45" i="16"/>
  <c r="E46" i="16"/>
  <c r="F46" i="16"/>
  <c r="E47" i="16"/>
  <c r="F47" i="16"/>
  <c r="E48" i="16"/>
  <c r="F48" i="16"/>
  <c r="E49" i="16"/>
  <c r="F49" i="16"/>
  <c r="E50" i="16"/>
  <c r="F50" i="16"/>
  <c r="E55" i="16"/>
  <c r="F55" i="16"/>
  <c r="E56" i="16"/>
  <c r="F56" i="16"/>
  <c r="E57" i="16"/>
  <c r="F57" i="16"/>
  <c r="E58" i="16"/>
  <c r="F58" i="16"/>
  <c r="E59" i="16"/>
  <c r="F59" i="16"/>
  <c r="E60" i="16"/>
  <c r="F60" i="16"/>
  <c r="E61" i="16"/>
  <c r="F61" i="16"/>
  <c r="E62" i="16"/>
  <c r="F62" i="16"/>
  <c r="E63" i="16"/>
  <c r="F63" i="16"/>
  <c r="E64" i="16"/>
  <c r="F64" i="16"/>
  <c r="E65" i="16"/>
  <c r="F65" i="16"/>
  <c r="E66" i="16"/>
  <c r="F66" i="16"/>
  <c r="E67" i="16"/>
  <c r="F67" i="16"/>
  <c r="E68" i="16"/>
  <c r="F68" i="16"/>
  <c r="E69" i="16"/>
  <c r="F69" i="16"/>
  <c r="E70" i="16"/>
  <c r="F70" i="16"/>
  <c r="E71" i="16"/>
  <c r="F71" i="16"/>
  <c r="E72" i="16"/>
  <c r="F72" i="16"/>
  <c r="E73" i="16"/>
  <c r="F73" i="16"/>
  <c r="E74" i="16"/>
  <c r="F74" i="16"/>
  <c r="E75" i="16"/>
  <c r="F75" i="16"/>
  <c r="E76" i="16"/>
  <c r="F76" i="16"/>
  <c r="E77" i="16"/>
  <c r="F77" i="16"/>
  <c r="E78" i="16"/>
  <c r="F78" i="16"/>
  <c r="E79" i="16"/>
  <c r="F79" i="16"/>
  <c r="E80" i="16"/>
  <c r="F80" i="16"/>
  <c r="E81" i="16"/>
  <c r="F81" i="16"/>
  <c r="E86" i="16"/>
  <c r="F86" i="16"/>
  <c r="E87" i="16"/>
  <c r="F87" i="16"/>
  <c r="E88" i="16"/>
  <c r="F88" i="16"/>
  <c r="E89" i="16"/>
  <c r="F89" i="16"/>
  <c r="E90" i="16"/>
  <c r="F90" i="16"/>
  <c r="E91" i="16"/>
  <c r="F91" i="16"/>
  <c r="E92" i="16"/>
  <c r="F92" i="16"/>
  <c r="E93" i="16"/>
  <c r="F93" i="16"/>
  <c r="E94" i="16"/>
  <c r="F94" i="16"/>
  <c r="E95" i="16"/>
  <c r="F95" i="16"/>
  <c r="E96" i="16"/>
  <c r="F96" i="16"/>
  <c r="E97" i="16"/>
  <c r="F97" i="16"/>
  <c r="E98" i="16"/>
  <c r="F98" i="16"/>
  <c r="E99" i="16"/>
  <c r="F99" i="16"/>
  <c r="E100" i="16"/>
  <c r="F100" i="16"/>
  <c r="E101" i="16"/>
  <c r="F101" i="16"/>
  <c r="E102" i="16"/>
  <c r="F102" i="16"/>
  <c r="E103" i="16"/>
  <c r="F103" i="16"/>
  <c r="E104" i="16"/>
  <c r="F104" i="16"/>
  <c r="E105" i="16"/>
  <c r="F105" i="16"/>
  <c r="E106" i="16"/>
  <c r="F106" i="16"/>
  <c r="E107" i="16"/>
  <c r="F107" i="16"/>
  <c r="E108" i="16"/>
  <c r="F108" i="16"/>
  <c r="E109" i="16"/>
  <c r="F109" i="16"/>
  <c r="E110" i="16"/>
  <c r="F110" i="16"/>
  <c r="E111" i="16"/>
  <c r="F111" i="16"/>
  <c r="E112" i="16"/>
  <c r="F112" i="16"/>
  <c r="E113" i="16"/>
  <c r="F113" i="16"/>
  <c r="E114" i="16"/>
  <c r="F114" i="16"/>
  <c r="E115" i="16"/>
  <c r="F115" i="16"/>
  <c r="E120" i="16"/>
  <c r="F120" i="16"/>
  <c r="E121" i="16"/>
  <c r="F121" i="16"/>
  <c r="E122" i="16"/>
  <c r="F122" i="16"/>
  <c r="E123" i="16"/>
  <c r="F123" i="16"/>
  <c r="E124" i="16"/>
  <c r="F124" i="16"/>
  <c r="E125" i="16"/>
  <c r="F125" i="16"/>
  <c r="E126" i="16"/>
  <c r="F126" i="16"/>
  <c r="E127" i="16"/>
  <c r="F127" i="16"/>
  <c r="E128" i="16"/>
  <c r="F128" i="16"/>
  <c r="E129" i="16"/>
  <c r="F129" i="16"/>
  <c r="E130" i="16"/>
  <c r="F130" i="16"/>
  <c r="E131" i="16"/>
  <c r="F131" i="16"/>
  <c r="E132" i="16"/>
  <c r="F132" i="16"/>
  <c r="E133" i="16"/>
  <c r="F133" i="16"/>
  <c r="E134" i="16"/>
  <c r="F134" i="16"/>
  <c r="E135" i="16"/>
  <c r="F135" i="16"/>
  <c r="E136" i="16"/>
  <c r="F136" i="16"/>
  <c r="E137" i="16"/>
  <c r="F137" i="16"/>
  <c r="E138" i="16"/>
  <c r="F138" i="16"/>
  <c r="E139" i="16"/>
  <c r="F139" i="16"/>
  <c r="E140" i="16"/>
  <c r="F140" i="16"/>
  <c r="E141" i="16"/>
  <c r="F141" i="16"/>
  <c r="E35" i="16"/>
  <c r="F35" i="16"/>
  <c r="E36" i="16"/>
  <c r="F36" i="16"/>
  <c r="F34" i="16"/>
  <c r="E34" i="16"/>
  <c r="M6" i="7"/>
  <c r="F186" i="29"/>
  <c r="F185" i="29"/>
  <c r="F184" i="29"/>
  <c r="F183" i="29"/>
  <c r="F182" i="29"/>
  <c r="F181" i="29"/>
  <c r="F180" i="29"/>
  <c r="F179" i="29"/>
  <c r="E178" i="29"/>
  <c r="F177" i="29"/>
  <c r="F176" i="29"/>
  <c r="F175" i="29"/>
  <c r="F174" i="29"/>
  <c r="E173" i="29"/>
  <c r="F172" i="29"/>
  <c r="F171" i="29"/>
  <c r="F170" i="29"/>
  <c r="F169" i="29"/>
  <c r="F168" i="29"/>
  <c r="F167" i="29"/>
  <c r="F166" i="29"/>
  <c r="E165" i="29"/>
  <c r="F164" i="29"/>
  <c r="F163" i="29"/>
  <c r="F162" i="29"/>
  <c r="F161" i="29"/>
  <c r="F160" i="29"/>
  <c r="F159" i="29"/>
  <c r="F158" i="29"/>
  <c r="F157" i="29"/>
  <c r="F156" i="29"/>
  <c r="F155" i="29"/>
  <c r="F154" i="29"/>
  <c r="F153" i="29"/>
  <c r="F152" i="29"/>
  <c r="F151" i="29"/>
  <c r="F150" i="29"/>
  <c r="F149" i="29"/>
  <c r="F148" i="29"/>
  <c r="F147" i="29"/>
  <c r="F142" i="29"/>
  <c r="F141" i="29"/>
  <c r="F140" i="29"/>
  <c r="E139" i="29"/>
  <c r="E138" i="29"/>
  <c r="E137" i="29"/>
  <c r="F136" i="29"/>
  <c r="F135" i="29"/>
  <c r="F134" i="29"/>
  <c r="F133" i="29"/>
  <c r="F132" i="29"/>
  <c r="E131" i="29"/>
  <c r="E130" i="29"/>
  <c r="F129" i="29"/>
  <c r="F128" i="29"/>
  <c r="F127" i="29"/>
  <c r="F126" i="29"/>
  <c r="F125" i="29"/>
  <c r="F124" i="29"/>
  <c r="F123" i="29"/>
  <c r="F122" i="29"/>
  <c r="E121" i="29"/>
  <c r="E120" i="29"/>
  <c r="F119" i="29"/>
  <c r="F118" i="29"/>
  <c r="F117" i="29"/>
  <c r="F116" i="29"/>
  <c r="F115" i="29"/>
  <c r="F110" i="29"/>
  <c r="E109" i="29"/>
  <c r="F108" i="29"/>
  <c r="F107" i="29"/>
  <c r="E106" i="29"/>
  <c r="E105" i="29"/>
  <c r="E104" i="29"/>
  <c r="F103" i="29"/>
  <c r="E102" i="29"/>
  <c r="F101" i="29"/>
  <c r="F100" i="29"/>
  <c r="F99" i="29"/>
  <c r="F98" i="29"/>
  <c r="F97" i="29"/>
  <c r="F96" i="29"/>
  <c r="F95" i="29"/>
  <c r="F94" i="29"/>
  <c r="F93" i="29"/>
  <c r="F92" i="29"/>
  <c r="E87" i="29"/>
  <c r="E86" i="29"/>
  <c r="E85" i="29"/>
  <c r="F84" i="29"/>
  <c r="F83" i="29"/>
  <c r="F82" i="29"/>
  <c r="F81" i="29"/>
  <c r="E80" i="29"/>
  <c r="F79" i="29"/>
  <c r="E78" i="29"/>
  <c r="F77" i="29"/>
  <c r="F76" i="29"/>
  <c r="F75" i="29"/>
  <c r="F74" i="29"/>
  <c r="F73" i="29"/>
  <c r="E72" i="29"/>
  <c r="E71" i="29"/>
  <c r="E70" i="29"/>
  <c r="E69" i="29"/>
  <c r="F68" i="29"/>
  <c r="E67" i="29"/>
  <c r="F66" i="29"/>
  <c r="F65" i="29"/>
  <c r="E64" i="29"/>
  <c r="E63" i="29"/>
  <c r="M9" i="29"/>
  <c r="L9" i="29"/>
  <c r="J9" i="29"/>
  <c r="I9" i="29"/>
  <c r="M8" i="29"/>
  <c r="L8" i="29"/>
  <c r="J8" i="29"/>
  <c r="I8" i="29"/>
  <c r="M7" i="29"/>
  <c r="L7" i="29"/>
  <c r="J7" i="29"/>
  <c r="I7" i="29"/>
  <c r="M6" i="29"/>
  <c r="L6" i="29"/>
  <c r="J6" i="29"/>
  <c r="I6" i="29"/>
  <c r="E152" i="28"/>
  <c r="F151" i="28"/>
  <c r="F150" i="28"/>
  <c r="E149" i="28"/>
  <c r="E148" i="28"/>
  <c r="F147" i="28"/>
  <c r="F146" i="28"/>
  <c r="F145" i="28"/>
  <c r="F144" i="28"/>
  <c r="F143" i="28"/>
  <c r="F142" i="28"/>
  <c r="F141" i="28"/>
  <c r="F140" i="28"/>
  <c r="F139" i="28"/>
  <c r="F138" i="28"/>
  <c r="F137" i="28"/>
  <c r="F136" i="28"/>
  <c r="F135" i="28"/>
  <c r="F134" i="28"/>
  <c r="F133" i="28"/>
  <c r="F132" i="28"/>
  <c r="F131" i="28"/>
  <c r="F130" i="28"/>
  <c r="F129" i="28"/>
  <c r="F128" i="28"/>
  <c r="F127" i="28"/>
  <c r="F126" i="28"/>
  <c r="F125" i="28"/>
  <c r="F124" i="28"/>
  <c r="F123" i="28"/>
  <c r="E122" i="28"/>
  <c r="F121" i="28"/>
  <c r="F120" i="28"/>
  <c r="F119" i="28"/>
  <c r="E118" i="28"/>
  <c r="F113" i="28"/>
  <c r="F112" i="28"/>
  <c r="F111" i="28"/>
  <c r="F110" i="28"/>
  <c r="F109" i="28"/>
  <c r="F108" i="28"/>
  <c r="F107" i="28"/>
  <c r="F106" i="28"/>
  <c r="F105" i="28"/>
  <c r="F104" i="28"/>
  <c r="F103" i="28"/>
  <c r="F102" i="28"/>
  <c r="F101" i="28"/>
  <c r="F100" i="28"/>
  <c r="F99" i="28"/>
  <c r="F98" i="28"/>
  <c r="F97" i="28"/>
  <c r="F96" i="28"/>
  <c r="F95" i="28"/>
  <c r="F94" i="28"/>
  <c r="F89" i="28"/>
  <c r="F88" i="28"/>
  <c r="F87" i="28"/>
  <c r="F86" i="28"/>
  <c r="F85" i="28"/>
  <c r="F84" i="28"/>
  <c r="F83" i="28"/>
  <c r="E82" i="28"/>
  <c r="F81" i="28"/>
  <c r="E80" i="28"/>
  <c r="F79" i="28"/>
  <c r="F78" i="28"/>
  <c r="F77" i="28"/>
  <c r="F76" i="28"/>
  <c r="F75" i="28"/>
  <c r="F74" i="28"/>
  <c r="F73" i="28"/>
  <c r="F72" i="28"/>
  <c r="F71" i="28"/>
  <c r="F70" i="28"/>
  <c r="F69" i="28"/>
  <c r="E68" i="28"/>
  <c r="F67" i="28"/>
  <c r="E66" i="28"/>
  <c r="E65" i="28"/>
  <c r="F64" i="28"/>
  <c r="F59" i="28"/>
  <c r="F58" i="28"/>
  <c r="E57" i="28"/>
  <c r="F56" i="28"/>
  <c r="E55" i="28"/>
  <c r="F54" i="28"/>
  <c r="E53" i="28"/>
  <c r="F52" i="28"/>
  <c r="F51" i="28"/>
  <c r="E50" i="28"/>
  <c r="F49" i="28"/>
  <c r="F48" i="28"/>
  <c r="F47" i="28"/>
  <c r="F46" i="28"/>
  <c r="E45" i="28"/>
  <c r="F44" i="28"/>
  <c r="F43" i="28"/>
  <c r="F42" i="28"/>
  <c r="F41" i="28"/>
  <c r="F40" i="28"/>
  <c r="M9" i="28"/>
  <c r="L9" i="28"/>
  <c r="J9" i="28"/>
  <c r="I9" i="28"/>
  <c r="M8" i="28"/>
  <c r="L8" i="28"/>
  <c r="J8" i="28"/>
  <c r="I8" i="28"/>
  <c r="M7" i="28"/>
  <c r="L7" i="28"/>
  <c r="J7" i="28"/>
  <c r="I7" i="28"/>
  <c r="M6" i="28"/>
  <c r="L6" i="28"/>
  <c r="J6" i="28"/>
  <c r="I6" i="28"/>
  <c r="F108" i="27"/>
  <c r="F107" i="27"/>
  <c r="F106" i="27"/>
  <c r="F105" i="27"/>
  <c r="F104" i="27"/>
  <c r="F103" i="27"/>
  <c r="F102" i="27"/>
  <c r="F101" i="27"/>
  <c r="F100" i="27"/>
  <c r="F99" i="27"/>
  <c r="E98" i="27"/>
  <c r="F97" i="27"/>
  <c r="F96" i="27"/>
  <c r="F95" i="27"/>
  <c r="F94" i="27"/>
  <c r="F93" i="27"/>
  <c r="F92" i="27"/>
  <c r="F91" i="27"/>
  <c r="F90" i="27"/>
  <c r="F89" i="27"/>
  <c r="E88" i="27"/>
  <c r="E87" i="27"/>
  <c r="E86" i="27"/>
  <c r="F85" i="27"/>
  <c r="F84" i="27"/>
  <c r="F79" i="27"/>
  <c r="F78" i="27"/>
  <c r="F77" i="27"/>
  <c r="F76" i="27"/>
  <c r="F75" i="27"/>
  <c r="F74" i="27"/>
  <c r="F73" i="27"/>
  <c r="F72" i="27"/>
  <c r="F71" i="27"/>
  <c r="F70" i="27"/>
  <c r="F69" i="27"/>
  <c r="F68" i="27"/>
  <c r="F67" i="27"/>
  <c r="F66" i="27"/>
  <c r="F65" i="27"/>
  <c r="F64" i="27"/>
  <c r="F63" i="27"/>
  <c r="F62" i="27"/>
  <c r="F61" i="27"/>
  <c r="F60" i="27"/>
  <c r="F59" i="27"/>
  <c r="F58" i="27"/>
  <c r="F57" i="27"/>
  <c r="F56" i="27"/>
  <c r="F55" i="27"/>
  <c r="F54" i="27"/>
  <c r="F53" i="27"/>
  <c r="F52" i="27"/>
  <c r="F51" i="27"/>
  <c r="F46" i="27"/>
  <c r="F45" i="27"/>
  <c r="E44" i="27"/>
  <c r="E43" i="27"/>
  <c r="F42" i="27"/>
  <c r="F41" i="27"/>
  <c r="F40" i="27"/>
  <c r="E39" i="27"/>
  <c r="F38" i="27"/>
  <c r="F37" i="27"/>
  <c r="E36" i="27"/>
  <c r="E35" i="27"/>
  <c r="F34" i="27"/>
  <c r="F33" i="27"/>
  <c r="M8" i="27"/>
  <c r="L8" i="27"/>
  <c r="J8" i="27"/>
  <c r="I8" i="27"/>
  <c r="M7" i="27"/>
  <c r="L7" i="27"/>
  <c r="J7" i="27"/>
  <c r="I7" i="27"/>
  <c r="M6" i="27"/>
  <c r="L6" i="27"/>
  <c r="J6" i="27"/>
  <c r="I6" i="27"/>
  <c r="F168" i="26"/>
  <c r="F167" i="26"/>
  <c r="F166" i="26"/>
  <c r="E165" i="26"/>
  <c r="E164" i="26"/>
  <c r="F163" i="26"/>
  <c r="F162" i="26"/>
  <c r="F161" i="26"/>
  <c r="E160" i="26"/>
  <c r="F159" i="26"/>
  <c r="F158" i="26"/>
  <c r="E157" i="26"/>
  <c r="E156" i="26"/>
  <c r="E155" i="26"/>
  <c r="F154" i="26"/>
  <c r="F153" i="26"/>
  <c r="F152" i="26"/>
  <c r="F151" i="26"/>
  <c r="F150" i="26"/>
  <c r="F149" i="26"/>
  <c r="F148" i="26"/>
  <c r="F143" i="26"/>
  <c r="F142" i="26"/>
  <c r="F141" i="26"/>
  <c r="F140" i="26"/>
  <c r="F139" i="26"/>
  <c r="F138" i="26"/>
  <c r="F137" i="26"/>
  <c r="F136" i="26"/>
  <c r="F135" i="26"/>
  <c r="F134" i="26"/>
  <c r="F133" i="26"/>
  <c r="F132" i="26"/>
  <c r="F131" i="26"/>
  <c r="F130" i="26"/>
  <c r="F129" i="26"/>
  <c r="F128" i="26"/>
  <c r="F127" i="26"/>
  <c r="F126" i="26"/>
  <c r="E125" i="26"/>
  <c r="F124" i="26"/>
  <c r="F123" i="26"/>
  <c r="E122" i="26"/>
  <c r="E121" i="26"/>
  <c r="F120" i="26"/>
  <c r="F119" i="26"/>
  <c r="F118" i="26"/>
  <c r="F117" i="26"/>
  <c r="F116" i="26"/>
  <c r="F115" i="26"/>
  <c r="F114" i="26"/>
  <c r="F113" i="26"/>
  <c r="F112" i="26"/>
  <c r="F111" i="26"/>
  <c r="F110" i="26"/>
  <c r="F109" i="26"/>
  <c r="F108" i="26"/>
  <c r="F107" i="26"/>
  <c r="E102" i="26"/>
  <c r="E101" i="26"/>
  <c r="E100" i="26"/>
  <c r="E99" i="26"/>
  <c r="F98" i="26"/>
  <c r="F97" i="26"/>
  <c r="E96" i="26"/>
  <c r="F95" i="26"/>
  <c r="E94" i="26"/>
  <c r="F93" i="26"/>
  <c r="F92" i="26"/>
  <c r="F91" i="26"/>
  <c r="F90" i="26"/>
  <c r="E89" i="26"/>
  <c r="E88" i="26"/>
  <c r="E87" i="26"/>
  <c r="E86" i="26"/>
  <c r="F85" i="26"/>
  <c r="E84" i="26"/>
  <c r="F83" i="26"/>
  <c r="F82" i="26"/>
  <c r="E81" i="26"/>
  <c r="F80" i="26"/>
  <c r="F79" i="26"/>
  <c r="F78" i="26"/>
  <c r="F77" i="26"/>
  <c r="F72" i="26"/>
  <c r="F71" i="26"/>
  <c r="F70" i="26"/>
  <c r="F69" i="26"/>
  <c r="F68" i="26"/>
  <c r="E67" i="26"/>
  <c r="E66" i="26"/>
  <c r="E65" i="26"/>
  <c r="E64" i="26"/>
  <c r="E63" i="26"/>
  <c r="E62" i="26"/>
  <c r="F61" i="26"/>
  <c r="E61" i="26"/>
  <c r="E60" i="26"/>
  <c r="E59" i="26"/>
  <c r="F58" i="26"/>
  <c r="E57" i="26"/>
  <c r="E56" i="26"/>
  <c r="F55" i="26"/>
  <c r="F54" i="26"/>
  <c r="E53" i="26"/>
  <c r="F52" i="26"/>
  <c r="F51" i="26"/>
  <c r="F50" i="26"/>
  <c r="F49" i="26"/>
  <c r="F48" i="26"/>
  <c r="F47" i="26"/>
  <c r="F46" i="26"/>
  <c r="F45" i="26"/>
  <c r="F44" i="26"/>
  <c r="F43" i="26"/>
  <c r="F42" i="26"/>
  <c r="F41" i="26"/>
  <c r="M9" i="26"/>
  <c r="L9" i="26"/>
  <c r="J9" i="26"/>
  <c r="I9" i="26"/>
  <c r="M8" i="26"/>
  <c r="L8" i="26"/>
  <c r="J8" i="26"/>
  <c r="I8" i="26"/>
  <c r="M7" i="26"/>
  <c r="L7" i="26"/>
  <c r="J7" i="26"/>
  <c r="I7" i="26"/>
  <c r="M6" i="26"/>
  <c r="L6" i="26"/>
  <c r="J6" i="26"/>
  <c r="I6" i="26"/>
  <c r="E154" i="25"/>
  <c r="F153" i="25"/>
  <c r="E152" i="25"/>
  <c r="F151" i="25"/>
  <c r="E150" i="25"/>
  <c r="F149" i="25"/>
  <c r="E148" i="25"/>
  <c r="F147" i="25"/>
  <c r="F146" i="25"/>
  <c r="E145" i="25"/>
  <c r="F144" i="25"/>
  <c r="E143" i="25"/>
  <c r="E142" i="25"/>
  <c r="E141" i="25"/>
  <c r="F140" i="25"/>
  <c r="F139" i="25"/>
  <c r="F138" i="25"/>
  <c r="F137" i="25"/>
  <c r="F136" i="25"/>
  <c r="F135" i="25"/>
  <c r="F134" i="25"/>
  <c r="F133" i="25"/>
  <c r="F132" i="25"/>
  <c r="F131" i="25"/>
  <c r="F130" i="25"/>
  <c r="F129" i="25"/>
  <c r="E128" i="25"/>
  <c r="F123" i="25"/>
  <c r="E122" i="25"/>
  <c r="E121" i="25"/>
  <c r="F120" i="25"/>
  <c r="E119" i="25"/>
  <c r="E118" i="25"/>
  <c r="F117" i="25"/>
  <c r="E116" i="25"/>
  <c r="F115" i="25"/>
  <c r="E114" i="25"/>
  <c r="F113" i="25"/>
  <c r="F112" i="25"/>
  <c r="E111" i="25"/>
  <c r="E110" i="25"/>
  <c r="E109" i="25"/>
  <c r="E108" i="25"/>
  <c r="E107" i="25"/>
  <c r="F106" i="25"/>
  <c r="F105" i="25"/>
  <c r="E104" i="25"/>
  <c r="E103" i="25"/>
  <c r="F102" i="25"/>
  <c r="E101" i="25"/>
  <c r="F100" i="25"/>
  <c r="E99" i="25"/>
  <c r="E98" i="25"/>
  <c r="F97" i="25"/>
  <c r="F96" i="25"/>
  <c r="F95" i="25"/>
  <c r="F94" i="25"/>
  <c r="F93" i="25"/>
  <c r="F92" i="25"/>
  <c r="F91" i="25"/>
  <c r="F86" i="25"/>
  <c r="F85" i="25"/>
  <c r="F84" i="25"/>
  <c r="F83" i="25"/>
  <c r="F82" i="25"/>
  <c r="F81" i="25"/>
  <c r="F80" i="25"/>
  <c r="F79" i="25"/>
  <c r="F78" i="25"/>
  <c r="F77" i="25"/>
  <c r="E77" i="25"/>
  <c r="F76" i="25"/>
  <c r="F75" i="25"/>
  <c r="E74" i="25"/>
  <c r="F73" i="25"/>
  <c r="F72" i="25"/>
  <c r="F71" i="25"/>
  <c r="F70" i="25"/>
  <c r="F65" i="25"/>
  <c r="F64" i="25"/>
  <c r="F63" i="25"/>
  <c r="F62" i="25"/>
  <c r="F61" i="25"/>
  <c r="E60" i="25"/>
  <c r="F59" i="25"/>
  <c r="E58" i="25"/>
  <c r="F57" i="25"/>
  <c r="F56" i="25"/>
  <c r="F55" i="25"/>
  <c r="F54" i="25"/>
  <c r="F53" i="25"/>
  <c r="F52" i="25"/>
  <c r="M9" i="25"/>
  <c r="L9" i="25"/>
  <c r="J9" i="25"/>
  <c r="I9" i="25"/>
  <c r="M8" i="25"/>
  <c r="L8" i="25"/>
  <c r="J8" i="25"/>
  <c r="I8" i="25"/>
  <c r="M7" i="25"/>
  <c r="L7" i="25"/>
  <c r="J7" i="25"/>
  <c r="I7" i="25"/>
  <c r="M6" i="25"/>
  <c r="L6" i="25"/>
  <c r="J6" i="25"/>
  <c r="I6" i="25"/>
  <c r="M9" i="24"/>
  <c r="L9" i="24"/>
  <c r="J9" i="24"/>
  <c r="I9" i="24"/>
  <c r="M8" i="24"/>
  <c r="L8" i="24"/>
  <c r="J8" i="24"/>
  <c r="I8" i="24"/>
  <c r="M7" i="24"/>
  <c r="L7" i="24"/>
  <c r="J7" i="24"/>
  <c r="I7" i="24"/>
  <c r="M6" i="24"/>
  <c r="L6" i="24"/>
  <c r="J6" i="24"/>
  <c r="I6" i="24"/>
  <c r="M10" i="23"/>
  <c r="L10" i="23"/>
  <c r="J10" i="23"/>
  <c r="I10" i="23"/>
  <c r="M9" i="23"/>
  <c r="L9" i="23"/>
  <c r="J9" i="23"/>
  <c r="I9" i="23"/>
  <c r="M8" i="23"/>
  <c r="L8" i="23"/>
  <c r="J8" i="23"/>
  <c r="I8" i="23"/>
  <c r="M7" i="23"/>
  <c r="L7" i="23"/>
  <c r="J7" i="23"/>
  <c r="I7" i="23"/>
  <c r="M6" i="23"/>
  <c r="L6" i="23"/>
  <c r="J6" i="23"/>
  <c r="I6" i="23"/>
  <c r="M10" i="22"/>
  <c r="L10" i="22"/>
  <c r="J10" i="22"/>
  <c r="I10" i="22"/>
  <c r="M9" i="22"/>
  <c r="L9" i="22"/>
  <c r="J9" i="22"/>
  <c r="I9" i="22"/>
  <c r="M8" i="22"/>
  <c r="L8" i="22"/>
  <c r="J8" i="22"/>
  <c r="I8" i="22"/>
  <c r="M7" i="22"/>
  <c r="L7" i="22"/>
  <c r="J7" i="22"/>
  <c r="I7" i="22"/>
  <c r="M6" i="22"/>
  <c r="L6" i="22"/>
  <c r="J6" i="22"/>
  <c r="I6" i="22"/>
  <c r="M9" i="21"/>
  <c r="L9" i="21"/>
  <c r="J9" i="21"/>
  <c r="I9" i="21"/>
  <c r="M8" i="21"/>
  <c r="L8" i="21"/>
  <c r="J8" i="21"/>
  <c r="I8" i="21"/>
  <c r="M7" i="21"/>
  <c r="L7" i="21"/>
  <c r="J7" i="21"/>
  <c r="I7" i="21"/>
  <c r="M6" i="21"/>
  <c r="L6" i="21"/>
  <c r="J6" i="21"/>
  <c r="I6" i="21"/>
  <c r="M9" i="20"/>
  <c r="L9" i="20"/>
  <c r="J9" i="20"/>
  <c r="I9" i="20"/>
  <c r="M8" i="20"/>
  <c r="L8" i="20"/>
  <c r="J8" i="20"/>
  <c r="I8" i="20"/>
  <c r="M7" i="20"/>
  <c r="L7" i="20"/>
  <c r="J7" i="20"/>
  <c r="I7" i="20"/>
  <c r="M6" i="20"/>
  <c r="L6" i="20"/>
  <c r="J6" i="20"/>
  <c r="I6" i="20"/>
  <c r="M9" i="19"/>
  <c r="L9" i="19"/>
  <c r="J9" i="19"/>
  <c r="I9" i="19"/>
  <c r="M8" i="19"/>
  <c r="L8" i="19"/>
  <c r="J8" i="19"/>
  <c r="I8" i="19"/>
  <c r="M7" i="19"/>
  <c r="L7" i="19"/>
  <c r="J7" i="19"/>
  <c r="I7" i="19"/>
  <c r="M6" i="19"/>
  <c r="L6" i="19"/>
  <c r="J6" i="19"/>
  <c r="I6" i="19"/>
  <c r="M9" i="18"/>
  <c r="L9" i="18"/>
  <c r="J9" i="18"/>
  <c r="I9" i="18"/>
  <c r="M8" i="18"/>
  <c r="L8" i="18"/>
  <c r="J8" i="18"/>
  <c r="I8" i="18"/>
  <c r="M7" i="18"/>
  <c r="L7" i="18"/>
  <c r="J7" i="18"/>
  <c r="I7" i="18"/>
  <c r="M6" i="18"/>
  <c r="L6" i="18"/>
  <c r="J6" i="18"/>
  <c r="I6" i="18"/>
  <c r="M9" i="17"/>
  <c r="L9" i="17"/>
  <c r="J9" i="17"/>
  <c r="I9" i="17"/>
  <c r="M8" i="17"/>
  <c r="L8" i="17"/>
  <c r="J8" i="17"/>
  <c r="I8" i="17"/>
  <c r="M7" i="17"/>
  <c r="L7" i="17"/>
  <c r="J7" i="17"/>
  <c r="I7" i="17"/>
  <c r="M6" i="17"/>
  <c r="L6" i="17"/>
  <c r="J6" i="17"/>
  <c r="I6" i="17"/>
  <c r="M9" i="16"/>
  <c r="L9" i="16"/>
  <c r="J9" i="16"/>
  <c r="I9" i="16"/>
  <c r="M8" i="16"/>
  <c r="L8" i="16"/>
  <c r="J8" i="16"/>
  <c r="I8" i="16"/>
  <c r="M7" i="16"/>
  <c r="L7" i="16"/>
  <c r="J7" i="16"/>
  <c r="I7" i="16"/>
  <c r="M6" i="16"/>
  <c r="L6" i="16"/>
  <c r="J6" i="16"/>
  <c r="I6" i="16"/>
  <c r="F181" i="15"/>
  <c r="F180" i="15"/>
  <c r="F179" i="15"/>
  <c r="F178" i="15"/>
  <c r="F177" i="15"/>
  <c r="F176" i="15"/>
  <c r="E175" i="15"/>
  <c r="E174" i="15"/>
  <c r="F173" i="15"/>
  <c r="F172" i="15"/>
  <c r="F171" i="15"/>
  <c r="F170" i="15"/>
  <c r="F169" i="15"/>
  <c r="E169" i="15"/>
  <c r="F168" i="15"/>
  <c r="F167" i="15"/>
  <c r="E167" i="15"/>
  <c r="F166" i="15"/>
  <c r="E165" i="15"/>
  <c r="E160" i="15"/>
  <c r="E159" i="15"/>
  <c r="E158" i="15"/>
  <c r="F157" i="15"/>
  <c r="F156" i="15"/>
  <c r="F155" i="15"/>
  <c r="E154" i="15"/>
  <c r="F153" i="15"/>
  <c r="F152" i="15"/>
  <c r="F151" i="15"/>
  <c r="F150" i="15"/>
  <c r="E149" i="15"/>
  <c r="F148" i="15"/>
  <c r="F147" i="15"/>
  <c r="E147" i="15"/>
  <c r="F146" i="15"/>
  <c r="F145" i="15"/>
  <c r="E144" i="15"/>
  <c r="E143" i="15"/>
  <c r="F142" i="15"/>
  <c r="F141" i="15"/>
  <c r="F140" i="15"/>
  <c r="F139" i="15"/>
  <c r="E138" i="15"/>
  <c r="E137" i="15"/>
  <c r="E136" i="15"/>
  <c r="F135" i="15"/>
  <c r="F134" i="15"/>
  <c r="F133" i="15"/>
  <c r="E133" i="15"/>
  <c r="F132" i="15"/>
  <c r="F131" i="15"/>
  <c r="E131" i="15"/>
  <c r="F126" i="15"/>
  <c r="F125" i="15"/>
  <c r="F124" i="15"/>
  <c r="F123" i="15"/>
  <c r="F122" i="15"/>
  <c r="F121" i="15"/>
  <c r="F120" i="15"/>
  <c r="E119" i="15"/>
  <c r="E118" i="15"/>
  <c r="E117" i="15"/>
  <c r="F116" i="15"/>
  <c r="F115" i="15"/>
  <c r="F114" i="15"/>
  <c r="F113" i="15"/>
  <c r="E112" i="15"/>
  <c r="F111" i="15"/>
  <c r="F110" i="15"/>
  <c r="F109" i="15"/>
  <c r="F108" i="15"/>
  <c r="F107" i="15"/>
  <c r="E106" i="15"/>
  <c r="E105" i="15"/>
  <c r="E104" i="15"/>
  <c r="E103" i="15"/>
  <c r="E102" i="15"/>
  <c r="E101" i="15"/>
  <c r="E100" i="15"/>
  <c r="F99" i="15"/>
  <c r="E99" i="15"/>
  <c r="F94" i="15"/>
  <c r="F93" i="15"/>
  <c r="F92" i="15"/>
  <c r="F91" i="15"/>
  <c r="F90" i="15"/>
  <c r="F89" i="15"/>
  <c r="F88" i="15"/>
  <c r="F87" i="15"/>
  <c r="F86" i="15"/>
  <c r="F85" i="15"/>
  <c r="F84" i="15"/>
  <c r="F83" i="15"/>
  <c r="F82" i="15"/>
  <c r="F81" i="15"/>
  <c r="F80" i="15"/>
  <c r="F79" i="15"/>
  <c r="F78" i="15"/>
  <c r="F77" i="15"/>
  <c r="F76" i="15"/>
  <c r="F75" i="15"/>
  <c r="F74" i="15"/>
  <c r="F73" i="15"/>
  <c r="F72" i="15"/>
  <c r="E71" i="15"/>
  <c r="E70" i="15"/>
  <c r="F69" i="15"/>
  <c r="E69" i="15"/>
  <c r="F68" i="15"/>
  <c r="F67" i="15"/>
  <c r="F66" i="15"/>
  <c r="F65" i="15"/>
  <c r="F64" i="15"/>
  <c r="F63" i="15"/>
  <c r="F62" i="15"/>
  <c r="F61" i="15"/>
  <c r="E60" i="15"/>
  <c r="M9" i="15"/>
  <c r="L9" i="15"/>
  <c r="J9" i="15"/>
  <c r="I9" i="15"/>
  <c r="M8" i="15"/>
  <c r="L8" i="15"/>
  <c r="J8" i="15"/>
  <c r="I8" i="15"/>
  <c r="M7" i="15"/>
  <c r="L7" i="15"/>
  <c r="J7" i="15"/>
  <c r="I7" i="15"/>
  <c r="M6" i="15"/>
  <c r="L6" i="15"/>
  <c r="J6" i="15"/>
  <c r="I6" i="15"/>
  <c r="F123" i="14"/>
  <c r="E122" i="14"/>
  <c r="E121" i="14"/>
  <c r="F120" i="14"/>
  <c r="F119" i="14"/>
  <c r="E119" i="14"/>
  <c r="F118" i="14"/>
  <c r="F117" i="14"/>
  <c r="F116" i="14"/>
  <c r="F115" i="14"/>
  <c r="F110" i="14"/>
  <c r="F109" i="14"/>
  <c r="F108" i="14"/>
  <c r="F107" i="14"/>
  <c r="F106" i="14"/>
  <c r="F105" i="14"/>
  <c r="E104" i="14"/>
  <c r="E103" i="14"/>
  <c r="F102" i="14"/>
  <c r="E101" i="14"/>
  <c r="F100" i="14"/>
  <c r="E100" i="14"/>
  <c r="F99" i="14"/>
  <c r="E99" i="14"/>
  <c r="F98" i="14"/>
  <c r="E97" i="14"/>
  <c r="F96" i="14"/>
  <c r="F95" i="14"/>
  <c r="F94" i="14"/>
  <c r="F93" i="14"/>
  <c r="F92" i="14"/>
  <c r="E91" i="14"/>
  <c r="E90" i="14"/>
  <c r="E89" i="14"/>
  <c r="F88" i="14"/>
  <c r="F87" i="14"/>
  <c r="F82" i="14"/>
  <c r="E81" i="14"/>
  <c r="F80" i="14"/>
  <c r="E80" i="14"/>
  <c r="E79" i="14"/>
  <c r="F78" i="14"/>
  <c r="F77" i="14"/>
  <c r="F76" i="14"/>
  <c r="F75" i="14"/>
  <c r="F74" i="14"/>
  <c r="E73" i="14"/>
  <c r="F72" i="14"/>
  <c r="E72" i="14"/>
  <c r="E71" i="14"/>
  <c r="F70" i="14"/>
  <c r="E65" i="14"/>
  <c r="E64" i="14"/>
  <c r="E63" i="14"/>
  <c r="F62" i="14"/>
  <c r="F61" i="14"/>
  <c r="F56" i="14"/>
  <c r="E56" i="14"/>
  <c r="F55" i="14"/>
  <c r="F54" i="14"/>
  <c r="F53" i="14"/>
  <c r="F52" i="14"/>
  <c r="F51" i="14"/>
  <c r="F50" i="14"/>
  <c r="F49" i="14"/>
  <c r="F48" i="14"/>
  <c r="E48" i="14"/>
  <c r="F47" i="14"/>
  <c r="E47" i="14"/>
  <c r="F46" i="14"/>
  <c r="F45" i="14"/>
  <c r="F44" i="14"/>
  <c r="F43" i="14"/>
  <c r="F42" i="14"/>
  <c r="F41" i="14"/>
  <c r="F40" i="14"/>
  <c r="E40" i="14"/>
  <c r="F39" i="14"/>
  <c r="F38" i="14"/>
  <c r="E37" i="14"/>
  <c r="F36" i="14"/>
  <c r="E35" i="14"/>
  <c r="F34" i="14"/>
  <c r="F33" i="14"/>
  <c r="F32" i="14"/>
  <c r="E32" i="14"/>
  <c r="M10" i="14"/>
  <c r="L10" i="14"/>
  <c r="J10" i="14"/>
  <c r="I10" i="14"/>
  <c r="M9" i="14"/>
  <c r="L9" i="14"/>
  <c r="J9" i="14"/>
  <c r="I9" i="14"/>
  <c r="M8" i="14"/>
  <c r="L8" i="14"/>
  <c r="J8" i="14"/>
  <c r="I8" i="14"/>
  <c r="M7" i="14"/>
  <c r="L7" i="14"/>
  <c r="J7" i="14"/>
  <c r="I7" i="14"/>
  <c r="M6" i="14"/>
  <c r="L6" i="14"/>
  <c r="J6" i="14"/>
  <c r="I6" i="14"/>
  <c r="F178" i="13"/>
  <c r="F177" i="13"/>
  <c r="F176" i="13"/>
  <c r="F175" i="13"/>
  <c r="F174" i="13"/>
  <c r="E174" i="13"/>
  <c r="F173" i="13"/>
  <c r="E173" i="13"/>
  <c r="F172" i="13"/>
  <c r="F171" i="13"/>
  <c r="F170" i="13"/>
  <c r="E169" i="13"/>
  <c r="F168" i="13"/>
  <c r="E167" i="13"/>
  <c r="F166" i="13"/>
  <c r="E166" i="13"/>
  <c r="F165" i="13"/>
  <c r="E165" i="13"/>
  <c r="F164" i="13"/>
  <c r="F163" i="13"/>
  <c r="F158" i="13"/>
  <c r="E157" i="13"/>
  <c r="F156" i="13"/>
  <c r="F155" i="13"/>
  <c r="E154" i="13"/>
  <c r="F153" i="13"/>
  <c r="E152" i="13"/>
  <c r="F151" i="13"/>
  <c r="F150" i="13"/>
  <c r="E149" i="13"/>
  <c r="F148" i="13"/>
  <c r="E147" i="13"/>
  <c r="F146" i="13"/>
  <c r="F145" i="13"/>
  <c r="E145" i="13"/>
  <c r="F144" i="13"/>
  <c r="E143" i="13"/>
  <c r="F142" i="13"/>
  <c r="F141" i="13"/>
  <c r="F136" i="13"/>
  <c r="F135" i="13"/>
  <c r="F134" i="13"/>
  <c r="F133" i="13"/>
  <c r="E133" i="13"/>
  <c r="F132" i="13"/>
  <c r="F131" i="13"/>
  <c r="E130" i="13"/>
  <c r="E129" i="13"/>
  <c r="E128" i="13"/>
  <c r="F127" i="13"/>
  <c r="F126" i="13"/>
  <c r="E126" i="13"/>
  <c r="F125" i="13"/>
  <c r="E125" i="13"/>
  <c r="F124" i="13"/>
  <c r="F123" i="13"/>
  <c r="F122" i="13"/>
  <c r="F121" i="13"/>
  <c r="F120" i="13"/>
  <c r="F119" i="13"/>
  <c r="E118" i="13"/>
  <c r="F117" i="13"/>
  <c r="E117" i="13"/>
  <c r="F116" i="13"/>
  <c r="F115" i="13"/>
  <c r="F114" i="13"/>
  <c r="F113" i="13"/>
  <c r="F112" i="13"/>
  <c r="F111" i="13"/>
  <c r="F110" i="13"/>
  <c r="E110" i="13"/>
  <c r="E109" i="13"/>
  <c r="E108" i="13"/>
  <c r="E107" i="13"/>
  <c r="E106" i="13"/>
  <c r="F105" i="13"/>
  <c r="F104" i="13"/>
  <c r="F103" i="13"/>
  <c r="F102" i="13"/>
  <c r="E102" i="13"/>
  <c r="E97" i="13"/>
  <c r="F96" i="13"/>
  <c r="F95" i="13"/>
  <c r="F94" i="13"/>
  <c r="F93" i="13"/>
  <c r="F92" i="13"/>
  <c r="F91" i="13"/>
  <c r="F90" i="13"/>
  <c r="E90" i="13"/>
  <c r="F89" i="13"/>
  <c r="E89" i="13"/>
  <c r="F88" i="13"/>
  <c r="F87" i="13"/>
  <c r="F86" i="13"/>
  <c r="E85" i="13"/>
  <c r="F84" i="13"/>
  <c r="F83" i="13"/>
  <c r="E82" i="13"/>
  <c r="F81" i="13"/>
  <c r="E81" i="13"/>
  <c r="F80" i="13"/>
  <c r="F79" i="13"/>
  <c r="F78" i="13"/>
  <c r="F77" i="13"/>
  <c r="F76" i="13"/>
  <c r="F75" i="13"/>
  <c r="F70" i="13"/>
  <c r="E70" i="13"/>
  <c r="F69" i="13"/>
  <c r="E69" i="13"/>
  <c r="F68" i="13"/>
  <c r="F67" i="13"/>
  <c r="F66" i="13"/>
  <c r="F65" i="13"/>
  <c r="F64" i="13"/>
  <c r="F63" i="13"/>
  <c r="F62" i="13"/>
  <c r="E62" i="13"/>
  <c r="E61" i="13"/>
  <c r="E60" i="13"/>
  <c r="E59" i="13"/>
  <c r="E58" i="13"/>
  <c r="F57" i="13"/>
  <c r="E56" i="13"/>
  <c r="F55" i="13"/>
  <c r="F54" i="13"/>
  <c r="E54" i="13"/>
  <c r="F53" i="13"/>
  <c r="E53" i="13"/>
  <c r="F52" i="13"/>
  <c r="M10" i="13"/>
  <c r="L10" i="13"/>
  <c r="J10" i="13"/>
  <c r="I10" i="13"/>
  <c r="M9" i="13"/>
  <c r="L9" i="13"/>
  <c r="J9" i="13"/>
  <c r="I9" i="13"/>
  <c r="M8" i="13"/>
  <c r="L8" i="13"/>
  <c r="J8" i="13"/>
  <c r="I8" i="13"/>
  <c r="M7" i="13"/>
  <c r="L7" i="13"/>
  <c r="J7" i="13"/>
  <c r="I7" i="13"/>
  <c r="M6" i="13"/>
  <c r="L6" i="13"/>
  <c r="J6" i="13"/>
  <c r="I6" i="13"/>
  <c r="E142" i="11"/>
  <c r="F141" i="11"/>
  <c r="E140" i="11"/>
  <c r="F139" i="11"/>
  <c r="E139" i="11"/>
  <c r="F138" i="11"/>
  <c r="E137" i="11"/>
  <c r="E136" i="11"/>
  <c r="F135" i="11"/>
  <c r="F134" i="11"/>
  <c r="F133" i="11"/>
  <c r="E132" i="11"/>
  <c r="E131" i="11"/>
  <c r="F130" i="11"/>
  <c r="F129" i="11"/>
  <c r="E128" i="11"/>
  <c r="F123" i="11"/>
  <c r="E122" i="11"/>
  <c r="E121" i="11"/>
  <c r="F120" i="11"/>
  <c r="E120" i="11"/>
  <c r="F119" i="11"/>
  <c r="E119" i="11"/>
  <c r="F118" i="11"/>
  <c r="F117" i="11"/>
  <c r="F116" i="11"/>
  <c r="F115" i="11"/>
  <c r="F114" i="11"/>
  <c r="F113" i="11"/>
  <c r="F112" i="11"/>
  <c r="E112" i="11"/>
  <c r="F111" i="11"/>
  <c r="E111" i="11"/>
  <c r="E110" i="11"/>
  <c r="E109" i="11"/>
  <c r="F108" i="11"/>
  <c r="F107" i="11"/>
  <c r="F106" i="11"/>
  <c r="E105" i="11"/>
  <c r="F104" i="11"/>
  <c r="E104" i="11"/>
  <c r="F103" i="11"/>
  <c r="E103" i="11"/>
  <c r="F102" i="11"/>
  <c r="F97" i="11"/>
  <c r="F96" i="11"/>
  <c r="F95" i="11"/>
  <c r="F94" i="11"/>
  <c r="F93" i="11"/>
  <c r="F92" i="11"/>
  <c r="E92" i="11"/>
  <c r="F91" i="11"/>
  <c r="E90" i="11"/>
  <c r="F89" i="11"/>
  <c r="F88" i="11"/>
  <c r="F83" i="11"/>
  <c r="F82" i="11"/>
  <c r="F81" i="11"/>
  <c r="F80" i="11"/>
  <c r="E80" i="11"/>
  <c r="F79" i="11"/>
  <c r="E79" i="11"/>
  <c r="F78" i="11"/>
  <c r="F77" i="11"/>
  <c r="F76" i="11"/>
  <c r="F75" i="11"/>
  <c r="F74" i="11"/>
  <c r="F73" i="11"/>
  <c r="F72" i="11"/>
  <c r="E71" i="11"/>
  <c r="E70" i="11"/>
  <c r="E69" i="11"/>
  <c r="F68" i="11"/>
  <c r="F67" i="11"/>
  <c r="F66" i="11"/>
  <c r="F65" i="11"/>
  <c r="F64" i="11"/>
  <c r="E64" i="11"/>
  <c r="F63" i="11"/>
  <c r="F62" i="11"/>
  <c r="F61" i="11"/>
  <c r="E60" i="11"/>
  <c r="F59" i="11"/>
  <c r="E54" i="11"/>
  <c r="F53" i="11"/>
  <c r="F52" i="11"/>
  <c r="E52" i="11"/>
  <c r="F51" i="11"/>
  <c r="E51" i="11"/>
  <c r="F50" i="11"/>
  <c r="F49" i="11"/>
  <c r="F48" i="11"/>
  <c r="F47" i="11"/>
  <c r="E46" i="11"/>
  <c r="F45" i="11"/>
  <c r="F44" i="11"/>
  <c r="E44" i="11"/>
  <c r="F43" i="11"/>
  <c r="E43" i="11"/>
  <c r="F42" i="11"/>
  <c r="F41" i="11"/>
  <c r="F40" i="11"/>
  <c r="M10" i="11"/>
  <c r="L10" i="11"/>
  <c r="J10" i="11"/>
  <c r="I10" i="11"/>
  <c r="M9" i="11"/>
  <c r="L9" i="11"/>
  <c r="J9" i="11"/>
  <c r="I9" i="11"/>
  <c r="M8" i="11"/>
  <c r="L8" i="11"/>
  <c r="J8" i="11"/>
  <c r="I8" i="11"/>
  <c r="M7" i="11"/>
  <c r="L7" i="11"/>
  <c r="J7" i="11"/>
  <c r="I7" i="11"/>
  <c r="M6" i="11"/>
  <c r="L6" i="11"/>
  <c r="J6" i="11"/>
  <c r="I6" i="11"/>
  <c r="L560" i="10"/>
  <c r="L559" i="10"/>
  <c r="E186" i="29" s="1"/>
  <c r="L558" i="10"/>
  <c r="E113" i="28" s="1"/>
  <c r="L557" i="10"/>
  <c r="L556" i="10"/>
  <c r="E185" i="29" s="1"/>
  <c r="L555" i="10"/>
  <c r="E72" i="26" s="1"/>
  <c r="L554" i="10"/>
  <c r="E71" i="26" s="1"/>
  <c r="L553" i="10"/>
  <c r="E184" i="29" s="1"/>
  <c r="L552" i="10"/>
  <c r="E70" i="26" s="1"/>
  <c r="L551" i="10"/>
  <c r="L550" i="10"/>
  <c r="L549" i="10"/>
  <c r="E108" i="27" s="1"/>
  <c r="L548" i="10"/>
  <c r="E143" i="26" s="1"/>
  <c r="L547" i="10"/>
  <c r="E142" i="26" s="1"/>
  <c r="L546" i="10"/>
  <c r="L545" i="10"/>
  <c r="L544" i="10"/>
  <c r="E107" i="27" s="1"/>
  <c r="L543" i="10"/>
  <c r="E141" i="26" s="1"/>
  <c r="L542" i="10"/>
  <c r="L541" i="10"/>
  <c r="E140" i="26" s="1"/>
  <c r="L540" i="10"/>
  <c r="E106" i="27" s="1"/>
  <c r="L539" i="10"/>
  <c r="E139" i="26" s="1"/>
  <c r="L538" i="10"/>
  <c r="L537" i="10"/>
  <c r="L536" i="10"/>
  <c r="E138" i="26" s="1"/>
  <c r="L535" i="10"/>
  <c r="E112" i="28" s="1"/>
  <c r="L534" i="10"/>
  <c r="E137" i="26" s="1"/>
  <c r="L533" i="10"/>
  <c r="L532" i="10"/>
  <c r="L531" i="10"/>
  <c r="E136" i="26" s="1"/>
  <c r="L530" i="10"/>
  <c r="E142" i="29" s="1"/>
  <c r="L529" i="10"/>
  <c r="L528" i="10"/>
  <c r="L527" i="10"/>
  <c r="L526" i="10"/>
  <c r="E135" i="26" s="1"/>
  <c r="L525" i="10"/>
  <c r="L524" i="10"/>
  <c r="E42" i="27" s="1"/>
  <c r="L523" i="10"/>
  <c r="E73" i="27" s="1"/>
  <c r="L522" i="10"/>
  <c r="E134" i="26" s="1"/>
  <c r="L521" i="10"/>
  <c r="E41" i="27" s="1"/>
  <c r="L520" i="10"/>
  <c r="E72" i="27" s="1"/>
  <c r="L519" i="10"/>
  <c r="E71" i="27" s="1"/>
  <c r="L518" i="10"/>
  <c r="E40" i="27" s="1"/>
  <c r="L517" i="10"/>
  <c r="L516" i="10"/>
  <c r="E141" i="29" s="1"/>
  <c r="L515" i="10"/>
  <c r="E133" i="26" s="1"/>
  <c r="L514" i="10"/>
  <c r="E70" i="27" s="1"/>
  <c r="L513" i="10"/>
  <c r="L512" i="10"/>
  <c r="L511" i="10"/>
  <c r="E132" i="26" s="1"/>
  <c r="L510" i="10"/>
  <c r="E140" i="29" s="1"/>
  <c r="L509" i="10"/>
  <c r="L508" i="10"/>
  <c r="E69" i="27" s="1"/>
  <c r="L507" i="10"/>
  <c r="L506" i="10"/>
  <c r="E138" i="28" s="1"/>
  <c r="L505" i="10"/>
  <c r="L504" i="10"/>
  <c r="E137" i="28" s="1"/>
  <c r="L503" i="10"/>
  <c r="L502" i="10"/>
  <c r="L501" i="10"/>
  <c r="L500" i="10"/>
  <c r="L499" i="10"/>
  <c r="L498" i="10"/>
  <c r="L497" i="10"/>
  <c r="L496" i="10"/>
  <c r="E140" i="25" s="1"/>
  <c r="L495" i="10"/>
  <c r="E139" i="25" s="1"/>
  <c r="L494" i="10"/>
  <c r="L493" i="10"/>
  <c r="E62" i="25" s="1"/>
  <c r="L492" i="10"/>
  <c r="E138" i="25" s="1"/>
  <c r="L491" i="10"/>
  <c r="L490" i="10"/>
  <c r="L489" i="10"/>
  <c r="E86" i="25" s="1"/>
  <c r="L488" i="10"/>
  <c r="E137" i="25" s="1"/>
  <c r="L487" i="10"/>
  <c r="L486" i="10"/>
  <c r="L485" i="10"/>
  <c r="L484" i="10"/>
  <c r="L483" i="10"/>
  <c r="E136" i="25" s="1"/>
  <c r="L482" i="10"/>
  <c r="L481" i="10"/>
  <c r="L480" i="10"/>
  <c r="E135" i="25" s="1"/>
  <c r="L479" i="10"/>
  <c r="L478" i="10"/>
  <c r="E60" i="27" s="1"/>
  <c r="L477" i="10"/>
  <c r="L476" i="10"/>
  <c r="E154" i="26" s="1"/>
  <c r="L475" i="10"/>
  <c r="E59" i="27" s="1"/>
  <c r="L474" i="10"/>
  <c r="E58" i="27" s="1"/>
  <c r="L473" i="10"/>
  <c r="L472" i="10"/>
  <c r="L471" i="10"/>
  <c r="L470" i="10"/>
  <c r="E134" i="25" s="1"/>
  <c r="L469" i="10"/>
  <c r="E57" i="27" s="1"/>
  <c r="L468" i="10"/>
  <c r="E133" i="25" s="1"/>
  <c r="L467" i="10"/>
  <c r="L466" i="10"/>
  <c r="E132" i="25" s="1"/>
  <c r="L465" i="10"/>
  <c r="L464" i="10"/>
  <c r="E131" i="25" s="1"/>
  <c r="L463" i="10"/>
  <c r="L462" i="10"/>
  <c r="L461" i="10"/>
  <c r="E129" i="29" s="1"/>
  <c r="L460" i="10"/>
  <c r="E130" i="25" s="1"/>
  <c r="L459" i="10"/>
  <c r="E129" i="25" s="1"/>
  <c r="L458" i="10"/>
  <c r="E128" i="29" s="1"/>
  <c r="L457" i="10"/>
  <c r="L456" i="10"/>
  <c r="E152" i="26" s="1"/>
  <c r="L455" i="10"/>
  <c r="E127" i="29" s="1"/>
  <c r="L454" i="10"/>
  <c r="E126" i="29" s="1"/>
  <c r="L453" i="10"/>
  <c r="E125" i="29" s="1"/>
  <c r="L452" i="10"/>
  <c r="E124" i="29" s="1"/>
  <c r="L451" i="10"/>
  <c r="L450" i="10"/>
  <c r="L449" i="10"/>
  <c r="L448" i="10"/>
  <c r="E123" i="29" s="1"/>
  <c r="L447" i="10"/>
  <c r="L446" i="10"/>
  <c r="E34" i="27" s="1"/>
  <c r="L445" i="10"/>
  <c r="L444" i="10"/>
  <c r="L443" i="10"/>
  <c r="E97" i="25" s="1"/>
  <c r="L442" i="10"/>
  <c r="L441" i="10"/>
  <c r="L440" i="10"/>
  <c r="E151" i="26" s="1"/>
  <c r="L439" i="10"/>
  <c r="L438" i="10"/>
  <c r="L437" i="10"/>
  <c r="E150" i="26" s="1"/>
  <c r="L436" i="10"/>
  <c r="L435" i="10"/>
  <c r="E96" i="25" s="1"/>
  <c r="L434" i="10"/>
  <c r="L433" i="10"/>
  <c r="L432" i="10"/>
  <c r="L431" i="10"/>
  <c r="L430" i="10"/>
  <c r="E149" i="26" s="1"/>
  <c r="L429" i="10"/>
  <c r="L428" i="10"/>
  <c r="E122" i="29" s="1"/>
  <c r="L427" i="10"/>
  <c r="L426" i="10"/>
  <c r="E101" i="29" s="1"/>
  <c r="L425" i="10"/>
  <c r="L424" i="10"/>
  <c r="E162" i="29" s="1"/>
  <c r="L423" i="10"/>
  <c r="L422" i="10"/>
  <c r="E83" i="26" s="1"/>
  <c r="L421" i="10"/>
  <c r="L420" i="10"/>
  <c r="L419" i="10"/>
  <c r="E100" i="29" s="1"/>
  <c r="L418" i="10"/>
  <c r="L417" i="10"/>
  <c r="L416" i="10"/>
  <c r="L415" i="10"/>
  <c r="E148" i="26" s="1"/>
  <c r="L414" i="10"/>
  <c r="E161" i="29" s="1"/>
  <c r="L413" i="10"/>
  <c r="E99" i="29" s="1"/>
  <c r="L412" i="10"/>
  <c r="L411" i="10"/>
  <c r="E52" i="27" s="1"/>
  <c r="L410" i="10"/>
  <c r="E76" i="25" s="1"/>
  <c r="L409" i="10"/>
  <c r="E160" i="29" s="1"/>
  <c r="L408" i="10"/>
  <c r="L407" i="10"/>
  <c r="E103" i="28" s="1"/>
  <c r="L406" i="10"/>
  <c r="L405" i="10"/>
  <c r="L404" i="10"/>
  <c r="E75" i="25" s="1"/>
  <c r="L403" i="10"/>
  <c r="L402" i="10"/>
  <c r="E51" i="27" s="1"/>
  <c r="L401" i="10"/>
  <c r="L400" i="10"/>
  <c r="L399" i="10"/>
  <c r="E98" i="29" s="1"/>
  <c r="L398" i="10"/>
  <c r="E159" i="29" s="1"/>
  <c r="L397" i="10"/>
  <c r="E95" i="25" s="1"/>
  <c r="L396" i="10"/>
  <c r="E102" i="28" s="1"/>
  <c r="L395" i="10"/>
  <c r="L394" i="10"/>
  <c r="E121" i="28" s="1"/>
  <c r="L393" i="10"/>
  <c r="L392" i="10"/>
  <c r="E57" i="25" s="1"/>
  <c r="L391" i="10"/>
  <c r="E158" i="29" s="1"/>
  <c r="L390" i="10"/>
  <c r="E120" i="28" s="1"/>
  <c r="L389" i="10"/>
  <c r="E94" i="25" s="1"/>
  <c r="L388" i="10"/>
  <c r="E44" i="28" s="1"/>
  <c r="L387" i="10"/>
  <c r="E66" i="29" s="1"/>
  <c r="L386" i="10"/>
  <c r="E101" i="28" s="1"/>
  <c r="L385" i="10"/>
  <c r="L384" i="10"/>
  <c r="L383" i="10"/>
  <c r="E82" i="26" s="1"/>
  <c r="L382" i="10"/>
  <c r="E157" i="29" s="1"/>
  <c r="L381" i="10"/>
  <c r="E119" i="28" s="1"/>
  <c r="L380" i="10"/>
  <c r="L379" i="10"/>
  <c r="E56" i="25" s="1"/>
  <c r="L378" i="10"/>
  <c r="L377" i="10"/>
  <c r="L376" i="10"/>
  <c r="E43" i="28" s="1"/>
  <c r="L375" i="10"/>
  <c r="L374" i="10"/>
  <c r="E156" i="29" s="1"/>
  <c r="L373" i="10"/>
  <c r="E100" i="28" s="1"/>
  <c r="L372" i="10"/>
  <c r="L371" i="10"/>
  <c r="L370" i="10"/>
  <c r="L369" i="10"/>
  <c r="E55" i="25" s="1"/>
  <c r="L368" i="10"/>
  <c r="L367" i="10"/>
  <c r="E65" i="29" s="1"/>
  <c r="L366" i="10"/>
  <c r="L365" i="10"/>
  <c r="L364" i="10"/>
  <c r="L363" i="10"/>
  <c r="E155" i="29" s="1"/>
  <c r="L362" i="10"/>
  <c r="E97" i="29" s="1"/>
  <c r="L361" i="10"/>
  <c r="E93" i="25" s="1"/>
  <c r="L360" i="10"/>
  <c r="E73" i="25" s="1"/>
  <c r="L359" i="10"/>
  <c r="L358" i="10"/>
  <c r="E45" i="26" s="1"/>
  <c r="L357" i="10"/>
  <c r="E99" i="28" s="1"/>
  <c r="L356" i="10"/>
  <c r="L355" i="10"/>
  <c r="L354" i="10"/>
  <c r="E96" i="29" s="1"/>
  <c r="L353" i="10"/>
  <c r="E154" i="29" s="1"/>
  <c r="L352" i="10"/>
  <c r="L351" i="10"/>
  <c r="E44" i="26" s="1"/>
  <c r="L350" i="10"/>
  <c r="E119" i="29" s="1"/>
  <c r="L349" i="10"/>
  <c r="E54" i="25" s="1"/>
  <c r="L348" i="10"/>
  <c r="E42" i="28" s="1"/>
  <c r="L347" i="10"/>
  <c r="E153" i="29" s="1"/>
  <c r="L346" i="10"/>
  <c r="E98" i="28" s="1"/>
  <c r="L345" i="10"/>
  <c r="E118" i="29" s="1"/>
  <c r="L344" i="10"/>
  <c r="E95" i="29" s="1"/>
  <c r="L343" i="10"/>
  <c r="L342" i="10"/>
  <c r="L341" i="10"/>
  <c r="L340" i="10"/>
  <c r="E152" i="29" s="1"/>
  <c r="L339" i="10"/>
  <c r="E117" i="29" s="1"/>
  <c r="L338" i="10"/>
  <c r="L337" i="10"/>
  <c r="L336" i="10"/>
  <c r="E43" i="26" s="1"/>
  <c r="L335" i="10"/>
  <c r="L334" i="10"/>
  <c r="E41" i="28" s="1"/>
  <c r="L333" i="10"/>
  <c r="L332" i="10"/>
  <c r="E72" i="25" s="1"/>
  <c r="L331" i="10"/>
  <c r="L330" i="10"/>
  <c r="E97" i="28" s="1"/>
  <c r="L329" i="10"/>
  <c r="E80" i="26" s="1"/>
  <c r="L328" i="10"/>
  <c r="L327" i="10"/>
  <c r="E94" i="29" s="1"/>
  <c r="L326" i="10"/>
  <c r="L325" i="10"/>
  <c r="E53" i="25" s="1"/>
  <c r="L324" i="10"/>
  <c r="E151" i="29" s="1"/>
  <c r="L323" i="10"/>
  <c r="L322" i="10"/>
  <c r="L321" i="10"/>
  <c r="L320" i="10"/>
  <c r="L319" i="10"/>
  <c r="E42" i="26" s="1"/>
  <c r="L318" i="10"/>
  <c r="E116" i="29" s="1"/>
  <c r="L317" i="10"/>
  <c r="E92" i="25" s="1"/>
  <c r="L316" i="10"/>
  <c r="L315" i="10"/>
  <c r="L314" i="10"/>
  <c r="L313" i="10"/>
  <c r="L312" i="10"/>
  <c r="L311" i="10"/>
  <c r="E40" i="28" s="1"/>
  <c r="L310" i="10"/>
  <c r="E93" i="29" s="1"/>
  <c r="L309" i="10"/>
  <c r="E150" i="29" s="1"/>
  <c r="L308" i="10"/>
  <c r="L307" i="10"/>
  <c r="E52" i="25" s="1"/>
  <c r="L306" i="10"/>
  <c r="L305" i="10"/>
  <c r="L304" i="10"/>
  <c r="L303" i="10"/>
  <c r="L302" i="10"/>
  <c r="L301" i="10"/>
  <c r="E79" i="26" s="1"/>
  <c r="L300" i="10"/>
  <c r="L299" i="10"/>
  <c r="E91" i="25" s="1"/>
  <c r="L298" i="10"/>
  <c r="E71" i="25" s="1"/>
  <c r="L297" i="10"/>
  <c r="L296" i="10"/>
  <c r="E115" i="29" s="1"/>
  <c r="L295" i="10"/>
  <c r="L294" i="10"/>
  <c r="E96" i="28" s="1"/>
  <c r="L293" i="10"/>
  <c r="L292" i="10"/>
  <c r="L291" i="10"/>
  <c r="E64" i="28" s="1"/>
  <c r="L290" i="10"/>
  <c r="E149" i="29" s="1"/>
  <c r="L289" i="10"/>
  <c r="L288" i="10"/>
  <c r="L287" i="10"/>
  <c r="L286" i="10"/>
  <c r="L285" i="10"/>
  <c r="L284" i="10"/>
  <c r="E78" i="26" s="1"/>
  <c r="L283" i="10"/>
  <c r="L282" i="10"/>
  <c r="E95" i="28" s="1"/>
  <c r="L281" i="10"/>
  <c r="E92" i="29" s="1"/>
  <c r="L280" i="10"/>
  <c r="E148" i="29" s="1"/>
  <c r="L279" i="10"/>
  <c r="E41" i="26" s="1"/>
  <c r="L278" i="10"/>
  <c r="L277" i="10"/>
  <c r="L276" i="10"/>
  <c r="L275" i="10"/>
  <c r="E77" i="26" s="1"/>
  <c r="L274" i="10"/>
  <c r="E94" i="28" s="1"/>
  <c r="L273" i="10"/>
  <c r="L272" i="10"/>
  <c r="L271" i="10"/>
  <c r="L270" i="10"/>
  <c r="L269" i="10"/>
  <c r="E147" i="29" s="1"/>
  <c r="L268" i="10"/>
  <c r="L267" i="10"/>
  <c r="E70" i="25" s="1"/>
  <c r="L266" i="10"/>
  <c r="L265" i="10"/>
  <c r="L264" i="10"/>
  <c r="E181" i="15" s="1"/>
  <c r="L263" i="10"/>
  <c r="E136" i="13" s="1"/>
  <c r="L262" i="10"/>
  <c r="L261" i="10"/>
  <c r="L260" i="10"/>
  <c r="L259" i="10"/>
  <c r="E123" i="14" s="1"/>
  <c r="L258" i="10"/>
  <c r="E135" i="13" s="1"/>
  <c r="L257" i="10"/>
  <c r="L256" i="10"/>
  <c r="E53" i="11" s="1"/>
  <c r="L255" i="10"/>
  <c r="E134" i="13" s="1"/>
  <c r="L254" i="10"/>
  <c r="L253" i="10"/>
  <c r="E180" i="15" s="1"/>
  <c r="L252" i="10"/>
  <c r="E179" i="15" s="1"/>
  <c r="L251" i="10"/>
  <c r="L250" i="10"/>
  <c r="L249" i="10"/>
  <c r="E132" i="13" s="1"/>
  <c r="L248" i="10"/>
  <c r="E93" i="15" s="1"/>
  <c r="L247" i="10"/>
  <c r="E178" i="15" s="1"/>
  <c r="L246" i="10"/>
  <c r="E131" i="13" s="1"/>
  <c r="L245" i="10"/>
  <c r="E92" i="15" s="1"/>
  <c r="L244" i="10"/>
  <c r="L243" i="10"/>
  <c r="E157" i="15" s="1"/>
  <c r="L242" i="10"/>
  <c r="E177" i="15" s="1"/>
  <c r="L241" i="10"/>
  <c r="E91" i="15" s="1"/>
  <c r="L240" i="10"/>
  <c r="E156" i="15" s="1"/>
  <c r="L239" i="10"/>
  <c r="E90" i="15" s="1"/>
  <c r="L238" i="10"/>
  <c r="L237" i="10"/>
  <c r="E89" i="15" s="1"/>
  <c r="L236" i="10"/>
  <c r="E88" i="15" s="1"/>
  <c r="L235" i="10"/>
  <c r="E155" i="15" s="1"/>
  <c r="L234" i="10"/>
  <c r="L233" i="10"/>
  <c r="L232" i="10"/>
  <c r="L231" i="10"/>
  <c r="L230" i="10"/>
  <c r="E153" i="15" s="1"/>
  <c r="L229" i="10"/>
  <c r="L228" i="10"/>
  <c r="L227" i="10"/>
  <c r="E82" i="15" s="1"/>
  <c r="L226" i="10"/>
  <c r="L225" i="10"/>
  <c r="L224" i="10"/>
  <c r="L223" i="10"/>
  <c r="L222" i="10"/>
  <c r="E127" i="13" s="1"/>
  <c r="L221" i="10"/>
  <c r="E152" i="15" s="1"/>
  <c r="L220" i="10"/>
  <c r="L219" i="10"/>
  <c r="L218" i="10"/>
  <c r="L217" i="10"/>
  <c r="L216" i="10"/>
  <c r="L215" i="10"/>
  <c r="L214" i="10"/>
  <c r="L213" i="10"/>
  <c r="L212" i="10"/>
  <c r="E176" i="15" s="1"/>
  <c r="L211" i="10"/>
  <c r="L210" i="10"/>
  <c r="L209" i="10"/>
  <c r="L208" i="10"/>
  <c r="L207" i="10"/>
  <c r="L206" i="10"/>
  <c r="E123" i="13" s="1"/>
  <c r="L205" i="10"/>
  <c r="E122" i="13" s="1"/>
  <c r="L204" i="10"/>
  <c r="L203" i="10"/>
  <c r="E121" i="13" s="1"/>
  <c r="L202" i="10"/>
  <c r="L201" i="10"/>
  <c r="E120" i="13" s="1"/>
  <c r="L200" i="10"/>
  <c r="E135" i="11" s="1"/>
  <c r="L199" i="10"/>
  <c r="L198" i="10"/>
  <c r="L197" i="10"/>
  <c r="L196" i="10"/>
  <c r="L195" i="10"/>
  <c r="E134" i="11" s="1"/>
  <c r="L194" i="10"/>
  <c r="E133" i="11" s="1"/>
  <c r="L193" i="10"/>
  <c r="L192" i="10"/>
  <c r="L191" i="10"/>
  <c r="E146" i="13" s="1"/>
  <c r="L190" i="10"/>
  <c r="E114" i="15" s="1"/>
  <c r="L189" i="10"/>
  <c r="E48" i="11" s="1"/>
  <c r="L188" i="10"/>
  <c r="E173" i="15" s="1"/>
  <c r="L187" i="10"/>
  <c r="L186" i="10"/>
  <c r="L185" i="10"/>
  <c r="L184" i="10"/>
  <c r="E172" i="15" s="1"/>
  <c r="L183" i="10"/>
  <c r="E46" i="14" s="1"/>
  <c r="L182" i="10"/>
  <c r="L181" i="10"/>
  <c r="E45" i="11" s="1"/>
  <c r="L180" i="10"/>
  <c r="L179" i="10"/>
  <c r="L178" i="10"/>
  <c r="L177" i="10"/>
  <c r="L176" i="10"/>
  <c r="L175" i="10"/>
  <c r="L174" i="10"/>
  <c r="L173" i="10"/>
  <c r="E55" i="13" s="1"/>
  <c r="L172" i="10"/>
  <c r="E171" i="15" s="1"/>
  <c r="L171" i="10"/>
  <c r="L170" i="10"/>
  <c r="L169" i="10"/>
  <c r="L168" i="10"/>
  <c r="L167" i="10"/>
  <c r="L166" i="10"/>
  <c r="E170" i="15" s="1"/>
  <c r="L165" i="10"/>
  <c r="L164" i="10"/>
  <c r="L163" i="10"/>
  <c r="L162" i="10"/>
  <c r="L161" i="10"/>
  <c r="L160" i="10"/>
  <c r="L159" i="10"/>
  <c r="L158" i="10"/>
  <c r="L157" i="10"/>
  <c r="L156" i="10"/>
  <c r="L155" i="10"/>
  <c r="E62" i="14" s="1"/>
  <c r="L154" i="10"/>
  <c r="L153" i="10"/>
  <c r="L152" i="10"/>
  <c r="L151" i="10"/>
  <c r="L150" i="10"/>
  <c r="L149" i="10"/>
  <c r="L148" i="10"/>
  <c r="L147" i="10"/>
  <c r="L146" i="10"/>
  <c r="L145" i="10"/>
  <c r="E168" i="15" s="1"/>
  <c r="L144" i="10"/>
  <c r="L143" i="10"/>
  <c r="L142" i="10"/>
  <c r="L141" i="10"/>
  <c r="L140" i="10"/>
  <c r="L139" i="10"/>
  <c r="L138" i="10"/>
  <c r="L137" i="10"/>
  <c r="L136" i="10"/>
  <c r="L135" i="10"/>
  <c r="L134" i="10"/>
  <c r="L133" i="10"/>
  <c r="L132" i="10"/>
  <c r="L131" i="10"/>
  <c r="L130" i="10"/>
  <c r="L129" i="10"/>
  <c r="L128" i="10"/>
  <c r="E116" i="14" s="1"/>
  <c r="L127" i="10"/>
  <c r="L126" i="10"/>
  <c r="E107" i="11" s="1"/>
  <c r="L125" i="10"/>
  <c r="L124" i="10"/>
  <c r="L123" i="10"/>
  <c r="E52" i="13" s="1"/>
  <c r="L122" i="10"/>
  <c r="L121" i="10"/>
  <c r="L120" i="10"/>
  <c r="L119" i="10"/>
  <c r="L118" i="10"/>
  <c r="L117" i="10"/>
  <c r="E166" i="15" s="1"/>
  <c r="L116" i="10"/>
  <c r="L115" i="10"/>
  <c r="L114" i="10"/>
  <c r="E62" i="11" s="1"/>
  <c r="L113" i="10"/>
  <c r="E130" i="11" s="1"/>
  <c r="L112" i="10"/>
  <c r="L111" i="10"/>
  <c r="E68" i="15" s="1"/>
  <c r="L110" i="10"/>
  <c r="L109" i="10"/>
  <c r="L108" i="10"/>
  <c r="L107" i="10"/>
  <c r="E67" i="15" s="1"/>
  <c r="L106" i="10"/>
  <c r="L105" i="10"/>
  <c r="L104" i="10"/>
  <c r="L103" i="10"/>
  <c r="L102" i="10"/>
  <c r="L101" i="10"/>
  <c r="L100" i="10"/>
  <c r="L99" i="10"/>
  <c r="L98" i="10"/>
  <c r="L97" i="10"/>
  <c r="L96" i="10"/>
  <c r="L95" i="10"/>
  <c r="E66" i="15" s="1"/>
  <c r="L94" i="10"/>
  <c r="L93" i="10"/>
  <c r="L92" i="10"/>
  <c r="L91" i="10"/>
  <c r="E135" i="15" s="1"/>
  <c r="L90" i="10"/>
  <c r="L89" i="10"/>
  <c r="E65" i="15" s="1"/>
  <c r="L88" i="10"/>
  <c r="L87" i="10"/>
  <c r="L86" i="10"/>
  <c r="L85" i="10"/>
  <c r="E89" i="11" s="1"/>
  <c r="L84" i="10"/>
  <c r="L83" i="10"/>
  <c r="E115" i="14" s="1"/>
  <c r="L82" i="10"/>
  <c r="E64" i="15" s="1"/>
  <c r="L81" i="10"/>
  <c r="L80" i="10"/>
  <c r="E40" i="11" s="1"/>
  <c r="L79" i="10"/>
  <c r="L78" i="10"/>
  <c r="L77" i="10"/>
  <c r="E63" i="15" s="1"/>
  <c r="L76" i="10"/>
  <c r="L75" i="10"/>
  <c r="E142" i="13" s="1"/>
  <c r="L74" i="10"/>
  <c r="L73" i="10"/>
  <c r="E134" i="15" s="1"/>
  <c r="L72" i="10"/>
  <c r="E62" i="15" s="1"/>
  <c r="L71" i="10"/>
  <c r="L70" i="10"/>
  <c r="L69" i="10"/>
  <c r="E88" i="14" s="1"/>
  <c r="L68" i="10"/>
  <c r="L67" i="10"/>
  <c r="L66" i="10"/>
  <c r="L65" i="10"/>
  <c r="E61" i="14" s="1"/>
  <c r="L64" i="10"/>
  <c r="L63" i="10"/>
  <c r="L62" i="10"/>
  <c r="L61" i="10"/>
  <c r="E88" i="11" s="1"/>
  <c r="L60" i="10"/>
  <c r="L59" i="10"/>
  <c r="L58" i="10"/>
  <c r="L57" i="10"/>
  <c r="L56" i="10"/>
  <c r="L55" i="10"/>
  <c r="E80" i="13" s="1"/>
  <c r="L54" i="10"/>
  <c r="L53" i="10"/>
  <c r="L52" i="10"/>
  <c r="L51" i="10"/>
  <c r="L50" i="10"/>
  <c r="E129" i="11" s="1"/>
  <c r="L49" i="10"/>
  <c r="L48" i="10"/>
  <c r="L47" i="10"/>
  <c r="L46" i="10"/>
  <c r="L45" i="10"/>
  <c r="L44" i="10"/>
  <c r="L43" i="10"/>
  <c r="L42" i="10"/>
  <c r="L41" i="10"/>
  <c r="E141" i="13" s="1"/>
  <c r="L40" i="10"/>
  <c r="E79" i="13" s="1"/>
  <c r="L39" i="10"/>
  <c r="E102" i="11" s="1"/>
  <c r="L38" i="10"/>
  <c r="L37" i="10"/>
  <c r="E132" i="15" s="1"/>
  <c r="L36" i="10"/>
  <c r="E34" i="14" s="1"/>
  <c r="L35" i="10"/>
  <c r="L34" i="10"/>
  <c r="L33" i="10"/>
  <c r="L32" i="10"/>
  <c r="L31" i="10"/>
  <c r="L30" i="10"/>
  <c r="L29" i="10"/>
  <c r="E78" i="13" s="1"/>
  <c r="L28" i="10"/>
  <c r="L27" i="10"/>
  <c r="L26" i="10"/>
  <c r="L25" i="10"/>
  <c r="E87" i="14" s="1"/>
  <c r="L24" i="10"/>
  <c r="L23" i="10"/>
  <c r="L22" i="10"/>
  <c r="L21" i="10"/>
  <c r="E70" i="14" s="1"/>
  <c r="L20" i="10"/>
  <c r="E105" i="13" s="1"/>
  <c r="L19" i="10"/>
  <c r="E77" i="13" s="1"/>
  <c r="L18" i="10"/>
  <c r="L17" i="10"/>
  <c r="E33" i="14" s="1"/>
  <c r="L16" i="10"/>
  <c r="L15" i="10"/>
  <c r="E59" i="11" s="1"/>
  <c r="L14" i="10"/>
  <c r="L13" i="10"/>
  <c r="E76" i="13" s="1"/>
  <c r="L12" i="10"/>
  <c r="L11" i="10"/>
  <c r="L10" i="10"/>
  <c r="E164" i="13" s="1"/>
  <c r="L9" i="10"/>
  <c r="L8" i="10"/>
  <c r="L7" i="10"/>
  <c r="E75" i="13" s="1"/>
  <c r="L6" i="10"/>
  <c r="E104" i="13" s="1"/>
  <c r="L5" i="10"/>
  <c r="L4" i="10"/>
  <c r="E163" i="13" s="1"/>
  <c r="L3" i="10"/>
  <c r="E103" i="13" s="1"/>
  <c r="L2" i="10"/>
  <c r="L841" i="9"/>
  <c r="L840" i="9"/>
  <c r="E59" i="28" s="1"/>
  <c r="L839" i="9"/>
  <c r="L838" i="9"/>
  <c r="L837" i="9"/>
  <c r="L836" i="9"/>
  <c r="L835" i="9"/>
  <c r="L834" i="9"/>
  <c r="L833" i="9"/>
  <c r="E110" i="29" s="1"/>
  <c r="L832" i="9"/>
  <c r="E123" i="25" s="1"/>
  <c r="L831" i="9"/>
  <c r="L830" i="9"/>
  <c r="L829" i="9"/>
  <c r="L828" i="9"/>
  <c r="L827" i="9"/>
  <c r="L826" i="9"/>
  <c r="L825" i="9"/>
  <c r="E58" i="28" s="1"/>
  <c r="L824" i="9"/>
  <c r="L823" i="9"/>
  <c r="E153" i="25" s="1"/>
  <c r="L822" i="9"/>
  <c r="L821" i="9"/>
  <c r="E89" i="28" s="1"/>
  <c r="L820" i="9"/>
  <c r="L819" i="9"/>
  <c r="L818" i="9"/>
  <c r="L817" i="9"/>
  <c r="E88" i="28" s="1"/>
  <c r="L816" i="9"/>
  <c r="L815" i="9"/>
  <c r="L814" i="9"/>
  <c r="E46" i="27" s="1"/>
  <c r="L813" i="9"/>
  <c r="E87" i="28" s="1"/>
  <c r="L812" i="9"/>
  <c r="E151" i="28" s="1"/>
  <c r="L811" i="9"/>
  <c r="E183" i="29" s="1"/>
  <c r="L810" i="9"/>
  <c r="L809" i="9"/>
  <c r="L808" i="9"/>
  <c r="L807" i="9"/>
  <c r="E150" i="28" s="1"/>
  <c r="L806" i="9"/>
  <c r="L805" i="9"/>
  <c r="E79" i="27" s="1"/>
  <c r="L804" i="9"/>
  <c r="L803" i="9"/>
  <c r="L802" i="9"/>
  <c r="E182" i="29" s="1"/>
  <c r="L801" i="9"/>
  <c r="L800" i="9"/>
  <c r="E69" i="26" s="1"/>
  <c r="L799" i="9"/>
  <c r="E45" i="27" s="1"/>
  <c r="L798" i="9"/>
  <c r="L797" i="9"/>
  <c r="L796" i="9"/>
  <c r="L795" i="9"/>
  <c r="E120" i="25" s="1"/>
  <c r="L794" i="9"/>
  <c r="L793" i="9"/>
  <c r="E68" i="26" s="1"/>
  <c r="L792" i="9"/>
  <c r="E168" i="26" s="1"/>
  <c r="L791" i="9"/>
  <c r="E151" i="25" s="1"/>
  <c r="L790" i="9"/>
  <c r="L789" i="9"/>
  <c r="L788" i="9"/>
  <c r="L787" i="9"/>
  <c r="L786" i="9"/>
  <c r="L785" i="9"/>
  <c r="L784" i="9"/>
  <c r="L783" i="9"/>
  <c r="L782" i="9"/>
  <c r="E167" i="26" s="1"/>
  <c r="L781" i="9"/>
  <c r="E149" i="25" s="1"/>
  <c r="L780" i="9"/>
  <c r="L779" i="9"/>
  <c r="E166" i="26" s="1"/>
  <c r="L778" i="9"/>
  <c r="L777" i="9"/>
  <c r="L776" i="9"/>
  <c r="L775" i="9"/>
  <c r="E117" i="25" s="1"/>
  <c r="L774" i="9"/>
  <c r="L773" i="9"/>
  <c r="L772" i="9"/>
  <c r="L771" i="9"/>
  <c r="E181" i="29" s="1"/>
  <c r="L770" i="9"/>
  <c r="L769" i="9"/>
  <c r="L768" i="9"/>
  <c r="L767" i="9"/>
  <c r="L766" i="9"/>
  <c r="L765" i="9"/>
  <c r="E65" i="25" s="1"/>
  <c r="L764" i="9"/>
  <c r="L763" i="9"/>
  <c r="E147" i="25" s="1"/>
  <c r="L762" i="9"/>
  <c r="E147" i="28" s="1"/>
  <c r="L761" i="9"/>
  <c r="E78" i="27" s="1"/>
  <c r="L760" i="9"/>
  <c r="E115" i="25" s="1"/>
  <c r="L759" i="9"/>
  <c r="L758" i="9"/>
  <c r="L757" i="9"/>
  <c r="L756" i="9"/>
  <c r="E105" i="27" s="1"/>
  <c r="L755" i="9"/>
  <c r="E77" i="27" s="1"/>
  <c r="L754" i="9"/>
  <c r="L753" i="9"/>
  <c r="E146" i="28" s="1"/>
  <c r="L752" i="9"/>
  <c r="L751" i="9"/>
  <c r="L750" i="9"/>
  <c r="L749" i="9"/>
  <c r="L748" i="9"/>
  <c r="E56" i="28" s="1"/>
  <c r="L747" i="9"/>
  <c r="E180" i="29" s="1"/>
  <c r="L746" i="9"/>
  <c r="E84" i="29" s="1"/>
  <c r="L745" i="9"/>
  <c r="E145" i="28" s="1"/>
  <c r="L744" i="9"/>
  <c r="L743" i="9"/>
  <c r="E83" i="29" s="1"/>
  <c r="L742" i="9"/>
  <c r="L741" i="9"/>
  <c r="L740" i="9"/>
  <c r="L739" i="9"/>
  <c r="L738" i="9"/>
  <c r="L737" i="9"/>
  <c r="L736" i="9"/>
  <c r="E82" i="29" s="1"/>
  <c r="L735" i="9"/>
  <c r="E104" i="27" s="1"/>
  <c r="L734" i="9"/>
  <c r="E163" i="26" s="1"/>
  <c r="L733" i="9"/>
  <c r="E113" i="25" s="1"/>
  <c r="L732" i="9"/>
  <c r="E76" i="27" s="1"/>
  <c r="L731" i="9"/>
  <c r="L730" i="9"/>
  <c r="L729" i="9"/>
  <c r="E179" i="29" s="1"/>
  <c r="L728" i="9"/>
  <c r="L727" i="9"/>
  <c r="E144" i="28" s="1"/>
  <c r="L726" i="9"/>
  <c r="L725" i="9"/>
  <c r="L724" i="9"/>
  <c r="L723" i="9"/>
  <c r="E103" i="27" s="1"/>
  <c r="L722" i="9"/>
  <c r="E75" i="27" s="1"/>
  <c r="L721" i="9"/>
  <c r="E81" i="29" s="1"/>
  <c r="L720" i="9"/>
  <c r="L719" i="9"/>
  <c r="E143" i="28" s="1"/>
  <c r="L718" i="9"/>
  <c r="L717" i="9"/>
  <c r="E102" i="27" s="1"/>
  <c r="L716" i="9"/>
  <c r="L715" i="9"/>
  <c r="E112" i="25" s="1"/>
  <c r="L714" i="9"/>
  <c r="L713" i="9"/>
  <c r="L712" i="9"/>
  <c r="L711" i="9"/>
  <c r="L710" i="9"/>
  <c r="E101" i="27" s="1"/>
  <c r="L709" i="9"/>
  <c r="L708" i="9"/>
  <c r="E74" i="27" s="1"/>
  <c r="L707" i="9"/>
  <c r="L706" i="9"/>
  <c r="E108" i="29" s="1"/>
  <c r="L705" i="9"/>
  <c r="L704" i="9"/>
  <c r="L703" i="9"/>
  <c r="L702" i="9"/>
  <c r="L701" i="9"/>
  <c r="L700" i="9"/>
  <c r="L699" i="9"/>
  <c r="L698" i="9"/>
  <c r="E142" i="28" s="1"/>
  <c r="L697" i="9"/>
  <c r="L696" i="9"/>
  <c r="L695" i="9"/>
  <c r="E98" i="26" s="1"/>
  <c r="L694" i="9"/>
  <c r="L693" i="9"/>
  <c r="L692" i="9"/>
  <c r="E146" i="25" s="1"/>
  <c r="L691" i="9"/>
  <c r="L690" i="9"/>
  <c r="E100" i="27" s="1"/>
  <c r="L689" i="9"/>
  <c r="L688" i="9"/>
  <c r="E54" i="28" s="1"/>
  <c r="L687" i="9"/>
  <c r="E141" i="28" s="1"/>
  <c r="L686" i="9"/>
  <c r="E162" i="26" s="1"/>
  <c r="L685" i="9"/>
  <c r="E107" i="29" s="1"/>
  <c r="L684" i="9"/>
  <c r="L683" i="9"/>
  <c r="L682" i="9"/>
  <c r="E111" i="28" s="1"/>
  <c r="L681" i="9"/>
  <c r="L680" i="9"/>
  <c r="L679" i="9"/>
  <c r="L678" i="9"/>
  <c r="L677" i="9"/>
  <c r="E161" i="26" s="1"/>
  <c r="L676" i="9"/>
  <c r="E140" i="28" s="1"/>
  <c r="L675" i="9"/>
  <c r="L674" i="9"/>
  <c r="L673" i="9"/>
  <c r="L672" i="9"/>
  <c r="E139" i="28" s="1"/>
  <c r="L671" i="9"/>
  <c r="L670" i="9"/>
  <c r="L669" i="9"/>
  <c r="L668" i="9"/>
  <c r="L667" i="9"/>
  <c r="L666" i="9"/>
  <c r="L665" i="9"/>
  <c r="L664" i="9"/>
  <c r="E99" i="27" s="1"/>
  <c r="L663" i="9"/>
  <c r="E144" i="25" s="1"/>
  <c r="L662" i="9"/>
  <c r="L661" i="9"/>
  <c r="L660" i="9"/>
  <c r="L659" i="9"/>
  <c r="E177" i="29" s="1"/>
  <c r="L658" i="9"/>
  <c r="L657" i="9"/>
  <c r="L656" i="9"/>
  <c r="E86" i="28" s="1"/>
  <c r="L655" i="9"/>
  <c r="E131" i="26" s="1"/>
  <c r="L654" i="9"/>
  <c r="E52" i="28" s="1"/>
  <c r="L653" i="9"/>
  <c r="L652" i="9"/>
  <c r="L651" i="9"/>
  <c r="L650" i="9"/>
  <c r="L649" i="9"/>
  <c r="E130" i="26" s="1"/>
  <c r="L648" i="9"/>
  <c r="E51" i="28" s="1"/>
  <c r="L647" i="9"/>
  <c r="E129" i="26" s="1"/>
  <c r="L646" i="9"/>
  <c r="E85" i="28" s="1"/>
  <c r="L645" i="9"/>
  <c r="E176" i="29" s="1"/>
  <c r="L644" i="9"/>
  <c r="L643" i="9"/>
  <c r="L642" i="9"/>
  <c r="E64" i="25" s="1"/>
  <c r="L641" i="9"/>
  <c r="E68" i="27" s="1"/>
  <c r="L640" i="9"/>
  <c r="L639" i="9"/>
  <c r="E63" i="25" s="1"/>
  <c r="L638" i="9"/>
  <c r="E128" i="26" s="1"/>
  <c r="L637" i="9"/>
  <c r="L636" i="9"/>
  <c r="E79" i="29" s="1"/>
  <c r="L635" i="9"/>
  <c r="E84" i="28" s="1"/>
  <c r="L634" i="9"/>
  <c r="L633" i="9"/>
  <c r="E127" i="26" s="1"/>
  <c r="L632" i="9"/>
  <c r="L631" i="9"/>
  <c r="L630" i="9"/>
  <c r="L629" i="9"/>
  <c r="L628" i="9"/>
  <c r="L627" i="9"/>
  <c r="E67" i="27" s="1"/>
  <c r="L626" i="9"/>
  <c r="E136" i="28" s="1"/>
  <c r="L625" i="9"/>
  <c r="L624" i="9"/>
  <c r="E126" i="26" s="1"/>
  <c r="L623" i="9"/>
  <c r="E135" i="28" s="1"/>
  <c r="L622" i="9"/>
  <c r="E97" i="26" s="1"/>
  <c r="L621" i="9"/>
  <c r="E175" i="29" s="1"/>
  <c r="L620" i="9"/>
  <c r="E159" i="26" s="1"/>
  <c r="L619" i="9"/>
  <c r="L618" i="9"/>
  <c r="E49" i="28" s="1"/>
  <c r="L617" i="9"/>
  <c r="L616" i="9"/>
  <c r="E66" i="27" s="1"/>
  <c r="L615" i="9"/>
  <c r="L614" i="9"/>
  <c r="L613" i="9"/>
  <c r="L612" i="9"/>
  <c r="E97" i="27" s="1"/>
  <c r="L611" i="9"/>
  <c r="L610" i="9"/>
  <c r="E158" i="26" s="1"/>
  <c r="L609" i="9"/>
  <c r="E48" i="28" s="1"/>
  <c r="L608" i="9"/>
  <c r="L607" i="9"/>
  <c r="E95" i="26" s="1"/>
  <c r="L606" i="9"/>
  <c r="L605" i="9"/>
  <c r="E134" i="28" s="1"/>
  <c r="L604" i="9"/>
  <c r="E96" i="27" s="1"/>
  <c r="L603" i="9"/>
  <c r="L602" i="9"/>
  <c r="L601" i="9"/>
  <c r="L600" i="9"/>
  <c r="E174" i="29" s="1"/>
  <c r="L599" i="9"/>
  <c r="E38" i="27" s="1"/>
  <c r="L598" i="9"/>
  <c r="E133" i="28" s="1"/>
  <c r="L597" i="9"/>
  <c r="E65" i="27" s="1"/>
  <c r="L596" i="9"/>
  <c r="E132" i="28" s="1"/>
  <c r="L595" i="9"/>
  <c r="E58" i="26" s="1"/>
  <c r="L594" i="9"/>
  <c r="E106" i="25" s="1"/>
  <c r="L593" i="9"/>
  <c r="L592" i="9"/>
  <c r="L591" i="9"/>
  <c r="L590" i="9"/>
  <c r="E95" i="27" s="1"/>
  <c r="L589" i="9"/>
  <c r="E83" i="28" s="1"/>
  <c r="L588" i="9"/>
  <c r="L587" i="9"/>
  <c r="E77" i="29" s="1"/>
  <c r="L586" i="9"/>
  <c r="L585" i="9"/>
  <c r="E105" i="25" s="1"/>
  <c r="L584" i="9"/>
  <c r="L583" i="9"/>
  <c r="E47" i="28" s="1"/>
  <c r="L582" i="9"/>
  <c r="E131" i="28" s="1"/>
  <c r="L581" i="9"/>
  <c r="L580" i="9"/>
  <c r="E76" i="29" s="1"/>
  <c r="L579" i="9"/>
  <c r="L578" i="9"/>
  <c r="E64" i="27" s="1"/>
  <c r="L577" i="9"/>
  <c r="L576" i="9"/>
  <c r="L575" i="9"/>
  <c r="E93" i="26" s="1"/>
  <c r="L574" i="9"/>
  <c r="E136" i="29" s="1"/>
  <c r="L573" i="9"/>
  <c r="L572" i="9"/>
  <c r="E130" i="28" s="1"/>
  <c r="L571" i="9"/>
  <c r="L570" i="9"/>
  <c r="E135" i="29" s="1"/>
  <c r="L569" i="9"/>
  <c r="L568" i="9"/>
  <c r="L567" i="9"/>
  <c r="E37" i="27" s="1"/>
  <c r="L566" i="9"/>
  <c r="E129" i="28" s="1"/>
  <c r="L565" i="9"/>
  <c r="E92" i="26" s="1"/>
  <c r="L564" i="9"/>
  <c r="E63" i="27" s="1"/>
  <c r="L563" i="9"/>
  <c r="L562" i="9"/>
  <c r="E128" i="28" s="1"/>
  <c r="L561" i="9"/>
  <c r="E61" i="25" s="1"/>
  <c r="L560" i="9"/>
  <c r="E62" i="27" s="1"/>
  <c r="L559" i="9"/>
  <c r="L558" i="9"/>
  <c r="E110" i="28" s="1"/>
  <c r="L557" i="9"/>
  <c r="L556" i="9"/>
  <c r="E81" i="28" s="1"/>
  <c r="L555" i="9"/>
  <c r="L554" i="9"/>
  <c r="L553" i="9"/>
  <c r="E55" i="26" s="1"/>
  <c r="L552" i="9"/>
  <c r="E109" i="28" s="1"/>
  <c r="L551" i="9"/>
  <c r="L550" i="9"/>
  <c r="L549" i="9"/>
  <c r="E172" i="29" s="1"/>
  <c r="L548" i="9"/>
  <c r="L547" i="9"/>
  <c r="E54" i="26" s="1"/>
  <c r="L546" i="9"/>
  <c r="E134" i="29" s="1"/>
  <c r="L545" i="9"/>
  <c r="E91" i="26" s="1"/>
  <c r="L544" i="9"/>
  <c r="E127" i="28" s="1"/>
  <c r="L543" i="9"/>
  <c r="E102" i="25" s="1"/>
  <c r="L542" i="9"/>
  <c r="L541" i="9"/>
  <c r="E171" i="29" s="1"/>
  <c r="L540" i="9"/>
  <c r="E75" i="29" s="1"/>
  <c r="L539" i="9"/>
  <c r="L538" i="9"/>
  <c r="L537" i="9"/>
  <c r="L536" i="9"/>
  <c r="E133" i="29" s="1"/>
  <c r="L535" i="9"/>
  <c r="E74" i="29" s="1"/>
  <c r="L534" i="9"/>
  <c r="E108" i="28" s="1"/>
  <c r="L533" i="9"/>
  <c r="E170" i="29" s="1"/>
  <c r="L532" i="9"/>
  <c r="E126" i="28" s="1"/>
  <c r="L531" i="9"/>
  <c r="E73" i="29" s="1"/>
  <c r="L530" i="9"/>
  <c r="L529" i="9"/>
  <c r="L528" i="9"/>
  <c r="E94" i="27" s="1"/>
  <c r="L527" i="9"/>
  <c r="L526" i="9"/>
  <c r="L525" i="9"/>
  <c r="E85" i="25" s="1"/>
  <c r="L524" i="9"/>
  <c r="E125" i="28" s="1"/>
  <c r="L523" i="9"/>
  <c r="E169" i="29" s="1"/>
  <c r="L522" i="9"/>
  <c r="E79" i="28" s="1"/>
  <c r="L521" i="9"/>
  <c r="L520" i="9"/>
  <c r="E61" i="27" s="1"/>
  <c r="L519" i="9"/>
  <c r="E168" i="29" s="1"/>
  <c r="L518" i="9"/>
  <c r="L517" i="9"/>
  <c r="L516" i="9"/>
  <c r="E90" i="26" s="1"/>
  <c r="L515" i="9"/>
  <c r="L514" i="9"/>
  <c r="L513" i="9"/>
  <c r="E78" i="28" s="1"/>
  <c r="L512" i="9"/>
  <c r="L511" i="9"/>
  <c r="E167" i="29" s="1"/>
  <c r="L510" i="9"/>
  <c r="L509" i="9"/>
  <c r="E124" i="26" s="1"/>
  <c r="L508" i="9"/>
  <c r="E132" i="29" s="1"/>
  <c r="L507" i="9"/>
  <c r="E77" i="28" s="1"/>
  <c r="L506" i="9"/>
  <c r="L505" i="9"/>
  <c r="L504" i="9"/>
  <c r="L503" i="9"/>
  <c r="E107" i="28" s="1"/>
  <c r="L502" i="9"/>
  <c r="E76" i="28" s="1"/>
  <c r="L501" i="9"/>
  <c r="L500" i="9"/>
  <c r="E166" i="29" s="1"/>
  <c r="L499" i="9"/>
  <c r="L498" i="9"/>
  <c r="L497" i="9"/>
  <c r="E123" i="26" s="1"/>
  <c r="L496" i="9"/>
  <c r="E93" i="27" s="1"/>
  <c r="L495" i="9"/>
  <c r="E106" i="28" s="1"/>
  <c r="L494" i="9"/>
  <c r="L493" i="9"/>
  <c r="L492" i="9"/>
  <c r="L491" i="9"/>
  <c r="E92" i="27" s="1"/>
  <c r="L490" i="9"/>
  <c r="E124" i="28" s="1"/>
  <c r="L489" i="9"/>
  <c r="L488" i="9"/>
  <c r="L487" i="9"/>
  <c r="L486" i="9"/>
  <c r="L485" i="9"/>
  <c r="L484" i="9"/>
  <c r="L483" i="9"/>
  <c r="L482" i="9"/>
  <c r="E153" i="26" s="1"/>
  <c r="L481" i="9"/>
  <c r="E75" i="28" s="1"/>
  <c r="L480" i="9"/>
  <c r="L479" i="9"/>
  <c r="L478" i="9"/>
  <c r="E52" i="26" s="1"/>
  <c r="L477" i="9"/>
  <c r="E56" i="27" s="1"/>
  <c r="L476" i="9"/>
  <c r="L475" i="9"/>
  <c r="L474" i="9"/>
  <c r="L473" i="9"/>
  <c r="E105" i="28" s="1"/>
  <c r="L472" i="9"/>
  <c r="L471" i="9"/>
  <c r="E91" i="27" s="1"/>
  <c r="L470" i="9"/>
  <c r="L469" i="9"/>
  <c r="E123" i="28" s="1"/>
  <c r="L468" i="9"/>
  <c r="E74" i="28" s="1"/>
  <c r="L467" i="9"/>
  <c r="E55" i="27" s="1"/>
  <c r="L466" i="9"/>
  <c r="L465" i="9"/>
  <c r="E104" i="28" s="1"/>
  <c r="L464" i="9"/>
  <c r="L463" i="9"/>
  <c r="E73" i="28" s="1"/>
  <c r="L462" i="9"/>
  <c r="L461" i="9"/>
  <c r="E84" i="25" s="1"/>
  <c r="L460" i="9"/>
  <c r="E51" i="26" s="1"/>
  <c r="L459" i="9"/>
  <c r="L458" i="9"/>
  <c r="L457" i="9"/>
  <c r="L456" i="9"/>
  <c r="L455" i="9"/>
  <c r="L454" i="9"/>
  <c r="L453" i="9"/>
  <c r="E100" i="25" s="1"/>
  <c r="L452" i="9"/>
  <c r="L451" i="9"/>
  <c r="E83" i="25" s="1"/>
  <c r="L450" i="9"/>
  <c r="E90" i="27" s="1"/>
  <c r="L449" i="9"/>
  <c r="E54" i="27" s="1"/>
  <c r="L448" i="9"/>
  <c r="L447" i="9"/>
  <c r="L446" i="9"/>
  <c r="L445" i="9"/>
  <c r="E53" i="27" s="1"/>
  <c r="L444" i="9"/>
  <c r="E82" i="25" s="1"/>
  <c r="L443" i="9"/>
  <c r="L442" i="9"/>
  <c r="E120" i="26" s="1"/>
  <c r="L441" i="9"/>
  <c r="L440" i="9"/>
  <c r="E89" i="27" s="1"/>
  <c r="L439" i="9"/>
  <c r="E119" i="26" s="1"/>
  <c r="L438" i="9"/>
  <c r="E164" i="29" s="1"/>
  <c r="L437" i="9"/>
  <c r="E72" i="28" s="1"/>
  <c r="L436" i="9"/>
  <c r="L435" i="9"/>
  <c r="L434" i="9"/>
  <c r="E71" i="28" s="1"/>
  <c r="L433" i="9"/>
  <c r="E81" i="25" s="1"/>
  <c r="L432" i="9"/>
  <c r="E80" i="25" s="1"/>
  <c r="L431" i="9"/>
  <c r="L430" i="9"/>
  <c r="L429" i="9"/>
  <c r="L428" i="9"/>
  <c r="E163" i="29" s="1"/>
  <c r="L427" i="9"/>
  <c r="L426" i="9"/>
  <c r="L425" i="9"/>
  <c r="E118" i="26" s="1"/>
  <c r="L424" i="9"/>
  <c r="L423" i="9"/>
  <c r="L422" i="9"/>
  <c r="E79" i="25" s="1"/>
  <c r="L421" i="9"/>
  <c r="L420" i="9"/>
  <c r="L419" i="9"/>
  <c r="L418" i="9"/>
  <c r="E117" i="26" s="1"/>
  <c r="L417" i="9"/>
  <c r="L416" i="9"/>
  <c r="E50" i="26" s="1"/>
  <c r="L415" i="9"/>
  <c r="E78" i="25" s="1"/>
  <c r="L414" i="9"/>
  <c r="L413" i="9"/>
  <c r="E116" i="26" s="1"/>
  <c r="L412" i="9"/>
  <c r="E103" i="29" s="1"/>
  <c r="L411" i="9"/>
  <c r="L410" i="9"/>
  <c r="L409" i="9"/>
  <c r="E49" i="26" s="1"/>
  <c r="L408" i="9"/>
  <c r="E68" i="29" s="1"/>
  <c r="L407" i="9"/>
  <c r="L406" i="9"/>
  <c r="L405" i="9"/>
  <c r="L404" i="9"/>
  <c r="E48" i="26" s="1"/>
  <c r="L403" i="9"/>
  <c r="L402" i="9"/>
  <c r="E115" i="26" s="1"/>
  <c r="L401" i="9"/>
  <c r="E85" i="26" s="1"/>
  <c r="L400" i="9"/>
  <c r="L399" i="9"/>
  <c r="L398" i="9"/>
  <c r="L397" i="9"/>
  <c r="L396" i="9"/>
  <c r="E114" i="26" s="1"/>
  <c r="L395" i="9"/>
  <c r="E70" i="28" s="1"/>
  <c r="L394" i="9"/>
  <c r="E113" i="26" s="1"/>
  <c r="L393" i="9"/>
  <c r="L392" i="9"/>
  <c r="E112" i="26" s="1"/>
  <c r="L391" i="9"/>
  <c r="E59" i="25" s="1"/>
  <c r="L390" i="9"/>
  <c r="E69" i="28" s="1"/>
  <c r="L389" i="9"/>
  <c r="E46" i="28" s="1"/>
  <c r="L388" i="9"/>
  <c r="E111" i="26" s="1"/>
  <c r="L387" i="9"/>
  <c r="E47" i="26" s="1"/>
  <c r="L386" i="9"/>
  <c r="L385" i="9"/>
  <c r="E46" i="26" s="1"/>
  <c r="L384" i="9"/>
  <c r="E110" i="26" s="1"/>
  <c r="L383" i="9"/>
  <c r="L382" i="9"/>
  <c r="E67" i="28" s="1"/>
  <c r="L381" i="9"/>
  <c r="L380" i="9"/>
  <c r="E109" i="26" s="1"/>
  <c r="L379" i="9"/>
  <c r="L378" i="9"/>
  <c r="L377" i="9"/>
  <c r="E85" i="27" s="1"/>
  <c r="L376" i="9"/>
  <c r="E108" i="26" s="1"/>
  <c r="L375" i="9"/>
  <c r="E33" i="27" s="1"/>
  <c r="L374" i="9"/>
  <c r="E107" i="26" s="1"/>
  <c r="L373" i="9"/>
  <c r="E84" i="27" s="1"/>
  <c r="L372" i="9"/>
  <c r="L371" i="9"/>
  <c r="L370" i="9"/>
  <c r="E178" i="13" s="1"/>
  <c r="L369" i="9"/>
  <c r="E94" i="15" s="1"/>
  <c r="L368" i="9"/>
  <c r="L367" i="9"/>
  <c r="L366" i="9"/>
  <c r="E82" i="14" s="1"/>
  <c r="L365" i="9"/>
  <c r="L364" i="9"/>
  <c r="E158" i="13" s="1"/>
  <c r="L363" i="9"/>
  <c r="L362" i="9"/>
  <c r="L361" i="9"/>
  <c r="L360" i="9"/>
  <c r="L359" i="9"/>
  <c r="L358" i="9"/>
  <c r="L357" i="9"/>
  <c r="L356" i="9"/>
  <c r="L355" i="9"/>
  <c r="L354" i="9"/>
  <c r="L353" i="9"/>
  <c r="E141" i="11" s="1"/>
  <c r="L352" i="9"/>
  <c r="E156" i="13" s="1"/>
  <c r="L351" i="9"/>
  <c r="L350" i="9"/>
  <c r="L349" i="9"/>
  <c r="L348" i="9"/>
  <c r="L347" i="9"/>
  <c r="L346" i="9"/>
  <c r="E97" i="11" s="1"/>
  <c r="L345" i="9"/>
  <c r="L344" i="9"/>
  <c r="E96" i="13" s="1"/>
  <c r="L343" i="9"/>
  <c r="E68" i="13" s="1"/>
  <c r="L342" i="9"/>
  <c r="E110" i="14" s="1"/>
  <c r="L341" i="9"/>
  <c r="L340" i="9"/>
  <c r="L339" i="9"/>
  <c r="L338" i="9"/>
  <c r="L337" i="9"/>
  <c r="L336" i="9"/>
  <c r="L335" i="9"/>
  <c r="E83" i="11" s="1"/>
  <c r="L334" i="9"/>
  <c r="L333" i="9"/>
  <c r="E109" i="14" s="1"/>
  <c r="L332" i="9"/>
  <c r="E95" i="13" s="1"/>
  <c r="L331" i="9"/>
  <c r="L330" i="9"/>
  <c r="E126" i="15" s="1"/>
  <c r="L329" i="9"/>
  <c r="L328" i="9"/>
  <c r="L327" i="9"/>
  <c r="L326" i="9"/>
  <c r="E108" i="14" s="1"/>
  <c r="L325" i="9"/>
  <c r="L324" i="9"/>
  <c r="E94" i="13" s="1"/>
  <c r="L323" i="9"/>
  <c r="L322" i="9"/>
  <c r="L321" i="9"/>
  <c r="L320" i="9"/>
  <c r="E125" i="15" s="1"/>
  <c r="L319" i="9"/>
  <c r="E107" i="14" s="1"/>
  <c r="L318" i="9"/>
  <c r="L317" i="9"/>
  <c r="E96" i="11" s="1"/>
  <c r="L316" i="9"/>
  <c r="L315" i="9"/>
  <c r="E155" i="13" s="1"/>
  <c r="L314" i="9"/>
  <c r="E123" i="11" s="1"/>
  <c r="L313" i="9"/>
  <c r="L312" i="9"/>
  <c r="E87" i="15" s="1"/>
  <c r="L311" i="9"/>
  <c r="E124" i="15" s="1"/>
  <c r="L310" i="9"/>
  <c r="L309" i="9"/>
  <c r="E82" i="11" s="1"/>
  <c r="L308" i="9"/>
  <c r="E106" i="14" s="1"/>
  <c r="L307" i="9"/>
  <c r="E95" i="11" s="1"/>
  <c r="L306" i="9"/>
  <c r="L305" i="9"/>
  <c r="L304" i="9"/>
  <c r="E93" i="13" s="1"/>
  <c r="L303" i="9"/>
  <c r="E67" i="13" s="1"/>
  <c r="L302" i="9"/>
  <c r="E94" i="11" s="1"/>
  <c r="L301" i="9"/>
  <c r="L300" i="9"/>
  <c r="E177" i="13" s="1"/>
  <c r="L299" i="9"/>
  <c r="E86" i="15" s="1"/>
  <c r="L298" i="9"/>
  <c r="E123" i="15" s="1"/>
  <c r="L297" i="9"/>
  <c r="E66" i="13" s="1"/>
  <c r="L296" i="9"/>
  <c r="L295" i="9"/>
  <c r="E120" i="14" s="1"/>
  <c r="L294" i="9"/>
  <c r="L293" i="9"/>
  <c r="L292" i="9"/>
  <c r="L291" i="9"/>
  <c r="E92" i="13" s="1"/>
  <c r="L290" i="9"/>
  <c r="L289" i="9"/>
  <c r="L288" i="9"/>
  <c r="E93" i="11" s="1"/>
  <c r="L287" i="9"/>
  <c r="E91" i="13" s="1"/>
  <c r="L286" i="9"/>
  <c r="L285" i="9"/>
  <c r="E85" i="15" s="1"/>
  <c r="L284" i="9"/>
  <c r="L283" i="9"/>
  <c r="L282" i="9"/>
  <c r="E81" i="11" s="1"/>
  <c r="L281" i="9"/>
  <c r="L280" i="9"/>
  <c r="L279" i="9"/>
  <c r="L278" i="9"/>
  <c r="L277" i="9"/>
  <c r="E105" i="14" s="1"/>
  <c r="L276" i="9"/>
  <c r="E84" i="15" s="1"/>
  <c r="L275" i="9"/>
  <c r="L274" i="9"/>
  <c r="E122" i="15" s="1"/>
  <c r="L273" i="9"/>
  <c r="L272" i="9"/>
  <c r="E83" i="15" s="1"/>
  <c r="L271" i="9"/>
  <c r="E55" i="14" s="1"/>
  <c r="L270" i="9"/>
  <c r="L269" i="9"/>
  <c r="L268" i="9"/>
  <c r="L267" i="9"/>
  <c r="E121" i="15" s="1"/>
  <c r="L266" i="9"/>
  <c r="E54" i="14" s="1"/>
  <c r="L265" i="9"/>
  <c r="L264" i="9"/>
  <c r="L263" i="9"/>
  <c r="E153" i="13" s="1"/>
  <c r="L262" i="9"/>
  <c r="E176" i="13" s="1"/>
  <c r="L261" i="9"/>
  <c r="L260" i="9"/>
  <c r="L259" i="9"/>
  <c r="E65" i="13" s="1"/>
  <c r="L258" i="9"/>
  <c r="L257" i="9"/>
  <c r="L256" i="9"/>
  <c r="E175" i="13" s="1"/>
  <c r="L255" i="9"/>
  <c r="L254" i="9"/>
  <c r="L253" i="9"/>
  <c r="L252" i="9"/>
  <c r="L251" i="9"/>
  <c r="L250" i="9"/>
  <c r="E64" i="13" s="1"/>
  <c r="L249" i="9"/>
  <c r="L248" i="9"/>
  <c r="E53" i="14" s="1"/>
  <c r="L247" i="9"/>
  <c r="E63" i="13" s="1"/>
  <c r="L246" i="9"/>
  <c r="L245" i="9"/>
  <c r="L244" i="9"/>
  <c r="L243" i="9"/>
  <c r="L242" i="9"/>
  <c r="L241" i="9"/>
  <c r="E78" i="11" s="1"/>
  <c r="L240" i="9"/>
  <c r="E52" i="14" s="1"/>
  <c r="L239" i="9"/>
  <c r="L238" i="9"/>
  <c r="L237" i="9"/>
  <c r="E77" i="11" s="1"/>
  <c r="L236" i="9"/>
  <c r="L235" i="9"/>
  <c r="E151" i="15" s="1"/>
  <c r="L234" i="9"/>
  <c r="L233" i="9"/>
  <c r="E81" i="15" s="1"/>
  <c r="L232" i="9"/>
  <c r="E138" i="11" s="1"/>
  <c r="L231" i="9"/>
  <c r="L230" i="9"/>
  <c r="L229" i="9"/>
  <c r="E78" i="14" s="1"/>
  <c r="L228" i="9"/>
  <c r="E120" i="15" s="1"/>
  <c r="L227" i="9"/>
  <c r="E150" i="15" s="1"/>
  <c r="L226" i="9"/>
  <c r="E51" i="14" s="1"/>
  <c r="L225" i="9"/>
  <c r="L224" i="9"/>
  <c r="L223" i="9"/>
  <c r="L222" i="9"/>
  <c r="E151" i="13" s="1"/>
  <c r="L221" i="9"/>
  <c r="L220" i="9"/>
  <c r="L219" i="9"/>
  <c r="E50" i="14" s="1"/>
  <c r="L218" i="9"/>
  <c r="L217" i="9"/>
  <c r="L216" i="9"/>
  <c r="L215" i="9"/>
  <c r="E118" i="14" s="1"/>
  <c r="L214" i="9"/>
  <c r="L213" i="9"/>
  <c r="E49" i="14" s="1"/>
  <c r="L212" i="9"/>
  <c r="L211" i="9"/>
  <c r="L210" i="9"/>
  <c r="L209" i="9"/>
  <c r="E150" i="13" s="1"/>
  <c r="L208" i="9"/>
  <c r="L207" i="9"/>
  <c r="E76" i="11" s="1"/>
  <c r="L206" i="9"/>
  <c r="L205" i="9"/>
  <c r="L204" i="9"/>
  <c r="L203" i="9"/>
  <c r="E124" i="13" s="1"/>
  <c r="L202" i="9"/>
  <c r="L201" i="9"/>
  <c r="L200" i="9"/>
  <c r="E80" i="15" s="1"/>
  <c r="L199" i="9"/>
  <c r="L198" i="9"/>
  <c r="E75" i="11" s="1"/>
  <c r="L197" i="9"/>
  <c r="L196" i="9"/>
  <c r="E148" i="15" s="1"/>
  <c r="L195" i="9"/>
  <c r="E117" i="14" s="1"/>
  <c r="L194" i="9"/>
  <c r="L193" i="9"/>
  <c r="L192" i="9"/>
  <c r="E74" i="11" s="1"/>
  <c r="L191" i="9"/>
  <c r="L190" i="9"/>
  <c r="L189" i="9"/>
  <c r="L188" i="9"/>
  <c r="E79" i="15" s="1"/>
  <c r="L187" i="9"/>
  <c r="L186" i="9"/>
  <c r="L185" i="9"/>
  <c r="E118" i="11" s="1"/>
  <c r="L184" i="9"/>
  <c r="L183" i="9"/>
  <c r="E117" i="11" s="1"/>
  <c r="L182" i="9"/>
  <c r="L181" i="9"/>
  <c r="E146" i="15" s="1"/>
  <c r="L180" i="9"/>
  <c r="L179" i="9"/>
  <c r="L178" i="9"/>
  <c r="L177" i="9"/>
  <c r="L176" i="9"/>
  <c r="L175" i="9"/>
  <c r="E91" i="11" s="1"/>
  <c r="L174" i="9"/>
  <c r="L173" i="9"/>
  <c r="E78" i="15" s="1"/>
  <c r="L172" i="9"/>
  <c r="L171" i="9"/>
  <c r="E77" i="15" s="1"/>
  <c r="L170" i="9"/>
  <c r="E102" i="14" s="1"/>
  <c r="L169" i="9"/>
  <c r="E172" i="13" s="1"/>
  <c r="L168" i="9"/>
  <c r="L167" i="9"/>
  <c r="E148" i="13" s="1"/>
  <c r="L166" i="9"/>
  <c r="L165" i="9"/>
  <c r="L164" i="9"/>
  <c r="L163" i="9"/>
  <c r="E145" i="15" s="1"/>
  <c r="L162" i="9"/>
  <c r="L161" i="9"/>
  <c r="L160" i="9"/>
  <c r="L159" i="9"/>
  <c r="E77" i="14" s="1"/>
  <c r="L158" i="9"/>
  <c r="L157" i="9"/>
  <c r="L156" i="9"/>
  <c r="L155" i="9"/>
  <c r="L154" i="9"/>
  <c r="L153" i="9"/>
  <c r="L152" i="9"/>
  <c r="L151" i="9"/>
  <c r="L150" i="9"/>
  <c r="L149" i="9"/>
  <c r="E116" i="15" s="1"/>
  <c r="L148" i="9"/>
  <c r="L147" i="9"/>
  <c r="E76" i="15" s="1"/>
  <c r="L146" i="9"/>
  <c r="E76" i="14" s="1"/>
  <c r="L145" i="9"/>
  <c r="E75" i="15" s="1"/>
  <c r="L144" i="9"/>
  <c r="L143" i="9"/>
  <c r="L142" i="9"/>
  <c r="E171" i="13" s="1"/>
  <c r="L141" i="9"/>
  <c r="E73" i="11" s="1"/>
  <c r="L140" i="9"/>
  <c r="L139" i="9"/>
  <c r="E88" i="13" s="1"/>
  <c r="L138" i="9"/>
  <c r="E115" i="15" s="1"/>
  <c r="L137" i="9"/>
  <c r="L136" i="9"/>
  <c r="L135" i="9"/>
  <c r="E87" i="13" s="1"/>
  <c r="L134" i="9"/>
  <c r="L133" i="9"/>
  <c r="E74" i="15" s="1"/>
  <c r="L132" i="9"/>
  <c r="E119" i="13" s="1"/>
  <c r="L131" i="9"/>
  <c r="L130" i="9"/>
  <c r="L129" i="9"/>
  <c r="E50" i="11" s="1"/>
  <c r="L128" i="9"/>
  <c r="L127" i="9"/>
  <c r="E73" i="15" s="1"/>
  <c r="L126" i="9"/>
  <c r="E170" i="13" s="1"/>
  <c r="L125" i="9"/>
  <c r="L124" i="9"/>
  <c r="L123" i="9"/>
  <c r="L122" i="9"/>
  <c r="E72" i="15" s="1"/>
  <c r="L121" i="9"/>
  <c r="L120" i="9"/>
  <c r="L119" i="9"/>
  <c r="L118" i="9"/>
  <c r="E86" i="13" s="1"/>
  <c r="L117" i="9"/>
  <c r="L116" i="9"/>
  <c r="E75" i="14" s="1"/>
  <c r="L115" i="9"/>
  <c r="E49" i="11" s="1"/>
  <c r="L114" i="9"/>
  <c r="L113" i="9"/>
  <c r="L112" i="9"/>
  <c r="L111" i="9"/>
  <c r="L110" i="9"/>
  <c r="L109" i="9"/>
  <c r="E116" i="11" s="1"/>
  <c r="L108" i="9"/>
  <c r="L107" i="9"/>
  <c r="E142" i="15" s="1"/>
  <c r="L106" i="9"/>
  <c r="E57" i="13" s="1"/>
  <c r="L105" i="9"/>
  <c r="L104" i="9"/>
  <c r="E72" i="11" s="1"/>
  <c r="L103" i="9"/>
  <c r="E115" i="11" s="1"/>
  <c r="L102" i="9"/>
  <c r="L101" i="9"/>
  <c r="L100" i="9"/>
  <c r="L99" i="9"/>
  <c r="E98" i="14" s="1"/>
  <c r="L98" i="9"/>
  <c r="E74" i="14" s="1"/>
  <c r="L97" i="9"/>
  <c r="L96" i="9"/>
  <c r="L95" i="9"/>
  <c r="E141" i="15" s="1"/>
  <c r="L94" i="9"/>
  <c r="E84" i="13" s="1"/>
  <c r="L93" i="9"/>
  <c r="L92" i="9"/>
  <c r="E140" i="15" s="1"/>
  <c r="L91" i="9"/>
  <c r="L90" i="9"/>
  <c r="L89" i="9"/>
  <c r="L88" i="9"/>
  <c r="L87" i="9"/>
  <c r="L86" i="9"/>
  <c r="E113" i="15" s="1"/>
  <c r="L85" i="9"/>
  <c r="E139" i="15" s="1"/>
  <c r="L84" i="9"/>
  <c r="L83" i="9"/>
  <c r="L82" i="9"/>
  <c r="L81" i="9"/>
  <c r="L80" i="9"/>
  <c r="E116" i="13" s="1"/>
  <c r="L79" i="9"/>
  <c r="L78" i="9"/>
  <c r="L77" i="9"/>
  <c r="L76" i="9"/>
  <c r="L75" i="9"/>
  <c r="L74" i="9"/>
  <c r="E47" i="11" s="1"/>
  <c r="L73" i="9"/>
  <c r="L72" i="9"/>
  <c r="L71" i="9"/>
  <c r="L70" i="9"/>
  <c r="L69" i="9"/>
  <c r="E115" i="13" s="1"/>
  <c r="L68" i="9"/>
  <c r="L67" i="9"/>
  <c r="E114" i="11" s="1"/>
  <c r="L66" i="9"/>
  <c r="L65" i="9"/>
  <c r="E111" i="15" s="1"/>
  <c r="L64" i="9"/>
  <c r="E113" i="11" s="1"/>
  <c r="L63" i="9"/>
  <c r="E114" i="13" s="1"/>
  <c r="L62" i="9"/>
  <c r="E168" i="13" s="1"/>
  <c r="L61" i="9"/>
  <c r="L60" i="9"/>
  <c r="E110" i="15" s="1"/>
  <c r="L59" i="9"/>
  <c r="L58" i="9"/>
  <c r="L57" i="9"/>
  <c r="L56" i="9"/>
  <c r="E96" i="14" s="1"/>
  <c r="L55" i="9"/>
  <c r="E45" i="14" s="1"/>
  <c r="L54" i="9"/>
  <c r="E109" i="15" s="1"/>
  <c r="L53" i="9"/>
  <c r="E113" i="13" s="1"/>
  <c r="L52" i="9"/>
  <c r="E108" i="15" s="1"/>
  <c r="L51" i="9"/>
  <c r="L50" i="9"/>
  <c r="L49" i="9"/>
  <c r="E107" i="15" s="1"/>
  <c r="L48" i="9"/>
  <c r="L47" i="9"/>
  <c r="E44" i="14" s="1"/>
  <c r="L46" i="9"/>
  <c r="L45" i="9"/>
  <c r="E83" i="13" s="1"/>
  <c r="L44" i="9"/>
  <c r="L43" i="9"/>
  <c r="L42" i="9"/>
  <c r="E68" i="11" s="1"/>
  <c r="L41" i="9"/>
  <c r="E95" i="14" s="1"/>
  <c r="L40" i="9"/>
  <c r="E43" i="14" s="1"/>
  <c r="L39" i="9"/>
  <c r="L38" i="9"/>
  <c r="E42" i="11" s="1"/>
  <c r="L37" i="9"/>
  <c r="L36" i="9"/>
  <c r="E67" i="11" s="1"/>
  <c r="L35" i="9"/>
  <c r="E94" i="14" s="1"/>
  <c r="L34" i="9"/>
  <c r="E42" i="14" s="1"/>
  <c r="L33" i="9"/>
  <c r="E93" i="14" s="1"/>
  <c r="L32" i="9"/>
  <c r="E112" i="13" s="1"/>
  <c r="L31" i="9"/>
  <c r="E92" i="14" s="1"/>
  <c r="L30" i="9"/>
  <c r="E41" i="14" s="1"/>
  <c r="L29" i="9"/>
  <c r="L28" i="9"/>
  <c r="E111" i="13" s="1"/>
  <c r="L27" i="9"/>
  <c r="L26" i="9"/>
  <c r="L25" i="9"/>
  <c r="L24" i="9"/>
  <c r="E39" i="14" s="1"/>
  <c r="L23" i="9"/>
  <c r="L22" i="9"/>
  <c r="E144" i="13" s="1"/>
  <c r="L21" i="9"/>
  <c r="E38" i="14" s="1"/>
  <c r="L20" i="9"/>
  <c r="E108" i="11" s="1"/>
  <c r="L19" i="9"/>
  <c r="L18" i="9"/>
  <c r="L17" i="9"/>
  <c r="L16" i="9"/>
  <c r="E66" i="11" s="1"/>
  <c r="L15" i="9"/>
  <c r="E41" i="11" s="1"/>
  <c r="L14" i="9"/>
  <c r="L13" i="9"/>
  <c r="L12" i="9"/>
  <c r="E65" i="11" s="1"/>
  <c r="L11" i="9"/>
  <c r="L10" i="9"/>
  <c r="L9" i="9"/>
  <c r="L8" i="9"/>
  <c r="E63" i="11" s="1"/>
  <c r="L7" i="9"/>
  <c r="E106" i="11" s="1"/>
  <c r="L6" i="9"/>
  <c r="L5" i="9"/>
  <c r="E36" i="14" s="1"/>
  <c r="L4" i="9"/>
  <c r="L3" i="9"/>
  <c r="E61" i="11" s="1"/>
  <c r="L2" i="9"/>
  <c r="E61" i="15" s="1"/>
  <c r="P175" i="8"/>
  <c r="N173" i="8"/>
  <c r="K173" i="8"/>
  <c r="J173" i="8"/>
  <c r="I173" i="8"/>
  <c r="H173" i="8"/>
  <c r="G173" i="8"/>
  <c r="F173" i="8"/>
  <c r="E173" i="8"/>
  <c r="D173" i="8"/>
  <c r="C173" i="8"/>
  <c r="B173" i="8"/>
  <c r="A173" i="8"/>
  <c r="N172" i="8"/>
  <c r="K172" i="8"/>
  <c r="J172" i="8"/>
  <c r="I172" i="8"/>
  <c r="H172" i="8"/>
  <c r="G172" i="8"/>
  <c r="F172" i="8"/>
  <c r="E172" i="8"/>
  <c r="D172" i="8"/>
  <c r="C172" i="8"/>
  <c r="B172" i="8"/>
  <c r="A172" i="8"/>
  <c r="N171" i="8"/>
  <c r="K171" i="8"/>
  <c r="J171" i="8"/>
  <c r="I171" i="8"/>
  <c r="H171" i="8"/>
  <c r="G171" i="8"/>
  <c r="F171" i="8"/>
  <c r="E171" i="8"/>
  <c r="D171" i="8"/>
  <c r="C171" i="8"/>
  <c r="B171" i="8"/>
  <c r="A171" i="8"/>
  <c r="N170" i="8"/>
  <c r="M170" i="8"/>
  <c r="L170" i="8"/>
  <c r="K170" i="8"/>
  <c r="J170" i="8"/>
  <c r="I170" i="8"/>
  <c r="H170" i="8"/>
  <c r="G170" i="8"/>
  <c r="F170" i="8"/>
  <c r="E170" i="8"/>
  <c r="D170" i="8"/>
  <c r="C170" i="8"/>
  <c r="B170" i="8"/>
  <c r="A170" i="8"/>
  <c r="N169" i="8"/>
  <c r="M169" i="8"/>
  <c r="L169" i="8"/>
  <c r="K169" i="8"/>
  <c r="J169" i="8"/>
  <c r="I169" i="8"/>
  <c r="H169" i="8"/>
  <c r="G169" i="8"/>
  <c r="F169" i="8"/>
  <c r="E169" i="8"/>
  <c r="D169" i="8"/>
  <c r="C169" i="8"/>
  <c r="B169" i="8"/>
  <c r="A169" i="8"/>
  <c r="N168" i="8"/>
  <c r="M168" i="8"/>
  <c r="L168" i="8"/>
  <c r="K168" i="8"/>
  <c r="J168" i="8"/>
  <c r="I168" i="8"/>
  <c r="H168" i="8"/>
  <c r="G168" i="8"/>
  <c r="F168" i="8"/>
  <c r="E168" i="8"/>
  <c r="D168" i="8"/>
  <c r="C168" i="8"/>
  <c r="B168" i="8"/>
  <c r="A168" i="8"/>
  <c r="N167" i="8"/>
  <c r="M167" i="8"/>
  <c r="L167" i="8"/>
  <c r="K167" i="8"/>
  <c r="J167" i="8"/>
  <c r="I167" i="8"/>
  <c r="H167" i="8"/>
  <c r="G167" i="8"/>
  <c r="F167" i="8"/>
  <c r="E167" i="8"/>
  <c r="D167" i="8"/>
  <c r="C167" i="8"/>
  <c r="B167" i="8"/>
  <c r="A167" i="8"/>
  <c r="N166" i="8"/>
  <c r="K166" i="8"/>
  <c r="J166" i="8"/>
  <c r="I166" i="8"/>
  <c r="H166" i="8"/>
  <c r="G166" i="8"/>
  <c r="F166" i="8"/>
  <c r="E166" i="8"/>
  <c r="D166" i="8"/>
  <c r="C166" i="8"/>
  <c r="B166" i="8"/>
  <c r="A166" i="8"/>
  <c r="N165" i="8"/>
  <c r="M165" i="8"/>
  <c r="L165" i="8"/>
  <c r="K165" i="8"/>
  <c r="J165" i="8"/>
  <c r="I165" i="8"/>
  <c r="H165" i="8"/>
  <c r="G165" i="8"/>
  <c r="F165" i="8"/>
  <c r="E165" i="8"/>
  <c r="D165" i="8"/>
  <c r="C165" i="8"/>
  <c r="B165" i="8"/>
  <c r="A165" i="8"/>
  <c r="N164" i="8"/>
  <c r="M164" i="8"/>
  <c r="L164" i="8"/>
  <c r="K164" i="8"/>
  <c r="J164" i="8"/>
  <c r="I164" i="8"/>
  <c r="H164" i="8"/>
  <c r="G164" i="8"/>
  <c r="F164" i="8"/>
  <c r="E164" i="8"/>
  <c r="D164" i="8"/>
  <c r="C164" i="8"/>
  <c r="B164" i="8"/>
  <c r="A164" i="8"/>
  <c r="N163" i="8"/>
  <c r="M163" i="8"/>
  <c r="L163" i="8"/>
  <c r="K163" i="8"/>
  <c r="J163" i="8"/>
  <c r="I163" i="8"/>
  <c r="H163" i="8"/>
  <c r="G163" i="8"/>
  <c r="F163" i="8"/>
  <c r="E163" i="8"/>
  <c r="D163" i="8"/>
  <c r="C163" i="8"/>
  <c r="B163" i="8"/>
  <c r="A163" i="8"/>
  <c r="N162" i="8"/>
  <c r="M162" i="8"/>
  <c r="L162" i="8"/>
  <c r="K162" i="8"/>
  <c r="J162" i="8"/>
  <c r="I162" i="8"/>
  <c r="H162" i="8"/>
  <c r="G162" i="8"/>
  <c r="F162" i="8"/>
  <c r="E162" i="8"/>
  <c r="D162" i="8"/>
  <c r="C162" i="8"/>
  <c r="B162" i="8"/>
  <c r="A162" i="8"/>
  <c r="N161" i="8"/>
  <c r="M161" i="8"/>
  <c r="L161" i="8"/>
  <c r="K161" i="8"/>
  <c r="J161" i="8"/>
  <c r="I161" i="8"/>
  <c r="H161" i="8"/>
  <c r="G161" i="8"/>
  <c r="F161" i="8"/>
  <c r="E161" i="8"/>
  <c r="D161" i="8"/>
  <c r="C161" i="8"/>
  <c r="B161" i="8"/>
  <c r="A161" i="8"/>
  <c r="N160" i="8"/>
  <c r="M160" i="8"/>
  <c r="L160" i="8"/>
  <c r="K160" i="8"/>
  <c r="J160" i="8"/>
  <c r="I160" i="8"/>
  <c r="H160" i="8"/>
  <c r="G160" i="8"/>
  <c r="F160" i="8"/>
  <c r="E160" i="8"/>
  <c r="D160" i="8"/>
  <c r="C160" i="8"/>
  <c r="B160" i="8"/>
  <c r="A160" i="8"/>
  <c r="N159" i="8"/>
  <c r="M159" i="8"/>
  <c r="L159" i="8"/>
  <c r="K159" i="8"/>
  <c r="J159" i="8"/>
  <c r="I159" i="8"/>
  <c r="H159" i="8"/>
  <c r="G159" i="8"/>
  <c r="F159" i="8"/>
  <c r="E159" i="8"/>
  <c r="D159" i="8"/>
  <c r="C159" i="8"/>
  <c r="B159" i="8"/>
  <c r="A159" i="8"/>
  <c r="N158" i="8"/>
  <c r="M158" i="8"/>
  <c r="L158" i="8"/>
  <c r="K158" i="8"/>
  <c r="J158" i="8"/>
  <c r="I158" i="8"/>
  <c r="H158" i="8"/>
  <c r="G158" i="8"/>
  <c r="F158" i="8"/>
  <c r="E158" i="8"/>
  <c r="D158" i="8"/>
  <c r="C158" i="8"/>
  <c r="B158" i="8"/>
  <c r="A158" i="8"/>
  <c r="N157" i="8"/>
  <c r="M157" i="8"/>
  <c r="L157" i="8"/>
  <c r="K157" i="8"/>
  <c r="J157" i="8"/>
  <c r="I157" i="8"/>
  <c r="H157" i="8"/>
  <c r="G157" i="8"/>
  <c r="F157" i="8"/>
  <c r="E157" i="8"/>
  <c r="D157" i="8"/>
  <c r="C157" i="8"/>
  <c r="B157" i="8"/>
  <c r="A157" i="8"/>
  <c r="N156" i="8"/>
  <c r="M156" i="8"/>
  <c r="L156" i="8"/>
  <c r="K156" i="8"/>
  <c r="J156" i="8"/>
  <c r="I156" i="8"/>
  <c r="H156" i="8"/>
  <c r="G156" i="8"/>
  <c r="F156" i="8"/>
  <c r="E156" i="8"/>
  <c r="D156" i="8"/>
  <c r="C156" i="8"/>
  <c r="B156" i="8"/>
  <c r="A156" i="8"/>
  <c r="N155" i="8"/>
  <c r="M155" i="8"/>
  <c r="L155" i="8"/>
  <c r="K155" i="8"/>
  <c r="J155" i="8"/>
  <c r="I155" i="8"/>
  <c r="H155" i="8"/>
  <c r="G155" i="8"/>
  <c r="F155" i="8"/>
  <c r="E155" i="8"/>
  <c r="D155" i="8"/>
  <c r="C155" i="8"/>
  <c r="B155" i="8"/>
  <c r="A155" i="8"/>
  <c r="N154" i="8"/>
  <c r="M154" i="8"/>
  <c r="L154" i="8"/>
  <c r="K154" i="8"/>
  <c r="J154" i="8"/>
  <c r="I154" i="8"/>
  <c r="H154" i="8"/>
  <c r="G154" i="8"/>
  <c r="F154" i="8"/>
  <c r="E154" i="8"/>
  <c r="D154" i="8"/>
  <c r="C154" i="8"/>
  <c r="B154" i="8"/>
  <c r="A154" i="8"/>
  <c r="N153" i="8"/>
  <c r="M153" i="8"/>
  <c r="L153" i="8"/>
  <c r="K153" i="8"/>
  <c r="J153" i="8"/>
  <c r="I153" i="8"/>
  <c r="H153" i="8"/>
  <c r="G153" i="8"/>
  <c r="F153" i="8"/>
  <c r="E153" i="8"/>
  <c r="D153" i="8"/>
  <c r="C153" i="8"/>
  <c r="B153" i="8"/>
  <c r="A153" i="8"/>
  <c r="N152" i="8"/>
  <c r="M152" i="8"/>
  <c r="L152" i="8"/>
  <c r="K152" i="8"/>
  <c r="J152" i="8"/>
  <c r="I152" i="8"/>
  <c r="H152" i="8"/>
  <c r="G152" i="8"/>
  <c r="F152" i="8"/>
  <c r="E152" i="8"/>
  <c r="D152" i="8"/>
  <c r="C152" i="8"/>
  <c r="B152" i="8"/>
  <c r="A152" i="8"/>
  <c r="N151" i="8"/>
  <c r="M151" i="8"/>
  <c r="L151" i="8"/>
  <c r="K151" i="8"/>
  <c r="J151" i="8"/>
  <c r="I151" i="8"/>
  <c r="H151" i="8"/>
  <c r="G151" i="8"/>
  <c r="F151" i="8"/>
  <c r="E151" i="8"/>
  <c r="D151" i="8"/>
  <c r="C151" i="8"/>
  <c r="B151" i="8"/>
  <c r="A151" i="8"/>
  <c r="N150" i="8"/>
  <c r="M150" i="8"/>
  <c r="L150" i="8"/>
  <c r="K150" i="8"/>
  <c r="J150" i="8"/>
  <c r="I150" i="8"/>
  <c r="H150" i="8"/>
  <c r="G150" i="8"/>
  <c r="F150" i="8"/>
  <c r="E150" i="8"/>
  <c r="D150" i="8"/>
  <c r="C150" i="8"/>
  <c r="B150" i="8"/>
  <c r="A150" i="8"/>
  <c r="N149" i="8"/>
  <c r="M149" i="8"/>
  <c r="L149" i="8"/>
  <c r="K149" i="8"/>
  <c r="J149" i="8"/>
  <c r="I149" i="8"/>
  <c r="H149" i="8"/>
  <c r="G149" i="8"/>
  <c r="F149" i="8"/>
  <c r="E149" i="8"/>
  <c r="D149" i="8"/>
  <c r="C149" i="8"/>
  <c r="B149" i="8"/>
  <c r="A149" i="8"/>
  <c r="N148" i="8"/>
  <c r="M148" i="8"/>
  <c r="L148" i="8"/>
  <c r="K148" i="8"/>
  <c r="J148" i="8"/>
  <c r="I148" i="8"/>
  <c r="H148" i="8"/>
  <c r="G148" i="8"/>
  <c r="F148" i="8"/>
  <c r="E148" i="8"/>
  <c r="D148" i="8"/>
  <c r="C148" i="8"/>
  <c r="B148" i="8"/>
  <c r="A148" i="8"/>
  <c r="N147" i="8"/>
  <c r="M147" i="8"/>
  <c r="L147" i="8"/>
  <c r="K147" i="8"/>
  <c r="J147" i="8"/>
  <c r="I147" i="8"/>
  <c r="H147" i="8"/>
  <c r="G147" i="8"/>
  <c r="F147" i="8"/>
  <c r="E147" i="8"/>
  <c r="D147" i="8"/>
  <c r="C147" i="8"/>
  <c r="B147" i="8"/>
  <c r="A147" i="8"/>
  <c r="N146" i="8"/>
  <c r="K146" i="8"/>
  <c r="J146" i="8"/>
  <c r="I146" i="8"/>
  <c r="H146" i="8"/>
  <c r="G146" i="8"/>
  <c r="F146" i="8"/>
  <c r="E146" i="8"/>
  <c r="D146" i="8"/>
  <c r="C146" i="8"/>
  <c r="B146" i="8"/>
  <c r="A146" i="8"/>
  <c r="N145" i="8"/>
  <c r="K145" i="8"/>
  <c r="J145" i="8"/>
  <c r="I145" i="8"/>
  <c r="H145" i="8"/>
  <c r="G145" i="8"/>
  <c r="F145" i="8"/>
  <c r="E145" i="8"/>
  <c r="D145" i="8"/>
  <c r="C145" i="8"/>
  <c r="B145" i="8"/>
  <c r="A145" i="8"/>
  <c r="N144" i="8"/>
  <c r="K144" i="8"/>
  <c r="J144" i="8"/>
  <c r="I144" i="8"/>
  <c r="H144" i="8"/>
  <c r="G144" i="8"/>
  <c r="F144" i="8"/>
  <c r="E144" i="8"/>
  <c r="D144" i="8"/>
  <c r="C144" i="8"/>
  <c r="B144" i="8"/>
  <c r="A144" i="8"/>
  <c r="N143" i="8"/>
  <c r="K143" i="8"/>
  <c r="J143" i="8"/>
  <c r="I143" i="8"/>
  <c r="H143" i="8"/>
  <c r="G143" i="8"/>
  <c r="F143" i="8"/>
  <c r="E143" i="8"/>
  <c r="D143" i="8"/>
  <c r="C143" i="8"/>
  <c r="B143" i="8"/>
  <c r="A143" i="8"/>
  <c r="N142" i="8"/>
  <c r="M142" i="8"/>
  <c r="L142" i="8"/>
  <c r="K142" i="8"/>
  <c r="J142" i="8"/>
  <c r="I142" i="8"/>
  <c r="H142" i="8"/>
  <c r="G142" i="8"/>
  <c r="F142" i="8"/>
  <c r="E142" i="8"/>
  <c r="D142" i="8"/>
  <c r="C142" i="8"/>
  <c r="B142" i="8"/>
  <c r="A142" i="8"/>
  <c r="N141" i="8"/>
  <c r="M141" i="8"/>
  <c r="L141" i="8"/>
  <c r="K141" i="8"/>
  <c r="J141" i="8"/>
  <c r="I141" i="8"/>
  <c r="H141" i="8"/>
  <c r="G141" i="8"/>
  <c r="F141" i="8"/>
  <c r="E141" i="8"/>
  <c r="D141" i="8"/>
  <c r="C141" i="8"/>
  <c r="B141" i="8"/>
  <c r="A141" i="8"/>
  <c r="N140" i="8"/>
  <c r="K140" i="8"/>
  <c r="J140" i="8"/>
  <c r="I140" i="8"/>
  <c r="H140" i="8"/>
  <c r="G140" i="8"/>
  <c r="F140" i="8"/>
  <c r="E140" i="8"/>
  <c r="D140" i="8"/>
  <c r="C140" i="8"/>
  <c r="B140" i="8"/>
  <c r="A140" i="8"/>
  <c r="N139" i="8"/>
  <c r="M139" i="8"/>
  <c r="L139" i="8"/>
  <c r="K139" i="8"/>
  <c r="J139" i="8"/>
  <c r="I139" i="8"/>
  <c r="H139" i="8"/>
  <c r="G139" i="8"/>
  <c r="F139" i="8"/>
  <c r="E139" i="8"/>
  <c r="D139" i="8"/>
  <c r="C139" i="8"/>
  <c r="B139" i="8"/>
  <c r="A139" i="8"/>
  <c r="N138" i="8"/>
  <c r="M138" i="8"/>
  <c r="L138" i="8"/>
  <c r="K138" i="8"/>
  <c r="J138" i="8"/>
  <c r="I138" i="8"/>
  <c r="H138" i="8"/>
  <c r="G138" i="8"/>
  <c r="F138" i="8"/>
  <c r="E138" i="8"/>
  <c r="D138" i="8"/>
  <c r="C138" i="8"/>
  <c r="B138" i="8"/>
  <c r="A138" i="8"/>
  <c r="N137" i="8"/>
  <c r="M137" i="8"/>
  <c r="L137" i="8"/>
  <c r="K137" i="8"/>
  <c r="J137" i="8"/>
  <c r="I137" i="8"/>
  <c r="H137" i="8"/>
  <c r="G137" i="8"/>
  <c r="F137" i="8"/>
  <c r="E137" i="8"/>
  <c r="D137" i="8"/>
  <c r="C137" i="8"/>
  <c r="B137" i="8"/>
  <c r="A137" i="8"/>
  <c r="N136" i="8"/>
  <c r="M136" i="8"/>
  <c r="L136" i="8"/>
  <c r="K136" i="8"/>
  <c r="J136" i="8"/>
  <c r="I136" i="8"/>
  <c r="H136" i="8"/>
  <c r="G136" i="8"/>
  <c r="F136" i="8"/>
  <c r="E136" i="8"/>
  <c r="D136" i="8"/>
  <c r="C136" i="8"/>
  <c r="B136" i="8"/>
  <c r="A136" i="8"/>
  <c r="N135" i="8"/>
  <c r="M135" i="8"/>
  <c r="L135" i="8"/>
  <c r="K135" i="8"/>
  <c r="J135" i="8"/>
  <c r="I135" i="8"/>
  <c r="H135" i="8"/>
  <c r="G135" i="8"/>
  <c r="F135" i="8"/>
  <c r="E135" i="8"/>
  <c r="D135" i="8"/>
  <c r="C135" i="8"/>
  <c r="B135" i="8"/>
  <c r="A135" i="8"/>
  <c r="N134" i="8"/>
  <c r="K134" i="8"/>
  <c r="J134" i="8"/>
  <c r="I134" i="8"/>
  <c r="H134" i="8"/>
  <c r="G134" i="8"/>
  <c r="F134" i="8"/>
  <c r="E134" i="8"/>
  <c r="D134" i="8"/>
  <c r="C134" i="8"/>
  <c r="B134" i="8"/>
  <c r="A134" i="8"/>
  <c r="N133" i="8"/>
  <c r="K133" i="8"/>
  <c r="J133" i="8"/>
  <c r="I133" i="8"/>
  <c r="H133" i="8"/>
  <c r="G133" i="8"/>
  <c r="F133" i="8"/>
  <c r="E133" i="8"/>
  <c r="D133" i="8"/>
  <c r="C133" i="8"/>
  <c r="B133" i="8"/>
  <c r="A133" i="8"/>
  <c r="N132" i="8"/>
  <c r="K132" i="8"/>
  <c r="J132" i="8"/>
  <c r="I132" i="8"/>
  <c r="H132" i="8"/>
  <c r="G132" i="8"/>
  <c r="F132" i="8"/>
  <c r="E132" i="8"/>
  <c r="D132" i="8"/>
  <c r="C132" i="8"/>
  <c r="B132" i="8"/>
  <c r="A132" i="8"/>
  <c r="N131" i="8"/>
  <c r="K131" i="8"/>
  <c r="J131" i="8"/>
  <c r="I131" i="8"/>
  <c r="H131" i="8"/>
  <c r="G131" i="8"/>
  <c r="F131" i="8"/>
  <c r="E131" i="8"/>
  <c r="D131" i="8"/>
  <c r="C131" i="8"/>
  <c r="B131" i="8"/>
  <c r="A131" i="8"/>
  <c r="N130" i="8"/>
  <c r="M130" i="8"/>
  <c r="L130" i="8"/>
  <c r="K130" i="8"/>
  <c r="J130" i="8"/>
  <c r="I130" i="8"/>
  <c r="H130" i="8"/>
  <c r="G130" i="8"/>
  <c r="F130" i="8"/>
  <c r="E130" i="8"/>
  <c r="D130" i="8"/>
  <c r="C130" i="8"/>
  <c r="B130" i="8"/>
  <c r="A130" i="8"/>
  <c r="N129" i="8"/>
  <c r="M129" i="8"/>
  <c r="L129" i="8"/>
  <c r="K129" i="8"/>
  <c r="J129" i="8"/>
  <c r="I129" i="8"/>
  <c r="H129" i="8"/>
  <c r="G129" i="8"/>
  <c r="F129" i="8"/>
  <c r="E129" i="8"/>
  <c r="D129" i="8"/>
  <c r="C129" i="8"/>
  <c r="B129" i="8"/>
  <c r="A129" i="8"/>
  <c r="N128" i="8"/>
  <c r="M128" i="8"/>
  <c r="L128" i="8"/>
  <c r="K128" i="8"/>
  <c r="J128" i="8"/>
  <c r="I128" i="8"/>
  <c r="H128" i="8"/>
  <c r="G128" i="8"/>
  <c r="F128" i="8"/>
  <c r="E128" i="8"/>
  <c r="D128" i="8"/>
  <c r="C128" i="8"/>
  <c r="B128" i="8"/>
  <c r="A128" i="8"/>
  <c r="N127" i="8"/>
  <c r="M127" i="8"/>
  <c r="L127" i="8"/>
  <c r="K127" i="8"/>
  <c r="J127" i="8"/>
  <c r="I127" i="8"/>
  <c r="H127" i="8"/>
  <c r="G127" i="8"/>
  <c r="F127" i="8"/>
  <c r="E127" i="8"/>
  <c r="D127" i="8"/>
  <c r="C127" i="8"/>
  <c r="B127" i="8"/>
  <c r="A127" i="8"/>
  <c r="N126" i="8"/>
  <c r="M126" i="8"/>
  <c r="L126" i="8"/>
  <c r="K126" i="8"/>
  <c r="J126" i="8"/>
  <c r="I126" i="8"/>
  <c r="H126" i="8"/>
  <c r="G126" i="8"/>
  <c r="F126" i="8"/>
  <c r="E126" i="8"/>
  <c r="D126" i="8"/>
  <c r="C126" i="8"/>
  <c r="B126" i="8"/>
  <c r="A126" i="8"/>
  <c r="N125" i="8"/>
  <c r="M125" i="8"/>
  <c r="L125" i="8"/>
  <c r="K125" i="8"/>
  <c r="J125" i="8"/>
  <c r="I125" i="8"/>
  <c r="H125" i="8"/>
  <c r="G125" i="8"/>
  <c r="F125" i="8"/>
  <c r="E125" i="8"/>
  <c r="D125" i="8"/>
  <c r="C125" i="8"/>
  <c r="B125" i="8"/>
  <c r="A125" i="8"/>
  <c r="N124" i="8"/>
  <c r="M124" i="8"/>
  <c r="L124" i="8"/>
  <c r="K124" i="8"/>
  <c r="J124" i="8"/>
  <c r="I124" i="8"/>
  <c r="H124" i="8"/>
  <c r="G124" i="8"/>
  <c r="F124" i="8"/>
  <c r="E124" i="8"/>
  <c r="D124" i="8"/>
  <c r="C124" i="8"/>
  <c r="B124" i="8"/>
  <c r="A124" i="8"/>
  <c r="N123" i="8"/>
  <c r="K123" i="8"/>
  <c r="J123" i="8"/>
  <c r="I123" i="8"/>
  <c r="H123" i="8"/>
  <c r="G123" i="8"/>
  <c r="F123" i="8"/>
  <c r="E123" i="8"/>
  <c r="D123" i="8"/>
  <c r="C123" i="8"/>
  <c r="B123" i="8"/>
  <c r="A123" i="8"/>
  <c r="I122" i="8"/>
  <c r="H122" i="8"/>
  <c r="G122" i="8"/>
  <c r="F122" i="8"/>
  <c r="E122" i="8"/>
  <c r="D122" i="8"/>
  <c r="C122" i="8"/>
  <c r="B122" i="8"/>
  <c r="A122" i="8"/>
  <c r="I121" i="8"/>
  <c r="H121" i="8"/>
  <c r="G121" i="8"/>
  <c r="F121" i="8"/>
  <c r="E121" i="8"/>
  <c r="D121" i="8"/>
  <c r="C121" i="8"/>
  <c r="B121" i="8"/>
  <c r="A121" i="8"/>
  <c r="N120" i="8"/>
  <c r="M120" i="8"/>
  <c r="L120" i="8"/>
  <c r="K120" i="8"/>
  <c r="J120" i="8"/>
  <c r="I120" i="8"/>
  <c r="H120" i="8"/>
  <c r="G120" i="8"/>
  <c r="F120" i="8"/>
  <c r="E120" i="8"/>
  <c r="D120" i="8"/>
  <c r="C120" i="8"/>
  <c r="B120" i="8"/>
  <c r="A120" i="8"/>
  <c r="N119" i="8"/>
  <c r="M119" i="8"/>
  <c r="L119" i="8"/>
  <c r="K119" i="8"/>
  <c r="J119" i="8"/>
  <c r="I119" i="8"/>
  <c r="H119" i="8"/>
  <c r="G119" i="8"/>
  <c r="F119" i="8"/>
  <c r="E119" i="8"/>
  <c r="D119" i="8"/>
  <c r="C119" i="8"/>
  <c r="B119" i="8"/>
  <c r="A119" i="8"/>
  <c r="N118" i="8"/>
  <c r="K118" i="8"/>
  <c r="J118" i="8"/>
  <c r="I118" i="8"/>
  <c r="H118" i="8"/>
  <c r="G118" i="8"/>
  <c r="F118" i="8"/>
  <c r="E118" i="8"/>
  <c r="D118" i="8"/>
  <c r="C118" i="8"/>
  <c r="B118" i="8"/>
  <c r="A118" i="8"/>
  <c r="N117" i="8"/>
  <c r="K117" i="8"/>
  <c r="J117" i="8"/>
  <c r="I117" i="8"/>
  <c r="H117" i="8"/>
  <c r="G117" i="8"/>
  <c r="F117" i="8"/>
  <c r="E117" i="8"/>
  <c r="D117" i="8"/>
  <c r="C117" i="8"/>
  <c r="B117" i="8"/>
  <c r="A117" i="8"/>
  <c r="N116" i="8"/>
  <c r="M116" i="8"/>
  <c r="L116" i="8"/>
  <c r="K116" i="8"/>
  <c r="J116" i="8"/>
  <c r="I116" i="8"/>
  <c r="H116" i="8"/>
  <c r="G116" i="8"/>
  <c r="F116" i="8"/>
  <c r="E116" i="8"/>
  <c r="D116" i="8"/>
  <c r="C116" i="8"/>
  <c r="B116" i="8"/>
  <c r="A116" i="8"/>
  <c r="N115" i="8"/>
  <c r="K115" i="8"/>
  <c r="J115" i="8"/>
  <c r="I115" i="8"/>
  <c r="H115" i="8"/>
  <c r="G115" i="8"/>
  <c r="F115" i="8"/>
  <c r="E115" i="8"/>
  <c r="D115" i="8"/>
  <c r="C115" i="8"/>
  <c r="B115" i="8"/>
  <c r="A115" i="8"/>
  <c r="N114" i="8"/>
  <c r="K114" i="8"/>
  <c r="J114" i="8"/>
  <c r="I114" i="8"/>
  <c r="H114" i="8"/>
  <c r="G114" i="8"/>
  <c r="F114" i="8"/>
  <c r="E114" i="8"/>
  <c r="D114" i="8"/>
  <c r="C114" i="8"/>
  <c r="B114" i="8"/>
  <c r="A114" i="8"/>
  <c r="N113" i="8"/>
  <c r="K113" i="8"/>
  <c r="J113" i="8"/>
  <c r="I113" i="8"/>
  <c r="H113" i="8"/>
  <c r="G113" i="8"/>
  <c r="F113" i="8"/>
  <c r="E113" i="8"/>
  <c r="D113" i="8"/>
  <c r="C113" i="8"/>
  <c r="B113" i="8"/>
  <c r="A113" i="8"/>
  <c r="N112" i="8"/>
  <c r="M112" i="8"/>
  <c r="L112" i="8"/>
  <c r="K112" i="8"/>
  <c r="J112" i="8"/>
  <c r="I112" i="8"/>
  <c r="H112" i="8"/>
  <c r="G112" i="8"/>
  <c r="F112" i="8"/>
  <c r="E112" i="8"/>
  <c r="D112" i="8"/>
  <c r="C112" i="8"/>
  <c r="B112" i="8"/>
  <c r="A112" i="8"/>
  <c r="N111" i="8"/>
  <c r="M111" i="8"/>
  <c r="L111" i="8"/>
  <c r="K111" i="8"/>
  <c r="J111" i="8"/>
  <c r="I111" i="8"/>
  <c r="H111" i="8"/>
  <c r="G111" i="8"/>
  <c r="F111" i="8"/>
  <c r="E111" i="8"/>
  <c r="D111" i="8"/>
  <c r="C111" i="8"/>
  <c r="B111" i="8"/>
  <c r="A111" i="8"/>
  <c r="N110" i="8"/>
  <c r="M110" i="8"/>
  <c r="L110" i="8"/>
  <c r="K110" i="8"/>
  <c r="J110" i="8"/>
  <c r="I110" i="8"/>
  <c r="H110" i="8"/>
  <c r="G110" i="8"/>
  <c r="F110" i="8"/>
  <c r="E110" i="8"/>
  <c r="D110" i="8"/>
  <c r="C110" i="8"/>
  <c r="B110" i="8"/>
  <c r="A110" i="8"/>
  <c r="N109" i="8"/>
  <c r="M109" i="8"/>
  <c r="L109" i="8"/>
  <c r="K109" i="8"/>
  <c r="J109" i="8"/>
  <c r="I109" i="8"/>
  <c r="H109" i="8"/>
  <c r="G109" i="8"/>
  <c r="F109" i="8"/>
  <c r="E109" i="8"/>
  <c r="D109" i="8"/>
  <c r="C109" i="8"/>
  <c r="B109" i="8"/>
  <c r="A109" i="8"/>
  <c r="N108" i="8"/>
  <c r="K108" i="8"/>
  <c r="J108" i="8"/>
  <c r="I108" i="8"/>
  <c r="H108" i="8"/>
  <c r="G108" i="8"/>
  <c r="F108" i="8"/>
  <c r="E108" i="8"/>
  <c r="D108" i="8"/>
  <c r="C108" i="8"/>
  <c r="B108" i="8"/>
  <c r="A108" i="8"/>
  <c r="N107" i="8"/>
  <c r="K107" i="8"/>
  <c r="J107" i="8"/>
  <c r="I107" i="8"/>
  <c r="H107" i="8"/>
  <c r="G107" i="8"/>
  <c r="F107" i="8"/>
  <c r="E107" i="8"/>
  <c r="D107" i="8"/>
  <c r="C107" i="8"/>
  <c r="B107" i="8"/>
  <c r="A107" i="8"/>
  <c r="N106" i="8"/>
  <c r="K106" i="8"/>
  <c r="J106" i="8"/>
  <c r="I106" i="8"/>
  <c r="H106" i="8"/>
  <c r="G106" i="8"/>
  <c r="F106" i="8"/>
  <c r="E106" i="8"/>
  <c r="D106" i="8"/>
  <c r="C106" i="8"/>
  <c r="B106" i="8"/>
  <c r="A106" i="8"/>
  <c r="N105" i="8"/>
  <c r="K105" i="8"/>
  <c r="J105" i="8"/>
  <c r="I105" i="8"/>
  <c r="H105" i="8"/>
  <c r="G105" i="8"/>
  <c r="F105" i="8"/>
  <c r="E105" i="8"/>
  <c r="D105" i="8"/>
  <c r="C105" i="8"/>
  <c r="B105" i="8"/>
  <c r="A105" i="8"/>
  <c r="N104" i="8"/>
  <c r="K104" i="8"/>
  <c r="J104" i="8"/>
  <c r="I104" i="8"/>
  <c r="H104" i="8"/>
  <c r="G104" i="8"/>
  <c r="F104" i="8"/>
  <c r="E104" i="8"/>
  <c r="D104" i="8"/>
  <c r="C104" i="8"/>
  <c r="B104" i="8"/>
  <c r="A104" i="8"/>
  <c r="N103" i="8"/>
  <c r="K103" i="8"/>
  <c r="J103" i="8"/>
  <c r="I103" i="8"/>
  <c r="H103" i="8"/>
  <c r="G103" i="8"/>
  <c r="F103" i="8"/>
  <c r="E103" i="8"/>
  <c r="D103" i="8"/>
  <c r="C103" i="8"/>
  <c r="B103" i="8"/>
  <c r="A103" i="8"/>
  <c r="N102" i="8"/>
  <c r="K102" i="8"/>
  <c r="J102" i="8"/>
  <c r="I102" i="8"/>
  <c r="H102" i="8"/>
  <c r="G102" i="8"/>
  <c r="F102" i="8"/>
  <c r="E102" i="8"/>
  <c r="D102" i="8"/>
  <c r="C102" i="8"/>
  <c r="B102" i="8"/>
  <c r="A102" i="8"/>
  <c r="N101" i="8"/>
  <c r="K101" i="8"/>
  <c r="J101" i="8"/>
  <c r="I101" i="8"/>
  <c r="H101" i="8"/>
  <c r="G101" i="8"/>
  <c r="F101" i="8"/>
  <c r="E101" i="8"/>
  <c r="D101" i="8"/>
  <c r="C101" i="8"/>
  <c r="B101" i="8"/>
  <c r="A101" i="8"/>
  <c r="N100" i="8"/>
  <c r="K100" i="8"/>
  <c r="J100" i="8"/>
  <c r="I100" i="8"/>
  <c r="H100" i="8"/>
  <c r="G100" i="8"/>
  <c r="F100" i="8"/>
  <c r="E100" i="8"/>
  <c r="D100" i="8"/>
  <c r="C100" i="8"/>
  <c r="B100" i="8"/>
  <c r="A100" i="8"/>
  <c r="N99" i="8"/>
  <c r="M99" i="8"/>
  <c r="L99" i="8"/>
  <c r="K99" i="8"/>
  <c r="J99" i="8"/>
  <c r="I99" i="8"/>
  <c r="H99" i="8"/>
  <c r="G99" i="8"/>
  <c r="F99" i="8"/>
  <c r="E99" i="8"/>
  <c r="D99" i="8"/>
  <c r="C99" i="8"/>
  <c r="B99" i="8"/>
  <c r="A99" i="8"/>
  <c r="N98" i="8"/>
  <c r="M98" i="8"/>
  <c r="L98" i="8"/>
  <c r="K98" i="8"/>
  <c r="J98" i="8"/>
  <c r="I98" i="8"/>
  <c r="H98" i="8"/>
  <c r="G98" i="8"/>
  <c r="F98" i="8"/>
  <c r="E98" i="8"/>
  <c r="D98" i="8"/>
  <c r="C98" i="8"/>
  <c r="B98" i="8"/>
  <c r="A98" i="8"/>
  <c r="I97" i="8"/>
  <c r="H97" i="8"/>
  <c r="G97" i="8"/>
  <c r="F97" i="8"/>
  <c r="E97" i="8"/>
  <c r="D97" i="8"/>
  <c r="C97" i="8"/>
  <c r="B97" i="8"/>
  <c r="A97" i="8"/>
  <c r="N96" i="8"/>
  <c r="M96" i="8"/>
  <c r="L96" i="8"/>
  <c r="K96" i="8"/>
  <c r="J96" i="8"/>
  <c r="I96" i="8"/>
  <c r="H96" i="8"/>
  <c r="G96" i="8"/>
  <c r="F96" i="8"/>
  <c r="E96" i="8"/>
  <c r="D96" i="8"/>
  <c r="C96" i="8"/>
  <c r="B96" i="8"/>
  <c r="A96" i="8"/>
  <c r="N95" i="8"/>
  <c r="M95" i="8"/>
  <c r="L95" i="8"/>
  <c r="K95" i="8"/>
  <c r="J95" i="8"/>
  <c r="I95" i="8"/>
  <c r="H95" i="8"/>
  <c r="G95" i="8"/>
  <c r="F95" i="8"/>
  <c r="E95" i="8"/>
  <c r="D95" i="8"/>
  <c r="C95" i="8"/>
  <c r="B95" i="8"/>
  <c r="A95" i="8"/>
  <c r="N94" i="8"/>
  <c r="K94" i="8"/>
  <c r="J94" i="8"/>
  <c r="I94" i="8"/>
  <c r="H94" i="8"/>
  <c r="G94" i="8"/>
  <c r="F94" i="8"/>
  <c r="E94" i="8"/>
  <c r="D94" i="8"/>
  <c r="C94" i="8"/>
  <c r="B94" i="8"/>
  <c r="A94" i="8"/>
  <c r="N93" i="8"/>
  <c r="K93" i="8"/>
  <c r="J93" i="8"/>
  <c r="I93" i="8"/>
  <c r="H93" i="8"/>
  <c r="G93" i="8"/>
  <c r="F93" i="8"/>
  <c r="E93" i="8"/>
  <c r="D93" i="8"/>
  <c r="C93" i="8"/>
  <c r="B93" i="8"/>
  <c r="A93" i="8"/>
  <c r="N92" i="8"/>
  <c r="K92" i="8"/>
  <c r="J92" i="8"/>
  <c r="I92" i="8"/>
  <c r="H92" i="8"/>
  <c r="G92" i="8"/>
  <c r="F92" i="8"/>
  <c r="E92" i="8"/>
  <c r="D92" i="8"/>
  <c r="C92" i="8"/>
  <c r="B92" i="8"/>
  <c r="A92" i="8"/>
  <c r="N91" i="8"/>
  <c r="M91" i="8"/>
  <c r="L91" i="8"/>
  <c r="K91" i="8"/>
  <c r="J91" i="8"/>
  <c r="I91" i="8"/>
  <c r="H91" i="8"/>
  <c r="G91" i="8"/>
  <c r="F91" i="8"/>
  <c r="E91" i="8"/>
  <c r="D91" i="8"/>
  <c r="C91" i="8"/>
  <c r="B91" i="8"/>
  <c r="A91" i="8"/>
  <c r="N90" i="8"/>
  <c r="M90" i="8"/>
  <c r="L90" i="8"/>
  <c r="K90" i="8"/>
  <c r="J90" i="8"/>
  <c r="I90" i="8"/>
  <c r="H90" i="8"/>
  <c r="G90" i="8"/>
  <c r="F90" i="8"/>
  <c r="E90" i="8"/>
  <c r="D90" i="8"/>
  <c r="C90" i="8"/>
  <c r="B90" i="8"/>
  <c r="A90" i="8"/>
  <c r="N89" i="8"/>
  <c r="M89" i="8"/>
  <c r="L89" i="8"/>
  <c r="K89" i="8"/>
  <c r="J89" i="8"/>
  <c r="I89" i="8"/>
  <c r="H89" i="8"/>
  <c r="G89" i="8"/>
  <c r="F89" i="8"/>
  <c r="E89" i="8"/>
  <c r="D89" i="8"/>
  <c r="C89" i="8"/>
  <c r="B89" i="8"/>
  <c r="A89" i="8"/>
  <c r="N88" i="8"/>
  <c r="M88" i="8"/>
  <c r="L88" i="8"/>
  <c r="K88" i="8"/>
  <c r="J88" i="8"/>
  <c r="I88" i="8"/>
  <c r="H88" i="8"/>
  <c r="G88" i="8"/>
  <c r="F88" i="8"/>
  <c r="E88" i="8"/>
  <c r="D88" i="8"/>
  <c r="C88" i="8"/>
  <c r="B88" i="8"/>
  <c r="A88" i="8"/>
  <c r="N87" i="8"/>
  <c r="M87" i="8"/>
  <c r="L87" i="8"/>
  <c r="K87" i="8"/>
  <c r="J87" i="8"/>
  <c r="I87" i="8"/>
  <c r="H87" i="8"/>
  <c r="G87" i="8"/>
  <c r="F87" i="8"/>
  <c r="E87" i="8"/>
  <c r="D87" i="8"/>
  <c r="C87" i="8"/>
  <c r="B87" i="8"/>
  <c r="A87" i="8"/>
  <c r="N86" i="8"/>
  <c r="M86" i="8"/>
  <c r="L86" i="8"/>
  <c r="K86" i="8"/>
  <c r="J86" i="8"/>
  <c r="I86" i="8"/>
  <c r="H86" i="8"/>
  <c r="G86" i="8"/>
  <c r="F86" i="8"/>
  <c r="E86" i="8"/>
  <c r="D86" i="8"/>
  <c r="C86" i="8"/>
  <c r="B86" i="8"/>
  <c r="A86" i="8"/>
  <c r="N85" i="8"/>
  <c r="M85" i="8"/>
  <c r="L85" i="8"/>
  <c r="K85" i="8"/>
  <c r="J85" i="8"/>
  <c r="I85" i="8"/>
  <c r="H85" i="8"/>
  <c r="G85" i="8"/>
  <c r="F85" i="8"/>
  <c r="E85" i="8"/>
  <c r="D85" i="8"/>
  <c r="C85" i="8"/>
  <c r="B85" i="8"/>
  <c r="A85" i="8"/>
  <c r="N84" i="8"/>
  <c r="M84" i="8"/>
  <c r="L84" i="8"/>
  <c r="K84" i="8"/>
  <c r="J84" i="8"/>
  <c r="I84" i="8"/>
  <c r="H84" i="8"/>
  <c r="G84" i="8"/>
  <c r="F84" i="8"/>
  <c r="E84" i="8"/>
  <c r="D84" i="8"/>
  <c r="C84" i="8"/>
  <c r="B84" i="8"/>
  <c r="A84" i="8"/>
  <c r="N83" i="8"/>
  <c r="M83" i="8"/>
  <c r="L83" i="8"/>
  <c r="K83" i="8"/>
  <c r="J83" i="8"/>
  <c r="I83" i="8"/>
  <c r="H83" i="8"/>
  <c r="G83" i="8"/>
  <c r="F83" i="8"/>
  <c r="E83" i="8"/>
  <c r="D83" i="8"/>
  <c r="C83" i="8"/>
  <c r="B83" i="8"/>
  <c r="A83" i="8"/>
  <c r="N82" i="8"/>
  <c r="M82" i="8"/>
  <c r="L82" i="8"/>
  <c r="K82" i="8"/>
  <c r="J82" i="8"/>
  <c r="I82" i="8"/>
  <c r="H82" i="8"/>
  <c r="G82" i="8"/>
  <c r="F82" i="8"/>
  <c r="E82" i="8"/>
  <c r="D82" i="8"/>
  <c r="C82" i="8"/>
  <c r="B82" i="8"/>
  <c r="A82" i="8"/>
  <c r="N81" i="8"/>
  <c r="M81" i="8"/>
  <c r="L81" i="8"/>
  <c r="K81" i="8"/>
  <c r="J81" i="8"/>
  <c r="I81" i="8"/>
  <c r="H81" i="8"/>
  <c r="G81" i="8"/>
  <c r="F81" i="8"/>
  <c r="E81" i="8"/>
  <c r="D81" i="8"/>
  <c r="C81" i="8"/>
  <c r="B81" i="8"/>
  <c r="A81" i="8"/>
  <c r="N80" i="8"/>
  <c r="M80" i="8"/>
  <c r="L80" i="8"/>
  <c r="K80" i="8"/>
  <c r="J80" i="8"/>
  <c r="I80" i="8"/>
  <c r="H80" i="8"/>
  <c r="G80" i="8"/>
  <c r="F80" i="8"/>
  <c r="E80" i="8"/>
  <c r="D80" i="8"/>
  <c r="C80" i="8"/>
  <c r="B80" i="8"/>
  <c r="A80" i="8"/>
  <c r="N79" i="8"/>
  <c r="K79" i="8"/>
  <c r="J79" i="8"/>
  <c r="I79" i="8"/>
  <c r="H79" i="8"/>
  <c r="G79" i="8"/>
  <c r="F79" i="8"/>
  <c r="E79" i="8"/>
  <c r="D79" i="8"/>
  <c r="C79" i="8"/>
  <c r="B79" i="8"/>
  <c r="A79" i="8"/>
  <c r="N78" i="8"/>
  <c r="K78" i="8"/>
  <c r="J78" i="8"/>
  <c r="I78" i="8"/>
  <c r="H78" i="8"/>
  <c r="G78" i="8"/>
  <c r="F78" i="8"/>
  <c r="E78" i="8"/>
  <c r="D78" i="8"/>
  <c r="C78" i="8"/>
  <c r="B78" i="8"/>
  <c r="A78" i="8"/>
  <c r="N77" i="8"/>
  <c r="M77" i="8"/>
  <c r="L77" i="8"/>
  <c r="K77" i="8"/>
  <c r="J77" i="8"/>
  <c r="I77" i="8"/>
  <c r="H77" i="8"/>
  <c r="G77" i="8"/>
  <c r="F77" i="8"/>
  <c r="E77" i="8"/>
  <c r="D77" i="8"/>
  <c r="C77" i="8"/>
  <c r="B77" i="8"/>
  <c r="A77" i="8"/>
  <c r="I76" i="8"/>
  <c r="H76" i="8"/>
  <c r="G76" i="8"/>
  <c r="F76" i="8"/>
  <c r="E76" i="8"/>
  <c r="D76" i="8"/>
  <c r="C76" i="8"/>
  <c r="B76" i="8"/>
  <c r="A76" i="8"/>
  <c r="I75" i="8"/>
  <c r="H75" i="8"/>
  <c r="G75" i="8"/>
  <c r="F75" i="8"/>
  <c r="E75" i="8"/>
  <c r="D75" i="8"/>
  <c r="C75" i="8"/>
  <c r="B75" i="8"/>
  <c r="A75" i="8"/>
  <c r="N74" i="8"/>
  <c r="K74" i="8"/>
  <c r="J74" i="8"/>
  <c r="I74" i="8"/>
  <c r="H74" i="8"/>
  <c r="G74" i="8"/>
  <c r="F74" i="8"/>
  <c r="E74" i="8"/>
  <c r="D74" i="8"/>
  <c r="C74" i="8"/>
  <c r="B74" i="8"/>
  <c r="A74" i="8"/>
  <c r="N73" i="8"/>
  <c r="M73" i="8"/>
  <c r="L73" i="8"/>
  <c r="K73" i="8"/>
  <c r="J73" i="8"/>
  <c r="I73" i="8"/>
  <c r="H73" i="8"/>
  <c r="G73" i="8"/>
  <c r="F73" i="8"/>
  <c r="E73" i="8"/>
  <c r="D73" i="8"/>
  <c r="C73" i="8"/>
  <c r="B73" i="8"/>
  <c r="A73" i="8"/>
  <c r="N72" i="8"/>
  <c r="K72" i="8"/>
  <c r="J72" i="8"/>
  <c r="I72" i="8"/>
  <c r="H72" i="8"/>
  <c r="G72" i="8"/>
  <c r="F72" i="8"/>
  <c r="E72" i="8"/>
  <c r="D72" i="8"/>
  <c r="C72" i="8"/>
  <c r="B72" i="8"/>
  <c r="A72" i="8"/>
  <c r="N71" i="8"/>
  <c r="M71" i="8"/>
  <c r="L71" i="8"/>
  <c r="K71" i="8"/>
  <c r="J71" i="8"/>
  <c r="I71" i="8"/>
  <c r="H71" i="8"/>
  <c r="G71" i="8"/>
  <c r="F71" i="8"/>
  <c r="E71" i="8"/>
  <c r="D71" i="8"/>
  <c r="C71" i="8"/>
  <c r="B71" i="8"/>
  <c r="A71" i="8"/>
  <c r="N70" i="8"/>
  <c r="M70" i="8"/>
  <c r="L70" i="8"/>
  <c r="K70" i="8"/>
  <c r="J70" i="8"/>
  <c r="I70" i="8"/>
  <c r="H70" i="8"/>
  <c r="G70" i="8"/>
  <c r="F70" i="8"/>
  <c r="E70" i="8"/>
  <c r="D70" i="8"/>
  <c r="C70" i="8"/>
  <c r="B70" i="8"/>
  <c r="A70" i="8"/>
  <c r="N69" i="8"/>
  <c r="M69" i="8"/>
  <c r="L69" i="8"/>
  <c r="K69" i="8"/>
  <c r="J69" i="8"/>
  <c r="I69" i="8"/>
  <c r="H69" i="8"/>
  <c r="G69" i="8"/>
  <c r="F69" i="8"/>
  <c r="E69" i="8"/>
  <c r="D69" i="8"/>
  <c r="C69" i="8"/>
  <c r="B69" i="8"/>
  <c r="A69" i="8"/>
  <c r="N68" i="8"/>
  <c r="M68" i="8"/>
  <c r="L68" i="8"/>
  <c r="K68" i="8"/>
  <c r="J68" i="8"/>
  <c r="I68" i="8"/>
  <c r="H68" i="8"/>
  <c r="G68" i="8"/>
  <c r="F68" i="8"/>
  <c r="E68" i="8"/>
  <c r="D68" i="8"/>
  <c r="C68" i="8"/>
  <c r="B68" i="8"/>
  <c r="A68" i="8"/>
  <c r="N67" i="8"/>
  <c r="M67" i="8"/>
  <c r="L67" i="8"/>
  <c r="K67" i="8"/>
  <c r="J67" i="8"/>
  <c r="I67" i="8"/>
  <c r="H67" i="8"/>
  <c r="G67" i="8"/>
  <c r="F67" i="8"/>
  <c r="E67" i="8"/>
  <c r="D67" i="8"/>
  <c r="C67" i="8"/>
  <c r="B67" i="8"/>
  <c r="A67" i="8"/>
  <c r="N66" i="8"/>
  <c r="K66" i="8"/>
  <c r="J66" i="8"/>
  <c r="I66" i="8"/>
  <c r="H66" i="8"/>
  <c r="G66" i="8"/>
  <c r="F66" i="8"/>
  <c r="E66" i="8"/>
  <c r="D66" i="8"/>
  <c r="C66" i="8"/>
  <c r="B66" i="8"/>
  <c r="A66" i="8"/>
  <c r="N65" i="8"/>
  <c r="K65" i="8"/>
  <c r="J65" i="8"/>
  <c r="I65" i="8"/>
  <c r="H65" i="8"/>
  <c r="G65" i="8"/>
  <c r="F65" i="8"/>
  <c r="E65" i="8"/>
  <c r="D65" i="8"/>
  <c r="C65" i="8"/>
  <c r="B65" i="8"/>
  <c r="A65" i="8"/>
  <c r="N64" i="8"/>
  <c r="K64" i="8"/>
  <c r="J64" i="8"/>
  <c r="I64" i="8"/>
  <c r="H64" i="8"/>
  <c r="G64" i="8"/>
  <c r="F64" i="8"/>
  <c r="E64" i="8"/>
  <c r="D64" i="8"/>
  <c r="C64" i="8"/>
  <c r="B64" i="8"/>
  <c r="A64" i="8"/>
  <c r="N63" i="8"/>
  <c r="K63" i="8"/>
  <c r="J63" i="8"/>
  <c r="I63" i="8"/>
  <c r="H63" i="8"/>
  <c r="G63" i="8"/>
  <c r="F63" i="8"/>
  <c r="E63" i="8"/>
  <c r="D63" i="8"/>
  <c r="C63" i="8"/>
  <c r="B63" i="8"/>
  <c r="A63" i="8"/>
  <c r="N62" i="8"/>
  <c r="K62" i="8"/>
  <c r="J62" i="8"/>
  <c r="I62" i="8"/>
  <c r="H62" i="8"/>
  <c r="G62" i="8"/>
  <c r="F62" i="8"/>
  <c r="E62" i="8"/>
  <c r="D62" i="8"/>
  <c r="C62" i="8"/>
  <c r="B62" i="8"/>
  <c r="A62" i="8"/>
  <c r="N61" i="8"/>
  <c r="K61" i="8"/>
  <c r="J61" i="8"/>
  <c r="I61" i="8"/>
  <c r="H61" i="8"/>
  <c r="G61" i="8"/>
  <c r="F61" i="8"/>
  <c r="E61" i="8"/>
  <c r="D61" i="8"/>
  <c r="C61" i="8"/>
  <c r="B61" i="8"/>
  <c r="A61" i="8"/>
  <c r="N60" i="8"/>
  <c r="K60" i="8"/>
  <c r="J60" i="8"/>
  <c r="I60" i="8"/>
  <c r="H60" i="8"/>
  <c r="G60" i="8"/>
  <c r="F60" i="8"/>
  <c r="E60" i="8"/>
  <c r="D60" i="8"/>
  <c r="C60" i="8"/>
  <c r="B60" i="8"/>
  <c r="A60" i="8"/>
  <c r="N59" i="8"/>
  <c r="K59" i="8"/>
  <c r="J59" i="8"/>
  <c r="I59" i="8"/>
  <c r="H59" i="8"/>
  <c r="G59" i="8"/>
  <c r="F59" i="8"/>
  <c r="E59" i="8"/>
  <c r="D59" i="8"/>
  <c r="C59" i="8"/>
  <c r="B59" i="8"/>
  <c r="A59" i="8"/>
  <c r="N58" i="8"/>
  <c r="K58" i="8"/>
  <c r="J58" i="8"/>
  <c r="I58" i="8"/>
  <c r="H58" i="8"/>
  <c r="G58" i="8"/>
  <c r="F58" i="8"/>
  <c r="E58" i="8"/>
  <c r="D58" i="8"/>
  <c r="C58" i="8"/>
  <c r="B58" i="8"/>
  <c r="A58" i="8"/>
  <c r="N57" i="8"/>
  <c r="K57" i="8"/>
  <c r="J57" i="8"/>
  <c r="I57" i="8"/>
  <c r="H57" i="8"/>
  <c r="G57" i="8"/>
  <c r="F57" i="8"/>
  <c r="E57" i="8"/>
  <c r="D57" i="8"/>
  <c r="C57" i="8"/>
  <c r="B57" i="8"/>
  <c r="A57" i="8"/>
  <c r="N56" i="8"/>
  <c r="M56" i="8"/>
  <c r="L56" i="8"/>
  <c r="K56" i="8"/>
  <c r="J56" i="8"/>
  <c r="I56" i="8"/>
  <c r="H56" i="8"/>
  <c r="G56" i="8"/>
  <c r="F56" i="8"/>
  <c r="E56" i="8"/>
  <c r="D56" i="8"/>
  <c r="C56" i="8"/>
  <c r="B56" i="8"/>
  <c r="A56" i="8"/>
  <c r="N55" i="8"/>
  <c r="K55" i="8"/>
  <c r="J55" i="8"/>
  <c r="I55" i="8"/>
  <c r="H55" i="8"/>
  <c r="G55" i="8"/>
  <c r="F55" i="8"/>
  <c r="E55" i="8"/>
  <c r="D55" i="8"/>
  <c r="C55" i="8"/>
  <c r="B55" i="8"/>
  <c r="A55" i="8"/>
  <c r="N54" i="8"/>
  <c r="K54" i="8"/>
  <c r="J54" i="8"/>
  <c r="I54" i="8"/>
  <c r="H54" i="8"/>
  <c r="G54" i="8"/>
  <c r="F54" i="8"/>
  <c r="E54" i="8"/>
  <c r="D54" i="8"/>
  <c r="C54" i="8"/>
  <c r="B54" i="8"/>
  <c r="A54" i="8"/>
  <c r="I53" i="8"/>
  <c r="H53" i="8"/>
  <c r="G53" i="8"/>
  <c r="F53" i="8"/>
  <c r="E53" i="8"/>
  <c r="D53" i="8"/>
  <c r="C53" i="8"/>
  <c r="B53" i="8"/>
  <c r="A53" i="8"/>
  <c r="N52" i="8"/>
  <c r="K52" i="8"/>
  <c r="J52" i="8"/>
  <c r="I52" i="8"/>
  <c r="H52" i="8"/>
  <c r="G52" i="8"/>
  <c r="F52" i="8"/>
  <c r="E52" i="8"/>
  <c r="D52" i="8"/>
  <c r="C52" i="8"/>
  <c r="B52" i="8"/>
  <c r="A52" i="8"/>
  <c r="N51" i="8"/>
  <c r="K51" i="8"/>
  <c r="J51" i="8"/>
  <c r="I51" i="8"/>
  <c r="H51" i="8"/>
  <c r="G51" i="8"/>
  <c r="F51" i="8"/>
  <c r="E51" i="8"/>
  <c r="D51" i="8"/>
  <c r="C51" i="8"/>
  <c r="B51" i="8"/>
  <c r="A51" i="8"/>
  <c r="N50" i="8"/>
  <c r="K50" i="8"/>
  <c r="J50" i="8"/>
  <c r="I50" i="8"/>
  <c r="H50" i="8"/>
  <c r="G50" i="8"/>
  <c r="F50" i="8"/>
  <c r="E50" i="8"/>
  <c r="D50" i="8"/>
  <c r="C50" i="8"/>
  <c r="B50" i="8"/>
  <c r="A50" i="8"/>
  <c r="N49" i="8"/>
  <c r="K49" i="8"/>
  <c r="J49" i="8"/>
  <c r="I49" i="8"/>
  <c r="H49" i="8"/>
  <c r="G49" i="8"/>
  <c r="F49" i="8"/>
  <c r="E49" i="8"/>
  <c r="D49" i="8"/>
  <c r="C49" i="8"/>
  <c r="B49" i="8"/>
  <c r="A49" i="8"/>
  <c r="N48" i="8"/>
  <c r="M48" i="8"/>
  <c r="L48" i="8"/>
  <c r="K48" i="8"/>
  <c r="J48" i="8"/>
  <c r="I48" i="8"/>
  <c r="H48" i="8"/>
  <c r="G48" i="8"/>
  <c r="F48" i="8"/>
  <c r="E48" i="8"/>
  <c r="D48" i="8"/>
  <c r="C48" i="8"/>
  <c r="B48" i="8"/>
  <c r="A48" i="8"/>
  <c r="N47" i="8"/>
  <c r="M47" i="8"/>
  <c r="L47" i="8"/>
  <c r="K47" i="8"/>
  <c r="J47" i="8"/>
  <c r="I47" i="8"/>
  <c r="H47" i="8"/>
  <c r="G47" i="8"/>
  <c r="F47" i="8"/>
  <c r="E47" i="8"/>
  <c r="D47" i="8"/>
  <c r="C47" i="8"/>
  <c r="B47" i="8"/>
  <c r="A47" i="8"/>
  <c r="N46" i="8"/>
  <c r="M46" i="8"/>
  <c r="L46" i="8"/>
  <c r="K46" i="8"/>
  <c r="J46" i="8"/>
  <c r="I46" i="8"/>
  <c r="H46" i="8"/>
  <c r="G46" i="8"/>
  <c r="F46" i="8"/>
  <c r="E46" i="8"/>
  <c r="D46" i="8"/>
  <c r="C46" i="8"/>
  <c r="B46" i="8"/>
  <c r="A46" i="8"/>
  <c r="N45" i="8"/>
  <c r="M45" i="8"/>
  <c r="L45" i="8"/>
  <c r="K45" i="8"/>
  <c r="J45" i="8"/>
  <c r="I45" i="8"/>
  <c r="H45" i="8"/>
  <c r="G45" i="8"/>
  <c r="F45" i="8"/>
  <c r="E45" i="8"/>
  <c r="D45" i="8"/>
  <c r="C45" i="8"/>
  <c r="B45" i="8"/>
  <c r="A45" i="8"/>
  <c r="N44" i="8"/>
  <c r="K44" i="8"/>
  <c r="J44" i="8"/>
  <c r="I44" i="8"/>
  <c r="H44" i="8"/>
  <c r="G44" i="8"/>
  <c r="F44" i="8"/>
  <c r="E44" i="8"/>
  <c r="D44" i="8"/>
  <c r="C44" i="8"/>
  <c r="B44" i="8"/>
  <c r="A44" i="8"/>
  <c r="N43" i="8"/>
  <c r="M43" i="8"/>
  <c r="L43" i="8"/>
  <c r="K43" i="8"/>
  <c r="J43" i="8"/>
  <c r="I43" i="8"/>
  <c r="H43" i="8"/>
  <c r="G43" i="8"/>
  <c r="F43" i="8"/>
  <c r="E43" i="8"/>
  <c r="D43" i="8"/>
  <c r="C43" i="8"/>
  <c r="B43" i="8"/>
  <c r="A43" i="8"/>
  <c r="N42" i="8"/>
  <c r="K42" i="8"/>
  <c r="J42" i="8"/>
  <c r="I42" i="8"/>
  <c r="H42" i="8"/>
  <c r="G42" i="8"/>
  <c r="F42" i="8"/>
  <c r="E42" i="8"/>
  <c r="D42" i="8"/>
  <c r="C42" i="8"/>
  <c r="B42" i="8"/>
  <c r="A42" i="8"/>
  <c r="I41" i="8"/>
  <c r="H41" i="8"/>
  <c r="G41" i="8"/>
  <c r="F41" i="8"/>
  <c r="E41" i="8"/>
  <c r="D41" i="8"/>
  <c r="C41" i="8"/>
  <c r="B41" i="8"/>
  <c r="A41" i="8"/>
  <c r="I40" i="8"/>
  <c r="H40" i="8"/>
  <c r="G40" i="8"/>
  <c r="F40" i="8"/>
  <c r="E40" i="8"/>
  <c r="D40" i="8"/>
  <c r="C40" i="8"/>
  <c r="B40" i="8"/>
  <c r="A40" i="8"/>
  <c r="I39" i="8"/>
  <c r="H39" i="8"/>
  <c r="G39" i="8"/>
  <c r="F39" i="8"/>
  <c r="E39" i="8"/>
  <c r="D39" i="8"/>
  <c r="C39" i="8"/>
  <c r="B39" i="8"/>
  <c r="A39" i="8"/>
  <c r="N38" i="8"/>
  <c r="K38" i="8"/>
  <c r="J38" i="8"/>
  <c r="I38" i="8"/>
  <c r="H38" i="8"/>
  <c r="G38" i="8"/>
  <c r="F38" i="8"/>
  <c r="E38" i="8"/>
  <c r="D38" i="8"/>
  <c r="C38" i="8"/>
  <c r="B38" i="8"/>
  <c r="A38" i="8"/>
  <c r="N37" i="8"/>
  <c r="M37" i="8"/>
  <c r="L37" i="8"/>
  <c r="K37" i="8"/>
  <c r="J37" i="8"/>
  <c r="I37" i="8"/>
  <c r="H37" i="8"/>
  <c r="G37" i="8"/>
  <c r="F37" i="8"/>
  <c r="E37" i="8"/>
  <c r="D37" i="8"/>
  <c r="C37" i="8"/>
  <c r="B37" i="8"/>
  <c r="A37" i="8"/>
  <c r="N36" i="8"/>
  <c r="K36" i="8"/>
  <c r="J36" i="8"/>
  <c r="I36" i="8"/>
  <c r="H36" i="8"/>
  <c r="G36" i="8"/>
  <c r="F36" i="8"/>
  <c r="E36" i="8"/>
  <c r="D36" i="8"/>
  <c r="C36" i="8"/>
  <c r="B36" i="8"/>
  <c r="A36" i="8"/>
  <c r="N35" i="8"/>
  <c r="K35" i="8"/>
  <c r="J35" i="8"/>
  <c r="I35" i="8"/>
  <c r="H35" i="8"/>
  <c r="G35" i="8"/>
  <c r="F35" i="8"/>
  <c r="E35" i="8"/>
  <c r="D35" i="8"/>
  <c r="C35" i="8"/>
  <c r="B35" i="8"/>
  <c r="A35" i="8"/>
  <c r="I34" i="8"/>
  <c r="H34" i="8"/>
  <c r="G34" i="8"/>
  <c r="F34" i="8"/>
  <c r="E34" i="8"/>
  <c r="D34" i="8"/>
  <c r="C34" i="8"/>
  <c r="B34" i="8"/>
  <c r="A34" i="8"/>
  <c r="I33" i="8"/>
  <c r="H33" i="8"/>
  <c r="G33" i="8"/>
  <c r="F33" i="8"/>
  <c r="E33" i="8"/>
  <c r="D33" i="8"/>
  <c r="C33" i="8"/>
  <c r="B33" i="8"/>
  <c r="A33" i="8"/>
  <c r="I32" i="8"/>
  <c r="H32" i="8"/>
  <c r="G32" i="8"/>
  <c r="F32" i="8"/>
  <c r="E32" i="8"/>
  <c r="D32" i="8"/>
  <c r="C32" i="8"/>
  <c r="B32" i="8"/>
  <c r="A32" i="8"/>
  <c r="I31" i="8"/>
  <c r="H31" i="8"/>
  <c r="G31" i="8"/>
  <c r="F31" i="8"/>
  <c r="E31" i="8"/>
  <c r="D31" i="8"/>
  <c r="C31" i="8"/>
  <c r="B31" i="8"/>
  <c r="A31" i="8"/>
  <c r="I30" i="8"/>
  <c r="H30" i="8"/>
  <c r="G30" i="8"/>
  <c r="F30" i="8"/>
  <c r="E30" i="8"/>
  <c r="D30" i="8"/>
  <c r="C30" i="8"/>
  <c r="B30" i="8"/>
  <c r="A30" i="8"/>
  <c r="I29" i="8"/>
  <c r="H29" i="8"/>
  <c r="G29" i="8"/>
  <c r="F29" i="8"/>
  <c r="E29" i="8"/>
  <c r="D29" i="8"/>
  <c r="C29" i="8"/>
  <c r="B29" i="8"/>
  <c r="A29" i="8"/>
  <c r="I28" i="8"/>
  <c r="H28" i="8"/>
  <c r="G28" i="8"/>
  <c r="F28" i="8"/>
  <c r="E28" i="8"/>
  <c r="D28" i="8"/>
  <c r="C28" i="8"/>
  <c r="B28" i="8"/>
  <c r="A28" i="8"/>
  <c r="N27" i="8"/>
  <c r="M27" i="8"/>
  <c r="L27" i="8"/>
  <c r="K27" i="8"/>
  <c r="J27" i="8"/>
  <c r="I27" i="8"/>
  <c r="H27" i="8"/>
  <c r="G27" i="8"/>
  <c r="F27" i="8"/>
  <c r="E27" i="8"/>
  <c r="D27" i="8"/>
  <c r="C27" i="8"/>
  <c r="B27" i="8"/>
  <c r="A27" i="8"/>
  <c r="N26" i="8"/>
  <c r="M26" i="8"/>
  <c r="L26" i="8"/>
  <c r="K26" i="8"/>
  <c r="J26" i="8"/>
  <c r="I26" i="8"/>
  <c r="H26" i="8"/>
  <c r="G26" i="8"/>
  <c r="F26" i="8"/>
  <c r="E26" i="8"/>
  <c r="D26" i="8"/>
  <c r="C26" i="8"/>
  <c r="B26" i="8"/>
  <c r="A26" i="8"/>
  <c r="N25" i="8"/>
  <c r="M25" i="8"/>
  <c r="L25" i="8"/>
  <c r="K25" i="8"/>
  <c r="J25" i="8"/>
  <c r="I25" i="8"/>
  <c r="H25" i="8"/>
  <c r="G25" i="8"/>
  <c r="F25" i="8"/>
  <c r="E25" i="8"/>
  <c r="D25" i="8"/>
  <c r="C25" i="8"/>
  <c r="B25" i="8"/>
  <c r="A25" i="8"/>
  <c r="N24" i="8"/>
  <c r="M24" i="8"/>
  <c r="L24" i="8"/>
  <c r="K24" i="8"/>
  <c r="J24" i="8"/>
  <c r="I24" i="8"/>
  <c r="H24" i="8"/>
  <c r="G24" i="8"/>
  <c r="F24" i="8"/>
  <c r="E24" i="8"/>
  <c r="D24" i="8"/>
  <c r="C24" i="8"/>
  <c r="B24" i="8"/>
  <c r="A24" i="8"/>
  <c r="I23" i="8"/>
  <c r="H23" i="8"/>
  <c r="G23" i="8"/>
  <c r="F23" i="8"/>
  <c r="E23" i="8"/>
  <c r="D23" i="8"/>
  <c r="C23" i="8"/>
  <c r="B23" i="8"/>
  <c r="A23" i="8"/>
  <c r="N22" i="8"/>
  <c r="M22" i="8"/>
  <c r="L22" i="8"/>
  <c r="K22" i="8"/>
  <c r="J22" i="8"/>
  <c r="I22" i="8"/>
  <c r="H22" i="8"/>
  <c r="G22" i="8"/>
  <c r="F22" i="8"/>
  <c r="E22" i="8"/>
  <c r="D22" i="8"/>
  <c r="C22" i="8"/>
  <c r="B22" i="8"/>
  <c r="A22" i="8"/>
  <c r="I21" i="8"/>
  <c r="H21" i="8"/>
  <c r="G21" i="8"/>
  <c r="F21" i="8"/>
  <c r="E21" i="8"/>
  <c r="D21" i="8"/>
  <c r="C21" i="8"/>
  <c r="B21" i="8"/>
  <c r="A21" i="8"/>
  <c r="N20" i="8"/>
  <c r="K20" i="8"/>
  <c r="J20" i="8"/>
  <c r="I20" i="8"/>
  <c r="H20" i="8"/>
  <c r="G20" i="8"/>
  <c r="F20" i="8"/>
  <c r="E20" i="8"/>
  <c r="D20" i="8"/>
  <c r="C20" i="8"/>
  <c r="B20" i="8"/>
  <c r="A20" i="8"/>
  <c r="N19" i="8"/>
  <c r="K19" i="8"/>
  <c r="J19" i="8"/>
  <c r="I19" i="8"/>
  <c r="H19" i="8"/>
  <c r="G19" i="8"/>
  <c r="F19" i="8"/>
  <c r="E19" i="8"/>
  <c r="D19" i="8"/>
  <c r="C19" i="8"/>
  <c r="B19" i="8"/>
  <c r="A19" i="8"/>
  <c r="N18" i="8"/>
  <c r="K18" i="8"/>
  <c r="J18" i="8"/>
  <c r="I18" i="8"/>
  <c r="H18" i="8"/>
  <c r="G18" i="8"/>
  <c r="F18" i="8"/>
  <c r="E18" i="8"/>
  <c r="D18" i="8"/>
  <c r="C18" i="8"/>
  <c r="B18" i="8"/>
  <c r="A18" i="8"/>
  <c r="N17" i="8"/>
  <c r="K17" i="8"/>
  <c r="J17" i="8"/>
  <c r="I17" i="8"/>
  <c r="H17" i="8"/>
  <c r="G17" i="8"/>
  <c r="F17" i="8"/>
  <c r="E17" i="8"/>
  <c r="D17" i="8"/>
  <c r="C17" i="8"/>
  <c r="B17" i="8"/>
  <c r="A17" i="8"/>
  <c r="N16" i="8"/>
  <c r="M16" i="8"/>
  <c r="L16" i="8"/>
  <c r="K16" i="8"/>
  <c r="J16" i="8"/>
  <c r="I16" i="8"/>
  <c r="H16" i="8"/>
  <c r="G16" i="8"/>
  <c r="F16" i="8"/>
  <c r="E16" i="8"/>
  <c r="D16" i="8"/>
  <c r="C16" i="8"/>
  <c r="B16" i="8"/>
  <c r="A16" i="8"/>
  <c r="N15" i="8"/>
  <c r="K15" i="8"/>
  <c r="J15" i="8"/>
  <c r="I15" i="8"/>
  <c r="H15" i="8"/>
  <c r="G15" i="8"/>
  <c r="F15" i="8"/>
  <c r="E15" i="8"/>
  <c r="D15" i="8"/>
  <c r="C15" i="8"/>
  <c r="B15" i="8"/>
  <c r="A15" i="8"/>
  <c r="N14" i="8"/>
  <c r="K14" i="8"/>
  <c r="J14" i="8"/>
  <c r="I14" i="8"/>
  <c r="H14" i="8"/>
  <c r="G14" i="8"/>
  <c r="F14" i="8"/>
  <c r="E14" i="8"/>
  <c r="D14" i="8"/>
  <c r="C14" i="8"/>
  <c r="B14" i="8"/>
  <c r="A14" i="8"/>
  <c r="N13" i="8"/>
  <c r="M13" i="8"/>
  <c r="L13" i="8"/>
  <c r="K13" i="8"/>
  <c r="J13" i="8"/>
  <c r="I13" i="8"/>
  <c r="H13" i="8"/>
  <c r="G13" i="8"/>
  <c r="F13" i="8"/>
  <c r="E13" i="8"/>
  <c r="D13" i="8"/>
  <c r="C13" i="8"/>
  <c r="B13" i="8"/>
  <c r="A13" i="8"/>
  <c r="N12" i="8"/>
  <c r="M12" i="8"/>
  <c r="L12" i="8"/>
  <c r="K12" i="8"/>
  <c r="J12" i="8"/>
  <c r="I12" i="8"/>
  <c r="H12" i="8"/>
  <c r="G12" i="8"/>
  <c r="F12" i="8"/>
  <c r="E12" i="8"/>
  <c r="D12" i="8"/>
  <c r="C12" i="8"/>
  <c r="B12" i="8"/>
  <c r="A12" i="8"/>
  <c r="N11" i="8"/>
  <c r="M11" i="8"/>
  <c r="L11" i="8"/>
  <c r="K11" i="8"/>
  <c r="J11" i="8"/>
  <c r="I11" i="8"/>
  <c r="H11" i="8"/>
  <c r="G11" i="8"/>
  <c r="F11" i="8"/>
  <c r="E11" i="8"/>
  <c r="D11" i="8"/>
  <c r="C11" i="8"/>
  <c r="B11" i="8"/>
  <c r="A11" i="8"/>
  <c r="N10" i="8"/>
  <c r="M10" i="8"/>
  <c r="L10" i="8"/>
  <c r="K10" i="8"/>
  <c r="J10" i="8"/>
  <c r="I10" i="8"/>
  <c r="H10" i="8"/>
  <c r="G10" i="8"/>
  <c r="F10" i="8"/>
  <c r="E10" i="8"/>
  <c r="D10" i="8"/>
  <c r="C10" i="8"/>
  <c r="B10" i="8"/>
  <c r="A10" i="8"/>
  <c r="N9" i="8"/>
  <c r="K9" i="8"/>
  <c r="J9" i="8"/>
  <c r="I9" i="8"/>
  <c r="H9" i="8"/>
  <c r="G9" i="8"/>
  <c r="F9" i="8"/>
  <c r="E9" i="8"/>
  <c r="D9" i="8"/>
  <c r="C9" i="8"/>
  <c r="B9" i="8"/>
  <c r="A9" i="8"/>
  <c r="N8" i="8"/>
  <c r="K8" i="8"/>
  <c r="J8" i="8"/>
  <c r="I8" i="8"/>
  <c r="H8" i="8"/>
  <c r="G8" i="8"/>
  <c r="F8" i="8"/>
  <c r="E8" i="8"/>
  <c r="D8" i="8"/>
  <c r="C8" i="8"/>
  <c r="B8" i="8"/>
  <c r="A8" i="8"/>
  <c r="N7" i="8"/>
  <c r="K7" i="8"/>
  <c r="J7" i="8"/>
  <c r="I7" i="8"/>
  <c r="H7" i="8"/>
  <c r="G7" i="8"/>
  <c r="F7" i="8"/>
  <c r="E7" i="8"/>
  <c r="D7" i="8"/>
  <c r="C7" i="8"/>
  <c r="B7" i="8"/>
  <c r="A7" i="8"/>
  <c r="N6" i="8"/>
  <c r="K6" i="8"/>
  <c r="J6" i="8"/>
  <c r="I6" i="8"/>
  <c r="H6" i="8"/>
  <c r="G6" i="8"/>
  <c r="F6" i="8"/>
  <c r="E6" i="8"/>
  <c r="D6" i="8"/>
  <c r="C6" i="8"/>
  <c r="B6" i="8"/>
  <c r="A6" i="8"/>
  <c r="N5" i="8"/>
  <c r="K5" i="8"/>
  <c r="J5" i="8"/>
  <c r="I5" i="8"/>
  <c r="H5" i="8"/>
  <c r="G5" i="8"/>
  <c r="F5" i="8"/>
  <c r="E5" i="8"/>
  <c r="D5" i="8"/>
  <c r="C5" i="8"/>
  <c r="B5" i="8"/>
  <c r="A5" i="8"/>
  <c r="N4" i="8"/>
  <c r="M4" i="8"/>
  <c r="L4" i="8"/>
  <c r="K4" i="8"/>
  <c r="J4" i="8"/>
  <c r="I4" i="8"/>
  <c r="H4" i="8"/>
  <c r="G4" i="8"/>
  <c r="F4" i="8"/>
  <c r="E4" i="8"/>
  <c r="D4" i="8"/>
  <c r="C4" i="8"/>
  <c r="B4" i="8"/>
  <c r="A4" i="8"/>
  <c r="N3" i="8"/>
  <c r="M3" i="8"/>
  <c r="L3" i="8"/>
  <c r="K3" i="8"/>
  <c r="J3" i="8"/>
  <c r="I3" i="8"/>
  <c r="H3" i="8"/>
  <c r="G3" i="8"/>
  <c r="F3" i="8"/>
  <c r="E3" i="8"/>
  <c r="D3" i="8"/>
  <c r="C3" i="8"/>
  <c r="B3" i="8"/>
  <c r="A3" i="8"/>
  <c r="N2" i="8"/>
  <c r="K2" i="8"/>
  <c r="J2" i="8"/>
  <c r="I2" i="8"/>
  <c r="H2" i="8"/>
  <c r="G2" i="8"/>
  <c r="F2" i="8"/>
  <c r="E2" i="8"/>
  <c r="D2" i="8"/>
  <c r="C2" i="8"/>
  <c r="B2" i="8"/>
  <c r="A2" i="8"/>
  <c r="N201" i="7"/>
  <c r="M201" i="7"/>
  <c r="F178" i="29" s="1"/>
  <c r="N200" i="7"/>
  <c r="M200" i="7"/>
  <c r="F173" i="29" s="1"/>
  <c r="N199" i="7"/>
  <c r="M199" i="7"/>
  <c r="F165" i="29" s="1"/>
  <c r="N198" i="7"/>
  <c r="M198" i="7"/>
  <c r="F139" i="29" s="1"/>
  <c r="N197" i="7"/>
  <c r="M197" i="7"/>
  <c r="F138" i="29" s="1"/>
  <c r="N196" i="7"/>
  <c r="M196" i="7"/>
  <c r="F137" i="29" s="1"/>
  <c r="N195" i="7"/>
  <c r="M195" i="7"/>
  <c r="F131" i="29" s="1"/>
  <c r="N194" i="7"/>
  <c r="M194" i="7"/>
  <c r="F130" i="29" s="1"/>
  <c r="N193" i="7"/>
  <c r="M193" i="7"/>
  <c r="F121" i="29" s="1"/>
  <c r="N192" i="7"/>
  <c r="M192" i="7"/>
  <c r="F120" i="29" s="1"/>
  <c r="N191" i="7"/>
  <c r="M191" i="7"/>
  <c r="F109" i="29" s="1"/>
  <c r="N190" i="7"/>
  <c r="M190" i="7"/>
  <c r="F106" i="29" s="1"/>
  <c r="N189" i="7"/>
  <c r="M189" i="7"/>
  <c r="F105" i="29" s="1"/>
  <c r="N188" i="7"/>
  <c r="M188" i="7"/>
  <c r="F104" i="29" s="1"/>
  <c r="N187" i="7"/>
  <c r="M187" i="7"/>
  <c r="F102" i="29" s="1"/>
  <c r="N186" i="7"/>
  <c r="M186" i="7"/>
  <c r="F87" i="29" s="1"/>
  <c r="N185" i="7"/>
  <c r="M185" i="7"/>
  <c r="F86" i="29" s="1"/>
  <c r="N184" i="7"/>
  <c r="M184" i="7"/>
  <c r="F85" i="29" s="1"/>
  <c r="N183" i="7"/>
  <c r="M183" i="7"/>
  <c r="F80" i="29" s="1"/>
  <c r="N182" i="7"/>
  <c r="M182" i="7"/>
  <c r="F78" i="29" s="1"/>
  <c r="N181" i="7"/>
  <c r="M181" i="7"/>
  <c r="F72" i="29" s="1"/>
  <c r="N180" i="7"/>
  <c r="M180" i="7"/>
  <c r="F71" i="29" s="1"/>
  <c r="N179" i="7"/>
  <c r="M179" i="7"/>
  <c r="F70" i="29" s="1"/>
  <c r="N178" i="7"/>
  <c r="M178" i="7"/>
  <c r="F69" i="29" s="1"/>
  <c r="N177" i="7"/>
  <c r="M177" i="7"/>
  <c r="F67" i="29" s="1"/>
  <c r="N176" i="7"/>
  <c r="M176" i="7"/>
  <c r="F64" i="29" s="1"/>
  <c r="N175" i="7"/>
  <c r="M175" i="7"/>
  <c r="F63" i="29" s="1"/>
  <c r="N174" i="7"/>
  <c r="M174" i="7"/>
  <c r="F152" i="28" s="1"/>
  <c r="N173" i="7"/>
  <c r="M173" i="7"/>
  <c r="F149" i="28" s="1"/>
  <c r="N172" i="7"/>
  <c r="M172" i="7"/>
  <c r="F148" i="28" s="1"/>
  <c r="N171" i="7"/>
  <c r="M171" i="7"/>
  <c r="F122" i="28" s="1"/>
  <c r="N170" i="7"/>
  <c r="M170" i="7"/>
  <c r="F118" i="28" s="1"/>
  <c r="N169" i="7"/>
  <c r="M169" i="7"/>
  <c r="F82" i="28" s="1"/>
  <c r="N168" i="7"/>
  <c r="M168" i="7"/>
  <c r="F80" i="28" s="1"/>
  <c r="N167" i="7"/>
  <c r="M167" i="7"/>
  <c r="F68" i="28" s="1"/>
  <c r="N166" i="7"/>
  <c r="M166" i="7"/>
  <c r="F66" i="28" s="1"/>
  <c r="N165" i="7"/>
  <c r="M165" i="7"/>
  <c r="F65" i="28" s="1"/>
  <c r="N164" i="7"/>
  <c r="M164" i="7"/>
  <c r="F57" i="28" s="1"/>
  <c r="N163" i="7"/>
  <c r="M163" i="7"/>
  <c r="F55" i="28" s="1"/>
  <c r="N162" i="7"/>
  <c r="M162" i="7"/>
  <c r="F53" i="28" s="1"/>
  <c r="N161" i="7"/>
  <c r="M161" i="7"/>
  <c r="F50" i="28" s="1"/>
  <c r="N160" i="7"/>
  <c r="M160" i="7"/>
  <c r="F45" i="28" s="1"/>
  <c r="N159" i="7"/>
  <c r="M159" i="7"/>
  <c r="F98" i="27" s="1"/>
  <c r="N158" i="7"/>
  <c r="M158" i="7"/>
  <c r="F88" i="27" s="1"/>
  <c r="N157" i="7"/>
  <c r="M157" i="7"/>
  <c r="F87" i="27" s="1"/>
  <c r="N156" i="7"/>
  <c r="M156" i="7"/>
  <c r="F86" i="27" s="1"/>
  <c r="N155" i="7"/>
  <c r="M155" i="7"/>
  <c r="F44" i="27" s="1"/>
  <c r="N154" i="7"/>
  <c r="M154" i="7"/>
  <c r="F43" i="27" s="1"/>
  <c r="N153" i="7"/>
  <c r="M153" i="7"/>
  <c r="F39" i="27" s="1"/>
  <c r="N152" i="7"/>
  <c r="M152" i="7"/>
  <c r="F36" i="27" s="1"/>
  <c r="N151" i="7"/>
  <c r="M151" i="7"/>
  <c r="F35" i="27" s="1"/>
  <c r="N150" i="7"/>
  <c r="M150" i="7"/>
  <c r="F165" i="26" s="1"/>
  <c r="N149" i="7"/>
  <c r="M149" i="7"/>
  <c r="F164" i="26" s="1"/>
  <c r="N148" i="7"/>
  <c r="M148" i="7"/>
  <c r="F160" i="26" s="1"/>
  <c r="N147" i="7"/>
  <c r="M147" i="7"/>
  <c r="F157" i="26" s="1"/>
  <c r="N146" i="7"/>
  <c r="M146" i="7"/>
  <c r="F156" i="26" s="1"/>
  <c r="N145" i="7"/>
  <c r="M145" i="7"/>
  <c r="F155" i="26" s="1"/>
  <c r="N144" i="7"/>
  <c r="M144" i="7"/>
  <c r="F125" i="26" s="1"/>
  <c r="N143" i="7"/>
  <c r="M143" i="7"/>
  <c r="F122" i="26" s="1"/>
  <c r="N142" i="7"/>
  <c r="M142" i="7"/>
  <c r="F121" i="26" s="1"/>
  <c r="N141" i="7"/>
  <c r="M141" i="7"/>
  <c r="F102" i="26" s="1"/>
  <c r="N140" i="7"/>
  <c r="M140" i="7"/>
  <c r="F101" i="26" s="1"/>
  <c r="N139" i="7"/>
  <c r="M139" i="7"/>
  <c r="F100" i="26" s="1"/>
  <c r="N138" i="7"/>
  <c r="M138" i="7"/>
  <c r="F99" i="26" s="1"/>
  <c r="N137" i="7"/>
  <c r="M137" i="7"/>
  <c r="F96" i="26" s="1"/>
  <c r="N136" i="7"/>
  <c r="M136" i="7"/>
  <c r="F94" i="26" s="1"/>
  <c r="N135" i="7"/>
  <c r="M135" i="7"/>
  <c r="F89" i="26" s="1"/>
  <c r="N134" i="7"/>
  <c r="M134" i="7"/>
  <c r="F88" i="26" s="1"/>
  <c r="N133" i="7"/>
  <c r="M133" i="7"/>
  <c r="F87" i="26" s="1"/>
  <c r="N132" i="7"/>
  <c r="M132" i="7"/>
  <c r="F86" i="26" s="1"/>
  <c r="N131" i="7"/>
  <c r="M131" i="7"/>
  <c r="F84" i="26" s="1"/>
  <c r="N130" i="7"/>
  <c r="M130" i="7"/>
  <c r="F81" i="26" s="1"/>
  <c r="N129" i="7"/>
  <c r="M129" i="7"/>
  <c r="F67" i="26" s="1"/>
  <c r="N128" i="7"/>
  <c r="M128" i="7"/>
  <c r="F66" i="26" s="1"/>
  <c r="N127" i="7"/>
  <c r="M127" i="7"/>
  <c r="F65" i="26" s="1"/>
  <c r="N126" i="7"/>
  <c r="M126" i="7"/>
  <c r="F64" i="26" s="1"/>
  <c r="N125" i="7"/>
  <c r="M125" i="7"/>
  <c r="F63" i="26" s="1"/>
  <c r="N124" i="7"/>
  <c r="M124" i="7"/>
  <c r="F62" i="26" s="1"/>
  <c r="N123" i="7"/>
  <c r="M123" i="7"/>
  <c r="F60" i="26" s="1"/>
  <c r="N122" i="7"/>
  <c r="M122" i="7"/>
  <c r="F59" i="26" s="1"/>
  <c r="N121" i="7"/>
  <c r="M121" i="7"/>
  <c r="F57" i="26" s="1"/>
  <c r="N120" i="7"/>
  <c r="M120" i="7"/>
  <c r="F56" i="26" s="1"/>
  <c r="N119" i="7"/>
  <c r="M119" i="7"/>
  <c r="F53" i="26" s="1"/>
  <c r="N118" i="7"/>
  <c r="M118" i="7"/>
  <c r="F154" i="25" s="1"/>
  <c r="N117" i="7"/>
  <c r="M117" i="7"/>
  <c r="F152" i="25" s="1"/>
  <c r="N116" i="7"/>
  <c r="M116" i="7"/>
  <c r="F150" i="25" s="1"/>
  <c r="N115" i="7"/>
  <c r="M115" i="7"/>
  <c r="F148" i="25" s="1"/>
  <c r="N114" i="7"/>
  <c r="M114" i="7"/>
  <c r="F145" i="25" s="1"/>
  <c r="N113" i="7"/>
  <c r="M113" i="7"/>
  <c r="F143" i="25" s="1"/>
  <c r="N112" i="7"/>
  <c r="M112" i="7"/>
  <c r="F142" i="25" s="1"/>
  <c r="N111" i="7"/>
  <c r="M111" i="7"/>
  <c r="F141" i="25" s="1"/>
  <c r="N110" i="7"/>
  <c r="M110" i="7"/>
  <c r="F128" i="25" s="1"/>
  <c r="N109" i="7"/>
  <c r="M109" i="7"/>
  <c r="F122" i="25" s="1"/>
  <c r="N108" i="7"/>
  <c r="M108" i="7"/>
  <c r="F121" i="25" s="1"/>
  <c r="N107" i="7"/>
  <c r="M107" i="7"/>
  <c r="F119" i="25" s="1"/>
  <c r="N106" i="7"/>
  <c r="M106" i="7"/>
  <c r="F118" i="25" s="1"/>
  <c r="N105" i="7"/>
  <c r="M105" i="7"/>
  <c r="F116" i="25" s="1"/>
  <c r="N104" i="7"/>
  <c r="M104" i="7"/>
  <c r="F114" i="25" s="1"/>
  <c r="N103" i="7"/>
  <c r="M103" i="7"/>
  <c r="F111" i="25" s="1"/>
  <c r="N102" i="7"/>
  <c r="M102" i="7"/>
  <c r="F110" i="25" s="1"/>
  <c r="N101" i="7"/>
  <c r="M101" i="7"/>
  <c r="F109" i="25" s="1"/>
  <c r="N100" i="7"/>
  <c r="M100" i="7"/>
  <c r="F108" i="25" s="1"/>
  <c r="N99" i="7"/>
  <c r="M99" i="7"/>
  <c r="F107" i="25" s="1"/>
  <c r="N98" i="7"/>
  <c r="M98" i="7"/>
  <c r="F104" i="25" s="1"/>
  <c r="N97" i="7"/>
  <c r="M97" i="7"/>
  <c r="F103" i="25" s="1"/>
  <c r="N96" i="7"/>
  <c r="M96" i="7"/>
  <c r="F101" i="25" s="1"/>
  <c r="N95" i="7"/>
  <c r="M95" i="7"/>
  <c r="F99" i="25" s="1"/>
  <c r="N94" i="7"/>
  <c r="M94" i="7"/>
  <c r="F98" i="25" s="1"/>
  <c r="N93" i="7"/>
  <c r="M93" i="7"/>
  <c r="F74" i="25" s="1"/>
  <c r="N92" i="7"/>
  <c r="M92" i="7"/>
  <c r="F60" i="25" s="1"/>
  <c r="N91" i="7"/>
  <c r="M91" i="7"/>
  <c r="F58" i="25" s="1"/>
  <c r="N90" i="7"/>
  <c r="M90" i="7"/>
  <c r="F122" i="14" s="1"/>
  <c r="N89" i="7"/>
  <c r="M89" i="7"/>
  <c r="F121" i="14" s="1"/>
  <c r="N88" i="7"/>
  <c r="M88" i="7"/>
  <c r="F175" i="15" s="1"/>
  <c r="N87" i="7"/>
  <c r="M87" i="7"/>
  <c r="F174" i="15" s="1"/>
  <c r="N86" i="7"/>
  <c r="M86" i="7"/>
  <c r="F165" i="15" s="1"/>
  <c r="N85" i="7"/>
  <c r="M85" i="7"/>
  <c r="F160" i="15" s="1"/>
  <c r="N84" i="7"/>
  <c r="M84" i="7"/>
  <c r="F159" i="15" s="1"/>
  <c r="N83" i="7"/>
  <c r="M83" i="7"/>
  <c r="F158" i="15" s="1"/>
  <c r="N82" i="7"/>
  <c r="M82" i="7"/>
  <c r="F154" i="15" s="1"/>
  <c r="N81" i="7"/>
  <c r="M81" i="7"/>
  <c r="F149" i="15" s="1"/>
  <c r="N80" i="7"/>
  <c r="M80" i="7"/>
  <c r="F144" i="15" s="1"/>
  <c r="N79" i="7"/>
  <c r="M79" i="7"/>
  <c r="F143" i="15" s="1"/>
  <c r="N78" i="7"/>
  <c r="M78" i="7"/>
  <c r="F138" i="15" s="1"/>
  <c r="N77" i="7"/>
  <c r="M77" i="7"/>
  <c r="F137" i="15" s="1"/>
  <c r="N76" i="7"/>
  <c r="M76" i="7"/>
  <c r="F136" i="15" s="1"/>
  <c r="N75" i="7"/>
  <c r="M75" i="7"/>
  <c r="F119" i="15" s="1"/>
  <c r="N74" i="7"/>
  <c r="M74" i="7"/>
  <c r="F118" i="15" s="1"/>
  <c r="N73" i="7"/>
  <c r="M73" i="7"/>
  <c r="F117" i="15" s="1"/>
  <c r="N72" i="7"/>
  <c r="M72" i="7"/>
  <c r="F112" i="15" s="1"/>
  <c r="N71" i="7"/>
  <c r="M71" i="7"/>
  <c r="F106" i="15" s="1"/>
  <c r="N70" i="7"/>
  <c r="M70" i="7"/>
  <c r="F105" i="15" s="1"/>
  <c r="N69" i="7"/>
  <c r="M69" i="7"/>
  <c r="F104" i="15" s="1"/>
  <c r="N68" i="7"/>
  <c r="M68" i="7"/>
  <c r="F103" i="15" s="1"/>
  <c r="N67" i="7"/>
  <c r="M67" i="7"/>
  <c r="F102" i="15" s="1"/>
  <c r="N66" i="7"/>
  <c r="M66" i="7"/>
  <c r="F101" i="15" s="1"/>
  <c r="N65" i="7"/>
  <c r="M65" i="7"/>
  <c r="F100" i="15" s="1"/>
  <c r="N64" i="7"/>
  <c r="M64" i="7"/>
  <c r="F71" i="15" s="1"/>
  <c r="N63" i="7"/>
  <c r="M63" i="7"/>
  <c r="F70" i="15" s="1"/>
  <c r="N62" i="7"/>
  <c r="M62" i="7"/>
  <c r="F60" i="15" s="1"/>
  <c r="N61" i="7"/>
  <c r="M61" i="7"/>
  <c r="F104" i="14" s="1"/>
  <c r="N60" i="7"/>
  <c r="M60" i="7"/>
  <c r="F103" i="14" s="1"/>
  <c r="N59" i="7"/>
  <c r="M59" i="7"/>
  <c r="F101" i="14" s="1"/>
  <c r="N58" i="7"/>
  <c r="M58" i="7"/>
  <c r="F97" i="14" s="1"/>
  <c r="N57" i="7"/>
  <c r="M57" i="7"/>
  <c r="F91" i="14" s="1"/>
  <c r="N56" i="7"/>
  <c r="M56" i="7"/>
  <c r="F90" i="14" s="1"/>
  <c r="N55" i="7"/>
  <c r="M55" i="7"/>
  <c r="F89" i="14" s="1"/>
  <c r="N54" i="7"/>
  <c r="M54" i="7"/>
  <c r="F81" i="14" s="1"/>
  <c r="N53" i="7"/>
  <c r="M53" i="7"/>
  <c r="F79" i="14" s="1"/>
  <c r="N52" i="7"/>
  <c r="M52" i="7"/>
  <c r="F73" i="14" s="1"/>
  <c r="N51" i="7"/>
  <c r="M51" i="7"/>
  <c r="F71" i="14" s="1"/>
  <c r="N50" i="7"/>
  <c r="M50" i="7"/>
  <c r="F65" i="14" s="1"/>
  <c r="N49" i="7"/>
  <c r="M49" i="7"/>
  <c r="F64" i="14" s="1"/>
  <c r="N48" i="7"/>
  <c r="M48" i="7"/>
  <c r="F63" i="14" s="1"/>
  <c r="N47" i="7"/>
  <c r="M47" i="7"/>
  <c r="F37" i="14" s="1"/>
  <c r="N46" i="7"/>
  <c r="M46" i="7"/>
  <c r="F35" i="14" s="1"/>
  <c r="N45" i="7"/>
  <c r="M45" i="7"/>
  <c r="F169" i="13" s="1"/>
  <c r="N44" i="7"/>
  <c r="M44" i="7"/>
  <c r="F167" i="13" s="1"/>
  <c r="N43" i="7"/>
  <c r="M43" i="7"/>
  <c r="F157" i="13" s="1"/>
  <c r="N42" i="7"/>
  <c r="M42" i="7"/>
  <c r="F154" i="13" s="1"/>
  <c r="N41" i="7"/>
  <c r="M41" i="7"/>
  <c r="F152" i="13" s="1"/>
  <c r="N40" i="7"/>
  <c r="M40" i="7"/>
  <c r="F149" i="13" s="1"/>
  <c r="N39" i="7"/>
  <c r="M39" i="7"/>
  <c r="F147" i="13" s="1"/>
  <c r="N38" i="7"/>
  <c r="M38" i="7"/>
  <c r="F143" i="13" s="1"/>
  <c r="N37" i="7"/>
  <c r="M37" i="7"/>
  <c r="F130" i="13" s="1"/>
  <c r="N36" i="7"/>
  <c r="M36" i="7"/>
  <c r="F129" i="13" s="1"/>
  <c r="N35" i="7"/>
  <c r="M35" i="7"/>
  <c r="F128" i="13" s="1"/>
  <c r="N34" i="7"/>
  <c r="M34" i="7"/>
  <c r="F118" i="13" s="1"/>
  <c r="N33" i="7"/>
  <c r="M33" i="7"/>
  <c r="F109" i="13" s="1"/>
  <c r="N32" i="7"/>
  <c r="M32" i="7"/>
  <c r="F108" i="13" s="1"/>
  <c r="N31" i="7"/>
  <c r="M31" i="7"/>
  <c r="F107" i="13" s="1"/>
  <c r="N30" i="7"/>
  <c r="M30" i="7"/>
  <c r="F106" i="13" s="1"/>
  <c r="N29" i="7"/>
  <c r="M29" i="7"/>
  <c r="F97" i="13" s="1"/>
  <c r="N28" i="7"/>
  <c r="M28" i="7"/>
  <c r="F85" i="13" s="1"/>
  <c r="N27" i="7"/>
  <c r="M27" i="7"/>
  <c r="F82" i="13" s="1"/>
  <c r="N26" i="7"/>
  <c r="M26" i="7"/>
  <c r="F61" i="13" s="1"/>
  <c r="N25" i="7"/>
  <c r="M25" i="7"/>
  <c r="F60" i="13" s="1"/>
  <c r="N24" i="7"/>
  <c r="M24" i="7"/>
  <c r="F59" i="13" s="1"/>
  <c r="N23" i="7"/>
  <c r="M23" i="7"/>
  <c r="F58" i="13" s="1"/>
  <c r="N22" i="7"/>
  <c r="M22" i="7"/>
  <c r="F56" i="13" s="1"/>
  <c r="N21" i="7"/>
  <c r="M21" i="7"/>
  <c r="F142" i="11" s="1"/>
  <c r="N20" i="7"/>
  <c r="M20" i="7"/>
  <c r="F140" i="11" s="1"/>
  <c r="N19" i="7"/>
  <c r="M19" i="7"/>
  <c r="F137" i="11" s="1"/>
  <c r="N18" i="7"/>
  <c r="M18" i="7"/>
  <c r="F136" i="11" s="1"/>
  <c r="N17" i="7"/>
  <c r="M17" i="7"/>
  <c r="F132" i="11" s="1"/>
  <c r="N16" i="7"/>
  <c r="M16" i="7"/>
  <c r="F131" i="11" s="1"/>
  <c r="N15" i="7"/>
  <c r="M15" i="7"/>
  <c r="F128" i="11" s="1"/>
  <c r="N14" i="7"/>
  <c r="M14" i="7"/>
  <c r="F122" i="11" s="1"/>
  <c r="N13" i="7"/>
  <c r="M13" i="7"/>
  <c r="F121" i="11" s="1"/>
  <c r="N12" i="7"/>
  <c r="M12" i="7"/>
  <c r="F110" i="11" s="1"/>
  <c r="N11" i="7"/>
  <c r="M11" i="7"/>
  <c r="F109" i="11" s="1"/>
  <c r="N10" i="7"/>
  <c r="M10" i="7"/>
  <c r="F105" i="11" s="1"/>
  <c r="N9" i="7"/>
  <c r="M9" i="7"/>
  <c r="F90" i="11" s="1"/>
  <c r="N8" i="7"/>
  <c r="M8" i="7"/>
  <c r="F71" i="11" s="1"/>
  <c r="N7" i="7"/>
  <c r="M7" i="7"/>
  <c r="F70" i="11" s="1"/>
  <c r="N6" i="7"/>
  <c r="F69" i="11"/>
  <c r="N5" i="7"/>
  <c r="M5" i="7"/>
  <c r="F60" i="11" s="1"/>
  <c r="M4" i="7"/>
  <c r="F54" i="11" s="1"/>
  <c r="M3" i="7"/>
  <c r="F46" i="11" s="1"/>
  <c r="C3" i="6"/>
  <c r="T41" i="4"/>
  <c r="S41" i="4"/>
  <c r="R41" i="4"/>
  <c r="Q41" i="4"/>
  <c r="P41" i="4"/>
  <c r="O41" i="4"/>
  <c r="N41" i="4"/>
  <c r="M41" i="4"/>
  <c r="L41" i="4"/>
  <c r="K41" i="4"/>
  <c r="J41" i="4"/>
  <c r="I41" i="4"/>
  <c r="H41" i="4"/>
  <c r="G41" i="4"/>
  <c r="F41" i="4"/>
  <c r="E41" i="4"/>
  <c r="D41" i="4"/>
  <c r="C41" i="4"/>
  <c r="B41" i="4"/>
  <c r="A41" i="4"/>
  <c r="T40" i="4"/>
  <c r="S40" i="4"/>
  <c r="R40" i="4"/>
  <c r="Q40" i="4"/>
  <c r="P40" i="4"/>
  <c r="O40" i="4"/>
  <c r="N40" i="4"/>
  <c r="M40" i="4"/>
  <c r="L40" i="4"/>
  <c r="K40" i="4"/>
  <c r="J40" i="4"/>
  <c r="I40" i="4"/>
  <c r="H40" i="4"/>
  <c r="G40" i="4"/>
  <c r="F40" i="4"/>
  <c r="E40" i="4"/>
  <c r="D40" i="4"/>
  <c r="C40" i="4"/>
  <c r="B40" i="4"/>
  <c r="A40" i="4"/>
  <c r="AB39" i="3"/>
  <c r="AA39" i="3"/>
  <c r="Z39" i="3"/>
  <c r="Y39" i="3"/>
  <c r="X39" i="3"/>
  <c r="W39" i="3"/>
  <c r="V39" i="3"/>
  <c r="U39" i="3"/>
  <c r="T39" i="3"/>
  <c r="S39" i="3"/>
  <c r="R39" i="3"/>
  <c r="Q39" i="3"/>
  <c r="P39" i="3"/>
  <c r="O39" i="3"/>
  <c r="N39" i="3"/>
  <c r="M39" i="3"/>
  <c r="L39" i="3"/>
  <c r="K39" i="3"/>
  <c r="J39" i="3"/>
  <c r="I39" i="3"/>
  <c r="H39" i="3"/>
  <c r="G39" i="3"/>
  <c r="F39" i="3"/>
  <c r="E39" i="3"/>
  <c r="D39" i="3"/>
  <c r="C39" i="3"/>
  <c r="B39" i="3"/>
  <c r="A39" i="3"/>
  <c r="AB38" i="3"/>
  <c r="AA38" i="3"/>
  <c r="Z38" i="3"/>
  <c r="Y38" i="3"/>
  <c r="X38" i="3"/>
  <c r="W38" i="3"/>
  <c r="V38" i="3"/>
  <c r="U38" i="3"/>
  <c r="T38" i="3"/>
  <c r="S38" i="3"/>
  <c r="R38" i="3"/>
  <c r="Q38" i="3"/>
  <c r="P38" i="3"/>
  <c r="O38" i="3"/>
  <c r="N38" i="3"/>
  <c r="M38" i="3"/>
  <c r="L38" i="3"/>
  <c r="K38" i="3"/>
  <c r="J38" i="3"/>
  <c r="I38" i="3"/>
  <c r="H38" i="3"/>
  <c r="G38" i="3"/>
  <c r="F38" i="3"/>
  <c r="E38" i="3"/>
  <c r="D38" i="3"/>
  <c r="C38" i="3"/>
  <c r="B38" i="3"/>
  <c r="A38" i="3"/>
  <c r="AB37" i="3"/>
  <c r="AA37" i="3"/>
  <c r="Z37" i="3"/>
  <c r="Y37" i="3"/>
  <c r="X37" i="3"/>
  <c r="W37" i="3"/>
  <c r="V37" i="3"/>
  <c r="U37" i="3"/>
  <c r="T37" i="3"/>
  <c r="S37" i="3"/>
  <c r="R37" i="3"/>
  <c r="Q37" i="3"/>
  <c r="P37" i="3"/>
  <c r="O37" i="3"/>
  <c r="N37" i="3"/>
  <c r="M37" i="3"/>
  <c r="L37" i="3"/>
  <c r="K37" i="3"/>
  <c r="J37" i="3"/>
  <c r="I37" i="3"/>
  <c r="H37" i="3"/>
  <c r="G37" i="3"/>
  <c r="F37" i="3"/>
  <c r="E37" i="3"/>
  <c r="D37" i="3"/>
  <c r="C37" i="3"/>
  <c r="B37" i="3"/>
  <c r="A37" i="3"/>
  <c r="AB36" i="3"/>
  <c r="AA36" i="3"/>
  <c r="Z36" i="3"/>
  <c r="Y36" i="3"/>
  <c r="X36" i="3"/>
  <c r="W36" i="3"/>
  <c r="V36" i="3"/>
  <c r="U36" i="3"/>
  <c r="T36" i="3"/>
  <c r="S36" i="3"/>
  <c r="R36" i="3"/>
  <c r="Q36" i="3"/>
  <c r="P36" i="3"/>
  <c r="O36" i="3"/>
  <c r="N36" i="3"/>
  <c r="M36" i="3"/>
  <c r="L36" i="3"/>
  <c r="K36" i="3"/>
  <c r="J36" i="3"/>
  <c r="I36" i="3"/>
  <c r="H36" i="3"/>
  <c r="G36" i="3"/>
  <c r="F36" i="3"/>
  <c r="E36" i="3"/>
  <c r="D36" i="3"/>
  <c r="C36" i="3"/>
  <c r="B36" i="3"/>
  <c r="A36" i="3"/>
  <c r="AB35" i="3"/>
  <c r="AA35" i="3"/>
  <c r="Z35" i="3"/>
  <c r="Y35" i="3"/>
  <c r="X35" i="3"/>
  <c r="W35" i="3"/>
  <c r="V35" i="3"/>
  <c r="U35" i="3"/>
  <c r="T35" i="3"/>
  <c r="S35" i="3"/>
  <c r="R35" i="3"/>
  <c r="Q35" i="3"/>
  <c r="P35" i="3"/>
  <c r="O35" i="3"/>
  <c r="N35" i="3"/>
  <c r="M35" i="3"/>
  <c r="L35" i="3"/>
  <c r="K35" i="3"/>
  <c r="J35" i="3"/>
  <c r="I35" i="3"/>
  <c r="H35" i="3"/>
  <c r="G35" i="3"/>
  <c r="F35" i="3"/>
  <c r="E35" i="3"/>
  <c r="D35" i="3"/>
  <c r="C35" i="3"/>
  <c r="B35" i="3"/>
  <c r="A35" i="3"/>
  <c r="AB34" i="3"/>
  <c r="AA34" i="3"/>
  <c r="Z34" i="3"/>
  <c r="Y34" i="3"/>
  <c r="X34" i="3"/>
  <c r="W34" i="3"/>
  <c r="V34" i="3"/>
  <c r="U34" i="3"/>
  <c r="T34" i="3"/>
  <c r="S34" i="3"/>
  <c r="R34" i="3"/>
  <c r="Q34" i="3"/>
  <c r="P34" i="3"/>
  <c r="O34" i="3"/>
  <c r="N34" i="3"/>
  <c r="M34" i="3"/>
  <c r="L34" i="3"/>
  <c r="K34" i="3"/>
  <c r="J34" i="3"/>
  <c r="I34" i="3"/>
  <c r="H34" i="3"/>
  <c r="G34" i="3"/>
  <c r="F34" i="3"/>
  <c r="E34" i="3"/>
  <c r="D34" i="3"/>
  <c r="C34" i="3"/>
  <c r="B34" i="3"/>
  <c r="A34" i="3"/>
  <c r="AB33" i="3"/>
  <c r="AA33" i="3"/>
  <c r="Z33" i="3"/>
  <c r="Y33" i="3"/>
  <c r="X33" i="3"/>
  <c r="W33" i="3"/>
  <c r="V33" i="3"/>
  <c r="U33" i="3"/>
  <c r="T33" i="3"/>
  <c r="S33" i="3"/>
  <c r="R33" i="3"/>
  <c r="Q33" i="3"/>
  <c r="P33" i="3"/>
  <c r="O33" i="3"/>
  <c r="N33" i="3"/>
  <c r="M33" i="3"/>
  <c r="L33" i="3"/>
  <c r="K33" i="3"/>
  <c r="J33" i="3"/>
  <c r="I33" i="3"/>
  <c r="H33" i="3"/>
  <c r="G33" i="3"/>
  <c r="F33" i="3"/>
  <c r="E33" i="3"/>
  <c r="D33" i="3"/>
  <c r="C33" i="3"/>
  <c r="B33" i="3"/>
  <c r="A33" i="3"/>
  <c r="AB32" i="3"/>
  <c r="AA32" i="3"/>
  <c r="Z32" i="3"/>
  <c r="Y32" i="3"/>
  <c r="X32" i="3"/>
  <c r="W32" i="3"/>
  <c r="V32" i="3"/>
  <c r="U32" i="3"/>
  <c r="T32" i="3"/>
  <c r="S32" i="3"/>
  <c r="R32" i="3"/>
  <c r="Q32" i="3"/>
  <c r="P32" i="3"/>
  <c r="O32" i="3"/>
  <c r="N32" i="3"/>
  <c r="M32" i="3"/>
  <c r="L32" i="3"/>
  <c r="K32" i="3"/>
  <c r="J32" i="3"/>
  <c r="I32" i="3"/>
  <c r="H32" i="3"/>
  <c r="G32" i="3"/>
  <c r="F32" i="3"/>
  <c r="E32" i="3"/>
  <c r="D32" i="3"/>
  <c r="C32" i="3"/>
  <c r="B32" i="3"/>
  <c r="A32" i="3"/>
  <c r="AB31" i="3"/>
  <c r="AA31" i="3"/>
  <c r="Z31" i="3"/>
  <c r="Y31" i="3"/>
  <c r="X31" i="3"/>
  <c r="W31" i="3"/>
  <c r="V31" i="3"/>
  <c r="U31" i="3"/>
  <c r="T31" i="3"/>
  <c r="S31" i="3"/>
  <c r="R31" i="3"/>
  <c r="Q31" i="3"/>
  <c r="P31" i="3"/>
  <c r="O31" i="3"/>
  <c r="N31" i="3"/>
  <c r="M31" i="3"/>
  <c r="L31" i="3"/>
  <c r="K31" i="3"/>
  <c r="J31" i="3"/>
  <c r="I31" i="3"/>
  <c r="H31" i="3"/>
  <c r="G31" i="3"/>
  <c r="F31" i="3"/>
  <c r="E31" i="3"/>
  <c r="D31" i="3"/>
  <c r="C31" i="3"/>
  <c r="B31" i="3"/>
  <c r="A31" i="3"/>
  <c r="AB30" i="3"/>
  <c r="AA30" i="3"/>
  <c r="Z30" i="3"/>
  <c r="Y30" i="3"/>
  <c r="X30" i="3"/>
  <c r="W30" i="3"/>
  <c r="V30" i="3"/>
  <c r="U30" i="3"/>
  <c r="T30" i="3"/>
  <c r="S30" i="3"/>
  <c r="R30" i="3"/>
  <c r="Q30" i="3"/>
  <c r="P30" i="3"/>
  <c r="O30" i="3"/>
  <c r="N30" i="3"/>
  <c r="M30" i="3"/>
  <c r="L30" i="3"/>
  <c r="K30" i="3"/>
  <c r="J30" i="3"/>
  <c r="I30" i="3"/>
  <c r="H30" i="3"/>
  <c r="G30" i="3"/>
  <c r="F30" i="3"/>
  <c r="E30" i="3"/>
  <c r="D30" i="3"/>
  <c r="C30" i="3"/>
  <c r="B30" i="3"/>
  <c r="A30" i="3"/>
  <c r="AB29" i="3"/>
  <c r="AA29" i="3"/>
  <c r="Z29" i="3"/>
  <c r="Y29" i="3"/>
  <c r="X29" i="3"/>
  <c r="W29" i="3"/>
  <c r="V29" i="3"/>
  <c r="U29" i="3"/>
  <c r="T29" i="3"/>
  <c r="S29" i="3"/>
  <c r="R29" i="3"/>
  <c r="Q29" i="3"/>
  <c r="P29" i="3"/>
  <c r="O29" i="3"/>
  <c r="N29" i="3"/>
  <c r="M29" i="3"/>
  <c r="L29" i="3"/>
  <c r="K29" i="3"/>
  <c r="J29" i="3"/>
  <c r="I29" i="3"/>
  <c r="H29" i="3"/>
  <c r="G29" i="3"/>
  <c r="F29" i="3"/>
  <c r="E29" i="3"/>
  <c r="D29" i="3"/>
  <c r="C29" i="3"/>
  <c r="B29" i="3"/>
  <c r="A29" i="3"/>
  <c r="AB28" i="3"/>
  <c r="AA28" i="3"/>
  <c r="Z28" i="3"/>
  <c r="Y28" i="3"/>
  <c r="X28" i="3"/>
  <c r="W28" i="3"/>
  <c r="V28" i="3"/>
  <c r="U28" i="3"/>
  <c r="T28" i="3"/>
  <c r="S28" i="3"/>
  <c r="R28" i="3"/>
  <c r="Q28" i="3"/>
  <c r="P28" i="3"/>
  <c r="O28" i="3"/>
  <c r="N28" i="3"/>
  <c r="M28" i="3"/>
  <c r="L28" i="3"/>
  <c r="K28" i="3"/>
  <c r="J28" i="3"/>
  <c r="I28" i="3"/>
  <c r="H28" i="3"/>
  <c r="G28" i="3"/>
  <c r="F28" i="3"/>
  <c r="E28" i="3"/>
  <c r="D28" i="3"/>
  <c r="C28" i="3"/>
  <c r="B28" i="3"/>
  <c r="A28" i="3"/>
  <c r="AB27" i="3"/>
  <c r="AA27" i="3"/>
  <c r="Z27" i="3"/>
  <c r="Y27" i="3"/>
  <c r="X27" i="3"/>
  <c r="W27" i="3"/>
  <c r="V27" i="3"/>
  <c r="U27" i="3"/>
  <c r="T27" i="3"/>
  <c r="S27" i="3"/>
  <c r="R27" i="3"/>
  <c r="Q27" i="3"/>
  <c r="P27" i="3"/>
  <c r="O27" i="3"/>
  <c r="N27" i="3"/>
  <c r="M27" i="3"/>
  <c r="L27" i="3"/>
  <c r="K27" i="3"/>
  <c r="J27" i="3"/>
  <c r="I27" i="3"/>
  <c r="H27" i="3"/>
  <c r="G27" i="3"/>
  <c r="F27" i="3"/>
  <c r="E27" i="3"/>
  <c r="D27" i="3"/>
  <c r="C27" i="3"/>
  <c r="B27" i="3"/>
  <c r="A27" i="3"/>
  <c r="AB26" i="3"/>
  <c r="AA26" i="3"/>
  <c r="Z26" i="3"/>
  <c r="Y26" i="3"/>
  <c r="X26" i="3"/>
  <c r="W26" i="3"/>
  <c r="V26" i="3"/>
  <c r="U26" i="3"/>
  <c r="T26" i="3"/>
  <c r="S26" i="3"/>
  <c r="R26" i="3"/>
  <c r="Q26" i="3"/>
  <c r="P26" i="3"/>
  <c r="O26" i="3"/>
  <c r="N26" i="3"/>
  <c r="M26" i="3"/>
  <c r="L26" i="3"/>
  <c r="K26" i="3"/>
  <c r="J26" i="3"/>
  <c r="I26" i="3"/>
  <c r="H26" i="3"/>
  <c r="G26" i="3"/>
  <c r="F26" i="3"/>
  <c r="E26" i="3"/>
  <c r="D26" i="3"/>
  <c r="C26" i="3"/>
  <c r="B26" i="3"/>
  <c r="A26" i="3"/>
  <c r="AB25" i="3"/>
  <c r="AA25" i="3"/>
  <c r="Z25" i="3"/>
  <c r="Y25" i="3"/>
  <c r="X25" i="3"/>
  <c r="W25" i="3"/>
  <c r="V25" i="3"/>
  <c r="U25" i="3"/>
  <c r="T25" i="3"/>
  <c r="S25" i="3"/>
  <c r="R25" i="3"/>
  <c r="Q25" i="3"/>
  <c r="P25" i="3"/>
  <c r="O25" i="3"/>
  <c r="N25" i="3"/>
  <c r="M25" i="3"/>
  <c r="L25" i="3"/>
  <c r="K25" i="3"/>
  <c r="J25" i="3"/>
  <c r="I25" i="3"/>
  <c r="H25" i="3"/>
  <c r="G25" i="3"/>
  <c r="F25" i="3"/>
  <c r="E25" i="3"/>
  <c r="D25" i="3"/>
  <c r="C25" i="3"/>
  <c r="B25" i="3"/>
  <c r="A25" i="3"/>
  <c r="AB24" i="3"/>
  <c r="AA24" i="3"/>
  <c r="Z24" i="3"/>
  <c r="Y24" i="3"/>
  <c r="X24" i="3"/>
  <c r="W24" i="3"/>
  <c r="V24" i="3"/>
  <c r="U24" i="3"/>
  <c r="T24" i="3"/>
  <c r="S24" i="3"/>
  <c r="R24" i="3"/>
  <c r="Q24" i="3"/>
  <c r="P24" i="3"/>
  <c r="O24" i="3"/>
  <c r="N24" i="3"/>
  <c r="M24" i="3"/>
  <c r="L24" i="3"/>
  <c r="K24" i="3"/>
  <c r="J24" i="3"/>
  <c r="I24" i="3"/>
  <c r="H24" i="3"/>
  <c r="G24" i="3"/>
  <c r="F24" i="3"/>
  <c r="E24" i="3"/>
  <c r="D24" i="3"/>
  <c r="C24" i="3"/>
  <c r="B24" i="3"/>
  <c r="A24" i="3"/>
  <c r="AB23" i="3"/>
  <c r="AA23" i="3"/>
  <c r="Z23" i="3"/>
  <c r="Y23" i="3"/>
  <c r="X23" i="3"/>
  <c r="W23" i="3"/>
  <c r="V23" i="3"/>
  <c r="U23" i="3"/>
  <c r="T23" i="3"/>
  <c r="S23" i="3"/>
  <c r="R23" i="3"/>
  <c r="Q23" i="3"/>
  <c r="P23" i="3"/>
  <c r="O23" i="3"/>
  <c r="N23" i="3"/>
  <c r="M23" i="3"/>
  <c r="L23" i="3"/>
  <c r="K23" i="3"/>
  <c r="J23" i="3"/>
  <c r="I23" i="3"/>
  <c r="H23" i="3"/>
  <c r="G23" i="3"/>
  <c r="F23" i="3"/>
  <c r="E23" i="3"/>
  <c r="D23" i="3"/>
  <c r="C23" i="3"/>
  <c r="B23" i="3"/>
  <c r="A23" i="3"/>
  <c r="AB22" i="3"/>
  <c r="AA22" i="3"/>
  <c r="Z22" i="3"/>
  <c r="Y22" i="3"/>
  <c r="X22" i="3"/>
  <c r="W22" i="3"/>
  <c r="V22" i="3"/>
  <c r="U22" i="3"/>
  <c r="T22" i="3"/>
  <c r="S22" i="3"/>
  <c r="R22" i="3"/>
  <c r="Q22" i="3"/>
  <c r="P22" i="3"/>
  <c r="O22" i="3"/>
  <c r="N22" i="3"/>
  <c r="M22" i="3"/>
  <c r="L22" i="3"/>
  <c r="K22" i="3"/>
  <c r="J22" i="3"/>
  <c r="I22" i="3"/>
  <c r="H22" i="3"/>
  <c r="G22" i="3"/>
  <c r="F22" i="3"/>
  <c r="E22" i="3"/>
  <c r="D22" i="3"/>
  <c r="C22" i="3"/>
  <c r="B22" i="3"/>
  <c r="A22" i="3"/>
  <c r="AB21" i="3"/>
  <c r="AA21" i="3"/>
  <c r="Z21" i="3"/>
  <c r="Y21" i="3"/>
  <c r="X21" i="3"/>
  <c r="W21" i="3"/>
  <c r="V21" i="3"/>
  <c r="U21" i="3"/>
  <c r="T21" i="3"/>
  <c r="S21" i="3"/>
  <c r="R21" i="3"/>
  <c r="Q21" i="3"/>
  <c r="P21" i="3"/>
  <c r="O21" i="3"/>
  <c r="N21" i="3"/>
  <c r="M21" i="3"/>
  <c r="L21" i="3"/>
  <c r="K21" i="3"/>
  <c r="J21" i="3"/>
  <c r="I21" i="3"/>
  <c r="H21" i="3"/>
  <c r="G21" i="3"/>
  <c r="F21" i="3"/>
  <c r="E21" i="3"/>
  <c r="D21" i="3"/>
  <c r="C21" i="3"/>
  <c r="B21" i="3"/>
  <c r="A21" i="3"/>
  <c r="AB20" i="3"/>
  <c r="AA20" i="3"/>
  <c r="Z20" i="3"/>
  <c r="Y20" i="3"/>
  <c r="X20" i="3"/>
  <c r="W20" i="3"/>
  <c r="V20" i="3"/>
  <c r="U20" i="3"/>
  <c r="T20" i="3"/>
  <c r="S20" i="3"/>
  <c r="R20" i="3"/>
  <c r="Q20" i="3"/>
  <c r="P20" i="3"/>
  <c r="O20" i="3"/>
  <c r="N20" i="3"/>
  <c r="M20" i="3"/>
  <c r="L20" i="3"/>
  <c r="K20" i="3"/>
  <c r="J20" i="3"/>
  <c r="I20" i="3"/>
  <c r="H20" i="3"/>
  <c r="G20" i="3"/>
  <c r="F20" i="3"/>
  <c r="E20" i="3"/>
  <c r="D20" i="3"/>
  <c r="C20" i="3"/>
  <c r="B20" i="3"/>
  <c r="A20" i="3"/>
  <c r="AB19" i="3"/>
  <c r="AA19" i="3"/>
  <c r="Z19" i="3"/>
  <c r="Y19" i="3"/>
  <c r="X19" i="3"/>
  <c r="W19" i="3"/>
  <c r="V19" i="3"/>
  <c r="U19" i="3"/>
  <c r="T19" i="3"/>
  <c r="S19" i="3"/>
  <c r="R19" i="3"/>
  <c r="Q19" i="3"/>
  <c r="P19" i="3"/>
  <c r="O19" i="3"/>
  <c r="N19" i="3"/>
  <c r="M19" i="3"/>
  <c r="L19" i="3"/>
  <c r="K19" i="3"/>
  <c r="J19" i="3"/>
  <c r="I19" i="3"/>
  <c r="H19" i="3"/>
  <c r="G19" i="3"/>
  <c r="F19" i="3"/>
  <c r="E19" i="3"/>
  <c r="D19" i="3"/>
  <c r="C19" i="3"/>
  <c r="B19" i="3"/>
  <c r="A19" i="3"/>
  <c r="AB18" i="3"/>
  <c r="AA18" i="3"/>
  <c r="Z18" i="3"/>
  <c r="Y18" i="3"/>
  <c r="X18" i="3"/>
  <c r="W18" i="3"/>
  <c r="V18" i="3"/>
  <c r="U18" i="3"/>
  <c r="T18" i="3"/>
  <c r="S18" i="3"/>
  <c r="R18" i="3"/>
  <c r="Q18" i="3"/>
  <c r="P18" i="3"/>
  <c r="O18" i="3"/>
  <c r="N18" i="3"/>
  <c r="M18" i="3"/>
  <c r="L18" i="3"/>
  <c r="K18" i="3"/>
  <c r="J18" i="3"/>
  <c r="I18" i="3"/>
  <c r="H18" i="3"/>
  <c r="G18" i="3"/>
  <c r="F18" i="3"/>
  <c r="E18" i="3"/>
  <c r="D18" i="3"/>
  <c r="C18" i="3"/>
  <c r="B18" i="3"/>
  <c r="A18" i="3"/>
  <c r="AB17" i="3"/>
  <c r="AA17" i="3"/>
  <c r="Z17" i="3"/>
  <c r="Y17" i="3"/>
  <c r="X17" i="3"/>
  <c r="W17" i="3"/>
  <c r="V17" i="3"/>
  <c r="U17" i="3"/>
  <c r="T17" i="3"/>
  <c r="S17" i="3"/>
  <c r="R17" i="3"/>
  <c r="Q17" i="3"/>
  <c r="P17" i="3"/>
  <c r="O17" i="3"/>
  <c r="N17" i="3"/>
  <c r="M17" i="3"/>
  <c r="L17" i="3"/>
  <c r="K17" i="3"/>
  <c r="J17" i="3"/>
  <c r="I17" i="3"/>
  <c r="H17" i="3"/>
  <c r="G17" i="3"/>
  <c r="F17" i="3"/>
  <c r="E17" i="3"/>
  <c r="D17" i="3"/>
  <c r="C17" i="3"/>
  <c r="B17" i="3"/>
  <c r="A17" i="3"/>
  <c r="AB16" i="3"/>
  <c r="AA16" i="3"/>
  <c r="Z16" i="3"/>
  <c r="Y16" i="3"/>
  <c r="X16" i="3"/>
  <c r="W16" i="3"/>
  <c r="V16" i="3"/>
  <c r="U16" i="3"/>
  <c r="T16" i="3"/>
  <c r="S16" i="3"/>
  <c r="R16" i="3"/>
  <c r="Q16" i="3"/>
  <c r="P16" i="3"/>
  <c r="O16" i="3"/>
  <c r="N16" i="3"/>
  <c r="M16" i="3"/>
  <c r="L16" i="3"/>
  <c r="K16" i="3"/>
  <c r="J16" i="3"/>
  <c r="I16" i="3"/>
  <c r="H16" i="3"/>
  <c r="G16" i="3"/>
  <c r="F16" i="3"/>
  <c r="E16" i="3"/>
  <c r="D16" i="3"/>
  <c r="C16" i="3"/>
  <c r="B16" i="3"/>
  <c r="A16" i="3"/>
  <c r="AB15" i="3"/>
  <c r="AA15" i="3"/>
  <c r="Z15" i="3"/>
  <c r="Y15" i="3"/>
  <c r="X15" i="3"/>
  <c r="W15" i="3"/>
  <c r="V15" i="3"/>
  <c r="U15" i="3"/>
  <c r="T15" i="3"/>
  <c r="S15" i="3"/>
  <c r="R15" i="3"/>
  <c r="Q15" i="3"/>
  <c r="P15" i="3"/>
  <c r="O15" i="3"/>
  <c r="N15" i="3"/>
  <c r="M15" i="3"/>
  <c r="L15" i="3"/>
  <c r="K15" i="3"/>
  <c r="J15" i="3"/>
  <c r="I15" i="3"/>
  <c r="H15" i="3"/>
  <c r="G15" i="3"/>
  <c r="F15" i="3"/>
  <c r="E15" i="3"/>
  <c r="D15" i="3"/>
  <c r="C15" i="3"/>
  <c r="B15" i="3"/>
  <c r="A15" i="3"/>
  <c r="AB14" i="3"/>
  <c r="AA14" i="3"/>
  <c r="Z14" i="3"/>
  <c r="Y14" i="3"/>
  <c r="X14" i="3"/>
  <c r="W14" i="3"/>
  <c r="V14" i="3"/>
  <c r="U14" i="3"/>
  <c r="T14" i="3"/>
  <c r="S14" i="3"/>
  <c r="R14" i="3"/>
  <c r="Q14" i="3"/>
  <c r="P14" i="3"/>
  <c r="O14" i="3"/>
  <c r="N14" i="3"/>
  <c r="M14" i="3"/>
  <c r="L14" i="3"/>
  <c r="K14" i="3"/>
  <c r="J14" i="3"/>
  <c r="I14" i="3"/>
  <c r="H14" i="3"/>
  <c r="G14" i="3"/>
  <c r="F14" i="3"/>
  <c r="E14" i="3"/>
  <c r="D14" i="3"/>
  <c r="C14" i="3"/>
  <c r="B14" i="3"/>
  <c r="A14" i="3"/>
  <c r="AB13" i="3"/>
  <c r="AA13" i="3"/>
  <c r="Z13" i="3"/>
  <c r="Y13" i="3"/>
  <c r="X13" i="3"/>
  <c r="W13" i="3"/>
  <c r="V13" i="3"/>
  <c r="U13" i="3"/>
  <c r="T13" i="3"/>
  <c r="S13" i="3"/>
  <c r="R13" i="3"/>
  <c r="Q13" i="3"/>
  <c r="P13" i="3"/>
  <c r="O13" i="3"/>
  <c r="N13" i="3"/>
  <c r="M13" i="3"/>
  <c r="L13" i="3"/>
  <c r="K13" i="3"/>
  <c r="J13" i="3"/>
  <c r="I13" i="3"/>
  <c r="H13" i="3"/>
  <c r="G13" i="3"/>
  <c r="F13" i="3"/>
  <c r="E13" i="3"/>
  <c r="D13" i="3"/>
  <c r="C13" i="3"/>
  <c r="B13" i="3"/>
  <c r="A13" i="3"/>
  <c r="AB12" i="3"/>
  <c r="AA12" i="3"/>
  <c r="Z12" i="3"/>
  <c r="Y12" i="3"/>
  <c r="X12" i="3"/>
  <c r="W12" i="3"/>
  <c r="V12" i="3"/>
  <c r="U12" i="3"/>
  <c r="T12" i="3"/>
  <c r="S12" i="3"/>
  <c r="R12" i="3"/>
  <c r="Q12" i="3"/>
  <c r="P12" i="3"/>
  <c r="O12" i="3"/>
  <c r="N12" i="3"/>
  <c r="M12" i="3"/>
  <c r="L12" i="3"/>
  <c r="K12" i="3"/>
  <c r="J12" i="3"/>
  <c r="I12" i="3"/>
  <c r="H12" i="3"/>
  <c r="G12" i="3"/>
  <c r="F12" i="3"/>
  <c r="E12" i="3"/>
  <c r="D12" i="3"/>
  <c r="C12" i="3"/>
  <c r="B12" i="3"/>
  <c r="A12" i="3"/>
  <c r="AB11" i="3"/>
  <c r="AA11" i="3"/>
  <c r="Z11" i="3"/>
  <c r="Y11" i="3"/>
  <c r="X11" i="3"/>
  <c r="W11" i="3"/>
  <c r="V11" i="3"/>
  <c r="U11" i="3"/>
  <c r="T11" i="3"/>
  <c r="S11" i="3"/>
  <c r="R11" i="3"/>
  <c r="Q11" i="3"/>
  <c r="P11" i="3"/>
  <c r="O11" i="3"/>
  <c r="N11" i="3"/>
  <c r="M11" i="3"/>
  <c r="L11" i="3"/>
  <c r="K11" i="3"/>
  <c r="J11" i="3"/>
  <c r="I11" i="3"/>
  <c r="H11" i="3"/>
  <c r="G11" i="3"/>
  <c r="F11" i="3"/>
  <c r="E11" i="3"/>
  <c r="D11" i="3"/>
  <c r="C11" i="3"/>
  <c r="B11" i="3"/>
  <c r="A11" i="3"/>
  <c r="AB10" i="3"/>
  <c r="AA10" i="3"/>
  <c r="Z10" i="3"/>
  <c r="Y10" i="3"/>
  <c r="X10" i="3"/>
  <c r="W10" i="3"/>
  <c r="V10" i="3"/>
  <c r="U10" i="3"/>
  <c r="T10" i="3"/>
  <c r="S10" i="3"/>
  <c r="R10" i="3"/>
  <c r="Q10" i="3"/>
  <c r="P10" i="3"/>
  <c r="O10" i="3"/>
  <c r="N10" i="3"/>
  <c r="M10" i="3"/>
  <c r="L10" i="3"/>
  <c r="K10" i="3"/>
  <c r="J10" i="3"/>
  <c r="I10" i="3"/>
  <c r="H10" i="3"/>
  <c r="G10" i="3"/>
  <c r="F10" i="3"/>
  <c r="E10" i="3"/>
  <c r="D10" i="3"/>
  <c r="C10" i="3"/>
  <c r="B10" i="3"/>
  <c r="A10" i="3"/>
  <c r="AB9" i="3"/>
  <c r="AA9" i="3"/>
  <c r="Z9" i="3"/>
  <c r="Y9" i="3"/>
  <c r="X9" i="3"/>
  <c r="W9" i="3"/>
  <c r="V9" i="3"/>
  <c r="U9" i="3"/>
  <c r="T9" i="3"/>
  <c r="S9" i="3"/>
  <c r="R9" i="3"/>
  <c r="Q9" i="3"/>
  <c r="P9" i="3"/>
  <c r="O9" i="3"/>
  <c r="N9" i="3"/>
  <c r="M9" i="3"/>
  <c r="L9" i="3"/>
  <c r="K9" i="3"/>
  <c r="J9" i="3"/>
  <c r="I9" i="3"/>
  <c r="H9" i="3"/>
  <c r="G9" i="3"/>
  <c r="F9" i="3"/>
  <c r="E9" i="3"/>
  <c r="D9" i="3"/>
  <c r="C9" i="3"/>
  <c r="B9" i="3"/>
  <c r="A9" i="3"/>
  <c r="AB8" i="3"/>
  <c r="AA8" i="3"/>
  <c r="Z8" i="3"/>
  <c r="Y8" i="3"/>
  <c r="X8" i="3"/>
  <c r="W8" i="3"/>
  <c r="V8" i="3"/>
  <c r="U8" i="3"/>
  <c r="T8" i="3"/>
  <c r="S8" i="3"/>
  <c r="R8" i="3"/>
  <c r="Q8" i="3"/>
  <c r="P8" i="3"/>
  <c r="O8" i="3"/>
  <c r="N8" i="3"/>
  <c r="M8" i="3"/>
  <c r="L8" i="3"/>
  <c r="K8" i="3"/>
  <c r="J8" i="3"/>
  <c r="I8" i="3"/>
  <c r="H8" i="3"/>
  <c r="G8" i="3"/>
  <c r="F8" i="3"/>
  <c r="E8" i="3"/>
  <c r="D8" i="3"/>
  <c r="C8" i="3"/>
  <c r="B8" i="3"/>
  <c r="A8" i="3"/>
  <c r="AB7" i="3"/>
  <c r="AA7" i="3"/>
  <c r="Z7" i="3"/>
  <c r="Y7" i="3"/>
  <c r="X7" i="3"/>
  <c r="W7" i="3"/>
  <c r="V7" i="3"/>
  <c r="U7" i="3"/>
  <c r="T7" i="3"/>
  <c r="S7" i="3"/>
  <c r="R7" i="3"/>
  <c r="Q7" i="3"/>
  <c r="P7" i="3"/>
  <c r="O7" i="3"/>
  <c r="N7" i="3"/>
  <c r="M7" i="3"/>
  <c r="L7" i="3"/>
  <c r="K7" i="3"/>
  <c r="J7" i="3"/>
  <c r="I7" i="3"/>
  <c r="H7" i="3"/>
  <c r="G7" i="3"/>
  <c r="F7" i="3"/>
  <c r="E7" i="3"/>
  <c r="D7" i="3"/>
  <c r="C7" i="3"/>
  <c r="B7" i="3"/>
  <c r="A7" i="3"/>
  <c r="AB6" i="3"/>
  <c r="AA6" i="3"/>
  <c r="Z6" i="3"/>
  <c r="Y6" i="3"/>
  <c r="X6" i="3"/>
  <c r="W6" i="3"/>
  <c r="V6" i="3"/>
  <c r="U6" i="3"/>
  <c r="T6" i="3"/>
  <c r="S6" i="3"/>
  <c r="R6" i="3"/>
  <c r="Q6" i="3"/>
  <c r="P6" i="3"/>
  <c r="O6" i="3"/>
  <c r="N6" i="3"/>
  <c r="M6" i="3"/>
  <c r="L6" i="3"/>
  <c r="K6" i="3"/>
  <c r="J6" i="3"/>
  <c r="I6" i="3"/>
  <c r="H6" i="3"/>
  <c r="G6" i="3"/>
  <c r="F6" i="3"/>
  <c r="E6" i="3"/>
  <c r="D6" i="3"/>
  <c r="C6" i="3"/>
  <c r="B6" i="3"/>
  <c r="A6" i="3"/>
  <c r="AB5" i="3"/>
  <c r="AA5" i="3"/>
  <c r="Z5" i="3"/>
  <c r="Y5" i="3"/>
  <c r="X5" i="3"/>
  <c r="W5" i="3"/>
  <c r="V5" i="3"/>
  <c r="U5" i="3"/>
  <c r="T5" i="3"/>
  <c r="S5" i="3"/>
  <c r="R5" i="3"/>
  <c r="Q5" i="3"/>
  <c r="P5" i="3"/>
  <c r="O5" i="3"/>
  <c r="N5" i="3"/>
  <c r="M5" i="3"/>
  <c r="L5" i="3"/>
  <c r="K5" i="3"/>
  <c r="J5" i="3"/>
  <c r="I5" i="3"/>
  <c r="H5" i="3"/>
  <c r="G5" i="3"/>
  <c r="F5" i="3"/>
  <c r="E5" i="3"/>
  <c r="D5" i="3"/>
  <c r="C5" i="3"/>
  <c r="B5" i="3"/>
  <c r="A5" i="3"/>
  <c r="AB4" i="3"/>
  <c r="AA4" i="3"/>
  <c r="Z4" i="3"/>
  <c r="Y4" i="3"/>
  <c r="X4" i="3"/>
  <c r="W4" i="3"/>
  <c r="V4" i="3"/>
  <c r="U4" i="3"/>
  <c r="T4" i="3"/>
  <c r="S4" i="3"/>
  <c r="R4" i="3"/>
  <c r="Q4" i="3"/>
  <c r="P4" i="3"/>
  <c r="O4" i="3"/>
  <c r="N4" i="3"/>
  <c r="M4" i="3"/>
  <c r="L4" i="3"/>
  <c r="K4" i="3"/>
  <c r="J4" i="3"/>
  <c r="I4" i="3"/>
  <c r="H4" i="3"/>
  <c r="G4" i="3"/>
  <c r="F4" i="3"/>
  <c r="E4" i="3"/>
  <c r="D4" i="3"/>
  <c r="C4" i="3"/>
  <c r="B4" i="3"/>
  <c r="A4" i="3"/>
  <c r="AB3" i="3"/>
  <c r="AA3" i="3"/>
  <c r="Z3" i="3"/>
  <c r="Y3" i="3"/>
  <c r="X3" i="3"/>
  <c r="W3" i="3"/>
  <c r="V3" i="3"/>
  <c r="U3" i="3"/>
  <c r="T3" i="3"/>
  <c r="S3" i="3"/>
  <c r="R3" i="3"/>
  <c r="Q3" i="3"/>
  <c r="P3" i="3"/>
  <c r="O3" i="3"/>
  <c r="N3" i="3"/>
  <c r="M3" i="3"/>
  <c r="L3" i="3"/>
  <c r="K3" i="3"/>
  <c r="J3" i="3"/>
  <c r="I3" i="3"/>
  <c r="H3" i="3"/>
  <c r="G3" i="3"/>
  <c r="F3" i="3"/>
  <c r="E3" i="3"/>
  <c r="D3" i="3"/>
  <c r="C3" i="3"/>
  <c r="B3" i="3"/>
  <c r="A3" i="3"/>
  <c r="B45" i="1"/>
  <c r="AB41" i="1"/>
  <c r="AA41" i="1"/>
  <c r="Z41" i="1"/>
  <c r="Y41" i="1"/>
  <c r="X41" i="1"/>
  <c r="W41" i="1"/>
  <c r="V41" i="1"/>
  <c r="U41" i="1"/>
  <c r="T41" i="1"/>
  <c r="S41" i="1"/>
  <c r="R41" i="1"/>
  <c r="Q41" i="1"/>
  <c r="P41" i="1"/>
  <c r="O41" i="1"/>
  <c r="N41" i="1"/>
  <c r="M41" i="1"/>
  <c r="L41" i="1"/>
  <c r="K41" i="1"/>
  <c r="J41" i="1"/>
  <c r="I41" i="1"/>
  <c r="AB40" i="1"/>
  <c r="AA40" i="1"/>
  <c r="Z40" i="1"/>
  <c r="Y40" i="1"/>
  <c r="X40" i="1"/>
  <c r="W40" i="1"/>
  <c r="V40" i="1"/>
  <c r="U40" i="1"/>
  <c r="T40" i="1"/>
  <c r="S40" i="1"/>
  <c r="R40" i="1"/>
  <c r="Q40" i="1"/>
  <c r="P40" i="1"/>
  <c r="O40" i="1"/>
  <c r="N40" i="1"/>
  <c r="M40" i="1"/>
  <c r="L40" i="1"/>
  <c r="K40" i="1"/>
  <c r="J40" i="1"/>
  <c r="I40" i="1"/>
  <c r="AB39" i="1"/>
  <c r="AA39" i="1"/>
  <c r="Z39" i="1"/>
  <c r="Y39" i="1"/>
  <c r="X39" i="1"/>
  <c r="W39" i="1"/>
  <c r="V39" i="1"/>
  <c r="U39" i="1"/>
  <c r="T39" i="1"/>
  <c r="S39" i="1"/>
  <c r="R39" i="1"/>
  <c r="Q39" i="1"/>
  <c r="P39" i="1"/>
  <c r="O39" i="1"/>
  <c r="N39" i="1"/>
  <c r="M39" i="1"/>
  <c r="L39" i="1"/>
  <c r="K39" i="1"/>
  <c r="J39" i="1"/>
  <c r="I39" i="1"/>
  <c r="AB38" i="1"/>
  <c r="Z38" i="1"/>
  <c r="X38" i="1"/>
  <c r="V38" i="1"/>
  <c r="T38" i="1"/>
  <c r="R38" i="1"/>
  <c r="P38" i="1"/>
  <c r="N38" i="1"/>
  <c r="L38" i="1"/>
  <c r="J38" i="1"/>
  <c r="AB37" i="1"/>
  <c r="AA37" i="1"/>
  <c r="Z37" i="1"/>
  <c r="Y37" i="1"/>
  <c r="X37" i="1"/>
  <c r="W37" i="1"/>
  <c r="V37" i="1"/>
  <c r="U37" i="1"/>
  <c r="T37" i="1"/>
  <c r="S37" i="1"/>
  <c r="R37" i="1"/>
  <c r="Q37" i="1"/>
  <c r="P37" i="1"/>
  <c r="O37" i="1"/>
  <c r="N37" i="1"/>
  <c r="M37" i="1"/>
  <c r="L37" i="1"/>
  <c r="K37" i="1"/>
  <c r="J37" i="1"/>
  <c r="I37" i="1"/>
  <c r="AB36" i="1"/>
  <c r="AA36" i="1"/>
  <c r="Z36" i="1"/>
  <c r="Y36" i="1"/>
  <c r="X36" i="1"/>
  <c r="W36" i="1"/>
  <c r="V36" i="1"/>
  <c r="U36" i="1"/>
  <c r="T36" i="1"/>
  <c r="S36" i="1"/>
  <c r="R36" i="1"/>
  <c r="Q36" i="1"/>
  <c r="P36" i="1"/>
  <c r="O36" i="1"/>
  <c r="N36" i="1"/>
  <c r="M36" i="1"/>
  <c r="L36" i="1"/>
  <c r="K36" i="1"/>
  <c r="J36" i="1"/>
  <c r="I36" i="1"/>
  <c r="AB35" i="1"/>
  <c r="AA35" i="1"/>
  <c r="Z35" i="1"/>
  <c r="Y35" i="1"/>
  <c r="X35" i="1"/>
  <c r="W35" i="1"/>
  <c r="V35" i="1"/>
  <c r="U35" i="1"/>
  <c r="T35" i="1"/>
  <c r="S35" i="1"/>
  <c r="R35" i="1"/>
  <c r="Q35" i="1"/>
  <c r="P35" i="1"/>
  <c r="O35" i="1"/>
  <c r="N35" i="1"/>
  <c r="M35" i="1"/>
  <c r="L35" i="1"/>
  <c r="K35" i="1"/>
  <c r="J35" i="1"/>
  <c r="I35" i="1"/>
  <c r="AB34" i="1"/>
  <c r="AA34" i="1"/>
  <c r="Z34" i="1"/>
  <c r="Y34" i="1"/>
  <c r="X34" i="1"/>
  <c r="W34" i="1"/>
  <c r="V34" i="1"/>
  <c r="U34" i="1"/>
  <c r="T34" i="1"/>
  <c r="S34" i="1"/>
  <c r="R34" i="1"/>
  <c r="Q34" i="1"/>
  <c r="P34" i="1"/>
  <c r="O34" i="1"/>
  <c r="N34" i="1"/>
  <c r="M34" i="1"/>
  <c r="L34" i="1"/>
  <c r="K34" i="1"/>
  <c r="J34" i="1"/>
  <c r="I34" i="1"/>
  <c r="AB33" i="1"/>
  <c r="AA33" i="1"/>
  <c r="Z33" i="1"/>
  <c r="Y33" i="1"/>
  <c r="X33" i="1"/>
  <c r="W33" i="1"/>
  <c r="V33" i="1"/>
  <c r="U33" i="1"/>
  <c r="T33" i="1"/>
  <c r="S33" i="1"/>
  <c r="R33" i="1"/>
  <c r="Q33" i="1"/>
  <c r="P33" i="1"/>
  <c r="O33" i="1"/>
  <c r="N33" i="1"/>
  <c r="M33" i="1"/>
  <c r="L33" i="1"/>
  <c r="K33" i="1"/>
  <c r="J33" i="1"/>
  <c r="I33" i="1"/>
  <c r="AB32" i="1"/>
  <c r="AA32" i="1"/>
  <c r="Z32" i="1"/>
  <c r="Y32" i="1"/>
  <c r="X32" i="1"/>
  <c r="W32" i="1"/>
  <c r="V32" i="1"/>
  <c r="U32" i="1"/>
  <c r="T32" i="1"/>
  <c r="S32" i="1"/>
  <c r="R32" i="1"/>
  <c r="Q32" i="1"/>
  <c r="P32" i="1"/>
  <c r="O32" i="1"/>
  <c r="N32" i="1"/>
  <c r="M32" i="1"/>
  <c r="L32" i="1"/>
  <c r="K32" i="1"/>
  <c r="J32" i="1"/>
  <c r="I32" i="1"/>
  <c r="AB31" i="1"/>
  <c r="AA31" i="1"/>
  <c r="Z31" i="1"/>
  <c r="Y31" i="1"/>
  <c r="X31" i="1"/>
  <c r="W31" i="1"/>
  <c r="V31" i="1"/>
  <c r="U31" i="1"/>
  <c r="T31" i="1"/>
  <c r="S31" i="1"/>
  <c r="R31" i="1"/>
  <c r="Q31" i="1"/>
  <c r="P31" i="1"/>
  <c r="O31" i="1"/>
  <c r="N31" i="1"/>
  <c r="M31" i="1"/>
  <c r="L31" i="1"/>
  <c r="K31" i="1"/>
  <c r="J31" i="1"/>
  <c r="I31" i="1"/>
  <c r="AB30" i="1"/>
  <c r="AA30" i="1"/>
  <c r="Z30" i="1"/>
  <c r="Y30" i="1"/>
  <c r="X30" i="1"/>
  <c r="W30" i="1"/>
  <c r="V30" i="1"/>
  <c r="U30" i="1"/>
  <c r="T30" i="1"/>
  <c r="S30" i="1"/>
  <c r="R30" i="1"/>
  <c r="Q30" i="1"/>
  <c r="P30" i="1"/>
  <c r="O30" i="1"/>
  <c r="N30" i="1"/>
  <c r="M30" i="1"/>
  <c r="L30" i="1"/>
  <c r="K30" i="1"/>
  <c r="J30" i="1"/>
  <c r="I30" i="1"/>
  <c r="AB29" i="1"/>
  <c r="AA29" i="1"/>
  <c r="Z29" i="1"/>
  <c r="Y29" i="1"/>
  <c r="X29" i="1"/>
  <c r="W29" i="1"/>
  <c r="V29" i="1"/>
  <c r="U29" i="1"/>
  <c r="T29" i="1"/>
  <c r="S29" i="1"/>
  <c r="R29" i="1"/>
  <c r="Q29" i="1"/>
  <c r="P29" i="1"/>
  <c r="O29" i="1"/>
  <c r="N29" i="1"/>
  <c r="M29" i="1"/>
  <c r="L29" i="1"/>
  <c r="K29" i="1"/>
  <c r="J29" i="1"/>
  <c r="I29" i="1"/>
  <c r="AB28" i="1"/>
  <c r="AA28" i="1"/>
  <c r="Z28" i="1"/>
  <c r="Y28" i="1"/>
  <c r="X28" i="1"/>
  <c r="W28" i="1"/>
  <c r="V28" i="1"/>
  <c r="U28" i="1"/>
  <c r="T28" i="1"/>
  <c r="S28" i="1"/>
  <c r="R28" i="1"/>
  <c r="Q28" i="1"/>
  <c r="P28" i="1"/>
  <c r="O28" i="1"/>
  <c r="N28" i="1"/>
  <c r="M28" i="1"/>
  <c r="L28" i="1"/>
  <c r="K28" i="1"/>
  <c r="J28" i="1"/>
  <c r="I28" i="1"/>
  <c r="AB27" i="1"/>
  <c r="AA27" i="1"/>
  <c r="Z27" i="1"/>
  <c r="Y27" i="1"/>
  <c r="X27" i="1"/>
  <c r="W27" i="1"/>
  <c r="V27" i="1"/>
  <c r="U27" i="1"/>
  <c r="T27" i="1"/>
  <c r="S27" i="1"/>
  <c r="R27" i="1"/>
  <c r="Q27" i="1"/>
  <c r="P27" i="1"/>
  <c r="O27" i="1"/>
  <c r="N27" i="1"/>
  <c r="M27" i="1"/>
  <c r="L27" i="1"/>
  <c r="K27" i="1"/>
  <c r="J27" i="1"/>
  <c r="I27" i="1"/>
  <c r="AB26" i="1"/>
  <c r="AA26" i="1"/>
  <c r="Z26" i="1"/>
  <c r="Y26" i="1"/>
  <c r="X26" i="1"/>
  <c r="W26" i="1"/>
  <c r="V26" i="1"/>
  <c r="U26" i="1"/>
  <c r="T26" i="1"/>
  <c r="S26" i="1"/>
  <c r="R26" i="1"/>
  <c r="Q26" i="1"/>
  <c r="P26" i="1"/>
  <c r="O26" i="1"/>
  <c r="N26" i="1"/>
  <c r="M26" i="1"/>
  <c r="L26" i="1"/>
  <c r="K26" i="1"/>
  <c r="J26" i="1"/>
  <c r="I26" i="1"/>
  <c r="AB25" i="1"/>
  <c r="AA25" i="1"/>
  <c r="Z25" i="1"/>
  <c r="Y25" i="1"/>
  <c r="X25" i="1"/>
  <c r="W25" i="1"/>
  <c r="V25" i="1"/>
  <c r="U25" i="1"/>
  <c r="T25" i="1"/>
  <c r="S25" i="1"/>
  <c r="R25" i="1"/>
  <c r="Q25" i="1"/>
  <c r="P25" i="1"/>
  <c r="O25" i="1"/>
  <c r="N25" i="1"/>
  <c r="M25" i="1"/>
  <c r="L25" i="1"/>
  <c r="K25" i="1"/>
  <c r="J25" i="1"/>
  <c r="I25" i="1"/>
  <c r="AB24" i="1"/>
  <c r="AA24" i="1"/>
  <c r="Z24" i="1"/>
  <c r="Y24" i="1"/>
  <c r="X24" i="1"/>
  <c r="W24" i="1"/>
  <c r="V24" i="1"/>
  <c r="U24" i="1"/>
  <c r="T24" i="1"/>
  <c r="S24" i="1"/>
  <c r="R24" i="1"/>
  <c r="Q24" i="1"/>
  <c r="P24" i="1"/>
  <c r="O24" i="1"/>
  <c r="N24" i="1"/>
  <c r="M24" i="1"/>
  <c r="L24" i="1"/>
  <c r="K24" i="1"/>
  <c r="J24" i="1"/>
  <c r="I24" i="1"/>
  <c r="AB23" i="1"/>
  <c r="AA23" i="1"/>
  <c r="Z23" i="1"/>
  <c r="Y23" i="1"/>
  <c r="X23" i="1"/>
  <c r="W23" i="1"/>
  <c r="V23" i="1"/>
  <c r="U23" i="1"/>
  <c r="T23" i="1"/>
  <c r="S23" i="1"/>
  <c r="R23" i="1"/>
  <c r="Q23" i="1"/>
  <c r="P23" i="1"/>
  <c r="O23" i="1"/>
  <c r="N23" i="1"/>
  <c r="M23" i="1"/>
  <c r="L23" i="1"/>
  <c r="K23" i="1"/>
  <c r="J23" i="1"/>
  <c r="I23" i="1"/>
  <c r="AB22" i="1"/>
  <c r="AA22" i="1"/>
  <c r="Z22" i="1"/>
  <c r="Y22" i="1"/>
  <c r="X22" i="1"/>
  <c r="W22" i="1"/>
  <c r="V22" i="1"/>
  <c r="U22" i="1"/>
  <c r="T22" i="1"/>
  <c r="S22" i="1"/>
  <c r="R22" i="1"/>
  <c r="Q22" i="1"/>
  <c r="P22" i="1"/>
  <c r="O22" i="1"/>
  <c r="N22" i="1"/>
  <c r="M22" i="1"/>
  <c r="L22" i="1"/>
  <c r="K22" i="1"/>
  <c r="J22" i="1"/>
  <c r="I22" i="1"/>
  <c r="AB21" i="1"/>
  <c r="AA21" i="1"/>
  <c r="Z21" i="1"/>
  <c r="Y21" i="1"/>
  <c r="X21" i="1"/>
  <c r="W21" i="1"/>
  <c r="V21" i="1"/>
  <c r="U21" i="1"/>
  <c r="T21" i="1"/>
  <c r="S21" i="1"/>
  <c r="R21" i="1"/>
  <c r="Q21" i="1"/>
  <c r="P21" i="1"/>
  <c r="O21" i="1"/>
  <c r="N21" i="1"/>
  <c r="M21" i="1"/>
  <c r="L21" i="1"/>
  <c r="K21" i="1"/>
  <c r="J21" i="1"/>
  <c r="I21" i="1"/>
  <c r="AB20" i="1"/>
  <c r="AA20" i="1"/>
  <c r="Z20" i="1"/>
  <c r="Y20" i="1"/>
  <c r="X20" i="1"/>
  <c r="W20" i="1"/>
  <c r="V20" i="1"/>
  <c r="U20" i="1"/>
  <c r="T20" i="1"/>
  <c r="S20" i="1"/>
  <c r="R20" i="1"/>
  <c r="Q20" i="1"/>
  <c r="P20" i="1"/>
  <c r="O20" i="1"/>
  <c r="N20" i="1"/>
  <c r="M20" i="1"/>
  <c r="L20" i="1"/>
  <c r="K20" i="1"/>
  <c r="J20" i="1"/>
  <c r="I20" i="1"/>
  <c r="AB19" i="1"/>
  <c r="AA19" i="1"/>
  <c r="Z19" i="1"/>
  <c r="Y19" i="1"/>
  <c r="X19" i="1"/>
  <c r="W19" i="1"/>
  <c r="V19" i="1"/>
  <c r="U19" i="1"/>
  <c r="T19" i="1"/>
  <c r="S19" i="1"/>
  <c r="R19" i="1"/>
  <c r="Q19" i="1"/>
  <c r="P19" i="1"/>
  <c r="O19" i="1"/>
  <c r="N19" i="1"/>
  <c r="M19" i="1"/>
  <c r="L19" i="1"/>
  <c r="K19" i="1"/>
  <c r="J19" i="1"/>
  <c r="I19" i="1"/>
  <c r="AB18" i="1"/>
  <c r="AA18" i="1"/>
  <c r="Z18" i="1"/>
  <c r="Y18" i="1"/>
  <c r="X18" i="1"/>
  <c r="W18" i="1"/>
  <c r="V18" i="1"/>
  <c r="U18" i="1"/>
  <c r="T18" i="1"/>
  <c r="S18" i="1"/>
  <c r="R18" i="1"/>
  <c r="Q18" i="1"/>
  <c r="P18" i="1"/>
  <c r="O18" i="1"/>
  <c r="N18" i="1"/>
  <c r="M18" i="1"/>
  <c r="L18" i="1"/>
  <c r="K18" i="1"/>
  <c r="J18" i="1"/>
  <c r="I18" i="1"/>
  <c r="AB17" i="1"/>
  <c r="AA17" i="1"/>
  <c r="Z17" i="1"/>
  <c r="Y17" i="1"/>
  <c r="X17" i="1"/>
  <c r="W17" i="1"/>
  <c r="V17" i="1"/>
  <c r="U17" i="1"/>
  <c r="T17" i="1"/>
  <c r="S17" i="1"/>
  <c r="R17" i="1"/>
  <c r="Q17" i="1"/>
  <c r="P17" i="1"/>
  <c r="O17" i="1"/>
  <c r="N17" i="1"/>
  <c r="M17" i="1"/>
  <c r="L17" i="1"/>
  <c r="K17" i="1"/>
  <c r="J17" i="1"/>
  <c r="I17" i="1"/>
  <c r="AB16" i="1"/>
  <c r="AA16" i="1"/>
  <c r="Z16" i="1"/>
  <c r="Y16" i="1"/>
  <c r="X16" i="1"/>
  <c r="W16" i="1"/>
  <c r="V16" i="1"/>
  <c r="U16" i="1"/>
  <c r="T16" i="1"/>
  <c r="S16" i="1"/>
  <c r="R16" i="1"/>
  <c r="Q16" i="1"/>
  <c r="P16" i="1"/>
  <c r="O16" i="1"/>
  <c r="N16" i="1"/>
  <c r="M16" i="1"/>
  <c r="L16" i="1"/>
  <c r="K16" i="1"/>
  <c r="J16" i="1"/>
  <c r="I16" i="1"/>
  <c r="AB15" i="1"/>
  <c r="AA15" i="1"/>
  <c r="Z15" i="1"/>
  <c r="Y15" i="1"/>
  <c r="X15" i="1"/>
  <c r="W15" i="1"/>
  <c r="V15" i="1"/>
  <c r="U15" i="1"/>
  <c r="T15" i="1"/>
  <c r="S15" i="1"/>
  <c r="R15" i="1"/>
  <c r="Q15" i="1"/>
  <c r="P15" i="1"/>
  <c r="O15" i="1"/>
  <c r="N15" i="1"/>
  <c r="M15" i="1"/>
  <c r="L15" i="1"/>
  <c r="K15" i="1"/>
  <c r="J15" i="1"/>
  <c r="I15" i="1"/>
  <c r="AB14" i="1"/>
  <c r="AA14" i="1"/>
  <c r="Z14" i="1"/>
  <c r="Y14" i="1"/>
  <c r="X14" i="1"/>
  <c r="W14" i="1"/>
  <c r="V14" i="1"/>
  <c r="U14" i="1"/>
  <c r="T14" i="1"/>
  <c r="S14" i="1"/>
  <c r="R14" i="1"/>
  <c r="Q14" i="1"/>
  <c r="P14" i="1"/>
  <c r="O14" i="1"/>
  <c r="N14" i="1"/>
  <c r="M14" i="1"/>
  <c r="L14" i="1"/>
  <c r="K14" i="1"/>
  <c r="J14" i="1"/>
  <c r="I14" i="1"/>
  <c r="AB13" i="1"/>
  <c r="AA13" i="1"/>
  <c r="Z13" i="1"/>
  <c r="Y13" i="1"/>
  <c r="X13" i="1"/>
  <c r="W13" i="1"/>
  <c r="V13" i="1"/>
  <c r="U13" i="1"/>
  <c r="T13" i="1"/>
  <c r="S13" i="1"/>
  <c r="R13" i="1"/>
  <c r="Q13" i="1"/>
  <c r="P13" i="1"/>
  <c r="O13" i="1"/>
  <c r="N13" i="1"/>
  <c r="M13" i="1"/>
  <c r="L13" i="1"/>
  <c r="K13" i="1"/>
  <c r="J13" i="1"/>
  <c r="I13" i="1"/>
  <c r="AB12" i="1"/>
  <c r="AA12" i="1"/>
  <c r="Z12" i="1"/>
  <c r="Y12" i="1"/>
  <c r="X12" i="1"/>
  <c r="W12" i="1"/>
  <c r="V12" i="1"/>
  <c r="U12" i="1"/>
  <c r="T12" i="1"/>
  <c r="S12" i="1"/>
  <c r="R12" i="1"/>
  <c r="Q12" i="1"/>
  <c r="P12" i="1"/>
  <c r="O12" i="1"/>
  <c r="N12" i="1"/>
  <c r="M12" i="1"/>
  <c r="L12" i="1"/>
  <c r="K12" i="1"/>
  <c r="J12" i="1"/>
  <c r="I12" i="1"/>
  <c r="AA11" i="1"/>
  <c r="Y11" i="1"/>
  <c r="W11" i="1"/>
  <c r="U11" i="1"/>
  <c r="S11" i="1"/>
  <c r="Q11" i="1"/>
  <c r="O11" i="1"/>
  <c r="M11" i="1"/>
  <c r="K11" i="1"/>
  <c r="I11" i="1"/>
  <c r="AB10" i="1"/>
  <c r="AA10" i="1"/>
  <c r="Z10" i="1"/>
  <c r="Y10" i="1"/>
  <c r="X10" i="1"/>
  <c r="W10" i="1"/>
  <c r="V10" i="1"/>
  <c r="U10" i="1"/>
  <c r="T10" i="1"/>
  <c r="S10" i="1"/>
  <c r="R10" i="1"/>
  <c r="Q10" i="1"/>
  <c r="P10" i="1"/>
  <c r="O10" i="1"/>
  <c r="N10" i="1"/>
  <c r="M10" i="1"/>
  <c r="L10" i="1"/>
  <c r="K10" i="1"/>
  <c r="J10" i="1"/>
  <c r="I10" i="1"/>
  <c r="AB9" i="1"/>
  <c r="AA9" i="1"/>
  <c r="Z9" i="1"/>
  <c r="Y9" i="1"/>
  <c r="X9" i="1"/>
  <c r="W9" i="1"/>
  <c r="V9" i="1"/>
  <c r="U9" i="1"/>
  <c r="T9" i="1"/>
  <c r="S9" i="1"/>
  <c r="R9" i="1"/>
  <c r="Q9" i="1"/>
  <c r="P9" i="1"/>
  <c r="O9" i="1"/>
  <c r="N9" i="1"/>
  <c r="M9" i="1"/>
  <c r="L9" i="1"/>
  <c r="K9" i="1"/>
  <c r="J9" i="1"/>
  <c r="I9" i="1"/>
  <c r="AB8" i="1"/>
  <c r="AA8" i="1"/>
  <c r="Z8" i="1"/>
  <c r="Y8" i="1"/>
  <c r="X8" i="1"/>
  <c r="W8" i="1"/>
  <c r="V8" i="1"/>
  <c r="U8" i="1"/>
  <c r="T8" i="1"/>
  <c r="S8" i="1"/>
  <c r="R8" i="1"/>
  <c r="Q8" i="1"/>
  <c r="P8" i="1"/>
  <c r="O8" i="1"/>
  <c r="N8" i="1"/>
  <c r="M8" i="1"/>
  <c r="L8" i="1"/>
  <c r="K8" i="1"/>
  <c r="J8" i="1"/>
  <c r="I8" i="1"/>
  <c r="AB7" i="1"/>
  <c r="AA7" i="1"/>
  <c r="Z7" i="1"/>
  <c r="Y7" i="1"/>
  <c r="X7" i="1"/>
  <c r="W7" i="1"/>
  <c r="V7" i="1"/>
  <c r="U7" i="1"/>
  <c r="T7" i="1"/>
  <c r="S7" i="1"/>
  <c r="R7" i="1"/>
  <c r="Q7" i="1"/>
  <c r="P7" i="1"/>
  <c r="O7" i="1"/>
  <c r="N7" i="1"/>
  <c r="M7" i="1"/>
  <c r="L7" i="1"/>
  <c r="K7" i="1"/>
  <c r="J7" i="1"/>
  <c r="I7" i="1"/>
  <c r="AB6" i="1"/>
  <c r="AA6" i="1"/>
  <c r="Z6" i="1"/>
  <c r="Y6" i="1"/>
  <c r="X6" i="1"/>
  <c r="W6" i="1"/>
  <c r="V6" i="1"/>
  <c r="U6" i="1"/>
  <c r="T6" i="1"/>
  <c r="S6" i="1"/>
  <c r="R6" i="1"/>
  <c r="Q6" i="1"/>
  <c r="P6" i="1"/>
  <c r="O6" i="1"/>
  <c r="N6" i="1"/>
  <c r="M6" i="1"/>
  <c r="L6" i="1"/>
  <c r="K6" i="1"/>
  <c r="J6" i="1"/>
  <c r="I6" i="1"/>
  <c r="AB5" i="1"/>
  <c r="AA5" i="1"/>
  <c r="Z5" i="1"/>
  <c r="Y5" i="1"/>
  <c r="X5" i="1"/>
  <c r="W5" i="1"/>
  <c r="V5" i="1"/>
  <c r="U5" i="1"/>
  <c r="T5" i="1"/>
  <c r="S5" i="1"/>
  <c r="R5" i="1"/>
  <c r="Q5" i="1"/>
  <c r="P5" i="1"/>
  <c r="O5" i="1"/>
  <c r="N5" i="1"/>
  <c r="M5" i="1"/>
  <c r="L5" i="1"/>
  <c r="K5" i="1"/>
  <c r="J5" i="1"/>
  <c r="I5" i="1"/>
  <c r="AB4" i="1"/>
  <c r="AA4" i="1"/>
  <c r="Z4" i="1"/>
  <c r="Y4" i="1"/>
  <c r="X4" i="1"/>
  <c r="W4" i="1"/>
  <c r="V4" i="1"/>
  <c r="U4" i="1"/>
  <c r="T4" i="1"/>
  <c r="S4" i="1"/>
  <c r="R4" i="1"/>
  <c r="Q4" i="1"/>
  <c r="P4" i="1"/>
  <c r="O4" i="1"/>
  <c r="N4" i="1"/>
  <c r="M4" i="1"/>
  <c r="L4" i="1"/>
  <c r="K4" i="1"/>
  <c r="J4" i="1"/>
  <c r="I4" i="1"/>
  <c r="AB3" i="1"/>
  <c r="AA3" i="1"/>
  <c r="Z3" i="1"/>
  <c r="Y3" i="1"/>
  <c r="X3" i="1"/>
  <c r="W3" i="1"/>
  <c r="V3" i="1"/>
  <c r="U3" i="1"/>
  <c r="T3" i="1"/>
  <c r="S3" i="1"/>
  <c r="R3" i="1"/>
  <c r="Q3" i="1"/>
  <c r="P3" i="1"/>
  <c r="O3" i="1"/>
  <c r="N3" i="1"/>
  <c r="M3" i="1"/>
  <c r="L3" i="1"/>
  <c r="K3" i="1"/>
  <c r="J3" i="1"/>
  <c r="I3" i="1"/>
  <c r="J4" i="4" l="1"/>
  <c r="R4" i="4"/>
  <c r="H6" i="4"/>
  <c r="E8" i="4"/>
  <c r="N8" i="4"/>
  <c r="D10" i="4"/>
  <c r="K10" i="4"/>
  <c r="S10" i="4"/>
  <c r="I12" i="4"/>
  <c r="G30" i="4"/>
  <c r="P30" i="4"/>
  <c r="E32" i="4"/>
  <c r="K34" i="4"/>
  <c r="A10" i="4"/>
  <c r="M16" i="4"/>
  <c r="D18" i="4"/>
  <c r="R20" i="4"/>
  <c r="H22" i="4"/>
  <c r="I28" i="4"/>
  <c r="M175" i="8"/>
  <c r="L9" i="6"/>
  <c r="C8" i="6"/>
  <c r="M38" i="4"/>
  <c r="B3" i="4"/>
  <c r="J3" i="4"/>
  <c r="R3" i="4"/>
  <c r="H5" i="4"/>
  <c r="R26" i="4"/>
  <c r="N5" i="4"/>
  <c r="E10" i="4"/>
  <c r="R14" i="4"/>
  <c r="F18" i="4"/>
  <c r="G32" i="4"/>
  <c r="T46" i="1"/>
  <c r="S34" i="4"/>
  <c r="G3" i="4"/>
  <c r="E5" i="4"/>
  <c r="C7" i="4"/>
  <c r="S7" i="4"/>
  <c r="I9" i="4"/>
  <c r="P11" i="4"/>
  <c r="F13" i="4"/>
  <c r="I17" i="4"/>
  <c r="G19" i="4"/>
  <c r="E21" i="4"/>
  <c r="L23" i="4"/>
  <c r="R25" i="4"/>
  <c r="E37" i="4"/>
  <c r="N37" i="4"/>
  <c r="F3" i="4"/>
  <c r="N3" i="4"/>
  <c r="D5" i="4"/>
  <c r="L5" i="4"/>
  <c r="S5" i="4"/>
  <c r="B7" i="4"/>
  <c r="J7" i="4"/>
  <c r="Q7" i="4"/>
  <c r="H9" i="4"/>
  <c r="O9" i="4"/>
  <c r="F11" i="4"/>
  <c r="M11" i="4"/>
  <c r="D13" i="4"/>
  <c r="L13" i="4"/>
  <c r="T13" i="4"/>
  <c r="B15" i="4"/>
  <c r="J15" i="4"/>
  <c r="H17" i="4"/>
  <c r="O17" i="4"/>
  <c r="N19" i="4"/>
  <c r="T21" i="4"/>
  <c r="H25" i="4"/>
  <c r="P25" i="4"/>
  <c r="E27" i="4"/>
  <c r="M27" i="4"/>
  <c r="A31" i="4"/>
  <c r="J31" i="4"/>
  <c r="Q31" i="4"/>
  <c r="S32" i="4"/>
  <c r="A34" i="4"/>
  <c r="J34" i="4"/>
  <c r="F35" i="4"/>
  <c r="M35" i="4"/>
  <c r="P36" i="4"/>
  <c r="D37" i="4"/>
  <c r="E38" i="4"/>
  <c r="N38" i="4"/>
  <c r="J39" i="4"/>
  <c r="Q39" i="4"/>
  <c r="R7" i="4"/>
  <c r="B36" i="4"/>
  <c r="C37" i="4"/>
  <c r="M32" i="4"/>
  <c r="O11" i="4"/>
  <c r="L4" i="4"/>
  <c r="J6" i="4"/>
  <c r="K12" i="4"/>
  <c r="H16" i="4"/>
  <c r="Q17" i="4"/>
  <c r="P19" i="4"/>
  <c r="I22" i="4"/>
  <c r="G24" i="4"/>
  <c r="P24" i="4"/>
  <c r="R30" i="4"/>
  <c r="M34" i="4"/>
  <c r="G35" i="4"/>
  <c r="J38" i="4"/>
  <c r="P5" i="4"/>
  <c r="F7" i="4"/>
  <c r="D9" i="4"/>
  <c r="L9" i="4"/>
  <c r="T9" i="4"/>
  <c r="B11" i="4"/>
  <c r="P13" i="4"/>
  <c r="F15" i="4"/>
  <c r="N15" i="4"/>
  <c r="D17" i="4"/>
  <c r="L17" i="4"/>
  <c r="B19" i="4"/>
  <c r="J19" i="4"/>
  <c r="G21" i="4"/>
  <c r="P21" i="4"/>
  <c r="F23" i="4"/>
  <c r="M23" i="4"/>
  <c r="S25" i="4"/>
  <c r="J27" i="4"/>
  <c r="H29" i="4"/>
  <c r="P29" i="4"/>
  <c r="E31" i="4"/>
  <c r="M31" i="4"/>
  <c r="L33" i="4"/>
  <c r="T33" i="4"/>
  <c r="A35" i="4"/>
  <c r="I35" i="4"/>
  <c r="Q35" i="4"/>
  <c r="P37" i="4"/>
  <c r="E39" i="4"/>
  <c r="N39" i="4"/>
  <c r="E3" i="4"/>
  <c r="H3" i="4"/>
  <c r="A5" i="4"/>
  <c r="L6" i="4"/>
  <c r="J8" i="4"/>
  <c r="E9" i="4"/>
  <c r="N12" i="4"/>
  <c r="D14" i="4"/>
  <c r="L14" i="4"/>
  <c r="F17" i="4"/>
  <c r="H18" i="4"/>
  <c r="P18" i="4"/>
  <c r="F20" i="4"/>
  <c r="K22" i="4"/>
  <c r="G23" i="4"/>
  <c r="B24" i="4"/>
  <c r="G26" i="4"/>
  <c r="E28" i="4"/>
  <c r="I29" i="4"/>
  <c r="C30" i="4"/>
  <c r="B32" i="4"/>
  <c r="J32" i="4"/>
  <c r="F33" i="4"/>
  <c r="G34" i="4"/>
  <c r="F36" i="4"/>
  <c r="N36" i="4"/>
  <c r="C38" i="4"/>
  <c r="C5" i="4"/>
  <c r="T25" i="4"/>
  <c r="E7" i="4"/>
  <c r="E15" i="4"/>
  <c r="A19" i="4"/>
  <c r="K33" i="4"/>
  <c r="L15" i="6"/>
  <c r="V47" i="1"/>
  <c r="L46" i="1"/>
  <c r="AB46" i="1"/>
  <c r="G47" i="1"/>
  <c r="M15" i="4"/>
  <c r="O37" i="4"/>
  <c r="G4" i="4"/>
  <c r="O4" i="4"/>
  <c r="E6" i="4"/>
  <c r="N6" i="4"/>
  <c r="D8" i="4"/>
  <c r="K8" i="4"/>
  <c r="S8" i="4"/>
  <c r="B10" i="4"/>
  <c r="J10" i="4"/>
  <c r="R10" i="4"/>
  <c r="P12" i="4"/>
  <c r="E14" i="4"/>
  <c r="M14" i="4"/>
  <c r="C16" i="4"/>
  <c r="L16" i="4"/>
  <c r="T16" i="4"/>
  <c r="I18" i="4"/>
  <c r="G20" i="4"/>
  <c r="P20" i="4"/>
  <c r="F22" i="4"/>
  <c r="C24" i="4"/>
  <c r="K24" i="4"/>
  <c r="T24" i="4"/>
  <c r="Q26" i="4"/>
  <c r="H28" i="4"/>
  <c r="O28" i="4"/>
  <c r="I34" i="4"/>
  <c r="O36" i="4"/>
  <c r="Q3" i="4"/>
  <c r="O5" i="4"/>
  <c r="I19" i="4"/>
  <c r="N23" i="4"/>
  <c r="O29" i="4"/>
  <c r="Q10" i="4"/>
  <c r="E13" i="4"/>
  <c r="F8" i="4"/>
  <c r="O14" i="4"/>
  <c r="K4" i="4"/>
  <c r="G17" i="4"/>
  <c r="R35" i="4"/>
  <c r="F39" i="4"/>
  <c r="P3" i="4"/>
  <c r="F5" i="4"/>
  <c r="M5" i="4"/>
  <c r="D15" i="4"/>
  <c r="S15" i="4"/>
  <c r="R17" i="4"/>
  <c r="N21" i="4"/>
  <c r="B33" i="4"/>
  <c r="Q33" i="4"/>
  <c r="A7" i="4"/>
  <c r="G9" i="4"/>
  <c r="A11" i="4"/>
  <c r="O13" i="4"/>
  <c r="H21" i="4"/>
  <c r="O25" i="4"/>
  <c r="M39" i="4"/>
  <c r="N46" i="1"/>
  <c r="D4" i="4"/>
  <c r="T4" i="4"/>
  <c r="B6" i="4"/>
  <c r="I6" i="4"/>
  <c r="R6" i="4"/>
  <c r="H8" i="4"/>
  <c r="P8" i="4"/>
  <c r="F10" i="4"/>
  <c r="M10" i="4"/>
  <c r="C12" i="4"/>
  <c r="L12" i="4"/>
  <c r="T12" i="4"/>
  <c r="Q14" i="4"/>
  <c r="G16" i="4"/>
  <c r="P16" i="4"/>
  <c r="E18" i="4"/>
  <c r="B22" i="4"/>
  <c r="J22" i="4"/>
  <c r="R22" i="4"/>
  <c r="H24" i="4"/>
  <c r="O24" i="4"/>
  <c r="M26" i="4"/>
  <c r="D28" i="4"/>
  <c r="T28" i="4"/>
  <c r="J30" i="4"/>
  <c r="Q30" i="4"/>
  <c r="K31" i="4"/>
  <c r="H32" i="4"/>
  <c r="N34" i="4"/>
  <c r="D36" i="4"/>
  <c r="L36" i="4"/>
  <c r="A38" i="4"/>
  <c r="I38" i="4"/>
  <c r="R38" i="4"/>
  <c r="N11" i="4"/>
  <c r="P14" i="4"/>
  <c r="M21" i="4"/>
  <c r="C36" i="4"/>
  <c r="R39" i="4"/>
  <c r="C7" i="6"/>
  <c r="C13" i="6" s="1"/>
  <c r="D13" i="6" s="1"/>
  <c r="J15" i="5"/>
  <c r="J10" i="5"/>
  <c r="J3" i="5"/>
  <c r="E18" i="5"/>
  <c r="F13" i="5"/>
  <c r="E8" i="5"/>
  <c r="M9" i="4"/>
  <c r="U46" i="1"/>
  <c r="N9" i="4"/>
  <c r="S11" i="4"/>
  <c r="T11" i="4"/>
  <c r="B13" i="4"/>
  <c r="A13" i="4"/>
  <c r="O15" i="4"/>
  <c r="P15" i="4"/>
  <c r="N17" i="4"/>
  <c r="M17" i="4"/>
  <c r="L19" i="4"/>
  <c r="K19" i="4"/>
  <c r="I21" i="4"/>
  <c r="J21" i="4"/>
  <c r="T27" i="4"/>
  <c r="S27" i="4"/>
  <c r="W3" i="4"/>
  <c r="J46" i="1"/>
  <c r="R46" i="1"/>
  <c r="Z46" i="1"/>
  <c r="C45" i="1"/>
  <c r="H47" i="1"/>
  <c r="P47" i="1"/>
  <c r="X47" i="1"/>
  <c r="J29" i="4"/>
  <c r="E33" i="4"/>
  <c r="I3" i="5"/>
  <c r="C11" i="4"/>
  <c r="D11" i="4"/>
  <c r="E19" i="5"/>
  <c r="M5" i="5"/>
  <c r="N47" i="1"/>
  <c r="M7" i="5"/>
  <c r="V46" i="1"/>
  <c r="J5" i="4"/>
  <c r="Q46" i="1"/>
  <c r="I5" i="4"/>
  <c r="Q5" i="4"/>
  <c r="Y46" i="1"/>
  <c r="R5" i="4"/>
  <c r="K11" i="4"/>
  <c r="L11" i="4"/>
  <c r="B21" i="4"/>
  <c r="A21" i="4"/>
  <c r="W7" i="4"/>
  <c r="I10" i="5"/>
  <c r="D3" i="4"/>
  <c r="C3" i="4"/>
  <c r="K46" i="1"/>
  <c r="K47" i="1"/>
  <c r="L3" i="4"/>
  <c r="S46" i="1"/>
  <c r="S47" i="1"/>
  <c r="K3" i="4"/>
  <c r="T3" i="4"/>
  <c r="AA46" i="1"/>
  <c r="AA47" i="1"/>
  <c r="S3" i="4"/>
  <c r="O5" i="5"/>
  <c r="G7" i="4"/>
  <c r="O47" i="1"/>
  <c r="H7" i="4"/>
  <c r="R13" i="4"/>
  <c r="Q13" i="4"/>
  <c r="R21" i="4"/>
  <c r="Q21" i="4"/>
  <c r="H46" i="1"/>
  <c r="P46" i="1"/>
  <c r="X46" i="1"/>
  <c r="M12" i="5"/>
  <c r="P7" i="4"/>
  <c r="O7" i="4"/>
  <c r="W47" i="1"/>
  <c r="H23" i="4"/>
  <c r="H15" i="5"/>
  <c r="F4" i="4"/>
  <c r="N4" i="4"/>
  <c r="D6" i="4"/>
  <c r="T6" i="4"/>
  <c r="M20" i="4"/>
  <c r="E17" i="4"/>
  <c r="E20" i="4"/>
  <c r="O17" i="5"/>
  <c r="B5" i="4"/>
  <c r="I46" i="1"/>
  <c r="F9" i="4"/>
  <c r="M46" i="1"/>
  <c r="J13" i="4"/>
  <c r="I13" i="4"/>
  <c r="H15" i="4"/>
  <c r="G15" i="4"/>
  <c r="C19" i="4"/>
  <c r="D19" i="4"/>
  <c r="T19" i="4"/>
  <c r="S19" i="4"/>
  <c r="T22" i="4"/>
  <c r="S22" i="4"/>
  <c r="P23" i="4"/>
  <c r="O23" i="4"/>
  <c r="F25" i="4"/>
  <c r="E25" i="4"/>
  <c r="N25" i="4"/>
  <c r="M25" i="4"/>
  <c r="P26" i="4"/>
  <c r="O26" i="4"/>
  <c r="D27" i="4"/>
  <c r="C27" i="4"/>
  <c r="L27" i="4"/>
  <c r="K27" i="4"/>
  <c r="A29" i="4"/>
  <c r="B29" i="4"/>
  <c r="Q29" i="4"/>
  <c r="R29" i="4"/>
  <c r="H31" i="4"/>
  <c r="G31" i="4"/>
  <c r="P31" i="4"/>
  <c r="O31" i="4"/>
  <c r="N33" i="4"/>
  <c r="M33" i="4"/>
  <c r="C35" i="4"/>
  <c r="D35" i="4"/>
  <c r="L35" i="4"/>
  <c r="K35" i="4"/>
  <c r="S35" i="4"/>
  <c r="T35" i="4"/>
  <c r="A37" i="4"/>
  <c r="B37" i="4"/>
  <c r="I37" i="4"/>
  <c r="J37" i="4"/>
  <c r="R37" i="4"/>
  <c r="Q37" i="4"/>
  <c r="H39" i="4"/>
  <c r="G39" i="4"/>
  <c r="P39" i="4"/>
  <c r="O39" i="4"/>
  <c r="W13" i="4"/>
  <c r="G46" i="1"/>
  <c r="O46" i="1"/>
  <c r="W46" i="1"/>
  <c r="I47" i="1"/>
  <c r="Q47" i="1"/>
  <c r="Y47" i="1"/>
  <c r="A4" i="4"/>
  <c r="I4" i="4"/>
  <c r="Q4" i="4"/>
  <c r="G6" i="4"/>
  <c r="P6" i="4"/>
  <c r="M8" i="4"/>
  <c r="C10" i="4"/>
  <c r="L10" i="4"/>
  <c r="T10" i="4"/>
  <c r="B12" i="4"/>
  <c r="J12" i="4"/>
  <c r="R12" i="4"/>
  <c r="G14" i="4"/>
  <c r="E16" i="4"/>
  <c r="N16" i="4"/>
  <c r="C18" i="4"/>
  <c r="K18" i="4"/>
  <c r="S18" i="4"/>
  <c r="A20" i="4"/>
  <c r="I20" i="4"/>
  <c r="J20" i="4"/>
  <c r="Q20" i="4"/>
  <c r="G22" i="4"/>
  <c r="O22" i="4"/>
  <c r="P22" i="4"/>
  <c r="E24" i="4"/>
  <c r="M24" i="4"/>
  <c r="N24" i="4"/>
  <c r="C26" i="4"/>
  <c r="L26" i="4"/>
  <c r="K26" i="4"/>
  <c r="S26" i="4"/>
  <c r="T26" i="4"/>
  <c r="B28" i="4"/>
  <c r="A28" i="4"/>
  <c r="J28" i="4"/>
  <c r="Q28" i="4"/>
  <c r="H30" i="4"/>
  <c r="O30" i="4"/>
  <c r="F32" i="4"/>
  <c r="C34" i="4"/>
  <c r="I3" i="4"/>
  <c r="B4" i="4"/>
  <c r="T5" i="4"/>
  <c r="M6" i="4"/>
  <c r="O8" i="4"/>
  <c r="K9" i="4"/>
  <c r="O12" i="4"/>
  <c r="K13" i="4"/>
  <c r="F14" i="4"/>
  <c r="C15" i="4"/>
  <c r="O16" i="4"/>
  <c r="K17" i="4"/>
  <c r="J18" i="4"/>
  <c r="Q22" i="4"/>
  <c r="S24" i="4"/>
  <c r="D26" i="4"/>
  <c r="I27" i="4"/>
  <c r="P28" i="4"/>
  <c r="F31" i="4"/>
  <c r="B35" i="4"/>
  <c r="Q38" i="4"/>
  <c r="H2" i="5"/>
  <c r="H4" i="5"/>
  <c r="I6" i="5"/>
  <c r="M8" i="5"/>
  <c r="F11" i="5"/>
  <c r="N13" i="5"/>
  <c r="H16" i="5"/>
  <c r="K18" i="5"/>
  <c r="Q15" i="4"/>
  <c r="R15" i="4"/>
  <c r="F19" i="4"/>
  <c r="E19" i="4"/>
  <c r="J23" i="4"/>
  <c r="I23" i="4"/>
  <c r="D29" i="4"/>
  <c r="C29" i="4"/>
  <c r="K29" i="4"/>
  <c r="L29" i="4"/>
  <c r="S29" i="4"/>
  <c r="T29" i="4"/>
  <c r="H33" i="4"/>
  <c r="G33" i="4"/>
  <c r="P33" i="4"/>
  <c r="O33" i="4"/>
  <c r="K37" i="4"/>
  <c r="L37" i="4"/>
  <c r="S37" i="4"/>
  <c r="T37" i="4"/>
  <c r="B39" i="4"/>
  <c r="A39" i="4"/>
  <c r="A15" i="4"/>
  <c r="H20" i="4"/>
  <c r="F27" i="4"/>
  <c r="B31" i="4"/>
  <c r="D2" i="5"/>
  <c r="E4" i="5"/>
  <c r="F6" i="5"/>
  <c r="K8" i="5"/>
  <c r="D11" i="5"/>
  <c r="J13" i="5"/>
  <c r="M15" i="5"/>
  <c r="I18" i="5"/>
  <c r="J47" i="1"/>
  <c r="R47" i="1"/>
  <c r="Z47" i="1"/>
  <c r="W20" i="4"/>
  <c r="W19" i="4"/>
  <c r="W12" i="4"/>
  <c r="W10" i="4"/>
  <c r="W4" i="4"/>
  <c r="W5" i="4"/>
  <c r="W23" i="4"/>
  <c r="W21" i="4"/>
  <c r="W14" i="4"/>
  <c r="W11" i="4"/>
  <c r="W9" i="4"/>
  <c r="W8" i="4"/>
  <c r="D7" i="4"/>
  <c r="K7" i="4"/>
  <c r="T7" i="4"/>
  <c r="B9" i="4"/>
  <c r="J9" i="4"/>
  <c r="R9" i="4"/>
  <c r="G11" i="4"/>
  <c r="M13" i="4"/>
  <c r="L15" i="4"/>
  <c r="T15" i="4"/>
  <c r="B17" i="4"/>
  <c r="A17" i="4"/>
  <c r="J17" i="4"/>
  <c r="H19" i="4"/>
  <c r="O19" i="4"/>
  <c r="F21" i="4"/>
  <c r="D23" i="4"/>
  <c r="C23" i="4"/>
  <c r="K23" i="4"/>
  <c r="T23" i="4"/>
  <c r="A25" i="4"/>
  <c r="I25" i="4"/>
  <c r="J25" i="4"/>
  <c r="Q25" i="4"/>
  <c r="H27" i="4"/>
  <c r="G27" i="4"/>
  <c r="P27" i="4"/>
  <c r="O27" i="4"/>
  <c r="F29" i="4"/>
  <c r="E29" i="4"/>
  <c r="M29" i="4"/>
  <c r="N29" i="4"/>
  <c r="C31" i="4"/>
  <c r="D31" i="4"/>
  <c r="L31" i="4"/>
  <c r="S31" i="4"/>
  <c r="T31" i="4"/>
  <c r="J33" i="4"/>
  <c r="I33" i="4"/>
  <c r="R33" i="4"/>
  <c r="H35" i="4"/>
  <c r="P35" i="4"/>
  <c r="O35" i="4"/>
  <c r="F37" i="4"/>
  <c r="M37" i="4"/>
  <c r="D39" i="4"/>
  <c r="L39" i="4"/>
  <c r="K39" i="4"/>
  <c r="T39" i="4"/>
  <c r="S39" i="4"/>
  <c r="C4" i="4"/>
  <c r="P4" i="4"/>
  <c r="G5" i="4"/>
  <c r="A6" i="4"/>
  <c r="O6" i="4"/>
  <c r="I7" i="4"/>
  <c r="C8" i="4"/>
  <c r="I10" i="4"/>
  <c r="E11" i="4"/>
  <c r="A12" i="4"/>
  <c r="Q12" i="4"/>
  <c r="N13" i="4"/>
  <c r="H14" i="4"/>
  <c r="W15" i="4"/>
  <c r="P17" i="4"/>
  <c r="L18" i="4"/>
  <c r="M19" i="4"/>
  <c r="O20" i="4"/>
  <c r="O21" i="4"/>
  <c r="S23" i="4"/>
  <c r="B25" i="4"/>
  <c r="R28" i="4"/>
  <c r="I31" i="4"/>
  <c r="S33" i="4"/>
  <c r="E35" i="4"/>
  <c r="K36" i="4"/>
  <c r="C39" i="4"/>
  <c r="I2" i="5"/>
  <c r="L4" i="5"/>
  <c r="L6" i="5"/>
  <c r="G9" i="5"/>
  <c r="L11" i="5"/>
  <c r="O13" i="5"/>
  <c r="K16" i="5"/>
  <c r="G12" i="4"/>
  <c r="H12" i="4"/>
  <c r="A18" i="4"/>
  <c r="B18" i="4"/>
  <c r="Q18" i="4"/>
  <c r="R18" i="4"/>
  <c r="M22" i="4"/>
  <c r="N22" i="4"/>
  <c r="A26" i="4"/>
  <c r="B26" i="4"/>
  <c r="J26" i="4"/>
  <c r="I26" i="4"/>
  <c r="G28" i="4"/>
  <c r="K19" i="5"/>
  <c r="O18" i="5"/>
  <c r="G18" i="5"/>
  <c r="K17" i="5"/>
  <c r="O16" i="5"/>
  <c r="G16" i="5"/>
  <c r="K15" i="5"/>
  <c r="O14" i="5"/>
  <c r="G14" i="5"/>
  <c r="K13" i="5"/>
  <c r="O12" i="5"/>
  <c r="G12" i="5"/>
  <c r="K11" i="5"/>
  <c r="O10" i="5"/>
  <c r="G10" i="5"/>
  <c r="K9" i="5"/>
  <c r="O8" i="5"/>
  <c r="G8" i="5"/>
  <c r="K7" i="5"/>
  <c r="O6" i="5"/>
  <c r="G6" i="5"/>
  <c r="K5" i="5"/>
  <c r="O4" i="5"/>
  <c r="G4" i="5"/>
  <c r="K3" i="5"/>
  <c r="O2" i="5"/>
  <c r="G2" i="5"/>
  <c r="M19" i="5"/>
  <c r="D19" i="5"/>
  <c r="F18" i="5"/>
  <c r="I17" i="5"/>
  <c r="L16" i="5"/>
  <c r="O15" i="5"/>
  <c r="F15" i="5"/>
  <c r="I14" i="5"/>
  <c r="L13" i="5"/>
  <c r="N12" i="5"/>
  <c r="E12" i="5"/>
  <c r="H11" i="5"/>
  <c r="K10" i="5"/>
  <c r="N9" i="5"/>
  <c r="E9" i="5"/>
  <c r="H8" i="5"/>
  <c r="J7" i="5"/>
  <c r="M6" i="5"/>
  <c r="D6" i="5"/>
  <c r="G5" i="5"/>
  <c r="J4" i="5"/>
  <c r="M3" i="5"/>
  <c r="D3" i="5"/>
  <c r="F2" i="5"/>
  <c r="J19" i="5"/>
  <c r="L18" i="5"/>
  <c r="N17" i="5"/>
  <c r="D17" i="5"/>
  <c r="E16" i="5"/>
  <c r="G15" i="5"/>
  <c r="H14" i="5"/>
  <c r="I13" i="5"/>
  <c r="K12" i="5"/>
  <c r="M11" i="5"/>
  <c r="N10" i="5"/>
  <c r="D10" i="5"/>
  <c r="F9" i="5"/>
  <c r="F8" i="5"/>
  <c r="H7" i="5"/>
  <c r="J6" i="5"/>
  <c r="L5" i="5"/>
  <c r="M4" i="5"/>
  <c r="O3" i="5"/>
  <c r="E3" i="5"/>
  <c r="E2" i="5"/>
  <c r="H19" i="5"/>
  <c r="J18" i="5"/>
  <c r="L17" i="5"/>
  <c r="M16" i="5"/>
  <c r="N15" i="5"/>
  <c r="D15" i="5"/>
  <c r="E14" i="5"/>
  <c r="G13" i="5"/>
  <c r="I12" i="5"/>
  <c r="J11" i="5"/>
  <c r="L10" i="5"/>
  <c r="M9" i="5"/>
  <c r="N8" i="5"/>
  <c r="D8" i="5"/>
  <c r="F7" i="5"/>
  <c r="H6" i="5"/>
  <c r="I5" i="5"/>
  <c r="K4" i="5"/>
  <c r="L3" i="5"/>
  <c r="M2" i="5"/>
  <c r="I19" i="5"/>
  <c r="H18" i="5"/>
  <c r="F17" i="5"/>
  <c r="D16" i="5"/>
  <c r="M14" i="5"/>
  <c r="M13" i="5"/>
  <c r="J12" i="5"/>
  <c r="G11" i="5"/>
  <c r="F10" i="5"/>
  <c r="D9" i="5"/>
  <c r="N7" i="5"/>
  <c r="N18" i="5"/>
  <c r="M17" i="5"/>
  <c r="J16" i="5"/>
  <c r="I15" i="5"/>
  <c r="F14" i="5"/>
  <c r="E13" i="5"/>
  <c r="O11" i="5"/>
  <c r="M10" i="5"/>
  <c r="J9" i="5"/>
  <c r="J8" i="5"/>
  <c r="G7" i="5"/>
  <c r="E6" i="5"/>
  <c r="D5" i="5"/>
  <c r="N3" i="5"/>
  <c r="K2" i="5"/>
  <c r="M18" i="5"/>
  <c r="G17" i="5"/>
  <c r="L15" i="5"/>
  <c r="D14" i="5"/>
  <c r="L12" i="5"/>
  <c r="E11" i="5"/>
  <c r="I9" i="5"/>
  <c r="O7" i="5"/>
  <c r="K6" i="5"/>
  <c r="F5" i="5"/>
  <c r="D4" i="5"/>
  <c r="J2" i="5"/>
  <c r="L19" i="5"/>
  <c r="D18" i="5"/>
  <c r="I16" i="5"/>
  <c r="N14" i="5"/>
  <c r="H13" i="5"/>
  <c r="N11" i="5"/>
  <c r="H10" i="5"/>
  <c r="L8" i="5"/>
  <c r="E7" i="5"/>
  <c r="N5" i="5"/>
  <c r="I4" i="5"/>
  <c r="G3" i="5"/>
  <c r="F19" i="5"/>
  <c r="J17" i="5"/>
  <c r="F16" i="5"/>
  <c r="K14" i="5"/>
  <c r="D13" i="5"/>
  <c r="I11" i="5"/>
  <c r="O9" i="5"/>
  <c r="I8" i="5"/>
  <c r="N6" i="5"/>
  <c r="J5" i="5"/>
  <c r="F4" i="5"/>
  <c r="N2" i="5"/>
  <c r="D21" i="4"/>
  <c r="C21" i="4"/>
  <c r="B23" i="4"/>
  <c r="A23" i="4"/>
  <c r="R23" i="4"/>
  <c r="Q23" i="4"/>
  <c r="A14" i="4"/>
  <c r="B14" i="4"/>
  <c r="C20" i="4"/>
  <c r="D20" i="4"/>
  <c r="S20" i="4"/>
  <c r="T20" i="4"/>
  <c r="L28" i="4"/>
  <c r="K28" i="4"/>
  <c r="P32" i="4"/>
  <c r="O32" i="4"/>
  <c r="E34" i="4"/>
  <c r="F34" i="4"/>
  <c r="M3" i="4"/>
  <c r="T8" i="4"/>
  <c r="S12" i="4"/>
  <c r="S16" i="4"/>
  <c r="N26" i="4"/>
  <c r="N27" i="4"/>
  <c r="L2" i="5"/>
  <c r="D7" i="5"/>
  <c r="H9" i="5"/>
  <c r="D12" i="5"/>
  <c r="J14" i="5"/>
  <c r="N16" i="5"/>
  <c r="G19" i="5"/>
  <c r="L47" i="1"/>
  <c r="T47" i="1"/>
  <c r="AB47" i="1"/>
  <c r="N7" i="4"/>
  <c r="M7" i="4"/>
  <c r="J11" i="4"/>
  <c r="I11" i="4"/>
  <c r="R11" i="4"/>
  <c r="Q11" i="4"/>
  <c r="H13" i="4"/>
  <c r="G13" i="4"/>
  <c r="T17" i="4"/>
  <c r="S17" i="4"/>
  <c r="Q19" i="4"/>
  <c r="R19" i="4"/>
  <c r="C25" i="4"/>
  <c r="D25" i="4"/>
  <c r="L25" i="4"/>
  <c r="K25" i="4"/>
  <c r="B27" i="4"/>
  <c r="A27" i="4"/>
  <c r="Q27" i="4"/>
  <c r="R27" i="4"/>
  <c r="D33" i="4"/>
  <c r="C33" i="4"/>
  <c r="H37" i="4"/>
  <c r="G37" i="4"/>
  <c r="A3" i="4"/>
  <c r="O3" i="4"/>
  <c r="S4" i="4"/>
  <c r="K5" i="4"/>
  <c r="L7" i="4"/>
  <c r="A9" i="4"/>
  <c r="Q9" i="4"/>
  <c r="N10" i="4"/>
  <c r="H11" i="4"/>
  <c r="D12" i="4"/>
  <c r="N14" i="4"/>
  <c r="I15" i="4"/>
  <c r="D16" i="4"/>
  <c r="W16" i="4"/>
  <c r="T18" i="4"/>
  <c r="A22" i="4"/>
  <c r="W22" i="4"/>
  <c r="D24" i="4"/>
  <c r="G25" i="4"/>
  <c r="I30" i="4"/>
  <c r="N31" i="4"/>
  <c r="A33" i="4"/>
  <c r="J35" i="4"/>
  <c r="B38" i="4"/>
  <c r="F3" i="5"/>
  <c r="E5" i="5"/>
  <c r="I7" i="5"/>
  <c r="L9" i="5"/>
  <c r="F12" i="5"/>
  <c r="L14" i="5"/>
  <c r="E17" i="5"/>
  <c r="N19" i="5"/>
  <c r="L8" i="4"/>
  <c r="K16" i="4"/>
  <c r="L24" i="4"/>
  <c r="L21" i="4"/>
  <c r="K21" i="4"/>
  <c r="J14" i="4"/>
  <c r="I14" i="4"/>
  <c r="M18" i="4"/>
  <c r="N18" i="4"/>
  <c r="L20" i="4"/>
  <c r="K20" i="4"/>
  <c r="E26" i="4"/>
  <c r="F26" i="4"/>
  <c r="B30" i="4"/>
  <c r="A30" i="4"/>
  <c r="T36" i="4"/>
  <c r="S36" i="4"/>
  <c r="Q6" i="4"/>
  <c r="P9" i="4"/>
  <c r="S21" i="4"/>
  <c r="S28" i="4"/>
  <c r="N4" i="5"/>
  <c r="M47" i="1"/>
  <c r="U47" i="1"/>
  <c r="E4" i="4"/>
  <c r="M4" i="4"/>
  <c r="C6" i="4"/>
  <c r="K6" i="4"/>
  <c r="S6" i="4"/>
  <c r="A8" i="4"/>
  <c r="B8" i="4"/>
  <c r="I8" i="4"/>
  <c r="Q8" i="4"/>
  <c r="R8" i="4"/>
  <c r="G10" i="4"/>
  <c r="H10" i="4"/>
  <c r="O10" i="4"/>
  <c r="E12" i="4"/>
  <c r="M12" i="4"/>
  <c r="C14" i="4"/>
  <c r="K14" i="4"/>
  <c r="S14" i="4"/>
  <c r="T14" i="4"/>
  <c r="A16" i="4"/>
  <c r="B16" i="4"/>
  <c r="I16" i="4"/>
  <c r="J16" i="4"/>
  <c r="Q16" i="4"/>
  <c r="R16" i="4"/>
  <c r="G18" i="4"/>
  <c r="O18" i="4"/>
  <c r="N20" i="4"/>
  <c r="C22" i="4"/>
  <c r="L22" i="4"/>
  <c r="Q24" i="4"/>
  <c r="H26" i="4"/>
  <c r="N28" i="4"/>
  <c r="S30" i="4"/>
  <c r="I32" i="4"/>
  <c r="R32" i="4"/>
  <c r="M36" i="4"/>
  <c r="H4" i="4"/>
  <c r="F6" i="4"/>
  <c r="W6" i="4"/>
  <c r="G8" i="4"/>
  <c r="C9" i="4"/>
  <c r="S9" i="4"/>
  <c r="P10" i="4"/>
  <c r="F12" i="4"/>
  <c r="C13" i="4"/>
  <c r="S13" i="4"/>
  <c r="K15" i="4"/>
  <c r="F16" i="4"/>
  <c r="C17" i="4"/>
  <c r="W17" i="4"/>
  <c r="W18" i="4"/>
  <c r="B20" i="4"/>
  <c r="E22" i="4"/>
  <c r="E23" i="4"/>
  <c r="F24" i="4"/>
  <c r="C28" i="4"/>
  <c r="G29" i="4"/>
  <c r="R31" i="4"/>
  <c r="N35" i="4"/>
  <c r="I39" i="4"/>
  <c r="H3" i="5"/>
  <c r="H5" i="5"/>
  <c r="L7" i="5"/>
  <c r="E10" i="5"/>
  <c r="H12" i="5"/>
  <c r="E15" i="5"/>
  <c r="H17" i="5"/>
  <c r="O19" i="5"/>
  <c r="E30" i="4"/>
  <c r="M30" i="4"/>
  <c r="N30" i="4"/>
  <c r="D32" i="4"/>
  <c r="C32" i="4"/>
  <c r="L32" i="4"/>
  <c r="T32" i="4"/>
  <c r="B34" i="4"/>
  <c r="R34" i="4"/>
  <c r="Q34" i="4"/>
  <c r="G36" i="4"/>
  <c r="F38" i="4"/>
  <c r="F30" i="4"/>
  <c r="K32" i="4"/>
  <c r="O42" i="8"/>
  <c r="O6" i="8"/>
  <c r="O81" i="8"/>
  <c r="C18" i="6"/>
  <c r="O45" i="8"/>
  <c r="H14" i="6"/>
  <c r="L12" i="6"/>
  <c r="H12" i="6"/>
  <c r="L13" i="6"/>
  <c r="L10" i="6"/>
  <c r="N32" i="4"/>
  <c r="D34" i="4"/>
  <c r="L34" i="4"/>
  <c r="T34" i="4"/>
  <c r="A36" i="4"/>
  <c r="J36" i="4"/>
  <c r="I36" i="4"/>
  <c r="Q36" i="4"/>
  <c r="R36" i="4"/>
  <c r="G38" i="4"/>
  <c r="P38" i="4"/>
  <c r="H38" i="4"/>
  <c r="D22" i="4"/>
  <c r="A24" i="4"/>
  <c r="J24" i="4"/>
  <c r="I24" i="4"/>
  <c r="R24" i="4"/>
  <c r="F28" i="4"/>
  <c r="M28" i="4"/>
  <c r="D30" i="4"/>
  <c r="L30" i="4"/>
  <c r="K30" i="4"/>
  <c r="T30" i="4"/>
  <c r="A32" i="4"/>
  <c r="Q32" i="4"/>
  <c r="H34" i="4"/>
  <c r="P34" i="4"/>
  <c r="E36" i="4"/>
  <c r="D38" i="4"/>
  <c r="L38" i="4"/>
  <c r="K38" i="4"/>
  <c r="T38" i="4"/>
  <c r="S38" i="4"/>
  <c r="O34" i="4"/>
  <c r="H36" i="4"/>
  <c r="O38" i="4"/>
  <c r="O83" i="8"/>
  <c r="O87" i="8"/>
  <c r="O67" i="8"/>
  <c r="O152" i="8"/>
  <c r="C9" i="6"/>
  <c r="O8" i="8"/>
  <c r="C19" i="6"/>
  <c r="O166" i="8"/>
  <c r="O133" i="8"/>
  <c r="O123" i="8"/>
  <c r="O89" i="8"/>
  <c r="O77" i="8"/>
  <c r="O64" i="8"/>
  <c r="O43" i="8"/>
  <c r="O167" i="8"/>
  <c r="O160" i="8"/>
  <c r="O139" i="8"/>
  <c r="O116" i="8"/>
  <c r="O105" i="8"/>
  <c r="O161" i="8"/>
  <c r="O120" i="8"/>
  <c r="O93" i="8"/>
  <c r="O56" i="8"/>
  <c r="O35" i="8"/>
  <c r="O2" i="8"/>
  <c r="O51" i="8"/>
  <c r="O11" i="8"/>
  <c r="O17" i="8"/>
  <c r="O38" i="8"/>
  <c r="O138" i="8"/>
  <c r="Q74" i="8"/>
  <c r="O14" i="8"/>
  <c r="O26" i="8"/>
  <c r="O114" i="8"/>
  <c r="O119" i="8"/>
  <c r="O137" i="8"/>
  <c r="O80" i="8"/>
  <c r="O143" i="8"/>
  <c r="O145" i="8"/>
  <c r="O148" i="8"/>
  <c r="O153" i="8"/>
  <c r="O171" i="8"/>
  <c r="O173" i="8"/>
  <c r="O7" i="8"/>
  <c r="O18" i="8"/>
  <c r="O37" i="8"/>
  <c r="O99" i="8"/>
  <c r="D7" i="29"/>
  <c r="G29" i="1" s="1"/>
  <c r="D6" i="28"/>
  <c r="G35" i="1" s="1"/>
  <c r="D7" i="27"/>
  <c r="G39" i="1" s="1"/>
  <c r="D9" i="26"/>
  <c r="G24" i="1" s="1"/>
  <c r="D6" i="25"/>
  <c r="G37" i="1" s="1"/>
  <c r="D7" i="23"/>
  <c r="H9" i="1" s="1"/>
  <c r="D8" i="21"/>
  <c r="H3" i="1" s="1"/>
  <c r="D8" i="19"/>
  <c r="H38" i="1" s="1"/>
  <c r="D8" i="17"/>
  <c r="H31" i="1" s="1"/>
  <c r="D8" i="15"/>
  <c r="G9" i="1" s="1"/>
  <c r="D9" i="28"/>
  <c r="G33" i="1" s="1"/>
  <c r="D7" i="26"/>
  <c r="G28" i="1" s="1"/>
  <c r="D8" i="24"/>
  <c r="H10" i="1" s="1"/>
  <c r="D10" i="22"/>
  <c r="H13" i="1" s="1"/>
  <c r="D6" i="21"/>
  <c r="H6" i="1" s="1"/>
  <c r="D6" i="19"/>
  <c r="H25" i="1" s="1"/>
  <c r="D6" i="17"/>
  <c r="H37" i="1" s="1"/>
  <c r="D8" i="29"/>
  <c r="G40" i="1" s="1"/>
  <c r="D7" i="28"/>
  <c r="G36" i="1" s="1"/>
  <c r="D8" i="27"/>
  <c r="G23" i="1" s="1"/>
  <c r="D7" i="25"/>
  <c r="G30" i="1" s="1"/>
  <c r="D8" i="23"/>
  <c r="H19" i="1" s="1"/>
  <c r="D9" i="21"/>
  <c r="H21" i="1" s="1"/>
  <c r="D9" i="19"/>
  <c r="H32" i="1" s="1"/>
  <c r="D9" i="17"/>
  <c r="H33" i="1" s="1"/>
  <c r="D6" i="24"/>
  <c r="H5" i="1" s="1"/>
  <c r="D8" i="22"/>
  <c r="H17" i="1" s="1"/>
  <c r="D8" i="20"/>
  <c r="H41" i="1" s="1"/>
  <c r="D8" i="18"/>
  <c r="H30" i="1" s="1"/>
  <c r="D8" i="16"/>
  <c r="H34" i="1" s="1"/>
  <c r="D6" i="29"/>
  <c r="G27" i="1" s="1"/>
  <c r="D9" i="29"/>
  <c r="G22" i="1" s="1"/>
  <c r="D8" i="28"/>
  <c r="G32" i="1" s="1"/>
  <c r="D8" i="25"/>
  <c r="G41" i="1" s="1"/>
  <c r="D9" i="23"/>
  <c r="H20" i="1" s="1"/>
  <c r="D6" i="22"/>
  <c r="H14" i="1" s="1"/>
  <c r="D6" i="20"/>
  <c r="H26" i="1" s="1"/>
  <c r="D6" i="18"/>
  <c r="H28" i="1" s="1"/>
  <c r="D6" i="16"/>
  <c r="H35" i="1" s="1"/>
  <c r="D6" i="26"/>
  <c r="G26" i="1" s="1"/>
  <c r="D7" i="24"/>
  <c r="H7" i="1" s="1"/>
  <c r="D9" i="22"/>
  <c r="H8" i="1" s="1"/>
  <c r="D9" i="20"/>
  <c r="H22" i="1" s="1"/>
  <c r="D9" i="18"/>
  <c r="H24" i="1" s="1"/>
  <c r="D9" i="16"/>
  <c r="H23" i="1" s="1"/>
  <c r="D7" i="21"/>
  <c r="H18" i="1" s="1"/>
  <c r="D7" i="11"/>
  <c r="G15" i="1" s="1"/>
  <c r="D7" i="20"/>
  <c r="H36" i="1" s="1"/>
  <c r="D6" i="14"/>
  <c r="G19" i="1" s="1"/>
  <c r="D8" i="13"/>
  <c r="G7" i="1" s="1"/>
  <c r="D10" i="11"/>
  <c r="G12" i="1" s="1"/>
  <c r="D7" i="19"/>
  <c r="H27" i="1" s="1"/>
  <c r="D6" i="15"/>
  <c r="G16" i="1" s="1"/>
  <c r="D9" i="14"/>
  <c r="G13" i="1" s="1"/>
  <c r="D6" i="27"/>
  <c r="G25" i="1" s="1"/>
  <c r="D9" i="25"/>
  <c r="G31" i="1" s="1"/>
  <c r="D7" i="18"/>
  <c r="H40" i="1" s="1"/>
  <c r="D6" i="13"/>
  <c r="G14" i="1" s="1"/>
  <c r="D8" i="11"/>
  <c r="G18" i="1" s="1"/>
  <c r="D8" i="26"/>
  <c r="G34" i="1" s="1"/>
  <c r="D9" i="24"/>
  <c r="H12" i="1" s="1"/>
  <c r="D7" i="17"/>
  <c r="H29" i="1" s="1"/>
  <c r="D9" i="15"/>
  <c r="G3" i="1" s="1"/>
  <c r="D7" i="14"/>
  <c r="G20" i="1" s="1"/>
  <c r="D9" i="13"/>
  <c r="G10" i="1" s="1"/>
  <c r="D10" i="23"/>
  <c r="H4" i="1" s="1"/>
  <c r="D7" i="16"/>
  <c r="H39" i="1" s="1"/>
  <c r="D7" i="15"/>
  <c r="G8" i="1" s="1"/>
  <c r="D10" i="14"/>
  <c r="G17" i="1" s="1"/>
  <c r="D6" i="11"/>
  <c r="G5" i="1" s="1"/>
  <c r="D6" i="23"/>
  <c r="H15" i="1" s="1"/>
  <c r="D7" i="13"/>
  <c r="G6" i="1" s="1"/>
  <c r="D7" i="22"/>
  <c r="H16" i="1" s="1"/>
  <c r="D8" i="14"/>
  <c r="G4" i="1" s="1"/>
  <c r="D9" i="11"/>
  <c r="G11" i="1" s="1"/>
  <c r="D10" i="13"/>
  <c r="G21" i="1" s="1"/>
  <c r="O15" i="8"/>
  <c r="O20" i="8"/>
  <c r="O22" i="8"/>
  <c r="O24" i="8"/>
  <c r="O68" i="8"/>
  <c r="O88" i="8"/>
  <c r="O113" i="8"/>
  <c r="O115" i="8"/>
  <c r="O57" i="8"/>
  <c r="O61" i="8"/>
  <c r="O94" i="8"/>
  <c r="N175" i="8"/>
  <c r="O10" i="8"/>
  <c r="O109" i="8"/>
  <c r="C11" i="6"/>
  <c r="C10" i="6"/>
  <c r="L16" i="6"/>
  <c r="H9" i="6"/>
  <c r="L14" i="6"/>
  <c r="L11" i="6"/>
  <c r="M11" i="6" s="1"/>
  <c r="O52" i="8"/>
  <c r="O58" i="8"/>
  <c r="O55" i="8"/>
  <c r="O70" i="8"/>
  <c r="O73" i="8"/>
  <c r="O102" i="8"/>
  <c r="O126" i="8"/>
  <c r="O130" i="8"/>
  <c r="O144" i="8"/>
  <c r="O155" i="8"/>
  <c r="O159" i="8"/>
  <c r="Q173" i="8"/>
  <c r="O103" i="8"/>
  <c r="O147" i="8"/>
  <c r="O151" i="8"/>
  <c r="O156" i="8"/>
  <c r="O165" i="8"/>
  <c r="O169" i="8"/>
  <c r="O44" i="8"/>
  <c r="O48" i="8"/>
  <c r="O65" i="8"/>
  <c r="O72" i="8"/>
  <c r="O78" i="8"/>
  <c r="O91" i="8"/>
  <c r="O107" i="8"/>
  <c r="O110" i="8"/>
  <c r="O125" i="8"/>
  <c r="O129" i="8"/>
  <c r="O134" i="8"/>
  <c r="O62" i="8"/>
  <c r="O74" i="8"/>
  <c r="O131" i="8"/>
  <c r="O163" i="8"/>
  <c r="O4" i="8"/>
  <c r="O27" i="8"/>
  <c r="O36" i="8"/>
  <c r="O66" i="8"/>
  <c r="O71" i="8"/>
  <c r="O79" i="8"/>
  <c r="O84" i="8"/>
  <c r="O106" i="8"/>
  <c r="O117" i="8"/>
  <c r="O140" i="8"/>
  <c r="O5" i="8"/>
  <c r="O13" i="8"/>
  <c r="O19" i="8"/>
  <c r="O47" i="8"/>
  <c r="O63" i="8"/>
  <c r="O86" i="8"/>
  <c r="O92" i="8"/>
  <c r="O96" i="8"/>
  <c r="O98" i="8"/>
  <c r="O104" i="8"/>
  <c r="O112" i="8"/>
  <c r="O118" i="8"/>
  <c r="O128" i="8"/>
  <c r="O132" i="8"/>
  <c r="O136" i="8"/>
  <c r="O142" i="8"/>
  <c r="O150" i="8"/>
  <c r="O158" i="8"/>
  <c r="O12" i="8"/>
  <c r="O16" i="8"/>
  <c r="O46" i="8"/>
  <c r="O50" i="8"/>
  <c r="O54" i="8"/>
  <c r="O60" i="8"/>
  <c r="O85" i="8"/>
  <c r="O95" i="8"/>
  <c r="O101" i="8"/>
  <c r="O111" i="8"/>
  <c r="O127" i="8"/>
  <c r="O135" i="8"/>
  <c r="O141" i="8"/>
  <c r="O149" i="8"/>
  <c r="O157" i="8"/>
  <c r="O164" i="8"/>
  <c r="O170" i="8"/>
  <c r="O3" i="8"/>
  <c r="O9" i="8"/>
  <c r="O25" i="8"/>
  <c r="O49" i="8"/>
  <c r="O59" i="8"/>
  <c r="O69" i="8"/>
  <c r="O82" i="8"/>
  <c r="O90" i="8"/>
  <c r="O100" i="8"/>
  <c r="O108" i="8"/>
  <c r="O124" i="8"/>
  <c r="O146" i="8"/>
  <c r="O154" i="8"/>
  <c r="O162" i="8"/>
  <c r="O168" i="8"/>
  <c r="O172" i="8"/>
  <c r="I12" i="6" l="1"/>
  <c r="H24" i="5"/>
  <c r="N24" i="5"/>
  <c r="K24" i="5"/>
  <c r="L24" i="5"/>
  <c r="J24" i="5"/>
  <c r="M24" i="5"/>
  <c r="G24" i="5"/>
  <c r="I24" i="5"/>
  <c r="O24" i="5"/>
  <c r="E24" i="5"/>
  <c r="F24" i="5"/>
  <c r="E23" i="5"/>
  <c r="H23" i="5"/>
  <c r="K23" i="5"/>
  <c r="I23" i="5"/>
  <c r="L23" i="5"/>
  <c r="F23" i="5"/>
  <c r="G23" i="5"/>
  <c r="N23" i="5"/>
  <c r="M23" i="5"/>
  <c r="J23" i="5"/>
  <c r="O23" i="5"/>
  <c r="M16" i="6"/>
  <c r="D7" i="6"/>
  <c r="M12" i="6"/>
  <c r="D14" i="6"/>
  <c r="I14" i="6"/>
  <c r="M15" i="6"/>
  <c r="M14" i="6"/>
  <c r="D11" i="6"/>
  <c r="M10" i="6"/>
  <c r="M9" i="6"/>
  <c r="D10" i="6"/>
  <c r="D9" i="6"/>
  <c r="M13" i="6"/>
  <c r="O51" i="1"/>
  <c r="P51" i="1" s="1"/>
  <c r="M51" i="1"/>
  <c r="N51" i="1" s="1"/>
  <c r="W52" i="1"/>
  <c r="X52" i="1" s="1"/>
  <c r="O52" i="1"/>
  <c r="P52" i="1" s="1"/>
  <c r="Y51" i="1"/>
  <c r="Z51" i="1" s="1"/>
  <c r="U52" i="1"/>
  <c r="V52" i="1" s="1"/>
  <c r="M52" i="1"/>
  <c r="N52" i="1" s="1"/>
  <c r="Q52" i="1"/>
  <c r="R52" i="1" s="1"/>
  <c r="D8" i="6"/>
  <c r="W51" i="1"/>
  <c r="X51" i="1" s="1"/>
  <c r="K52" i="1"/>
  <c r="L52" i="1" s="1"/>
  <c r="I51" i="1"/>
  <c r="J51" i="1" s="1"/>
  <c r="U51" i="1"/>
  <c r="V51" i="1" s="1"/>
  <c r="W26" i="4"/>
  <c r="Y52" i="1"/>
  <c r="Z52" i="1" s="1"/>
  <c r="AA51" i="1"/>
  <c r="AB51" i="1" s="1"/>
  <c r="S52" i="1"/>
  <c r="T52" i="1" s="1"/>
  <c r="L17" i="6"/>
  <c r="H17" i="6"/>
  <c r="I9" i="6"/>
  <c r="O175" i="8"/>
  <c r="O178" i="8" s="1"/>
  <c r="I52" i="1"/>
  <c r="J52" i="1" s="1"/>
  <c r="AA52" i="1"/>
  <c r="AB52" i="1" s="1"/>
  <c r="Q51" i="1"/>
  <c r="R51" i="1" s="1"/>
  <c r="S51" i="1"/>
  <c r="T51" i="1" s="1"/>
  <c r="K51" i="1"/>
  <c r="L51" i="1" s="1"/>
  <c r="I17" i="6" l="1"/>
  <c r="M17" i="6"/>
</calcChain>
</file>

<file path=xl/sharedStrings.xml><?xml version="1.0" encoding="utf-8"?>
<sst xmlns="http://schemas.openxmlformats.org/spreadsheetml/2006/main" count="20992" uniqueCount="4615">
  <si>
    <t>User_ID</t>
  </si>
  <si>
    <t>Username</t>
  </si>
  <si>
    <t>Valid</t>
  </si>
  <si>
    <t>Player_ID</t>
  </si>
  <si>
    <t>Game_ID</t>
  </si>
  <si>
    <t>Questions</t>
  </si>
  <si>
    <t>Attack Points</t>
  </si>
  <si>
    <t>Defense Points</t>
  </si>
  <si>
    <t>Duel Points</t>
  </si>
  <si>
    <t>Total Points</t>
  </si>
  <si>
    <t>Valid Tests</t>
  </si>
  <si>
    <t>Failed Tests</t>
  </si>
  <si>
    <t>Useful Tests</t>
  </si>
  <si>
    <t>Valid Mutants</t>
  </si>
  <si>
    <t>Failed Mutants</t>
  </si>
  <si>
    <t>Useful Mutants</t>
  </si>
  <si>
    <t>Assistant</t>
  </si>
  <si>
    <t>NO assistant</t>
  </si>
  <si>
    <t>Y</t>
  </si>
  <si>
    <t>N</t>
  </si>
  <si>
    <t>\N</t>
  </si>
  <si>
    <t>lainer05</t>
  </si>
  <si>
    <t>seisen02</t>
  </si>
  <si>
    <t>stalze03</t>
  </si>
  <si>
    <t>wegner12</t>
  </si>
  <si>
    <t>Total number
of users</t>
  </si>
  <si>
    <t>Users playing both with and
without the assistant</t>
  </si>
  <si>
    <t>Players
recap</t>
  </si>
  <si>
    <t>Number of
questions</t>
  </si>
  <si>
    <t>Attack points</t>
  </si>
  <si>
    <t>Defense points</t>
  </si>
  <si>
    <t>Duel points</t>
  </si>
  <si>
    <t>Total points</t>
  </si>
  <si>
    <t>Number of
valid tests</t>
  </si>
  <si>
    <t>Number of
failed tests</t>
  </si>
  <si>
    <t>Number of
useful tests</t>
  </si>
  <si>
    <t>Number of
valid mutants</t>
  </si>
  <si>
    <t>Number of
failed mutants</t>
  </si>
  <si>
    <t>Number of
useful mutants</t>
  </si>
  <si>
    <t>Total</t>
  </si>
  <si>
    <t>Average</t>
  </si>
  <si>
    <t>Performance
recap</t>
  </si>
  <si>
    <t>Number of
Questions</t>
  </si>
  <si>
    <t>Number of users with
that number of questions</t>
  </si>
  <si>
    <t>ID</t>
  </si>
  <si>
    <t>Class</t>
  </si>
  <si>
    <t>AssistantEnabled</t>
  </si>
  <si>
    <t>Total
Questions</t>
  </si>
  <si>
    <t>Average
Questions</t>
  </si>
  <si>
    <t>Average
Attack Points</t>
  </si>
  <si>
    <t>Average
Defense Points</t>
  </si>
  <si>
    <t>Average
Duel Points</t>
  </si>
  <si>
    <t>Average
Total Points</t>
  </si>
  <si>
    <t>Average
Valid Tests</t>
  </si>
  <si>
    <t>Average
Failed Tests</t>
  </si>
  <si>
    <t>Average
Useful Tests</t>
  </si>
  <si>
    <t>Average
Valid Mutants</t>
  </si>
  <si>
    <t>Average
Failed Mutants</t>
  </si>
  <si>
    <t>Average
Useful Mutants</t>
  </si>
  <si>
    <t>Options</t>
  </si>
  <si>
    <t>Document</t>
  </si>
  <si>
    <t>Average questions
in a game by one 
player</t>
  </si>
  <si>
    <t>Average attack
points in a game
by one player</t>
  </si>
  <si>
    <t>Average defense
points in a game
by one player</t>
  </si>
  <si>
    <t>Average duel
points in a game
by one player</t>
  </si>
  <si>
    <t>Average total
points in a game
by one player</t>
  </si>
  <si>
    <t>Average valid
tests in a game
by one player</t>
  </si>
  <si>
    <t>Average failed
tests in a game
by one player</t>
  </si>
  <si>
    <t>Average useful
tests in a game
by one player</t>
  </si>
  <si>
    <t>Average valid
mutants in a game
by one player</t>
  </si>
  <si>
    <t>Average failed
mutants in a game
by one player</t>
  </si>
  <si>
    <t>Average useful
mutants in a game
by one player</t>
  </si>
  <si>
    <t>Total number
of questions</t>
  </si>
  <si>
    <t>Number</t>
  </si>
  <si>
    <t>Percentage</t>
  </si>
  <si>
    <r>
      <rPr>
        <sz val="13"/>
        <color theme="1"/>
        <rFont val="Arial"/>
      </rPr>
      <t xml:space="preserve">CLASSIFICATION </t>
    </r>
    <r>
      <rPr>
        <sz val="10"/>
        <color theme="1"/>
        <rFont val="Arial"/>
      </rPr>
      <t>(for english questions only)</t>
    </r>
  </si>
  <si>
    <t>Valid questions</t>
  </si>
  <si>
    <t>Questions with
code example</t>
  </si>
  <si>
    <t>Question type</t>
  </si>
  <si>
    <t>Type description</t>
  </si>
  <si>
    <t>Subtype</t>
  </si>
  <si>
    <t>Subtype description</t>
  </si>
  <si>
    <t>Questions with
NO code example</t>
  </si>
  <si>
    <t>TEST</t>
  </si>
  <si>
    <t>Questions asking how to create a test, the code
of a test, information on a specific test</t>
  </si>
  <si>
    <t>Specific mutant</t>
  </si>
  <si>
    <t>Questions asking how to create a test or the
code of a test for a specific mutant</t>
  </si>
  <si>
    <t>Questions marked
as useful</t>
  </si>
  <si>
    <t>Specific method</t>
  </si>
  <si>
    <t>Questions asking how to create a test or the
code of a test for a specific method</t>
  </si>
  <si>
    <t>Questions marked
as NOT usefu</t>
  </si>
  <si>
    <t>Other</t>
  </si>
  <si>
    <t>Questions asking how to fix a specific test and others</t>
  </si>
  <si>
    <t>MUTANT</t>
  </si>
  <si>
    <t>Questions asking how to create a mutant, the code
of a mutant, information on a specific mutant</t>
  </si>
  <si>
    <t>Questions asking how to create a mutant 
or the code of a mutant for a specific method</t>
  </si>
  <si>
    <t>Questions in
english</t>
  </si>
  <si>
    <t>Questions about the behavior of a specific mutant and
others</t>
  </si>
  <si>
    <t>Questions in 
german</t>
  </si>
  <si>
    <t>OTHER</t>
  </si>
  <si>
    <t>Generic questions about testing and others</t>
  </si>
  <si>
    <t>Mock</t>
  </si>
  <si>
    <t>Questions asking how does mocking work or how to
mock a specific interface</t>
  </si>
  <si>
    <t>Code under test</t>
  </si>
  <si>
    <t>Questions asking how does the code unders test work</t>
  </si>
  <si>
    <t>All others questions</t>
  </si>
  <si>
    <t>TOTAL</t>
  </si>
  <si>
    <t>Question</t>
  </si>
  <si>
    <t>Answer</t>
  </si>
  <si>
    <t>Show_answer_code</t>
  </si>
  <si>
    <t>Timestamp</t>
  </si>
  <si>
    <t>Prompt_ID</t>
  </si>
  <si>
    <t>Useful</t>
  </si>
  <si>
    <t>VALID</t>
  </si>
  <si>
    <t>Type</t>
  </si>
  <si>
    <t>Mutant/Test/Method</t>
  </si>
  <si>
    <t>How do i create a mock object of the Interface "Option"?</t>
  </si>
  <si>
    <t>Answer:
You can use a mocking framework like Mockito to create a mock object of the Interface 'Option'.
Explanation:
Mockito is a popular mocking framework in Java that allows you to create mock objects of interfaces and classes for testing purposes.
Code:
Option optionMock = Mockito.mock(Option.class);</t>
  </si>
  <si>
    <t>2024-01-10 14:40:49</t>
  </si>
  <si>
    <t>null</t>
  </si>
  <si>
    <t>How would i test @mutant184?</t>
  </si>
  <si>
    <t>{
  "answer": "To test @mutant184, you can verify if the 'shortOpts' and 'longOpts' maps in the Options class are correctly populated.",
  "explanation": "You can check if the 'shortOpts' and 'longOpts' maps contain the expected options after adding them using the addOption method.",
  "code": "Options options = new Options();
Option option = new Option("o", "option", false, "Option description");
options.addOption(option);
assert options.hasOption("o");
assert options.hasLongOption("option");"
}</t>
  </si>
  <si>
    <t>2024-01-10 15:00:04</t>
  </si>
  <si>
    <t>Create a unit test for the addOption and hasOption method which should mock the Option interface and test if hasOption is true after adding an option</t>
  </si>
  <si>
    <t>{
  "answer": "Yes",
  "explanation": "We can create a unit test to mock the Option interface and verify that hasOption returns true after adding an option.",
  "code": "```java
import org.junit.Test;
import static org.junit.Assert.assertTrue;
import static org.mockito.Mockito.mock;
import static org.mockito.Mockito.when;
public class OptionsTest {
  @Test
  public void testAddOptionAndHasOption() {
    Options options = new Options();
    Option option = mock(Option.class);
    when(option.getKey()).thenReturn("test");
    options.addOption(option);
    assertTrue(options.hasOption("test"));
  }
}
```"
}</t>
  </si>
  <si>
    <t>2024-01-10 14:32:56</t>
  </si>
  <si>
    <t>addOption, hasOption</t>
  </si>
  <si>
    <t>What does the toString method of shortOpts return?</t>
  </si>
  <si>
    <t>Answer:
A string representation of the shortOpts map.
Explanation:
The toString method of shortOpts returns a string representation of the map, showing the key-value pairs.
Code:
System.out.println(shortOpts.toString());</t>
  </si>
  <si>
    <t>2024-01-10 14:40:28</t>
  </si>
  <si>
    <t>what does shortOpts.toString() return when it has one option in the map?</t>
  </si>
  <si>
    <t>Answer:
The string representation of the shortOpts map when it has one option.
Explanation:
The toString() method of the Map interface returns a string representation of the map, showing its key-value pairs.
Code:
shortOpts.toString()</t>
  </si>
  <si>
    <t>2024-01-10 14:41:34</t>
  </si>
  <si>
    <t>What does 
Options return in the toString method when this is how it's created.
        Options options = new Options();
        Option option = mock(Option.class);
        when(option.getLongOpt()).thenReturn("long_test");
        when(option.getKey()).thenReturn("test");
        options.addOption(option);
Be as specific as possible when displaying the string</t>
  </si>
  <si>
    <t>{
  "answer": "Options: [ short {test=Option} ] [ long {long_test=Option} ]",
  "explanation": "The toString method of Options class returns a string representation of the Options object, including the short and long options.",
  "code": "Options options = new Options();
Option option = mock(Option.class);
when(option.getLongOpt()).thenReturn("long_test");
when(option.getKey()).thenReturn("test");
options.addOption(option);
System.out.println(options.toString());"
}</t>
  </si>
  <si>
    <t>2024-01-10 14:43:25</t>
  </si>
  <si>
    <t>Can you show me how I can setup a mock for an object in Java using Mockito?</t>
  </si>
  <si>
    <t>{
  "answer": "Yes, you can setup a mock for an object in Java using Mockito.",
  "explanation": "Mockito is a popular mocking framework in Java that allows you to create mock objects and define their behavior.",
  "code": "import org.mockito.Mockito;
// Create a mock object
MyObject myObjectMock = Mockito.mock(MyObject.class);
// Define the behavior of the mock object
Mockito.when(myObjectMock.someMethod()).thenReturn(someValue);
// Use the mock object in your test
myObjectMock.someMethod();"
}</t>
  </si>
  <si>
    <t>2024-01-10 14:35:18</t>
  </si>
  <si>
    <t>Schreibe JUnit-Tests für die java-Klasse Options</t>
  </si>
  <si>
    <t>{
  "answer": "Ja, es können JUnit-Tests für die Options-Klasse geschrieben werden.",
  "explanation": "JUnit-Tests können verwendet werden, um die Funktionalität der Options-Klasse zu überprüfen, indem verschiedene Szenarien getestet werden.",
  "code": "import org.junit.Test;
import static org.junit.Assert.*;
public class OptionsTest {
    @Test
    public void testAddOption() {
        Options options = new Options();
        Option option = new Option("a", "option a");
        options.addOption(option);
        assertTrue(options.hasOption("a"));
    }
    // Weitere Tests hier...
}"
}</t>
  </si>
  <si>
    <t>2024-01-10 14:33:49</t>
  </si>
  <si>
    <t>schreibe einen Mock für Option option</t>
  </si>
  <si>
    <t>Answer:
You can use a mocking framework like Mockito to create a mock for the Option class.
Explanation:
To create a mock for the Option class, you can use a mocking framework like Mockito which allows you to create mock objects and define their behavior.
Code:
Option optionMock = Mockito.mock(Option.class);</t>
  </si>
  <si>
    <t>2024-01-10 14:37:48</t>
  </si>
  <si>
    <t>create a mock for the class Option.</t>
  </si>
  <si>
    <t>Answer:
Yes, it is possible to create a mock for the class Option.
Explanation:
Using a mocking framework like Mockito, we can create a mock object for the Option class to simulate its behavior during testing.
Code:
Option optionMock = Mockito.mock(Option.class);</t>
  </si>
  <si>
    <t>2024-01-10 14:38:23</t>
  </si>
  <si>
    <t>Erstelle einen Mock, sodass ich für die Klasse Options eine Option übergeben kann.</t>
  </si>
  <si>
    <t>{
  "answer": "Ja, du kannst einen Mock erstellen und eine Option für die Klasse Options übergeben.",
  "explanation": "Du kannst einen Mock der Klasse Options erstellen und die gewünschte Option über die addOption-Methode hinzufügen.",
  "code": "Options optionsMock = Mockito.mock(Options.class);
Option option = new Option("o", "option", false, "Option");
Mockito.when(optionsMock.addOption(option)).thenReturn(optionsMock);"
}</t>
  </si>
  <si>
    <t>2024-01-10 14:53:32</t>
  </si>
  <si>
    <t>Schreibe einen Mock für die Klasse Option, sodass ich den Mock der Optionsklasse hinzufügen kann</t>
  </si>
  <si>
    <t>{
  "answer": "Sie können einen Mock für die Option-Klasse erstellen, indem Sie ein Mocking-Framework wie Mockito verwenden.",
  "explanation": "Um einen Mock für die Option-Klasse zu erstellen, können Sie Mockito verwenden, um ein Mock-Objekt zu erstellen und die gewünschten Verhaltensweisen festzulegen.",
  "code": "Option optionMock = Mockito.mock(Option.class);
// Setzen Sie das gewünschte Verhalten für den Mock
Mockito.when(optionMock.getKey()).thenReturn("mockKey");
// Fügen Sie den Mock zur Optionsklasse hinzu
options.addOption(optionMock);"
}</t>
  </si>
  <si>
    <t>2024-01-10 14:54:41</t>
  </si>
  <si>
    <t>Can you give me a short description what the class and the methods each do?</t>
  </si>
  <si>
    <t>{
  "answer": "The Options class represents a collection of Option objects, which describe the possible options for a command-line.",
  "explanation": "The Options class is used to store and manage a collection of Option objects, which represent the possible options that can be used in a command-line interface. It provides methods to add options, retrieve options, check if an option exists, and get the required options.",
  "code": "Options options = new Options();
Option option1 = new Option("h", "help", false, "Display help message.");
options.addOption(option1);
Option option2 = new Option("v", "version", false, "Display version information.");
options.addOption(option2);
if (options.hasOption("help")) {
    // Display help message
}
if (options.hasOption("version")) {
    // Display version information
}"
}</t>
  </si>
  <si>
    <t>2024-01-10 14:30:20</t>
  </si>
  <si>
    <t>How can I test the private method stripLeadingHyphens()?</t>
  </si>
  <si>
    <t>{
  "answer": "You can use reflection to access and test private methods.",
  "explanation": "By using reflection, you can access and invoke private methods, allowing you to test them.",
  "code": "Method method = Options.class.getDeclaredMethod("stripLeadingHyphens", String.class);
method.setAccessible(true);
String result = (String) method.invoke(optionsInstance, "--test");"
}</t>
  </si>
  <si>
    <t>2024-01-10 14:36:19</t>
  </si>
  <si>
    <t>stripLeadingHyphens</t>
  </si>
  <si>
    <t>Can you build me a simple junit test for testing the method getMatchingOptions(String opt)?</t>
  </si>
  <si>
    <t>{
  "answer": "Yes, I can provide a simple JUnit test for testing the getMatchingOptions(String opt) method.",
  "explanation": "The JUnit test will verify that the method returns the expected list of matching options for a given input.",
  "code": "import org.junit.Test;
import static org.junit.Assert.*;
public class OptionsTest {
  @Test
  public void testGetMatchingOptions() {
    Options options = new Options();
    options.addOption(new Option("a", "apple"));
    options.addOption(new Option("b", "banana"));
    options.addOption(new Option("c", "cherry"));
    List&lt;String&gt; expected = Arrays.asList("apple", "banana");
    List&lt;String&gt; actual = options.getMatchingOptions("a");
    assertEquals(expected, actual);
  }
}" 
}</t>
  </si>
  <si>
    <t>2024-01-10 14:38:56</t>
  </si>
  <si>
    <t>getMatchingOptions</t>
  </si>
  <si>
    <t>public void testGetMatchingOptions() {
Options options = new Options();
options.addOption(new Option("a", "apple"));
options.addOption(new Option("b", "banana"));
options.addOption(new Option("c", "cherry"));
List&lt;String&gt; expected = Arrays.asList("apple", "banana");
List&lt;String&gt; actual = options.getMatchingOptions("a");
assertEquals(expected, actual);
}
}
This test gives back the error "The submitted test is not valid:
-[Test does not contain any valid statement.]"
Why? And can you fix that?</t>
  </si>
  <si>
    <t>{
  "answer": "The test is not valid because it is missing the import statements and the assertion statement.",
  "explanation": "The test method is missing the necessary import statements for the Options class and the Assertion class, and it is also missing the assertion statement to compare the expected and actual results.",
  "code": "import org.junit.Test;
import static org.junit.Assert.assertEquals;
public class OptionsTest {
  @Test
  public void testGetMatchingOptions() {
    Options options = new Options();
    options.addOption(new Option("a", "apple"));
    options.addOption(new Option("b", "banana"));
    options.addOption(new Option("c", "cherry"));
    List&lt;String&gt; expected = Arrays.asList("apple", "banana");
    List&lt;String&gt; actual = options.getMatchingOptions("a");
    assertEquals(expected, actual);
  }
}"
}</t>
  </si>
  <si>
    <t>2024-01-10 14:48:40</t>
  </si>
  <si>
    <t>Code:
import org.junit.Test;
import static org.junit.Assert.*;
public class OptionsTest {
  @ Test
  public void testGetMatchingOptions() {
    Options options = new Options();
    options.addOption(new Option("a", "apple"));
    options.addOption(new Option("b", "banana"));
    options.addOption(new Option("c", "cherry"));
    List&lt;String&gt; expected = Arrays.asList("apple", "banana");
    List&lt;String&gt; actual = options.getMatchingOptions("a");
    assertEquals(expected, actual);
  }
}
This test gives back the error "The submitted test is not valid:
-[Test does not contain any valid statement.]"
Why? And can you fix that?</t>
  </si>
  <si>
    <t>{
  "answer": "The test method should be annotated with @Test, not @ Test.",
  "explanation": "The @Test annotation is case-sensitive and should not have a space between the '@' and 'Test'.",
  "code": "import org.junit.Test;
import static org.junit.Assert.*;
public class OptionsTest {
  @Test
  public void testGetMatchingOptions() {
    Options options = new Options();
    options.addOption(new Option("a", "apple"));
    options.addOption(new Option("b", "banana"));
    options.addOption(new Option("c", "cherry"));
    List&lt;String&gt; expected = Arrays.asList("apple", "banana");
    List&lt;String&gt; actual = options.getMatchingOptions("a");
    assertEquals(expected, actual);
  }
}" 
}</t>
  </si>
  <si>
    <t>2024-01-10 14:50:51</t>
  </si>
  <si>
    <t>I have problems initiating and declarating an Option object, sind Option is only a interface. Can you write me a possible way to initiate and declarate an Option object with a few attributes?</t>
  </si>
  <si>
    <t>{
  "answer": "You can create an Option object by using a class that implements the Option interface, such as the DefaultOption class.",
  "explanation": "The Option interface is implemented by various classes, such as DefaultOption, which provides a concrete implementation of the Option interface with attributes like shortOpt, longOpt, description, etc.",
  "code": "Option option = new DefaultOption("o", "output", true, "Specify the output file");"
}</t>
  </si>
  <si>
    <t>2024-01-10 14:56:36</t>
  </si>
  <si>
    <t>I have problems initiating and declarating an Option object, sind Option is only a interface. Can you write me a possible way to initiate and declarate an Option object with a few attributes?
We only have these imports available:
import java.util.ArrayList;
import java.util.Collection;
import java.util.Collections;
import java.util.HashSet;
import java.util.LinkedHashMap;
import java.util.List;
import java.util.Map;
import org.junit.Test;
import static org.junit.jupiter.api.Assertions.*;
import static com.google.common.truth.Truth.*;
import static com.google.common.truth.Truth8.*;
import static org.mockito.Mockito.*;</t>
  </si>
  <si>
    <t xml:space="preserve">Answer:
You cannot directly instantiate an Option object since it is an interface.
Explanation:
The Option interface is meant to be implemented by concrete classes that provide the necessary functionality. You can create a custom class that implements the Option interface and provides the required attributes and methods.
Code:
</t>
  </si>
  <si>
    <t>2024-01-10 14:59:18</t>
  </si>
  <si>
    <t>Write a JUnit test for the method getOption(String opt), which should find as many mutants as possible.</t>
  </si>
  <si>
    <t>{
  "answer": "The JUnit test should cover the following scenarios: opt is null, opt is an empty string, opt is a short option, opt is a long option, opt is a partial long option.",
  "explanation": "To find as many mutants as possible, the JUnit test should cover different scenarios and edge cases for the getOption(String opt) method.",
  "code": "```java
import org.junit.Test;
import static org.junit.Assert.*;
public class OptionsTest {
  @Test
  public void testGetOption() {
    Options options = new Options();
    Option option = new Option("a", "apple", false, "Apple option");
    options.addOption(option);
    // Test null option
    assertNull(options.getOption(null));
    // Test empty option
    assertNull(options.getOption("")
    // Test short option
    assertEquals(option, options.getOption("a"));
    // Test long option
    assertEquals(option, options.getOption("apple"));
    // Test partial long option
    assertNull(options.getOption("app"));
  }
}
```"
}</t>
  </si>
  <si>
    <t>2024-01-10 14:41:38</t>
  </si>
  <si>
    <t>getOption</t>
  </si>
  <si>
    <t>How do i instaniate a Option object, which is a interface?</t>
  </si>
  <si>
    <t xml:space="preserve">Answer:
You cannot directly instantiate an Option object as it is an interface.
Explanation:
Interfaces in Java cannot be instantiated directly, they need to be implemented by a class.
Code:
</t>
  </si>
  <si>
    <t>2024-01-10 14:45:06</t>
  </si>
  <si>
    <t>So how do i test my code if i need a Option object but i only have the Option interface?</t>
  </si>
  <si>
    <t>Answer:
You can create a mock object implementing the Option interface using a mocking framework like Mockito.
Explanation:
To test your code that requires an Option object, you can use a mocking framework like Mockito to create a mock object that implements the Option interface.
Code:
Option optionMock = Mockito.mock(Option.class);</t>
  </si>
  <si>
    <t>2024-01-10 14:46:00</t>
  </si>
  <si>
    <t>This is my current test: "Options options = new Options();
    Option option = new Option("a", "apple", false, "Apple option");
    options.addOption(option);
    // Test long option
    assertEquals(option, options.getOption("apple"));
    // Test partial long option
    assertNull(options.getOption("app"));" I created a option object, but thats not correct. Mock it for me pleaase</t>
  </si>
  <si>
    <t>{
  "answer": "You can use a mocking framework like Mockito to mock the Option object.",
  "explanation": "To mock the Option object, you can use a mocking framework like Mockito to create a mock object that simulates the behavior of the Option class.",
  "code": "import org.mockito.Mockito;
Option option = Mockito.mock(Option.class);
// Use the mocked option object in your test
options.addOption(option);
// Test long option
assertEquals(option, options.getOption("apple"));
// Test partial long option
assertNull(options.getOption("app"));"
}</t>
  </si>
  <si>
    <t>2024-01-10 14:47:32</t>
  </si>
  <si>
    <t>How do i mock a object with example</t>
  </si>
  <si>
    <t>{
  "answer": "You can mock an object using a mocking framework like Mockito.",
  "explanation": "Mocking an object allows you to create a fake implementation of the object for testing purposes.",
  "code": "import org.mockito.Mock;
import static org.mockito.Mockito.when;
public class ExampleTest {
  @Mock
  private MyObject myObject;
  public void testMethod() {
    when(myObject.someMethod()).thenReturn("mocked value");
    // test code
  }
}" 
}</t>
  </si>
  <si>
    <t>2024-01-10 14:49:16</t>
  </si>
  <si>
    <t>Schreibe mehrere Tests, die Mutanten in folgender Funktion killen:
 public Options addOptionGroup(final OptionGroup group) {
    if (group.isRequired()) {
      requiredOpts.add(group);
    }
    for (final Option option : group.getOptions()) {
      // an Option cannot be required if it is in an
      // OptionGroup, either the group is required or
      // nothing is required
      option.setRequired(false);
      addOption(option);
      optionGroups.put(option.getKey(), group);
    }</t>
  </si>
  <si>
    <t>{
  "answer": "Die Tests sollten sicherstellen, dass die Optionen einer OptionGroup korrekt hinzugefügt und die erforderlichen Optionen korrekt aktualisiert werden.",
  "explanation": "Die Tests sollten überprüfen, ob die Optionen einer OptionGroup korrekt zur Optionsliste hinzugefügt werden und ob die erforderlichen Optionen korrekt aktualisiert werden, wenn eine Option zur OptionGroup hinzugefügt wird.",
  "code": "public void testAddOptionGroup() {
  OptionGroup group = new OptionGroup();
  Option option1 = new Option("a", "option1");
  Option option2 = new Option("b", "option2");
  group.addOption(option1);
  group.addOption(option2);
  Options options = new Options();
  options.addOptionGroup(group);
  assertTrue(options.hasOption("a"));
  assertTrue(options.hasOption("b"));
  assertTrue(options.getRequiredOptions().contains(group));
}"
}</t>
  </si>
  <si>
    <t>2024-01-10 14:38:15</t>
  </si>
  <si>
    <t>write a killing test for @mutant155</t>
  </si>
  <si>
    <t>{
  "answer": "To kill mutant @mutant155, we can write a test that checks if the 'shortOpts' map is empty after adding an option.",
  "explanation": "The mutant @mutant155 removes the 'shortOpts' map from the 'toString' method, so a test that verifies if the map is empty will fail if the mutant is alive.",
  "code": "import org.junit.Test;
import static org.junit.Assert.assertTrue;
public class OptionsTest {
  @Test
  public void testToString_shortOptsEmpty() {
    Options options = new Options();
    Option option = new Option("a", "option");
    options.addOption(option);
    assertTrue(options.toString().contains("short {}"));
  }
}"
}</t>
  </si>
  <si>
    <t>2024-01-10 14:44:26</t>
  </si>
  <si>
    <t>schreibe einen killing test aber bedenke dass optiongroup und option nur mit mockito verwendet werden können</t>
  </si>
  <si>
    <t>{
  "answer": "To write a killing test for Options class, you can use Mockito to mock OptionGroup and Option objects.",
  "explanation": "Mockito can be used to create mock objects of OptionGroup and Option classes, which can be used in the test to simulate their behavior and interactions with the Options class.",
  "code": "import org.junit.Test;
import org.mockito.Mock;
import static org.mockito.Mockito.*;
public class OptionsTest {
  @Mock
  private OptionGroup optionGroup;
  @Mock
  private Option option;
  @Test
  public void testOptions() {
    // Create an instance of Options
    Options options = new Options();
    // Mock the behavior of OptionGroup and Option
    when(optionGroup.isRequired()).thenReturn(true);
    when(option.getRequiredOptions()).thenReturn(Collections.singletonList(option));
    // Add the mocked OptionGroup and Option to Options
    options.addOptionGroup(optionGroup);
    options.addOption(option);
    // Perform the test assertions
    // ...
  }
}"
}</t>
  </si>
  <si>
    <t>2024-01-10 14:59:41</t>
  </si>
  <si>
    <t>Write a code snippet that creates an options object filled with a few sample objections. Then add a test for the getOption Method</t>
  </si>
  <si>
    <t>{
  "answer": "Here is a code snippet that creates an Options object and adds sample options to it.",
  "explanation": "The code snippet creates an Options object and adds three sample options to it: -a, --input, and -o.",
  "code": "Options options = new Options();
Option optionA = new Option("a", "enable option A");
Option optionInput = new Option("input", true, "input file");
Option optionOutput = new Option("o", "output file");
options.addOption(optionA);
options.addOption(optionInput);
options.addOption(optionOutput);"
}</t>
  </si>
  <si>
    <t>2024-01-10 14:34:54</t>
  </si>
  <si>
    <t>{
  "answer": "Here is a code snippet that creates an Options object and adds sample options to it.",
  "explanation": "The code snippet creates an Options object, adds three sample options to it, and then tests the getOption method to retrieve one of the options.",
  "code": "Options options = new Options();
Option option1 = new Option("a", "apple", false, "This is option 1");
Option option2 = new Option("b", "banana", true, "This is option 2");
Option option3 = new Option("c", "cherry", false, "This is option 3");
options.addOption(option1);
options.addOption(option2);
options.addOption(option3);
Option retrievedOption = options.getOption("b");
System.out.println(retrievedOption.getDescription());"
}</t>
  </si>
  <si>
    <t>2024-01-10 14:35:14</t>
  </si>
  <si>
    <t>Write a code snippet that creates an options object filled with a few sample objections. Then add a test for the getOption Method. Please mock the option class using mockito</t>
  </si>
  <si>
    <t>{
  "answer": "Here is a code snippet that creates an Options object and adds a test for the getOption method.",
  "explanation": "The code snippet creates an Options object, adds some sample options to it, and then tests the getOption method using Mockito to mock the Option class.",
  "code": "import org.junit.Test;
import org.mockito.Mockito;
public class OptionsTest {
  @Test
  public void testGetOption() {
    Options options = new Options();
    // Create a mock Option object
    Option mockOption = Mockito.mock(Option.class);
    Mockito.when(mockOption.getKey()).thenReturn("opt1");
    // Add the mock Option to the Options object
    options.addOption(mockOption);
    // Test the getOption method
    Option result = options.getOption("opt1");
    // Assert the result
    Assert.assertEquals(mockOption, result);
  }
}"
}</t>
  </si>
  <si>
    <t>2024-01-10 14:36:10</t>
  </si>
  <si>
    <t>2024-01-10 14:36:31</t>
  </si>
  <si>
    <t>What would be a test that would kill mutant @mutant104 ? Mock the OptionGroup and Option interfaces using mockito</t>
  </si>
  <si>
    <t>{
  "answer": "Calling the addOptionGroup method with a required OptionGroup should throw an exception.",
  "explanation": "The mutant modifies the addOptionGroup method, so a test that checks if the method throws an exception when adding a required OptionGroup would kill the mutant.",
  "code": "OptionGroup optionGroup = mock(OptionGroup.class);
when(optionGroup.isRequired()).thenReturn(true);
options.addOptionGroup(optionGroup);"
}</t>
  </si>
  <si>
    <t>2024-01-10 14:44:28</t>
  </si>
  <si>
    <t>How could i kill @mutant256 ? Mock OptionGroup and Option interfaces</t>
  </si>
  <si>
    <t>{
  "answer": "To kill @mutant256, you can mock the OptionGroup and Option interfaces.",
  "explanation": "By mocking the OptionGroup and Option interfaces, you can control the behavior of the getOptionGroups() method and ensure that it returns the expected result for testing purposes.",
  "code": "OptionGroup optionGroupMock = Mockito.mock(OptionGroup.class);
Option optionMock = Mockito.mock(Option.class);
Options options = new Options();
options.addOptionGroup(optionGroupMock);
options.addOption(optionMock);
// Test the getOptionGroups() method
Collection&lt;OptionGroup&gt; result = options.getOptionGroups();
// Assert the expected result
Assert.assertEquals(Collections.singletonList(optionGroupMock), result);"
}</t>
  </si>
  <si>
    <t>2024-01-10 14:53:30</t>
  </si>
  <si>
    <t>2024-01-10 14:53:44</t>
  </si>
  <si>
    <t>Das funktioniert nicht. Expected :[Mock for OptionGroup, hashCode: 1133254368]
Actual   :[]</t>
  </si>
  <si>
    <t>{
  "answer": "The actual result is an empty list because the expected result is a mock object.",
  "explanation": "The expected result is a mock object of type OptionGroup, which is not equal to an empty list.",
  "code": "OptionGroup expected = mock(OptionGroup.class);
List&lt;OptionGroup&gt; actual = new ArrayList&lt;&gt;();
assertEquals(expected, actual);"
}</t>
  </si>
  <si>
    <t>2024-01-10 14:56:25</t>
  </si>
  <si>
    <t>Wie könnte ein junit test aussehen, welcher folgende Methode gegen mutanten testet? Hier die Methode</t>
  </si>
  <si>
    <t>```java
public boolean hasOption(String opt) {
    opt = stripLeadingHyphens(opt);
    return shortOpts.containsKey(opt) || longOpts.containsKey(opt);
}
```
```java
@Test
public void testHasOption() {
    Options options = new Options();
    options.addOption(new Option("a", "optionA", false, "Option A"));
    options.addOption(new Option("b", "optionB", false, "Option B"));
    assertTrue(options.hasOption("a"));
    assertTrue(options.hasOption("optionA"));
    assertFalse(options.hasOption("c"));
}
```
```json
{
  "answer": "Der JUnit-Test überprüft, ob die Methode 'hasOption' korrekt funktioniert.",
  "explanation": "Der Test erstellt eine Options-Instanz, fügt Optionen hinzu und überprüft dann, ob die Methode 'hasOption' die erwarteten Ergebnisse liefert.",
  "code": "```java
@Test
public void testHasOption() {
    Options options = new Options();
    options.addOption(new Option("a", "optionA", false, "Option A"));
    options.addOption(new Option("b", "optionB", false, "Option B"));
    assertTrue(options.hasOption("a"));
    assertTrue(options.hasOption("optionA"));
    assertFalse(options.hasOption("c"));
}
```"
}
```</t>
  </si>
  <si>
    <t>2024-01-10 14:36:02</t>
  </si>
  <si>
    <t>Wie kann mithilfe eines JUnit tests sicherstellen, dass in dieser Methode option.setRequired(false) wirklich auf false gesetzt wird. Hier die Methode:   public Options addOptionGroup(final OptionGroup group) {
    if (group.isRequired()) {
      requiredOpts.add(group);
    }
    for (final Option option : group.getOptions()) {
      // an Option cannot be required if it is in an
      // OptionGroup, either the group is required or
      // nothing is required
      option.setRequired(false);
      addOption(option);
      optionGroups.put(option.getKey(), group);
    }
    return this;
  }</t>
  </si>
  <si>
    <t>{
  "answer": "Durch den JUnit-Test kann überprüft werden, ob option.setRequired(false) auf false gesetzt wird.",
  "explanation": "Um sicherzustellen, dass option.setRequired(false) auf false gesetzt wird, kann ein JUnit-Test geschrieben werden, der die Methode addOptionGroup aufruft und dann überprüft, ob die Optionen in der OptionGroup tatsächlich als nicht erforderlich markiert sind.",
  "code": "import org.junit.Test;
import static org.junit.Assert.assertFalse;
public class OptionsTest {
    @Test
    public void testAddOptionGroup() {
        Options options = new Options();
        OptionGroup group = new OptionGroup();
        Option option1 = new Option("o1", "option1", false, "Option 1");
        Option option2 = new Option("o2", "option2", false, "Option 2");
        group.addOption(option1);
        group.addOption(option2);
        options.addOptionGroup(group);
        assertFalse(option1.isRequired());
        assertFalse(option2.isRequired());
    }
}"
}</t>
  </si>
  <si>
    <t>2024-01-10 14:46:05</t>
  </si>
  <si>
    <t>Geh davon aus, dass dies der innere Teil eines JunitTests ist: Options options = new Options();
        OptionGroup group = new OptionGroup();
        Option option1 = new Option("o1", "option1", false, "Option 1");
        Option option2 = new Option("o2", "option2", false, "Option 2");
        group.addOption(option1);
        group.addOption(option2);
        options.addOptionGroup(group);
        assertFalse(option1.isRequired());
        assertFalse(option2.isRequired());
Wie muss ich diesen umschreiben wenn Option abstract ist und somit nicht instanziert werden kann. Mocks sind erlaubt</t>
  </si>
  <si>
    <t>{
  "answer": "Options options = new Options();
OptionGroup group = new OptionGroup();
Option option1 = mock(Option.class);
Option option2 = mock(Option.class);
group.addOption(option1);
group.addOption(option2);
options.addOptionGroup(group);
when(option1.isRequired()).thenReturn(false);
when(option2.isRequired()).thenReturn(false);
assertFalse(option1.isRequired());
assertFalse(option2.isRequired());",
  "explanation": "In order to test the Options class when Option is abstract and cannot be instantiated, you can use mocks to create instances of Option and set the required behavior for the tests.",
  "code": "Options options = new Options();
OptionGroup group = new OptionGroup();
Option option1 = mock(Option.class);
Option option2 = mock(Option.class);
group.addOption(option1);
group.addOption(option2);
options.addOptionGroup(group);
when(option1.isRequired()).thenReturn(false);
when(option2.isRequired()).thenReturn(false);
assertFalse(option1.isRequired());
assertFalse(option2.isRequired());"
}</t>
  </si>
  <si>
    <t>2024-01-10 14:49:46</t>
  </si>
  <si>
    <t>Das innere eines Junit Tests sieht so aus:        Options options = new Options();
OptionGroup group = mock(OptionGroup.class);
Option option1 = mock(Option.class);
Option option2 = mock(Option.class);
group.addOption(option1);
group.addOption(option2);
options.addOptionGroup(group);
when(option1.isRequired()).thenReturn(false);
when(option2.isRequired()).thenReturn(false);
assertFalse(option1.isRequired());
assertFalse(option2.isRequired());
    }
Wie muss ich diesen umschreiben und folgende Fehler zu verhindern: [javac] TestOptions.java:24: error: cannot find symbol
[javac] group.addOption(option1);
[javac]      ^
[javac]   symbol:   method addOption(Option)
[javac]   location: variable group of type OptionGroup
[javac] TestOptions.java:25: error: cannot find symbol
[javac] group.addOption(option2);
[javac]      ^
[javac]   symbol:   method addOption(Option)
[javac]   location: variable group of type OptionGroup
[javac] 2 errors</t>
  </si>
  <si>
    <t>{
  "answer": "The addOption method does not exist in the OptionGroup class.",
  "explanation": "The error occurs because the addOption method is not defined in the OptionGroup class. To fix the error, you need to use the addOption method of the Options class instead.",
  "code": "options.addOption(option1);
options.addOption(option2);"
}</t>
  </si>
  <si>
    <t>2024-01-10 14:52:27</t>
  </si>
  <si>
    <t>Wie könnte ein junit test aussehen, der folgende Methode auf mutanten testet:   /**
   * Returns whether the named {@link Option} is a member of this {@link Options}.
   *
   * @param opt long name of the {@link Option}
   * @return true if the named {@link Option} is a member of this {@link Options}
   */
  public boolean hasLongOption(String opt) {
    opt = stripLeadingHyphens(opt);
    return longOpts.containsKey(opt);
  }
Beachte dabei, dass die Option klasse abstract ist und die OptionGroup klasse auch. Mocks sind erlaubt</t>
  </si>
  <si>
    <t>{
  "answer": "Ein JUnit-Test könnte überprüfen, ob die Methode hasLongOption() den erwarteten Wert zurückgibt.",
  "explanation": "Der Test sollte sicherstellen, dass die Methode hasLongOption() korrekt funktioniert und den erwarteten Wert zurückgibt, basierend auf dem übergebenen Argument.",
  "code": "import org.junit.Test;
import static org.junit.Assert.*;
import static org.mockito.Mockito.*;
public class OptionsTest {
  @Test
  public void testHasLongOption() {
    Options options = new Options();
    Option option = mock(Option.class);
    options.addOption(option);
    when(option.getKey()).thenReturn("test");
    assertTrue(options.hasLongOption("test"));
  }
}"
}</t>
  </si>
  <si>
    <t>2024-01-10 14:55:41</t>
  </si>
  <si>
    <t>Ich erhalte diese Fehlermeldung [junit] Testcase: test took 0.809 sec
[junit] expected: &lt;true&gt; but was: &lt;false&gt;
[junit] junit.framework.AssertionFailedError: expected: &lt;true&gt; but was: &lt;false&gt;
[junit] 	at TestOptions.test(TestOptions.java:24)
[junit] 	at java.base/jdk.internal.reflect.NativeMethodAccessorImpl.invoke0(Native Method)
[junit] 	at java.base/jdk.internal.reflect.NativeMethodAccessorImpl.invoke(NativeMethodAccessorImpl.java:77)
[junit] 	at java.base/jdk.internal.reflect.DelegatingMethodAccessorImpl.invoke(DelegatingMethodAccessorImpl.java:43)
[junit] 	at java.base/java.util.concurrent.FutureTask.run(FutureTask.java:264)
[junit] 	at java.base/java.lang.Thread.run(Thread.java:833)
Bei einem JUnit Test dessen inneres so aussieht:     Options options = new Options();
    Option option = mock(Option.class);
    options.addOption(option);
    when(option.getKey()).thenReturn("test");
    assertTrue(options.hasLongOption("test"));</t>
  </si>
  <si>
    <t>{
  "answer": "Der JUnit-Test erwartet, dass die Methode hasLongOption('test') true zurückgibt, aber sie gibt false zurück.",
  "explanation": "Die Methode hasLongOption('test') gibt false zurück, was nicht mit der erwarteten Ausgabe true übereinstimmt.",
  "code": "assertTrue(options.hasLongOption("test"));"
}</t>
  </si>
  <si>
    <t>2024-01-10 14:59:09</t>
  </si>
  <si>
    <t>How do I start a test for options?</t>
  </si>
  <si>
    <t>{
  "answer": "To start a test for options, you can create an instance of the Options class and add the desired options to it.",
  "explanation": "To test options, you need to create an instance of the Options class and add the options you want to test using the addOption() method.",
  "code": "Options options = new Options();
Option option = new Option("o", "output", true, "output file");
options.addOption(option);"
}</t>
  </si>
  <si>
    <t>2024-01-10 14:35:08</t>
  </si>
  <si>
    <t>how do i mock with mockito</t>
  </si>
  <si>
    <t>{
  "answer": "You can mock objects using Mockito by using the `mock()` method.",
  "explanation": "Mockito provides the `mock()` method to create mock objects that can be used for testing.",
  "code": "Example:
// Create a mock object
List&lt;String&gt; mockList = Mockito.mock(List.class);
// Define the behavior of the mock object
Mockito.when(mockList.size()).thenReturn(5);
// Use the mock object in your test
int size = mockList.size();
// Verify the interactions with the mock object
Mockito.verify(mockList).size();"
}</t>
  </si>
  <si>
    <t>2024-01-10 14:42:48</t>
  </si>
  <si>
    <t>can you write me a test for the toString method?</t>
  </si>
  <si>
    <t>{
  "answer": "Yes, I can write a test for the toString method.",
  "explanation": "To test the toString method, we can create an instance of the Options class, add some options to it, and then call the toString method to verify the expected output.",
  "code": "import org.junit.Test;
import static org.junit.Assert.assertEquals;
public class OptionsTest {
  @Test
  public void testToString() {
    Options options = new Options();
    options.addOption(new Option("a", "optionA", false, "Option A"));
    options.addOption(new Option("b", "optionB", true, "Option B"));
    String expected = "[ Options: [ short {a=Option A, b=Option B} ] [ long {optionA=Option A, optionB=Option B} ]";
    assertEquals(expected, options.toString());
  }
}" 
}</t>
  </si>
  <si>
    <t>2024-01-10 14:32:37</t>
  </si>
  <si>
    <t>toString</t>
  </si>
  <si>
    <t>how do you mock a option group?</t>
  </si>
  <si>
    <t>{
  "answer": "To mock an OptionGroup, you can create a new OptionGroup object and add mocked Option objects to it.",
  "explanation": "To mock an OptionGroup, you can create a new OptionGroup object and add mocked Option objects to it. This allows you to simulate the behavior of an OptionGroup in your tests.",
  "code": "OptionGroup optionGroup = new OptionGroup();
Option option1 = Mockito.mock(Option.class);
Option option2 = Mockito.mock(Option.class);
optionGroup.addOption(option1);
optionGroup.addOption(option2);"
}</t>
  </si>
  <si>
    <t>2024-01-10 14:35:29</t>
  </si>
  <si>
    <t>Wie funktioniert Mocking?</t>
  </si>
  <si>
    <t>{
  "answer": "Mocking ermöglicht das Erstellen von simulierten Objekten, um den Test von abhängigen Komponenten zu vereinfachen.",
  "explanation": "Mocking ist eine Technik in der Softwareentwicklung, bei der simuliertes Verhalten für abhängige Objekte erstellt wird, um den Test von Komponenten zu erleichtern. Durch Mocking können bestimmte Szenarien nachgestellt und die Interaktionen zwischen den Komponenten überprüft werden.",
  "code": "public class UserServiceTest {
  @Test
  public void testGetUser() {
    // Erstellen eines Mock-Objekts für die Datenbankverbindung
    DatabaseConnection dbConnectionMock = Mockito.mock(DatabaseConnection.class);
    // Definieren des erwarteten Verhaltens des Mock-Objekts
    Mockito.when(dbConnectionMock.getUser(1)).thenReturn(new User(1, "John Doe"));
    // Erstellen der zu testenden Klasse mit dem Mock-Objekt
    UserService userService = new UserService(dbConnectionMock);
    // Testen der Methode
    User user = userService.getUser(1);
    // Überprüfen des erwarteten Ergebnisses
    assertEquals(1, user.getId());
    assertEquals("John Doe", user.getName());
  }
}"
}</t>
  </si>
  <si>
    <t>2024-01-10 14:40:39</t>
  </si>
  <si>
    <t>Wie funktioniert Mocking in Java? Mit Beispiel</t>
  </si>
  <si>
    <t>{
  "answer": "Mocking in Java is a technique used to create fake objects that simulate the behavior of real objects during testing.",
  "explanation": "Mocking allows developers to isolate the code being tested by replacing dependencies with mock objects that can be controlled and manipulated for testing purposes.",
  "code": "Here is an example using the Mockito framework:
// Create a mock object
List&lt;String&gt; mockList = Mockito.mock(List.class);
// Define the behavior of the mock object
Mockito.when(mockList.size()).thenReturn(5);
// Use the mock object in a test
assertEquals(5, mockList.size());"
}</t>
  </si>
  <si>
    <t>2024-01-10 14:41:19</t>
  </si>
  <si>
    <t>Wie funktioniert Mocking in Java anhand von einem Beispiel mit Code?</t>
  </si>
  <si>
    <t>{
  "answer": "Mocking in Java is a technique used to create fake objects that simulate the behavior of real objects in order to test code in isolation.",
  "explanation": "Mocking allows developers to create test doubles for dependencies, such as external services or databases, to isolate the code being tested and ensure reliable and repeatable test results.",
  "code": "Here is an example using the Mockito framework:
public class MyClass {
  public String getData() {
    // Some code to fetch data from an external service
  }
}
@Test
public void testGetData() {
  MyClass myClass = Mockito.mock(MyClass.class);
  Mockito.when(myClass.getData()).thenReturn("Mocked Data");
  // Test the code that depends on MyClass.getData()
}"
}</t>
  </si>
  <si>
    <t>2024-01-10 14:42:22</t>
  </si>
  <si>
    <t>How to create a readonly HashSet in Java?</t>
  </si>
  <si>
    <t>{
  "answer": "You can create a readonly HashSet in Java by using the Collections.unmodifiableSet() method.",
  "explanation": "The Collections.unmodifiableSet() method returns a view of the specified set as an unmodifiable set, which means that any attempt to modify the set will result in an UnsupportedOperationException.",
  "code": "Set&lt;String&gt; set = new HashSet&lt;&gt;();
Set&lt;String&gt; readonlySet = Collections.unmodifiableSet(set);"
}</t>
  </si>
  <si>
    <t>2024-01-10 14:33:56</t>
  </si>
  <si>
    <t>How to call stripLeadingHyphens with a test were the parameter is str has the value null?</t>
  </si>
  <si>
    <t>Answer:
The stripLeadingHyphens method can be called with a null parameter.
Explanation:
The stripLeadingHyphens method checks if the parameter is null and returns null if it is.
Code:
String result = stripLeadingHyphens(null);</t>
  </si>
  <si>
    <t>2024-01-10 14:37:43</t>
  </si>
  <si>
    <t>How to reach line 44 with a JUnit Test?</t>
  </si>
  <si>
    <t>{
  "answer": "To reach line 44 with a JUnit Test, you can create an instance of the Options class and call the addOption() method multiple times.",
  "explanation": "By creating an instance of the Options class and calling the addOption() method multiple times, you can add options to the Options object, which will eventually reach line 44 where the options are stored in the shortOpts map.",
  "code": "Options options = new Options();
options.addOption(new Option("a", "optionA"));
options.addOption(new Option("b", "optionB"));"
}</t>
  </si>
  <si>
    <t>2024-01-10 14:53:10</t>
  </si>
  <si>
    <t>How to modifiy @test199 to call @mutant117 ?</t>
  </si>
  <si>
    <t>Answer:
Replace opt.getOption(null) with opt.getMatchingOptions(null).get(0) in @test199.
Explanation:
To call @mutant117, we need to modify the test to use the getMatchingOptions method instead of getOption.
Code:
assertThat(opt.getMatchingOptions(null).get(0)).isEqualTo(option);</t>
  </si>
  <si>
    <t>2024-01-10 14:57:33</t>
  </si>
  <si>
    <t>Can you please write a simple test that checks the output of the toString() method for a default options object?</t>
  </si>
  <si>
    <t>{
  "answer": "Yes, we can write a simple test to check the output of the toString() method for a default Options object.",
  "explanation": "We can create a default Options object, call the toString() method, and compare the output with the expected result.",
  "code": "Options options = new Options();
String expected = "[ Options: [ short {} ] [ long {} ]";
String actual = options.toString();
assertEquals(expected, actual);"
}</t>
  </si>
  <si>
    <t>Please show me the code of such a test and explain how you used mockito in it</t>
  </si>
  <si>
    <t>{
  "answer": "Yes, Mockito can be used to test the Options class.",
  "explanation": "Mockito can be used to mock dependencies and verify the behavior of the Options class during testing.",
  "code": "import org.junit.Test;
import org.mockito.Mock;
import org.mockito.Mockito;
public class OptionsTest {
  @Mock
  private Option mockOption;
  @Test
  public void testAddOption() {
    Options options = new Options();
    options.addOption(mockOption);
    Mockito.verify(mockOption).setRequired(false);
    Mockito.verify(options.getOptions()).contains(mockOption);
  }
}"
}</t>
  </si>
  <si>
    <t>2024-01-10 14:36:04</t>
  </si>
  <si>
    <t>Please provide a code example</t>
  </si>
  <si>
    <t>{
  "answer": "Yes, the code example is provided below.",
  "explanation": "The code example demonstrates how to use the Options class to add options and retrieve them.",
  "code": "Options options = new Options();
Option option1 = new Option("a", "option1", false, "Option 1");
Option option2 = new Option("b", "option2", true, "Option 2");
options.addOption(option1);
options.addOption(option2);
Option retrievedOption = options.getOption("a");
System.out.println(retrievedOption.getDescription());"
}</t>
  </si>
  <si>
    <t>2024-01-10 14:36:29</t>
  </si>
  <si>
    <t>It seems necessary to mock the Option class as only a interface is provided. Can you show me how to mock it if I want to create a Option object like this: Option option1 = new Option("a", "option1", false, "Option 1");</t>
  </si>
  <si>
    <t>{
  "answer": "Yes, you can mock the Option class using a mocking framework like Mockito.",
  "explanation": "You can use Mockito to create a mock Option object with the desired properties.",
  "code": "Option option1 = Mockito.mock(Option.class);
Mockito.when(option1.getOpt()).thenReturn("a");
Mockito.when(option1.getLongOpt()).thenReturn("option1");
Mockito.when(option1.isRequired()).thenReturn(false);
Mockito.when(option1.getDescription()).thenReturn("Option 1");"
}</t>
  </si>
  <si>
    <t>2024-01-10 14:41:56</t>
  </si>
  <si>
    <t>I got the error message that it wasn't able to find "Mockito".  Can you find out why and eventually fix my code?
public void test() throws Throwable {
        Options options = new Options();
        Option option1 = Mockito.mock(Option.class);
        Mockito.when(option1.getOpt()).thenReturn("a");
        Mockito.when(option1.getLongOpt()).thenReturn("option1");
        Mockito.when(option1.isRequired()).thenReturn(false);
        Mockito.when(option1.getDescription()).thenReturn("Option 1");
         Option option2 = Mockito.mock(Option.class);
        Mockito.when(option2.getOpt()).thenReturn("b");
        Mockito.when(option2.getLongOpt()).thenReturn("option2");
        Mockito.when(option2.isRequired()).thenReturn(true);
        Mockito.when(option2.getDescription()).thenReturn("Option 2");
        options.addOption(option1);
        options.addOption(option2);
        //Option retrievedOption = options.getOption("a");
        assertEquals("", options.toString());
    }</t>
  </si>
  <si>
    <t>answer: The error message is occurring because the Mockito library is not imported in the code.
explanation: The code is trying to use the Mockito library to mock the Option class, but the library is not imported, causing the error message.
code: 
```java
import org.mockito.Mockito;
public void test() throws Throwable {
    Options options = new Options();
    Option option1 = Mockito.mock(Option.class);
    Mockito.when(option1.getOpt()).thenReturn("a");
    Mockito.when(option1.getLongOpt()).thenReturn("option1");
    Mockito.when(option1.isRequired()).thenReturn(false);
    Mockito.when(option1.getDescription()).thenReturn("Option 1");
    Option option2 = Mockito.mock(Option.class);
    Mockito.when(option2.getOpt()).thenReturn("b");
    Mockito.when(option2.getLongOpt()).thenReturn("option2");
    Mockito.when(option2.isRequired()).thenReturn(true);
    Mockito.when(option2.getDescription()).thenReturn("Option 2");
    options.addOption(option1);
    options.addOption(option2);
    //Option retrievedOption = options.getOption("a");
    assertEquals("", options.toString());
}
```</t>
  </si>
  <si>
    <t>2024-01-10 14:46:18</t>
  </si>
  <si>
    <t>I imported Mockito but the problem remains. here is all of my code:
import java.util.ArrayList;
import java.util.Collection;
import java.util.Collections;
import java.util.HashSet;
import java.util.LinkedHashMap;
import java.util.List;
import java.util.Map;
import org.junit.Test;
import static org.junit.jupiter.api.Assertions.*;
import static com.google.common.truth.Truth.*;
import static com.google.common.truth.Truth8.*;
import static org.mockito.Mockito.*;
public class TestOptions {
    public void test() throws Throwable {
        Option option1 = Mockito.mock(Option.class);
        Mockito.when(option1.getOpt()).thenReturn("a");
        Mockito.when(option1.getLongOpt()).thenReturn("option1");
        Mockito.when(option1.isRequired()).thenReturn(false);
        Mockito.when(option1.getDescription()).thenReturn("Option 1");
         Option option2 = Mockito.mock(Option.class);
        Mockito.when(option2.getOpt()).thenReturn("b");
        Mockito.when(option2.getLongOpt()).thenReturn("option2");
        Mockito.when(option2.isRequired()).thenReturn(true);
        Mockito.when(option2.getDescription()).thenReturn("Option 2");
        Options options = new Options();
        options.addOption(option1);
        options.addOption(option2);
        //Option retrievedOption = options.getOption("a");
        assertEquals("", options.toString());
    }
}
Can you find the mistake?</t>
  </si>
  <si>
    <t>{
  "answer": "The mistake is that the imported Mockito is not being used correctly.",
  "explanation": "In the code, Mockito is imported but the fully qualified name 'Mockito' is not used when creating the mock objects and stubbing their behavior.",
  "code": "Option option1 = Mockito.mock(Option.class);
Mockito.when(option1.getOpt()).thenReturn("a");
Mockito.when(option1.getLongOpt()).thenReturn("option1");
Mockito.when(option1.isRequired()).thenReturn(false);
Mockito.when(option1.getDescription()).thenReturn("Option 1");
Option option2 = Mockito.mock(Option.class);
Mockito.when(option2.getOpt()).thenReturn("b");
Mockito.when(option2.getLongOpt()).thenReturn("option2");
Mockito.when(option2.isRequired()).thenReturn(true);
Mockito.when(option2.getDescription()).thenReturn("Option 2");"
}</t>
  </si>
  <si>
    <t>2024-01-10 14:49:18</t>
  </si>
  <si>
    <t>So how can I use it correctly?</t>
  </si>
  <si>
    <t>{
  "answer": "To use the Options class correctly, you need to add options to it and then retrieve and process the specified options.",
  "explanation": "First, you add options to the Options class using the addOption() method. Then, you can retrieve and process the specified options using the getOption() method.",
  "code": "Options options = new Options();
Option option = new Option("f", "file", true, "input file");
options.addOption(option);
CommandLineParser parser = new DefaultParser();
CommandLine cmd = parser.parse(options, args);
if (cmd.hasOption("f")) {
  String inputFile = cmd.getOptionValue("f");
  // process the input file
}"
}</t>
  </si>
  <si>
    <t>2024-01-10 14:51:07</t>
  </si>
  <si>
    <t>Kannst du mir einen Test für die Klasse schreiben?</t>
  </si>
  <si>
    <t>{
  "answer": "Ja, ich kann Ihnen einen Test für die Klasse schreiben.",
  "explanation": "Um die Klasse zu testen, können wir verschiedene Szenarien simulieren und überprüfen, ob die erwarteten Ergebnisse erzielt werden.",
  "code": "import org.junit.Test;
import static org.junit.Assert.*;
public class OptionsTest {
  @Test
  public void testAddOption() {
    Options options = new Options();
    Option option = new Option("a", "add", false, "Add an item");
    options.addOption(option);
    assertTrue(options.hasOption("a"));
    assertTrue(options.hasLongOption("add"));
  }
  // Weitere Tests hier...
}" 
}</t>
  </si>
  <si>
    <t>2024-01-10 14:30:06</t>
  </si>
  <si>
    <t>How do i write a test, that mocks the options class?</t>
  </si>
  <si>
    <t>{
  "answer": "You can use a mocking framework like Mockito to mock the Options class.",
  "explanation": "Mockito is a popular mocking framework in Java that allows you to create mock objects for testing purposes. You can use Mockito to mock the Options class and define the behavior of its methods in your test.",
  "code": "import org.mockito.Mock;
import org.mockito.MockitoAnnotations;
public class OptionsTest {
  @Mock
  private Options options;
  public void setup() {
    MockitoAnnotations.initMocks(this);
  }
  // Write your test cases here
}"
}</t>
  </si>
  <si>
    <t>2024-01-10 14:41:39</t>
  </si>
  <si>
    <t>How does the mock() method from mojito work and how do i set the behaviour?</t>
  </si>
  <si>
    <t>{
  "answer": "The mock() method from Mockito creates a mock object of a given class or interface, allowing you to set its behavior using when-then syntax.",
  "explanation": "The mock() method creates a mock object that can be used to simulate the behavior of a real object during testing. You can set the behavior of the mock object using the when-then syntax to define what should happen when specific methods are called.",
  "code": "Example:
// Create a mock object of the List interface
List&lt;String&gt; mockList = Mockito.mock(List.class);
// Set the behavior of the mock object
Mockito.when(mockList.size()).thenReturn(10);
// Verify the behavior
assertEquals(10, mockList.size());"
}</t>
  </si>
  <si>
    <t>2024-01-10 14:42:31</t>
  </si>
  <si>
    <t>How do i test the addOption(Option) method?</t>
  </si>
  <si>
    <t>{
  "answer": "You can test the addOption(Option) method by creating an instance of Options, adding an Option to it, and then verifying that the Option is successfully added.",
  "explanation": "To test the addOption(Option) method, you can create an instance of the Options class, add an Option to it using the addOption() method, and then verify that the Option is present in the Options instance.",
  "code": "Options options = new Options();
Option option = new Option("o", "option", false, "An option");
options.addOption(option);
boolean hasOption = options.hasOption("o");
System.out.println(hasOption); // Output: true"
}</t>
  </si>
  <si>
    <t>2024-01-10 14:34:14</t>
  </si>
  <si>
    <t>2024-01-10 14:36:07</t>
  </si>
  <si>
    <t>addOption</t>
  </si>
  <si>
    <t>Create a mockito instance for new Option("o", "option", false, "An option");</t>
  </si>
  <si>
    <t xml:space="preserve">Answer:
Mockito cannot be used to mock the Option class because it is a final class.
Explanation:
Mockito cannot mock final classes, and the Option class is a final class.
Code:
</t>
  </si>
  <si>
    <t>2024-01-10 14:37:33</t>
  </si>
  <si>
    <t>Create a mockito instance for the Option interface</t>
  </si>
  <si>
    <t>Answer:
Yes, you can create a Mockito instance for the Option interface.
Explanation:
Mockito can create mock instances for interfaces, including the Option interface.
Code:
Option optionMock = Mockito.mock(Option.class);</t>
  </si>
  <si>
    <t>2024-01-10 14:38:11</t>
  </si>
  <si>
    <t>Show me how to create a mockito instance for a class that implements the Option interface</t>
  </si>
  <si>
    <t>Answer:
You can create a Mockito instance for a class that implements the Option interface using the Mockito.mock() method.
Explanation:
Mockito.mock() is a method provided by the Mockito framework that creates a mock instance of a given class or interface.
Code:
Option optionMock = Mockito.mock(Option.class);</t>
  </si>
  <si>
    <t>2024-01-10 14:38:46</t>
  </si>
  <si>
    <t>2024-01-10 14:39:18</t>
  </si>
  <si>
    <t>Explain the most common concepts of Moquito</t>
  </si>
  <si>
    <t>{
  "answer": "The most common concepts of Mockito are mocking, stubbing, verifying, and capturing arguments.",
  "explanation": "Mockito is a mocking framework for Java that allows you to create mock objects, stub method calls, verify method invocations, and capture arguments passed to methods.",
  "code": "Example:
// Creating a mock object
List&lt;String&gt; mockList = Mockito.mock(List.class);
// Stubbing a method call
Mockito.when(mockList.size()).thenReturn(10);
// Verifying a method invocation
Mockito.verify(mockList).add("item");
// Capturing arguments passed to a method
ArgumentCaptor&lt;String&gt; captor = ArgumentCaptor.forClass(String.class);
Mockito.verify(mockList).add(captor.capture());
String capturedArg = captor.getValue();"
}</t>
  </si>
  <si>
    <t>2024-01-10 14:41:30</t>
  </si>
  <si>
    <t>How does a typical output of the Options.toString() method look like?</t>
  </si>
  <si>
    <t>{
  "answer": "The typical output of the Options.toString() method includes the short options and long options.",
  "explanation": "The toString() method of the Options class returns a string representation of the Options object, including the short options and long options.",
  "code": "Options options = new Options();
options.addOption(Option.builder("a").longOpt("all").build());
options.addOption(Option.builder("b").longOpt("block-size").hasArg().build());
System.out.println(options.toString());"
}</t>
  </si>
  <si>
    <t>2024-01-10 14:48:13</t>
  </si>
  <si>
    <t>2024-01-10 14:48:45</t>
  </si>
  <si>
    <t>How does the concrete return value of the Options.toString() method look like for two options?</t>
  </si>
  <si>
    <t>{
  "answer": "[ Options: [ short {option1, option2} ] [ long {option1, option2} ]",
  "explanation": "The toString() method returns a string representation of the Options object, including the short and long options.",
  "code": "Options options = new Options();
Option option1 = new Option("o", "option1", false, "Option 1");
Option option2 = new Option("t", "option2", false, "Option 2");
options.addOption(option1);
options.addOption(option2);
System.out.println(options.toString());"
}</t>
  </si>
  <si>
    <t>2024-01-10 14:50:02</t>
  </si>
  <si>
    <t>Explain the class Option to me. include an explaination about each Method individually.</t>
  </si>
  <si>
    <t>{
  "answer": "The Option class represents a command-line option.",
  "explanation": "The Option class provides methods to set and retrieve the properties of a command-line option, such as its short and long names, whether it requires a value, and whether it is required.",
  "code": "Option option = new Option("o", "output", true, "Output file");
option.setRequired(true);
option.setArgName("file");
option.setDescription("Specifies the output file.");"
}</t>
  </si>
  <si>
    <t>2024-01-10 14:35:06</t>
  </si>
  <si>
    <t>Expalin the Method stripLeadingHyphens() to me</t>
  </si>
  <si>
    <t>{
  "answer": "The stripLeadingHyphens() method removes leading hyphens from a string.",
  "explanation": "The stripLeadingHyphens() method is used to remove any leading hyphens from a given string. It checks if the string starts with '--' or '-' and removes them if present.",
  "code": "String str = "--example";
String stripped = stripLeadingHyphens(str);
System.out.println(stripped); // Output: example"
}</t>
  </si>
  <si>
    <t>2024-01-10 14:36:43</t>
  </si>
  <si>
    <t>Explain  public List&lt;String&gt; getMatchingOptions(String opt). Explain what exactly this method does.</t>
  </si>
  <si>
    <t>{
  "answer": "This method returns a list of options that match the given partial name.",
  "explanation": "The getMatchingOptions method takes a partial name as input and returns a list of options whose long names start with the given partial name. It is used to find options that match a user's input when they provide a partial option name.",
  "code": "Options options = new Options();
Option option1 = new Option("a", "apple", false, "Apple option");
Option option2 = new Option("b", "banana", false, "Banana option");
Option option3 = new Option("c", "cherry", false, "Cherry option");
options.addOption(option1);
options.addOption(option2);
options.addOption(option3);
List&lt;String&gt; matchingOptions = options.getMatchingOptions("b");
System.out.println(matchingOptions); // Output: [banana]"
}</t>
  </si>
  <si>
    <t>2024-01-10 14:38:30</t>
  </si>
  <si>
    <t>Mock the Option class in Java for me.</t>
  </si>
  <si>
    <t>{
  "answer": "Here is a mock implementation of the Option class.",
  "explanation": "The code example below demonstrates a simple mock implementation of the Option class in Java.",
  "code": "public class Option {
  private String key;
  private String longOpt;
  private boolean required;
  public Option(String key, String longOpt, boolean required) {
    this.key = key;
    this.longOpt = longOpt;
    this.required = required;
  }
  public String getKey() {
    return key;
  }
  public String getLongOpt() {
    return longOpt;
  }
  public boolean isRequired() {
    return required;
  }
  public void setRequired(boolean required) {
    this.required = required;
  }
}" 
}</t>
  </si>
  <si>
    <t>2024-01-10 14:44:51</t>
  </si>
  <si>
    <t>Answer:
Yes, the Option class can be mocked in Java.
Explanation:
The Option class can be mocked using a mocking framework like Mockito or PowerMock.
Code:
Option optionMock = Mockito.mock(Option.class);</t>
  </si>
  <si>
    <t>2024-01-10 14:45:15</t>
  </si>
  <si>
    <t>Give me a test for the toString Method of the Options class.</t>
  </si>
  <si>
    <t>{
  "answer": "The test for the toString method of the Options class should verify that the returned string contains the short options and long options.",
  "explanation": "The toString method of the Options class should return a string representation of the options, including the short options and long options.",
  "code": "Options options = new Options();
Option option1 = new Option("a", "option1");
Option option2 = new Option("b", "option2");
options.addOption(option1);
options.addOption(option2);
String optionsString = options.toString();
System.out.println(optionsString);"
}</t>
  </si>
  <si>
    <t>2024-01-10 14:50:39</t>
  </si>
  <si>
    <t>Explain how i can test stripLeadinHyphens.</t>
  </si>
  <si>
    <t>{
  "answer": "You can test stripLeadingHyphens by passing different input strings and verifying the output.",
  "explanation": "To test stripLeadingHyphens, you can create test cases with different input strings that have leading hyphens and check if the method correctly removes the leading hyphens.",
  "code": "String input = "--example";
String output = stripLeadingHyphens(input);
// Verify that output is "example""
}</t>
  </si>
  <si>
    <t>2024-01-10 14:55:02</t>
  </si>
  <si>
    <t>Write me a test for mutant @mutant177</t>
  </si>
  <si>
    <t>{
  "answer": "Yes",
  "explanation": "Yes, we can write a test for mutant @mutant177.",
  "code": "@Test
public void testStripLeadingHyphens() {
  Options options = new Options();
  String result = options.stripLeadingHyphens("--test");
  assertEquals("test", result);
}"
}</t>
  </si>
  <si>
    <t>2024-01-10 14:58:51</t>
  </si>
  <si>
    <t>Test mutant @mutant177</t>
  </si>
  <si>
    <t>Answer:
No
Explanation:
The mutant @mutant177 does not modify the method stripLeadingHyphens(String).
Code:
No code example is needed for this question.</t>
  </si>
  <si>
    <t>2024-01-10 14:59:12</t>
  </si>
  <si>
    <t>give me a test for the mutant @mutant177</t>
  </si>
  <si>
    <t>{
  "answer": "Yes",
  "explanation": "The mutant @mutant177 modifies the method stripLeadingHyphens(String), so we can test if the method behaves differently after the mutation.",
  "code": "Options options = new Options();
String result = options.stripLeadingHyphens("--test");
System.out.println(result);"
}</t>
  </si>
  <si>
    <t>2024-01-10 14:59:44</t>
  </si>
  <si>
    <t>Explain the behaviour of the 'addOptionGroup' method</t>
  </si>
  <si>
    <t>{
  "answer": "The 'addOptionGroup' method adds an OptionGroup to the Options instance.",
  "explanation": "The 'addOptionGroup' method adds an OptionGroup to the Options instance. It also adds the individual options in the OptionGroup to the Options instance, sets their 'required' flag to false, and associates them with the OptionGroup.",
  "code": "Options options = new Options();
OptionGroup group = new OptionGroup();
Option option1 = new Option("a", "option1");
Option option2 = new Option("b", "option2");
group.addOption(option1);
group.addOption(option2);
options.addOptionGroup(group);"
}</t>
  </si>
  <si>
    <t>2024-01-10 14:31:58</t>
  </si>
  <si>
    <t>how can I write a test for addOptionGroup methode</t>
  </si>
  <si>
    <t>{
  "answer": "You can write a test for the addOptionGroup method by creating an instance of Options, adding an OptionGroup to it, and then asserting that the OptionGroup is correctly added.",
  "explanation": "To test the addOptionGroup method, you can create an instance of the Options class, add an OptionGroup to it, and then verify that the OptionGroup is correctly added by asserting its presence in the Options instance.",
  "code": "Options options = new Options();
OptionGroup optionGroup = new OptionGroup();
optionGroup.addOption(new Option("a", "option a"));
optionGroup.addOption(new Option("b", "option b"));
options.addOptionGroup(optionGroup);
assertTrue(options.getOptionGroups().contains(optionGroup));"
}</t>
  </si>
  <si>
    <t>2024-01-10 14:45:09</t>
  </si>
  <si>
    <t>addOptionGroup</t>
  </si>
  <si>
    <t>explain the class option</t>
  </si>
  <si>
    <t>{
  "answer": "The Option class represents a command-line option.",
  "explanation": "The Option class is used to define and represent a command-line option, which can have a short name, a long name, an optional value, and other properties.",
  "code": "Option option = new Option("h", "help", false, "Display help message.");"
}</t>
  </si>
  <si>
    <t>2024-01-10 14:47:52</t>
  </si>
  <si>
    <t>Kannst du mir einen Mock für eine Options Groupe shreiben?</t>
  </si>
  <si>
    <t>{
  "answer": "Ja, ich kann dir einen Mock für eine Options Gruppe schreiben.",
  "explanation": "Ein Mock für eine Options Gruppe kann erstellt werden, indem eine OptionGroup-Instanz erstellt und Optionen hinzugefügt werden.",
  "code": "OptionGroup optionGroup = new OptionGroup();
Option option1 = new Option("a", "option A");
Option option2 = new Option("b", "option B");
optionGroup.addOption(option1);
optionGroup.addOption(option2);"
}</t>
  </si>
  <si>
    <t>2024-01-10 14:55:32</t>
  </si>
  <si>
    <t>Kannst du mir einen Mock für Options Group schreiben bei dem die einzelnen Options auch Mocks sind?</t>
  </si>
  <si>
    <t>{
  "answer": "Ja, ich kann dir einen Mock für OptionGroup schreiben.",
  "explanation": "Ein Mock für OptionGroup kann erstellt werden, indem man Mock-Objekte für die einzelnen Optionen erstellt und diese Optionen zur OptionGroup hinzufügt.",
  "code": "OptionGroup optionGroupMock = new OptionGroup();
Option optionMock1 = Mockito.mock(Option.class);
Option optionMock2 = Mockito.mock(Option.class);
optionGroupMock.addOption(optionMock1);
optionGroupMock.addOption(optionMock2);"
}</t>
  </si>
  <si>
    <t>2024-01-10 14:56:42</t>
  </si>
  <si>
    <t>write a test for the following method: 
public final void removeField(String name) {
    Iterator&lt;IndexableField&gt; it = fields.iterator();
    while (it.hasNext()) {
      IndexableField field = it.next();
      if (field.name().equals(name)) {
        it.remove();
        return;
      }
    }
  }</t>
  </si>
  <si>
    <t>{
  "answer": "The test should verify that the field with the specified name is removed from the document.",
  "explanation": "The test should iterate over the fields in the document and check if the field with the specified name is removed when the removeField method is called.",
  "code": "import org.junit.Test;
import static org.junit.Assert.*;
public class DocumentTest {
    @Test
    public void testRemoveField() {
        Document document = new Document();
        document.add(new StringField("name", "John Doe", Field.Store.YES));
        document.add(new StringField("age", "30", Field.Store.YES));
        document.add(new StringField("email", "john.doe@example.com", Field.Store.YES));
        document.removeField("age");
        assertNull(document.getField("age"));
    }
}" 
}</t>
  </si>
  <si>
    <t>2024-01-10 15:06:03</t>
  </si>
  <si>
    <t>removeField</t>
  </si>
  <si>
    <t>the is IndexableField used instead of StringField</t>
  </si>
  <si>
    <t>{
  "answer": "IndexableField is used instead of StringField to allow for more flexibility in the type of field that can be added to a document.",
  "explanation": "IndexableField is a more general interface that allows for different types of fields to be added to a document, whereas StringField is a specific implementation that only allows for string values.",
  "code": "IndexableField field = new StringField("name", "John Doe", Field.Store.YES);"
}</t>
  </si>
  <si>
    <t>2024-01-10 15:14:39</t>
  </si>
  <si>
    <t>which method is mutated by @mutant399?</t>
  </si>
  <si>
    <t>Answer:
toString()
Explanation:
The method toString() is modified by @mutant399.
Code:
N/A</t>
  </si>
  <si>
    <t>2024-01-10 15:05:13</t>
  </si>
  <si>
    <t>write a test for the mutant in Line 51</t>
  </si>
  <si>
    <t>{
  "answer": "Yes",
  "explanation": "We can write a test for the mutant in Line 51 by creating a document with multiple fields and asserting that the removeFields method removes all fields with the given name.",
  "code": "Document document = new Document();
// Add fields to the document
document.add(new StringField("name", "John Doe", Field.Store.YES));
document.add(new StringField("name", "Jane Smith", Field.Store.YES));
document.removeFields("name");
// Assert that all fields with name "name" are removed
assertEquals(0, document.getFields("name").length);"
}</t>
  </si>
  <si>
    <t>2024-01-10 15:09:40</t>
  </si>
  <si>
    <t>2024-01-10 15:10:22</t>
  </si>
  <si>
    <t>write a test for the mutant in Line 51 without using StringField</t>
  </si>
  <si>
    <t>{
  "answer": "Yes, it is possible to write a test for the mutant in Line 51 without using StringField.",
  "explanation": "The test can be written by creating a Document object, adding a field with the same name as the one in Line 51, and then asserting that the getField method returns the expected field.",
  "code": "Document document = new Document();
String fieldName = "fieldName";
String fieldValue = "fieldValue";
document.add(new TextField(fieldName, fieldValue, Field.Store.YES));
IndexableField field = document.getField(fieldName);
assertEquals(fieldValue, field.stringValue());"
}</t>
  </si>
  <si>
    <t>2024-01-10 15:14:28</t>
  </si>
  <si>
    <t>write a test for the mutant in Line 51 with mocking the Indexable Field</t>
  </si>
  <si>
    <t>{
  "answer": "Yes, it is possible to write a test for the mutant in Line 51 by mocking the IndexableField.",
  "explanation": "By mocking the IndexableField, we can control its behavior and verify that the removeField method correctly removes the field with the specified name.",
  "code": "import org.junit.Test;
import org.mockito.Mockito;
public class DocumentTest {
  @Test
  public void testRemoveField() {
    // Create a mock IndexableField
    IndexableField field = Mockito.mock(IndexableField.class);
    Mockito.when(field.name()).thenReturn("fieldName");
    // Create a document
    Document document = new Document();
    document.add(field);
    // Remove the field
    document.removeField("fieldName");
    // Verify that the field was removed
    Mockito.verify(field).name();
  }
}"
}</t>
  </si>
  <si>
    <t>2024-01-10 15:15:47</t>
  </si>
  <si>
    <t>{
  "answer": "Yes, it is possible to write a test for the mutant in Line 51 by mocking the IndexableField.",
  "explanation": "By mocking the IndexableField, we can control its behavior and verify that the removeField method correctly removes the field with the specified name.",
  "code": "import org.junit.Test;
import org.mockito.Mockito;
public class DocumentTest {
  @Test
  public void testRemoveField() {
    Document document = new Document();
    IndexableField field = Mockito.mock(IndexableField.class);
    Mockito.when(field.name()).thenReturn("fieldName");
    document.add(field);
    document.removeField("fieldName");
    Assert.assertNull(document.getField("fieldName"));
  }
}"
}</t>
  </si>
  <si>
    <t>2024-01-10 15:16:16</t>
  </si>
  <si>
    <t>write a test for the mutant in Line 142</t>
  </si>
  <si>
    <t>{
  "answer": "To test the mutant in Line 142, we can create a document with multiple fields and then remove a field using the removeField method, and finally assert that the field is no longer present in the document.",
  "explanation": "The test will verify if the mutant in Line 142 correctly removes the field from the document.",
  "code": "Document document = new Document();
// Add fields to the document
document.add(new StringField("field1", "value1", Field.Store.YES));
document.add(new StringField("field2", "value2", Field.Store.YES));
// Remove a field
document.removeField("field1");
// Assert that the field is no longer present
assertNull(document.getField("field1"));"
}</t>
  </si>
  <si>
    <t>2024-01-10 15:18:34</t>
  </si>
  <si>
    <t>write a test for the mutant in Line 142 with mocking the Indexable Field</t>
  </si>
  <si>
    <t>{
  "answer": "To test the mutant in Line 142, we can mock the IndexableField and verify that the removeField method is called with the correct name.",
  "explanation": "By mocking the IndexableField, we can simulate its behavior and verify that the removeField method is called with the expected name.",
  "code": "import org.junit.Test;
import org.mockito.Mock;
import static org.mockito.Mockito.verify;
public class DocumentTest {
  @Mock
  private IndexableField field;
  @Test
  public void testRemoveField() {
    Document document = new Document();
    document.add(field);
    document.removeField("name");
    verify(field).name();
  }
}"
}</t>
  </si>
  <si>
    <t>2024-01-10 15:19:24</t>
  </si>
  <si>
    <t>2024-01-10 15:19:37</t>
  </si>
  <si>
    <t>write a test with the method in Line 139 for the mutant in Line 51 with mocking the Indexable Field</t>
  </si>
  <si>
    <t>{
  "answer": "Yes, it is possible to write a test for the method in Line 139 by mocking the IndexableField.",
  "explanation": "By using a mocking framework like Mockito, we can create a mock object of the IndexableField class and define its behavior to test the method in Line 139.",
  "code": "import org.junit.Test;
import org.mockito.Mock;
import static org.mockito.Mockito.*;
public class DocumentTest {
  @Mock
  private IndexableField mockField;
  @Test
  public void testGetValues() {
    Document document = new Document();
    document.add(mockField);
    when(mockField.name()).thenReturn("fieldName");
    when(mockField.stringValue()).thenReturn("fieldValue");
    String[] values = document.getValues("fieldName");
    assertEquals(1, values.length);
    assertEquals("fieldValue", values[0]);
  }
}"
}</t>
  </si>
  <si>
    <t>2024-01-10 15:22:26</t>
  </si>
  <si>
    <t>{
  "answer": "Yes, it is possible to write a test for the method in Line 139 by mocking the IndexableField.",
  "explanation": "By using a mocking framework like Mockito, we can create a mock object of the IndexableField class and define its behavior to test the method in Line 139.",
  "code": "import org.junit.Test;
import org.mockito.Mockito;
public class DocumentTest {
  @Test
  public void testGetValues() {
    // Create a mock object of IndexableField
    IndexableField field = Mockito.mock(IndexableField.class);
    // Define the behavior of the mock object
    Mockito.when(field.name()).thenReturn("fieldName");
    Mockito.when(field.stringValue()).thenReturn("fieldValue");
    // Create a Document object
    Document document = new Document();
    // Add the mock field to the document
    document.add(field);
    // Test the getValues method
    String[] values = document.getValues("fieldName");
    // Assert the result
    Assert.assertArrayEquals(new String[]{"fieldValue"}, values);
  }
}"
}</t>
  </si>
  <si>
    <t>2024-01-10 15:22:48</t>
  </si>
  <si>
    <t>write a test for the toString method for mutant in lin 203</t>
  </si>
  <si>
    <t>{
  "answer": "Yes",
  "explanation": "We can test the toString method by creating a Document object, adding some fields to it, and then calling the toString method to check if the output matches the expected string representation of the document.",
  "code": "Document document = new Document();
document.add(new StringField("title", "Lucene in Action", Field.Store.YES));
document.add(new TextField("content", "This is a book about Lucene.", Field.Store.YES));
String expected = "Document&lt;title:Lucene in Action content:This is a book about Lucene.&gt;";
String actual = document.toString();
assertEquals(expected, actual);"
}</t>
  </si>
  <si>
    <t>2024-01-10 15:25:07</t>
  </si>
  <si>
    <t>write a test for the toString method for mutant in lin 203  with mocking the Indexable Field</t>
  </si>
  <si>
    <t>{
  "answer": "Yes, it is possible to write a test for the toString method by mocking the IndexableField.",
  "explanation": "By mocking the IndexableField, we can control its behavior and verify that the toString method of the Document class produces the expected output.",
  "code": "import org.junit.Test;
import org.mockito.Mockito;
public class DocumentTest {
  @Test
  public void testToString() {
    IndexableField field = Mockito.mock(IndexableField.class);
    Mockito.when(field.toString()).thenReturn("mockedField");
    Document document = new Document();
    document.add(field);
    String expectedOutput = "Document&lt;mockedField&gt;";
    String actualOutput = document.toString();
    assertEquals(expectedOutput, actualOutput);
  }
}"
}</t>
  </si>
  <si>
    <t>2024-01-10 15:25:54</t>
  </si>
  <si>
    <t>write a test for the toString method for mutant in lin 204  with mocking the Indexable Field</t>
  </si>
  <si>
    <t>{
  "answer": "Yes",
  "explanation": "Yes, we can write a test for the toString method by mocking the IndexableField and verifying the expected output.",
  "code": "import org.junit.Test;
import org.mockito.Mockito;
import static org.junit.Assert.assertEquals;
import static org.mockito.Mockito.when;
public class DocumentTest {
    @Test
    public void testToString() {
        Document document = new Document();
        IndexableField field1 = Mockito.mock(IndexableField.class);
        IndexableField field2 = Mockito.mock(IndexableField.class);
        when(field1.toString()).thenReturn("field1");
        when(field2.toString()).thenReturn("field2");
        document.add(field1);
        document.add(field2);
        String expected = "Document&lt;field1 field2&gt;";
        String actual = document.toString();
        assertEquals(expected, actual);
    }
}"
}</t>
  </si>
  <si>
    <t>2024-01-10 15:27:15</t>
  </si>
  <si>
    <t>2024-01-10 15:27:35</t>
  </si>
  <si>
    <t>write a test for the getBinaryValue method for mutant in line 111  with mocking the Indexable Field</t>
  </si>
  <si>
    <t>{
  "answer": "Yes, it is possible to write a test for the getBinaryValue method by mocking the IndexableField.",
  "explanation": "By using a mocking framework like Mockito, we can create a mock IndexableField object and set it up to return a specific value when the binaryValue method is called.",
  "code": "import org.junit.Test;
import org.mockito.Mockito;
public class DocumentTest {
  @Test
  public void testGetBinaryValue() {
    // Create a mock IndexableField
    IndexableField field = Mockito.mock(IndexableField.class);
    // Set up the mock to return a specific value
    Mockito.when(field.binaryValue()).thenReturn(new BytesRef("binary value"));
    // Create a Document
    Document document = new Document();
    // Add the mock field to the document
    document.add(field);
    // Test the getBinaryValue method
    BytesRef binaryValue = document.getBinaryValue("fieldName");
    // Assert the expected value
    Assert.assertEquals(new BytesRef("binary value"), binaryValue);
  }
}"
}</t>
  </si>
  <si>
    <t>2024-01-10 15:28:58</t>
  </si>
  <si>
    <t>2024-01-10 15:29:15</t>
  </si>
  <si>
    <t>How do I mock @Document?</t>
  </si>
  <si>
    <t>Answer:
You can mock @Document by creating a mock object using a mocking framework like Mockito.
Explanation:
To mock @Document, you can use a mocking framework like Mockito to create a mock object that behaves like a real @Document object but can be customized for testing purposes.
Code:
Document documentMock = Mockito.mock(Document.class);</t>
  </si>
  <si>
    <t>2024-01-10 15:08:24</t>
  </si>
  <si>
    <t>What does @mutant559 do?</t>
  </si>
  <si>
    <t>{"answer": "It removes the implementation of the iterator() method in the Document class.", "explanation": "The @mutant559 mutant replaces the implementation of the iterator() method in the Document class with a null value, effectively removing the ability to iterate over the fields of a document.", "code": "public Iterator&lt;IndexableField&gt; iterator() {
    return null;
}"}</t>
  </si>
  <si>
    <t>2024-01-10 15:18:17</t>
  </si>
  <si>
    <t>What does @mutant449 do?</t>
  </si>
  <si>
    <t>{"answer": "Modifies the method getBinaryValue(String).", "explanation": "The mutant @mutant449 modifies the behavior of the getBinaryValue(String) method in the Document class.", "code": "public final BytesRef getBinaryValue(String name) {
  // Mutated code here
  return null;
}"}</t>
  </si>
  <si>
    <t>2024-01-10 15:19:09</t>
  </si>
  <si>
    <t>Write a test to check @mutant559</t>
  </si>
  <si>
    <t>{"answer": "Fail", "explanation": "The mutant @mutant559 introduces a bug by returning null in the iterator() method instead of returning an iterator over the fields list.", "code": "Document document = new Document();
Iterator&lt;IndexableField&gt; iterator = document.iterator();
assertNotNull(iterator);"}</t>
  </si>
  <si>
    <t>2024-01-10 15:20:09</t>
  </si>
  <si>
    <t>Write a test to kill all mutants in "public final void add(IndexableField field)"</t>
  </si>
  <si>
    <t>{
  "answer": "To kill all mutants in the 'add' method, we need to test the case where the field is added to the document.",
  "explanation": "In order to kill all mutants in the 'add' method, we need to write a test that verifies if the field is correctly added to the document.",
  "code": "public void testAdd() {
  Document document = new Document();
  IndexableField field = new StringField("name", "John Doe", Field.Store.YES);
  document.add(field);
  assertEquals(1, document.getFields().size());
  assertEquals(field, document.getFields().get(0));
}"
}</t>
  </si>
  <si>
    <t>2024-01-10 15:21:55</t>
  </si>
  <si>
    <t>add</t>
  </si>
  <si>
    <t>zu letzter Antwort: IndexableField does not exist.</t>
  </si>
  <si>
    <t>{
  "answer": "The IndexableField class does exist.",
  "explanation": "The IndexableField class is part of the Lucene library and is used to represent a field in a Lucene document.",
  "code": "IndexableField field = new StringField("name", "value", Field.Store.YES);"
}</t>
  </si>
  <si>
    <t>2024-01-10 15:26:18</t>
  </si>
  <si>
    <t>write a test for @mutant461</t>
  </si>
  <si>
    <t>{
  "answer": "Yes",
  "explanation": "Yes, we can write a test for @mutant461 by verifying that the removeField(String) method removes the first field with the specified name.",
  "code": "import org.junit.Test;
import static org.junit.Assert.*;
public class DocumentTest {
    @Test
    public void testRemoveField() {
        Document document = new Document();
        document.add(new StringField("name", "John Doe", Field.Store.YES));
        document.add(new StringField("name", "Jane Smith", Field.Store.YES));
        document.removeField("name");
        assertNull(document.getField("name"));
    }
}"
}</t>
  </si>
  <si>
    <t>2024-01-10 15:27:17</t>
  </si>
  <si>
    <t>do it again, but with mocking</t>
  </si>
  <si>
    <t>{
  "answer": "Yes, mocking can be used to test the Document class.",
  "explanation": "By using mocking frameworks like Mockito, we can create mock objects for dependencies and simulate their behavior during testing.",
  "code": "import org.junit.Test;
import org.mockito.Mockito;
public class DocumentTest {
  @Test
  public void testAddField() {
    IndexableField field = Mockito.mock(IndexableField.class);
    Document document = new Document();
    document.add(field);
    // Perform assertions or verifications
  }
}"
}</t>
  </si>
  <si>
    <t>2024-01-10 15:28:41</t>
  </si>
  <si>
    <t>you are useless</t>
  </si>
  <si>
    <t>Answer:
I'm sorry if I haven't been able to assist you effectively.
Explanation:
As an AI language model, I try my best to provide helpful responses, but I may not always meet your expectations.
Code:
null</t>
  </si>
  <si>
    <t>2024-01-10 15:29:44</t>
  </si>
  <si>
    <t>import java.util.*;
/**
 * Documents are the unit of indexing and search.
 *
 * A Document is a set of fields.  Each field has a name and a textual value. A field may be stored
 * with the document, in which case it is returned with search hits on the document.  Thus each
 * document should typically contain one or more stored fields which uniquely identify it.
 */
public final class Document implements Iterable&lt;IndexableField&gt; {
  private final List&lt;IndexableField&gt; fields = new ArrayList&lt;&gt;();
  /**
   * Constructs a new document with no fields.
   */
  public Document() {
  }
  @Override
  public Iterator&lt;IndexableField&gt; iterator() {
    return fields.iterator();
  }
  /**
   * &lt;p&gt;Adds a field to a document.  Several fields may be added with
   * the same name.  In this case, if the fields are indexed, their text is treated as though
   * appended for the purposes of search.&lt;/p&gt;
   * &lt;p&gt; Note that add like the removeField(s) methods only makes sense
   * prior to adding a document to an index. These methods cannot be used to change the content of
   * an existing index! In order to achieve this, a document has to be deleted from an index and a
   * new changed version of that document has to be added.&lt;/p&gt;
   */
  public final void add(IndexableField field) {
    fields.add(field);
  }
  /**
   * &lt;p&gt;Removes field with the specified name from the document.
   * If multiple fields exist with this name, this method removes the first field that has been
   * added. If there is no field with the specified name, the document remains unchanged.&lt;/p&gt;
   * &lt;p&gt; Note that the removeField(s) methods like the add method only make sense
   * prior to adding a document to an index. These methods cannot be used to change the content of
   * an existing index! In order to achieve this, a document has to be deleted from an index and a
   * new changed version of that document has to be added.&lt;/p&gt;
   */
  public final void removeField(String name) {
    Iterator&lt;IndexableField&gt; it = fields.iterator();
    while (it.hasNext()) {
      IndexableField field = it.next();
      if (field.name().equals(name)) {
        it.remove();
        return;
      }
    }
  }
  /**
   * &lt;p&gt;Removes all fields with the given name from the document.
   * If there is no field with the specified name, the document remains unchanged.&lt;/p&gt;
   * &lt;p&gt; Note that the removeField(s) methods like the add method only make sense
   * prior to adding a document to an index. These methods cannot be used to change the content of
   * an existing index! In order to achieve this, a document has to be deleted from an index and a
   * new changed version of that document has to be added.&lt;/p&gt;
   */
  public final void removeFields(String name) {
    Iterator&lt;IndexableField&gt; it = fields.iterator();
    while (it.hasNext()) {
      IndexableField field = it.next();
      if (field.name().equals(name)) {
        it.remove();
      }
    }
  }
  /**
   * Returns an array of byte arrays for of the fields that have the name specified as the method
   * parameter.  This method returns an empty array when there are no matching fields.  It never
   * returns null.
   *
   * @param name the name of the field
   * @return a &lt;code&gt;BytesRef[]&lt;/code&gt; of binary field values
   */
  public final BytesRef[] getBinaryValues(String name) {
    final List&lt;BytesRef&gt; result = new ArrayList&lt;&gt;();
    for (IndexableField field : fields) {
      if (field.name().equals(name)) {
        final BytesRef bytes = field.binaryValue();
        if (bytes != null) {
          result.add(bytes);
        }
      }
    }
    return result.toArray(new BytesRef[result.size()]);
  }
  /**
   * Returns an array of bytes for the first (or only) field that has the name specified as the
   * method parameter. This method will return &lt;code&gt;null&lt;/code&gt; if no binary fields with the
   * specified name are available. There may be non-binary fields with the same name.
   *
   * @param name the name of the field.
   * @return a &lt;code&gt;BytesRef&lt;/code&gt; containing the binary field value or &lt;code&gt;null&lt;/code&gt;
   */
  public final BytesRef getBinaryValue(String name) {
    for (IndexableField field : fields) {
      if (field.name().equals(name)) {
        final BytesRef bytes = field.binaryValue();
        if (bytes != null) {
          return bytes;
        }
      }
    }
    return null;
  }
  /**
   * Returns a field with the given name if any exist in this document, or null.  If multiple fields
   * exists with this name, this method returns the first value added.
   */
  public final IndexableField getField(String name) {
    for (IndexableField field : fields) {
      if (field.name().equals(name)) {
        return field;
      }
    }
    return null;
  }
  /**
   * Returns an array of {@link IndexableField}s with the given name. This method returns an empty
   * array when there are no matching fields.  It never returns null.
   *
   * @param name the name of the field
   * @return a &lt;code&gt;Field[]&lt;/code&gt; array
   */
  public IndexableField[] getFields(String name) {
    List&lt;IndexableField&gt; result = new ArrayList&lt;&gt;();
    for (IndexableField field : fields) {
      if (field.name().equals(name)) {
        result.add(field);
      }
    }
    return result.toArray(new IndexableField[result.size()]);
  }
  /**
   * Returns a List of all the fields in a document.
   *
   * @return an immutable &lt;code&gt;List</t>
  </si>
  <si>
    <t>{
  "answer": "The Document class represents a set of fields in a Lucene document.",
  "explanation": "The Document class in Lucene represents a set of fields in a document. Each field has a name and a textual value. The Document class provides methods to add, remove, and retrieve fields from the document.",
  "code": "Document doc = new Document();
doc.add(new StringField("title", "Lucene in Action", Field.Store.YES));
doc.add(new TextField("content", "This is a Lucene document.", Field.Store.YES));"
}</t>
  </si>
  <si>
    <t>2024-01-10 15:12:57</t>
  </si>
  <si>
    <t>how to add something to a document</t>
  </si>
  <si>
    <t>{"answer": "To add something to a document, you can use the add() method of the Document class.", "explanation": "The add() method allows you to add a field to a document. You can create a new field using the Field class and then add it to the document using the add() method.", "code": "Document document = new Document();
Field field = new StringField("fieldName", "fieldValue", Field.Store.YES);
document.add(field);"}</t>
  </si>
  <si>
    <t>2024-01-10 15:15:55</t>
  </si>
  <si>
    <t>which field class? create a document , create a field and then add it</t>
  </si>
  <si>
    <t>{
  "answer": "The IndexableField class is used to create a field and add it to a document.",
  "explanation": "The IndexableField class is a superclass for all field types in Lucene, and it provides methods to create and manipulate fields. To create a field, you can instantiate a specific subclass of IndexableField, such as StringField or TextField, and then add it to a Document using the add() method.",
  "code": "Document document = new Document();
Field field = new StringField("fieldName", "fieldValue", Field.Store.YES);
document.add(field);"
}</t>
  </si>
  <si>
    <t>2024-01-10 15:16:28</t>
  </si>
  <si>
    <t>Document doc = new Document();
       Field field = new StringField("fieldName", "fieldValue", Field.Store.YES);
        doc.add(field);
        assertEquals(field ,doc.getField(field)); when i try that, i get [javac] TestDocument.java:15: error: cannot find symbol
[javac]        Field field = new StringField("fieldName", "fieldValue", Field.Store.YES);
[javac]        ^
[javac]   symbol:   class Field
[javac]   location: class TestDocument
[javac] TestDocument.java:15: error: cannot find symbol
[javac]        Field field = new StringField("fieldName", "fieldValue", Field.Store.YES);
[javac]                          ^
[javac]   symbol:   class StringField
[javac]   location: class TestDocument
[javac] TestDocument.java:15: error: package Field does not exist
[javac]        Field field = new StringField("fieldName", "fieldValue", Field.Store.YES);
[javac]                                                                      ^
[javac] 3 errors</t>
  </si>
  <si>
    <t>{
  "answer": "The errors indicate that the classes Field and StringField are not imported.",
  "explanation": "The code is trying to use the classes Field and StringField, but they are not imported in the TestDocument class.",
  "code": "import org.apache.lucene.document.Field;
import org.apache.lucene.document.StringField;
Document doc = new Document();
Field field = new StringField("fieldName", "fieldValue", Field.Store.YES);
doc.add(field);
assertEquals(field, doc.getField(field));"
}</t>
  </si>
  <si>
    <t>2024-01-10 15:17:36</t>
  </si>
  <si>
    <t>im not allowed to import anything tho, these are the imports available : import java.util.*;
import org.junit.Test;
import static org.junit.jupiter.api.Assertions.*;
import static com.google.common.truth.Truth.*;
import static com.google.common.truth.Truth8.*;
import static org.mockito.Mockito.*;
, how to create and add a field with that, do i have to mock? if yes, you create a mock.</t>
  </si>
  <si>
    <t>{
  "answer": "No, you don't need to mock to create and add a field.",
  "explanation": "Mocking is not necessary for creating and adding a field to a document. You can directly create an instance of the field and add it to the document.",
  "code": "Document document = new Document();
Field field = new StringField("fieldName", "fieldValue", Field.Store.YES);
document.add(field);"
}</t>
  </si>
  <si>
    <t>2024-01-10 15:20:12</t>
  </si>
  <si>
    <t>hello</t>
  </si>
  <si>
    <t>Hello! How can I assist you today?</t>
  </si>
  <si>
    <t>2024-01-10 15:23:14</t>
  </si>
  <si>
    <t>my code Document document = new Document();
Field field = new StringField("fieldName", "fieldValue", Field.Store.YES);
document.add(field); is erroring</t>
  </si>
  <si>
    <t>{
  "answer": "The error is likely due to missing imports for the Field and StringField classes.",
  "explanation": "The error is occurring because the Field and StringField classes are not imported in your code, so the compiler cannot find these classes.",
  "code": "import org.apache.lucene.document.Field;
import org.apache.lucene.document.StringField;
Document document = new Document();
Field field = new StringField("fieldName", "fieldValue", Field.Store.YES);
document.add(field);"
}</t>
  </si>
  <si>
    <t>2024-01-10 15:23:32</t>
  </si>
  <si>
    <t>these are my imports : import static org.junit.jupiter.api.Assertions.*;
import static com.google.common.truth.Truth.*;
import static com.google.common.truth.Truth8.*;  and my code : Document document = new Document();
Field field = new StringField("fieldName", "fieldValue", Field.Store.YES);
document.add(field); is erroring</t>
  </si>
  <si>
    <t>{
  "answer": "The error is likely due to missing imports for the classes Document and Field.",
  "explanation": "The code is trying to use the classes Document and Field, but the necessary imports are missing.",
  "code": "import org.apache.lucene.document.Document;
import org.apache.lucene.document.Field;
Document document = new Document();
Field field = new StringField("fieldName", "fieldValue", Field.Store.YES);
document.add(field);"
}</t>
  </si>
  <si>
    <t>2024-01-10 15:24:06</t>
  </si>
  <si>
    <t>import static org.mockito.Mockito.*; mock me a field</t>
  </si>
  <si>
    <t>Answer:
You can mock a field using the static method mock() from the Mockito library.
Explanation:
The mock() method from the Mockito library allows you to create a mock object that can be used as a replacement for a real object in your tests.
Code:
Field field = mock(Field.class);</t>
  </si>
  <si>
    <t>2024-01-10 15:24:29</t>
  </si>
  <si>
    <t>import static org.mockito.Mockito.*; mock me a field to add to the document</t>
  </si>
  <si>
    <t>Answer:
You can mock a field using Mockito.mock() method.
Explanation:
Mockito.mock() method creates a mock object of a given class or interface, which can be used as a field to add to the document.
Code:
IndexableField field = Mockito.mock(IndexableField.class);</t>
  </si>
  <si>
    <t>2024-01-10 15:24:46</t>
  </si>
  <si>
    <t>IndexableField field = Mockito.mock(IndexableField.class); how to set the name etc of the field and add it to the document?</t>
  </si>
  <si>
    <t>{
  "answer": "You can set the name and other properties of the field using Mockito's when-thenReturn syntax, and then add it to the document using the add() method.",
  "explanation": "Mockito's when-thenReturn syntax allows you to specify the behavior of a mock object, in this case, setting the name and other properties of the field. Once the field is configured, you can add it to the document using the add() method.",
  "code": "IndexableField field = Mockito.mock(IndexableField.class);
when(field.name()).thenReturn("fieldName");
when(field.stringValue()).thenReturn("fieldValue");
Document document = new Document();
document.add(field);"
}</t>
  </si>
  <si>
    <t>2024-01-10 15:26:21</t>
  </si>
  <si>
    <t>where can I place a mutant in the getValues method?</t>
  </si>
  <si>
    <t>{"answer": "A mutant can be placed in the for loop that iterates over the fields.", "explanation": "The for loop iterates over the fields and checks if the field name matches the given name. A mutant can be placed within the loop to modify the behavior of the method.", "code": "for (IndexableField field : fields) {
  // Mutant code here
  if (field.name().equals(name) &amp;&amp; field.stringValue() != null) {
    result.add(field.stringValue());
  }
}"}</t>
  </si>
  <si>
    <t>2024-01-10 15:04:24</t>
  </si>
  <si>
    <t>getValues</t>
  </si>
  <si>
    <t>write a test for the removeField method</t>
  </si>
  <si>
    <t>{
  "answer": "Sure, here is an example test for the removeField method.",
  "explanation": "The test creates a new Document, adds a field, removes the field using the removeField method, and then asserts that the field is no longer present in the Document.",
  "code": "import org.junit.Test;
import static org.junit.Assert.*;
public class DocumentTest {
    @Test
    public void testRemoveField() {
        Document document = new Document();
        document.add(new StringField("name", "John Doe", Field.Store.YES));
        document.removeField("name");
        assertNull(document.getField("name"));
    }
}"
}</t>
  </si>
  <si>
    <t>2024-01-10 15:07:29</t>
  </si>
  <si>
    <t>Write a test for the toString method to find the mutants</t>
  </si>
  <si>
    <t>{
  "answer": "Yes",
  "explanation": "The toString method can be tested by creating a Document object with some fields and comparing the output of the toString method with the expected string representation of the document.",
  "code": "Document document = new Document();
document.add(new StringField("id", "123", Field.Store.YES));
document.add(new TextField("content", "This is a test document", Field.Store.YES));
String expected = "Document&lt;id:123 content:This is a test document&gt;";
String actual = document.toString();
assertEquals(expected, actual);"
}</t>
  </si>
  <si>
    <t>2024-01-10 15:10:15</t>
  </si>
  <si>
    <t>How can a test for the toString method be written that finds all mutants?</t>
  </si>
  <si>
    <t>{
  "answer": "By comparing the output of the toString method with the expected output for different test cases.",
  "explanation": "To test for all mutants, we can create multiple test cases with different field values and verify that the output of the toString method matches the expected output.",
  "code": "Document document = new Document();
// Add fields to the document
// ...
String expectedOutput = "Document&lt;field1 value field2 value&gt;";
String actualOutput = document.toString();
assertEquals(expectedOutput, actualOutput);"
}</t>
  </si>
  <si>
    <t>2024-01-10 15:10:50</t>
  </si>
  <si>
    <t>How can I add fields to a document</t>
  </si>
  <si>
    <t>{"answer": "You can add fields to a document by calling the add() method and passing in the field you want to add.", "explanation": "To add fields to a document, you can use the add() method provided by the Document class. This method takes an IndexableField object as a parameter, which represents the field you want to add to the document.", "code": "Document document = new Document();
Field field = new StringField("fieldName", "fieldValue", Field.Store.YES);
document.add(field);"}</t>
  </si>
  <si>
    <t>2024-01-10 15:12:22</t>
  </si>
  <si>
    <t>show me how to add fields to a document</t>
  </si>
  <si>
    <t>{"answer": "To add fields to a document, you can use the add() method of the Document class.", "explanation": "The add() method allows you to add a field to a document. You can create a new field using the Field class and then add it to the document using the add() method.", "code": "Document document = new Document();
Field field = new StringField("fieldName", "fieldValue", Field.Store.YES);
document.add(field);"}</t>
  </si>
  <si>
    <t>2024-01-10 15:13:10</t>
  </si>
  <si>
    <t>How to create a new IndexableField?</t>
  </si>
  <si>
    <t>{"answer": "You can create a new IndexableField by using one of its concrete implementations, such as StringField or TextField.", "explanation": "IndexableField is an interface, so you need to use one of its concrete implementations to create a new instance.", "code": "IndexableField field = new StringField("name", "value", Field.Store.YES);"}</t>
  </si>
  <si>
    <t>2024-01-10 15:17:14</t>
  </si>
  <si>
    <t>Can you write me a test for the toString Method that works</t>
  </si>
  <si>
    <t>{
  "answer": "Yes, I can write a test for the toString method.",
  "explanation": "To test the toString method, we can create a Document object with some fields, and then compare the expected string representation with the actual result of calling toString on the Document object.",
  "code": "import org.junit.Test;
import static org.junit.Assert.assertEquals;
public class DocumentTest {
    @Test
    public void testToString() {
        Document document = new Document();
        document.add(new StringField("title", "Lucene in Action", Field.Store.YES));
        document.add(new TextField("content", "This is a book about Lucene.", Field.Store.YES));
        String expected = "Document&lt;title:Lucene in Action content:This is a book about Lucene.&gt;";
        String actual = document.toString();
        assertEquals(expected, actual);
    }
}" 
}</t>
  </si>
  <si>
    <t>2024-01-10 15:18:14</t>
  </si>
  <si>
    <t>how to add a indexableField to the Document</t>
  </si>
  <si>
    <t>{"answer": "To add an IndexableField to the Document, use the add() method.", "explanation": "The add() method in the Document class allows you to add an IndexableField to the Document.", "code": "Document document = new Document();
IndexableField field = new StringField("fieldName", "fieldValue", Field.Store.YES);
document.add(field);"}</t>
  </si>
  <si>
    <t>2024-01-10 15:24:07</t>
  </si>
  <si>
    <t>How to add a IndexableField to the Document without StringField or TextField</t>
  </si>
  <si>
    <t>{"answer": "You can add a IndexableField to the Document without using StringField or TextField by creating a custom field type.", "explanation": "To add a IndexableField to the Document without using StringField or TextField, you can create a custom field type by extending the IndexableField class and implementing the necessary methods.", "code": "public class CustomField extends IndexableField {
  // Implement the necessary methods
}
// Create an instance of the custom field
CustomField customField = new CustomField();
// Add the custom field to the document
Document document = new Document();
document.add(customField);"}</t>
  </si>
  <si>
    <t>2024-01-10 15:25:03</t>
  </si>
  <si>
    <t>How to test the getBinaryValue(String name)</t>
  </si>
  <si>
    <t>{
  "answer": "To test the getBinaryValue(String name) method, you can create a Document object, add a binary field with the specified name, and then call the getBinaryValue(String name) method to retrieve the binary value.",
  "explanation": "To test the getBinaryValue(String name) method, you need to create a Document object, add a binary field with the specified name, and then call the getBinaryValue(String name) method to retrieve the binary value. If the method returns the expected binary value, the test is successful.",
  "code": "Document document = new Document();
byte[] binaryValue = {0x01, 0x02, 0x03};
document.add(new StoredField("fieldName", binaryValue));
BytesRef result = document.getBinaryValue("fieldName");
assertArrayEquals(binaryValue, result.bytes);"
}</t>
  </si>
  <si>
    <t>2024-01-10 15:27:20</t>
  </si>
  <si>
    <t>getBinaryValue</t>
  </si>
  <si>
    <t>How to test the Iterator method</t>
  </si>
  <si>
    <t>{
  "answer": "You can test the Iterator method by iterating over the Document object and verifying the expected values.",
  "explanation": "To test the Iterator method, you can create a Document object, add some fields to it, and then iterate over the fields using a loop or a while loop, and verify that the values returned by the iterator match the expected values.",
  "code": "Document document = new Document();
// Add some fields to the document
IndexableField field1 = new StringField("name", "John Doe", Field.Store.YES);
document.add(field1);
IndexableField field2 = new IntPoint("age", 30);
document.add(field2);
// Iterate over the fields and verify the values
Iterator&lt;IndexableField&gt; iterator = document.iterator();
while (iterator.hasNext()) {
  IndexableField field = iterator.next();
  // Verify the field values
  System.out.println(field.name() + ": " + field.stringValue());
}" 
}</t>
  </si>
  <si>
    <t>2024-01-10 15:29:22</t>
  </si>
  <si>
    <t>iterator</t>
  </si>
  <si>
    <t>Kannst du mir bitte zu folgenden code drei direkte test schreiben wie ich diesen code testen kann ? 
import java.util.*;
/**
 * Documents are the unit of indexing and search.
 *
 * A Document is a set of fields.  Each field has a name and a textual value. A field may be stored
 * with the document, in which case it is returned with search hits on the document.  Thus each
 * document should typically contain one or more stored fields which uniquely identify it.
 */
public final class Document implements Iterable&lt;IndexableField&gt; {
  private final List&lt;IndexableField&gt; fields = new ArrayList&lt;&gt;();
  /**
   * Constructs a new document with no fields.
   */
  public Document() {
  }
  @Override
  public Iterator&lt;IndexableField&gt; iterator() {
    return fields.iterator();
  }
  /**
   * &lt;p&gt;Adds a field to a document.  Several fields may be added with
   * the same name.  In this case, if the fields are indexed, their text is treated as though
   * appended for the purposes of search.&lt;/p&gt;
   * &lt;p&gt; Note that add like the removeField(s) methods only makes sense
   * prior to adding a document to an index. These methods cannot be used to change the content of
   * an existing index! In order to achieve this, a document has to be deleted from an index and a
   * new changed version of that document has to be added.&lt;/p&gt;
   */
  public final void add(IndexableField field) {
    fields.add(field);
  }
  /**
   * &lt;p&gt;Removes field with the specified name from the document.
   * If multiple fields exist with this name, this method removes the first field that has been
   * added. If there is no field with the specified name, the document remains unchanged.&lt;/p&gt;
   * &lt;p&gt; Note that the removeField(s) methods like the add method only make sense
   * prior to adding a document to an index. These methods cannot be used to change the content of
   * an existing index! In order to achieve this, a document has to be deleted from an index and a
   * new changed version of that document has to be added.&lt;/p&gt;
   */
  public final void removeField(String name) {
    Iterator&lt;IndexableField&gt; it = fields.iterator();
    while (it.hasNext()) {
      IndexableField field = it.next();
      if (field.name().equals(name)) {
        it.remove();
        return;
      }
    }
  }
  /**
   * &lt;p&gt;Removes all fields with the given name from the document.
   * If there is no field with the specified name, the document remains unchanged.&lt;/p&gt;
   * &lt;p&gt; Note that the removeField(s) methods like the add method only make sense
   * prior to adding a document to an index. These methods cannot be used to change the content of
   * an existing index! In order to achieve this, a document has to be deleted from an index and a
   * new changed version of that document has to be added.&lt;/p&gt;
   */
  public final void removeFields(String name) {
    Iterator&lt;IndexableField&gt; it = fields.iterator();
    while (it.hasNext()) {
      IndexableField field = it.next();
      if (field.name().equals(name)) {
        it.remove();
      }
    }
  }
  /**
   * Returns an array of byte arrays for of the fields that have the name specified as the method
   * parameter.  This method returns an empty array when there are no matching fields.  It never
   * returns null.
   *
   * @param name the name of the field
   * @return a &lt;code&gt;BytesRef[]&lt;/code&gt; of binary field values
   */
  public final BytesRef[] getBinaryValues(String name) {
    final List&lt;BytesRef&gt; result = new ArrayList&lt;&gt;();
    for (IndexableField field : fields) {
      if (field.name().equals(name)) {
        final BytesRef bytes = field.binaryValue();
        if (bytes != null) {
          result.add(bytes);
        }
      }
    }
    return result.toArray(new BytesRef[result.size()]);
  }</t>
  </si>
  <si>
    <t>{
  "answer": "Yes, I can provide three test cases for this code.",
  "explanation": "The code provided is a class definition, so we can write test cases to verify its functionality.",
  "code": "import org.junit.Test;
import static org.junit.Assert.*;
public class DocumentTest {
    @Test
    public void testAddField() {
        Document document = new Document();
        IndexableField field = new StringField("name", "John Doe", Field.Store.YES);
        document.add(field);
        assertEquals(1, document.getFields().size());
    }
    @Test
    public void testRemoveField() {
        Document document = new Document();
        IndexableField field = new StringField("name", "John Doe", Field.Store.YES);
        document.add(field);
        document.removeField("name");
        assertEquals(0, document.getFields().size());
    }
    @Test
    public void testGetBinaryValues() {
        Document document = new Document();
        IndexableField field = new StoredField("image", new byte[]{0x01, 0x02, 0x03});
        document.add(field);
        BytesRef[] binaryValues = document.getBinaryValues("image");
        assertEquals(1, binaryValues.length);
        assertArrayEquals(new byte[]{0x01, 0x02, 0x03}, binaryValues[0].bytes);
    }
}"
}</t>
  </si>
  <si>
    <t>2024-01-10 15:11:07</t>
  </si>
  <si>
    <t>2024-01-10 15:12:33</t>
  </si>
  <si>
    <t>Kannst du mir bitte ein beispiel geben wie man ein IndexableField deklarieren und initialisieren kann ?</t>
  </si>
  <si>
    <t>{
  "answer": "Ja, ein IndexableField kann deklariert und initialisiert werden.",
  "explanation": "Ein IndexableField kann mit dem Konstruktor der Klasse StringField oder TextField deklariert und initialisiert werden.",
  "code": "IndexableField field = new StringField("name", "John Doe", Field.Store.YES);"
}</t>
  </si>
  <si>
    <t>2024-01-10 15:16:09</t>
  </si>
  <si>
    <t>which method is mutated@mutant576</t>
  </si>
  <si>
    <t>{
  "answer": "getValues",
  "explanation": "The getValues method is mutated in @mutant576.",
  "code": "public final String[] getValues(String name) {
  List&lt;String&gt; result = new ArrayList&lt;&gt;();
  for (IndexableField field : fields) {
    if (field.name().equals(name) &amp;&amp; field.stringValue() != null) {
      result.add(field.stringValue());
    }
  }
  if (result.size() == 0) {
    return NO_STRINGS;
  }
  return result.toArray(new String[result.size()]);
}"
}</t>
  </si>
  <si>
    <t>2024-01-10 15:14:09</t>
  </si>
  <si>
    <t>can you write a test for @mutant375</t>
  </si>
  <si>
    <t>{
  "answer": "Yes",
  "explanation": "To test @mutant375, we can create a Document object, add a field with a specific name, call the removeField method with the same name, and then check if the field was successfully removed.",
  "code": "Document document = new Document();
String fieldName = "testField";
String fieldValue = "testValue";
document.add(new StringField(fieldName, fieldValue, Field.Store.YES));
document.removeField(fieldName);
assertNull(document.getField(fieldName));"
}</t>
  </si>
  <si>
    <t>2024-01-10 15:15:42</t>
  </si>
  <si>
    <t>can you write a test for @mutant429</t>
  </si>
  <si>
    <t>{
  "answer": "Yes",
  "explanation": "To test @mutant429, we can create a Document object, add fields to it, and then call the get method with the name of one of the fields to check if it returns the expected value.",
  "code": "Document document = new Document();
document.add(new StringField("name", "John Doe", Field.Store.YES));
String value = document.get("name");
assertEquals("John Doe", value);"
}</t>
  </si>
  <si>
    <t>2024-01-10 15:17:24</t>
  </si>
  <si>
    <t>can you write a test for @mutant401 with mocking</t>
  </si>
  <si>
    <t>{
  "answer": "Yes",
  "explanation": "Yes, we can write a test for @mutant401 using mocking to verify the behavior of the modified method.",
  "code": "Example test code:
@Test
public void testGetField() {
  // Create a mock Document
  Document document = Mockito.mock(Document.class);
  // Set up the expected behavior
  Mockito.when(document.getField(Mockito.anyString())).thenReturn(mockField);
  // Call the method under test
  IndexableField result = document.getField("fieldName");
  // Verify the result
  Assert.assertEquals(mockField, result);
}"
}</t>
  </si>
  <si>
    <t>2024-01-10 15:19:52</t>
  </si>
  <si>
    <t>can you write a test for @mutant458 with mocking when needed</t>
  </si>
  <si>
    <t>{
  "answer": "Yes",
  "explanation": "To test @mutant458, we can use mocking to simulate the behavior of the dependencies and verify the expected interactions.",
  "code": "import org.junit.Test;
import org.mockito.Mockito;
public class DocumentTest {
  @Test
  public void testMutant458() {
    // Create a mock IndexableField
    IndexableField field = Mockito.mock(IndexableField.class);
    Mockito.when(field.name()).thenReturn("fieldName");
    Mockito.when(field.binaryValue()).thenReturn(null);
    // Create a Document
    Document document = new Document();
    document.add(field);
    // Test the getBinaryValues method
    BytesRef[] binaryValues = document.getBinaryValues("fieldName");
    Assert.assertEquals(0, binaryValues.length);
  }
}"
}</t>
  </si>
  <si>
    <t>2024-01-10 15:25:50</t>
  </si>
  <si>
    <t>2024-01-10 15:26:06</t>
  </si>
  <si>
    <t>write a test for @mutant502</t>
  </si>
  <si>
    <t>{
  "answer": "Yes",
  "explanation": "Yes, we can write a test for @mutant502 by verifying that the removeField(String) method removes the first field with the specified name.",
  "code": "import org.junit.Test;
import static org.junit.Assert.*;
public class DocumentTest {
    @Test
    public void testRemoveField() {
        Document document = new Document();
        document.add(new StringField("name", "John Doe", Field.Store.YES));
        document.add(new StringField("name", "Jane Smith", Field.Store.YES));
        document.add(new StringField("age", "30", Field.Store.YES));
        document.removeField("name");
        assertNull(document.getField("name"));
        assertNotNull(document.getField("age"));
    }
}"
}</t>
  </si>
  <si>
    <t>2024-01-10 15:09:59</t>
  </si>
  <si>
    <t>can you write me a test for @mutant502</t>
  </si>
  <si>
    <t>{
  "answer": "Yes",
  "explanation": "To test @mutant502, we can verify that the first field with the specified name is removed from the document.",
  "code": "Document document = new Document();
// Add fields to the document
Field field1 = new StringField("name", "John Doe", Field.Store.YES);
document.add(field1);
Field field2 = new StringField("name", "Jane Smith", Field.Store.YES);
document.add(field2);
// Remove the field with name "name"
document.removeField("name");
// Verify that the first field with name "name" is removed
assertNull(document.getField("name"));"
}</t>
  </si>
  <si>
    <t>2024-01-10 15:10:40</t>
  </si>
  <si>
    <t>2024-01-10 15:20:03</t>
  </si>
  <si>
    <t>write me a test which kills @mutant608</t>
  </si>
  <si>
    <t>{
  "answer": "Yes",
  "explanation": "The test should check if the modified getField(String) method returns null when there are multiple fields with the same name.",
  "code": "public void testGetField() {
  Document document = new Document();
  document.add(new StringField("name", "John", Field.Store.YES));
  document.add(new StringField("name", "Doe", Field.Store.YES));
  IndexableField field = document.getField("name");
  assertNull(field);
}"
}</t>
  </si>
  <si>
    <t>2024-01-10 15:24:18</t>
  </si>
  <si>
    <t>with mocks</t>
  </si>
  <si>
    <t>{
  "answer": "Mocks are used to simulate the behavior of objects during testing.",
  "explanation": "Mocks are objects that mimic the behavior of real objects, allowing developers to test the interactions between different components of a system without relying on the actual implementation of those components.",
  "code": "public class MyClass {
  public int add(int a, int b) {
    return a + b;
  }
}
public class MyClassTest {
  @Test
  public void testAdd() {
    MyClass myClassMock = Mockito.mock(MyClass.class);
    Mockito.when(myClassMock.add(2, 3)).thenReturn(5);
    int result = myClassMock.add(2, 3);
    Assert.assertEquals(5, result);
  }
}"
}</t>
  </si>
  <si>
    <t>2024-01-10 15:25:05</t>
  </si>
  <si>
    <t>How do I mock an object of the class Document with any content?</t>
  </si>
  <si>
    <t>{
  "answer": "You can use a mocking framework like Mockito to mock an object of the class Document with any content.",
  "explanation": "Mockito allows you to create a mock object of a class and define its behavior, including the content of its fields.",
  "code": "Document documentMock = Mockito.mock(Document.class);
Mockito.when(documentMock.getField(Mockito.anyString())).thenReturn(new StringField("fieldName", "fieldValue", Field.Store.YES));"
}</t>
  </si>
  <si>
    <t>2024-01-10 15:06:17</t>
  </si>
  <si>
    <t>How do I mock the contents inside an object of the class Document after creating it through "Document d = new Document();"?</t>
  </si>
  <si>
    <t>{
  "answer": "You can use a mocking framework like Mockito to mock the contents inside an object of the class Document.",
  "explanation": "Mockito allows you to create a mock object of the Document class and then define the behavior of its methods to return the desired values or perform specific actions.",
  "code": "Document d = Mockito.mock(Document.class);
Mockito.when(d.getField("fieldName")).thenReturn(mockField);"
}</t>
  </si>
  <si>
    <t>2024-01-10 15:08:17</t>
  </si>
  <si>
    <t>How do I mock the contents inside an object of the class Document after creating it through "Document d = new Document();" using Mockito?</t>
  </si>
  <si>
    <t>{
  "answer": "You can use Mockito to mock the contents inside an object of the class Document by mocking the methods of the IndexableField interface.",
  "explanation": "Mockito can be used to create a mock object of the IndexableField interface and then set the desired behavior for its methods to return the desired values.",
  "code": "Document d = new Document();
IndexableField field = Mockito.mock(IndexableField.class);
Mockito.when(field.name()).thenReturn("fieldName");
Mockito.when(field.stringValue()).thenReturn("fieldValue");
d.add(field);"
}</t>
  </si>
  <si>
    <t>2024-01-10 15:08:54</t>
  </si>
  <si>
    <t>How can I assert that the output of getValues() has the correct values in the array?</t>
  </si>
  <si>
    <t>{"answer": "You can use the assertArrayEquals() method from the JUnit framework to assert that the output of getValues() has the correct values in the array.", "explanation": "The assertArrayEquals() method compares two arrays for equality, asserting that they have the same length and contain the same elements in the same order.", "code": "import org.junit.Assert;
String[] expectedValues = {"value1", "value2", "value3"};
String[] actualValues = document.getValues("fieldName");
Assert.assertArrayEquals(expectedValues, actualValues);"}</t>
  </si>
  <si>
    <t>2024-01-10 15:19:54</t>
  </si>
  <si>
    <t>Write a test for @mutant446</t>
  </si>
  <si>
    <t>{
  "answer": "Yes",
  "explanation": "We can write a test to verify the behavior of the removeFields(String) method after the mutation.",
  "code": "@Test
public void testRemoveFields() {
  Document document = new Document();
  document.add(new StringField("name", "John Doe", Field.Store.YES));
  document.add(new StringField("name", "Jane Smith", Field.Store.YES));
  document.add(new StringField("age", "25", Field.Store.YES));
  document.removeFields("name");
  assertNull(document.getField("name"));
  assertNotNull(document.getField("age"));
}"
}</t>
  </si>
  <si>
    <t>2024-01-10 15:05:49</t>
  </si>
  <si>
    <t>write a test to kill @mutant481 mocking IndexableField</t>
  </si>
  <si>
    <t>{
  "answer": "Yes",
  "explanation": "We can write a test to kill @mutant481 by mocking the IndexableField and verifying that the removeFields method removes the correct fields.",
  "code": "import org.junit.Test;
import org.mockito.Mockito;
public class DocumentTest {
    @Test
    public void testRemoveFields() {
        Document document = new Document();
        IndexableField field1 = Mockito.mock(IndexableField.class);
        IndexableField field2 = Mockito.mock(IndexableField.class);
        Mockito.when(field1.name()).thenReturn("name1");
        Mockito.when(field2.name()).thenReturn("name2");
        document.add(field1);
        document.add(field2);
        document.removeFields("name1");
        Assert.assertNull(document.getField("name1"));
        Assert.assertNotNull(document.getField("name2"));
    }
}"
}</t>
  </si>
  <si>
    <t>2024-01-10 15:19:22</t>
  </si>
  <si>
    <t>write a test to kill @mutant430 mocking IndexableField</t>
  </si>
  <si>
    <t>{"answer": "Yes", "explanation": "Yes, we can write a test to kill @mutant430 by mocking IndexableField and verifying that the removeField method removes the correct field.", "code": "import org.junit.Test;
import org.mockito.Mockito;
public class DocumentTest {
    @Test
    public void testRemoveField() {
        Document document = new Document();
        IndexableField field = Mockito.mock(IndexableField.class);
        Mockito.when(field.name()).thenReturn("fieldName");
        document.add(field);
        document.removeField("fieldName");
        Assert.assertNull(document.getField("fieldName"));
    }
}"}</t>
  </si>
  <si>
    <t>2024-01-10 15:21:35</t>
  </si>
  <si>
    <t>write a test to kill @mutant604 mocking IndexableField</t>
  </si>
  <si>
    <t>{
  "answer": "Yes",
  "explanation": "We can write a test to kill @mutant604 by mocking the IndexableField and asserting that the modified behavior is incorrect.",
  "code": "```java
@Test
public void testGetFields() {
  // Create a mock IndexableField
  IndexableField field = Mockito.mock(IndexableField.class);
  // Set up the mock behavior
  Mockito.when(field.name()).thenReturn("name");
  // Create a Document
  Document document = new Document();
  // Add the mock field to the document
  document.add(field);
  // Call the method under test
  IndexableField[] result = document.getFields("name");
  // Assert that the result is not empty
  Assert.assertNotNull(result);
}
```"
}</t>
  </si>
  <si>
    <t>2024-01-10 15:23:37</t>
  </si>
  <si>
    <t>is @mutant604 an equivalent mutant? if not write a test to kill it</t>
  </si>
  <si>
    <t>{
  "answer": "No",
  "explanation": "The mutant @mutant604 modifies the method getFields(String), which changes the behavior of the method and makes it not equivalent to the original implementation.",
  "code": "public void testGetFields() {
  Document doc = new Document();
  doc.add(new StringField("name", "John Doe", Field.Store.YES));
  doc.add(new StringField("name", "Jane Smith", Field.Store.YES));
  IndexableField[] fields = doc.getFields("name");
  assertEquals(2, fields.length);
}"
}</t>
  </si>
  <si>
    <t>2024-01-10 15:27:10</t>
  </si>
  <si>
    <t>Explain the getBinaryValue method</t>
  </si>
  <si>
    <t>{
  "answer": "The getBinaryValue method returns the binary value of the first field with the specified name in the document.",
  "explanation": "The getBinaryValue method iterates through the fields in the document and returns the binary value of the first field that matches the specified name. If no matching field is found, it returns null.",
  "code": "BytesRef binaryValue = document.getBinaryValue("fieldName");"
}</t>
  </si>
  <si>
    <t>2024-01-10 15:03:24</t>
  </si>
  <si>
    <t>Write a test for getBinaryValue</t>
  </si>
  <si>
    <t>{
  "answer": "Yes",
  "explanation": "Yes, a test can be written for the getBinaryValue method.",
  "code": "public void testGetBinaryValue() {
  Document document = new Document();
  document.add(new StoredField("binaryField", new BytesRef("binaryValue")));
  BytesRef binaryValue = document.getBinaryValue("binaryField");
  assertNotNull(binaryValue);
  assertEquals("binaryValue", binaryValue.utf8ToString());
}"
}</t>
  </si>
  <si>
    <t>2024-01-10 15:04:25</t>
  </si>
  <si>
    <t>Write a test for getBinaryValue using mocks</t>
  </si>
  <si>
    <t>{
  "answer": "Yes, it is possible to write a test for getBinaryValue using mocks.",
  "explanation": "By using a mocking framework like Mockito, we can create a mock Document object and set up expectations for the getField and binaryValue methods to return the desired values.",
  "code": "import org.junit.Test;
import org.mockito.Mock;
import static org.mockito.Mockito.*;
public class DocumentTest {
  @Mock
  private Document document;
  @Test
  public void testGetBinaryValue() {
    // Create a mock Document object
    document = mock(Document.class);
    // Set up expectations for getField and binaryValue methods
    when(document.getField("fieldName")).thenReturn(mock(IndexableField.class));
    when(document.getField("fieldName").binaryValue()).thenReturn(mock(BytesRef.class));
    // Call the method under test
    BytesRef result = document.getBinaryValue("fieldName");
    // Assert the result
    assertNotNull(result);
  }
}"
}</t>
  </si>
  <si>
    <t>2024-01-10 15:05:52</t>
  </si>
  <si>
    <t>Why is the test
 Document document = mock(Document.class);
    IndexableField i = mock(IndexableField.class);
    BytesRef b = mock(BytesRef.class);
    when(document.getField("fieldName")).thenReturn(i);
    when(i.binaryValue()).thenReturn(b);
    BytesRef result = document.getBinaryValue("fieldName"); 
failing</t>
  </si>
  <si>
    <t>{
  "answer": "The test is failing because the mock object 'i' is not being added to the 'fields' list of the Document object.",
  "explanation": "In the given code, the 'getField' method of the Document class is returning the mock object 'i', but the 'fields' list of the Document object is empty, so the 'getBinaryValue' method is not able to find the field with the specified name and returning null.",
  "code": "Document document = mock(Document.class);
IndexableField i = mock(IndexableField.class);
BytesRef b = mock(BytesRef.class);
when(document.getField("fieldName")).thenReturn(i);
when(i.binaryValue()).thenReturn(b);
BytesRef result = document.getBinaryValue("fieldName");"
}</t>
  </si>
  <si>
    <t>2024-01-10 15:14:55</t>
  </si>
  <si>
    <t>Rewrite the test
Document document = mock(Document.class);
    IndexableField i = mock(IndexableField.class);
    BytesRef b = mock(BytesRef.class);
    when(document.getField("fieldName")).thenReturn(i);
    when(i.binaryValue()).thenReturn(b);
    BytesRef result = document.getBinaryValue("fieldName");
    assertNotNull(result);
 so it will work</t>
  </si>
  <si>
    <t>{
  "answer": "The test can be rewritten using Mockito to mock the Document class and its methods.",
  "explanation": "The test can be rewritten using Mockito to mock the Document class and its methods. The getField method can be mocked to return a mock IndexableField object, and the binaryValue method can be mocked to return a mock BytesRef object. Finally, the getBinaryValue method can be called on the mock Document object to retrieve the result.",
  "code": "Document document = mock(Document.class);
IndexableField i = mock(IndexableField.class);
BytesRef b = mock(BytesRef.class);
when(document.getField("fieldName")).thenReturn(i);
when(i.binaryValue()).thenReturn(b);
BytesRef result = document.getBinaryValue("fieldName");
assertNotNull(result);"
}</t>
  </si>
  <si>
    <t>2024-01-10 15:16:20</t>
  </si>
  <si>
    <t>What does the Document class do?</t>
  </si>
  <si>
    <t>{"answer": "The Document class represents a unit of indexing and search in a search engine.", "explanation": "The Document class is used to create and manipulate documents in a search engine. It allows adding, removing, and retrieving fields from a document.", "code": "Document doc = new Document();
doc.add(new StringField("title", "Example Document", Field.Store.YES));
doc.add(new TextField("content", "This is an example document.", Field.Store.YES));"}</t>
  </si>
  <si>
    <t>2024-01-10 15:03:03</t>
  </si>
  <si>
    <t>What does mutant @mutant374 do?</t>
  </si>
  <si>
    <t>{"answer": "Mutant @mutant374 modifies the method iterator().", "explanation": "Mutant @mutant374 modifies the implementation of the iterator() method in the Document class.", "code": "public Iterator&lt;IndexableField&gt; iterator() {
  // Mutated code
  return fields.iterator();
}"}</t>
  </si>
  <si>
    <t>2024-01-10 15:06:13</t>
  </si>
  <si>
    <t>What would be a test for @mutant448?</t>
  </si>
  <si>
    <t>{
  "answer": "A test for @mutant448 would be to add a field with the specified name and then remove it using the removeField method, and then check if the field is successfully removed from the document.",
  "explanation": "The mutant changes the condition in the getBinaryValue method, so it will only return the binary field value if the field name is equal to the specified name concatenated with a space. Therefore, a test should verify that the field is correctly removed when using the removeField method.",
  "code": "Document document = new Document();
String fieldName = "myField";
String fieldValue = "myValue";
Field field = new StringField(fieldName, fieldValue, Field.Store.YES);
document.add(field);
document.removeField(fieldName);
IndexableField removedField = document.getField(fieldName);
assertNull(removedField);"
}</t>
  </si>
  <si>
    <t>2024-01-10 15:26:22</t>
  </si>
  <si>
    <t>What would be a test for mutant @mutant430?</t>
  </si>
  <si>
    <t>{
  "answer": "Test if the field with the specified name is removed from the document.",
  "explanation": "The test should verify that the field with the specified name is no longer present in the document after calling the removeField(String) method.",
  "code": "Document document = new Document();
// Add a field
document.add(new StringField("name", "John Doe", Field.Store.YES));
// Remove the field
document.removeField("name");
// Verify that the field is no longer present
assertNull(document.getField("name"));"
}</t>
  </si>
  <si>
    <t>What would be a good test for mutant @mutant604?</t>
  </si>
  <si>
    <t>{"answer": "A good test for mutant @mutant604 would be to verify that the getFields(String name) method returns an array of IndexableField objects with the given name.", "explanation": "The mutant @mutant604 modifies the getFields(String name) method to add null elements to the result list instead of adding the actual fields. Therefore, a good test would check that the returned array contains only non-null elements.", "code": "Document document = new Document();
IndexableField field1 = new StringField("name", "value1", Field.Store.YES);
IndexableField field2 = new StringField("name", "value2", Field.Store.YES);
document.add(field1);
document.add(field2);
IndexableField[] fields = document.getFields("name");
for (IndexableField field : fields) {
    assertNotNull(field);
}"}</t>
  </si>
  <si>
    <t>2024-01-10 15:29:34</t>
  </si>
  <si>
    <t>Write a mutant for the removeField function.</t>
  </si>
  <si>
    <t>{
  "answer": "Mutant: Change the return statement to return true instead of return;",
  "explanation": "The mutant changes the return statement of the removeField function to always return true, regardless of whether a field was actually removed or not.",
  "code": "public final void removeField(String name) {
  Iterator&lt;IndexableField&gt; it = fields.iterator();
  while (it.hasNext()) {
    IndexableField field = it.next();
    if (field.name().equals(name)) {
      it.remove();
      return true;
    }
  }
}"
}</t>
  </si>
  <si>
    <t>2024-01-10 15:02:32</t>
  </si>
  <si>
    <t>Write a mutant for the function removeField that does not need a change in the method signature. So do not change return values.</t>
  </si>
  <si>
    <t>{
  "answer": "The mutant can be created by removing the 'return' statement inside the removeField method.",
  "explanation": "By removing the 'return' statement, the method will continue iterating over the fields even after removing the first field with the specified name, potentially resulting in incorrect behavior.",
  "code": "public final void removeField(String name) {
  Iterator&lt;IndexableField&gt; it = fields.iterator();
  while (it.hasNext()) {
    IndexableField field = it.next();
    if (field.name().equals(name)) {
      it.remove();
    }
  }
}"
}</t>
  </si>
  <si>
    <t>2024-01-10 15:03:49</t>
  </si>
  <si>
    <t>write a test that checks for mutants in iterator().</t>
  </si>
  <si>
    <t>{
  "answer": "The test should check if the iterator() method returns the expected iterator over the fields list.",
  "explanation": "The test should verify that the iterator() method returns an iterator that iterates over the fields list in the correct order.",
  "code": "import org.junit.Test;
import static org.junit.Assert.*;
public class DocumentTest {
    @Test
    public void testIterator() {
        Document document = new Document();
        document.add(new StringField("field1", "value1", Field.Store.YES));
        document.add(new StringField("field2", "value2", Field.Store.YES));
        document.add(new StringField("field3", "value3", Field.Store.YES));
        Iterator&lt;IndexableField&gt; iterator = document.iterator();
        assertTrue(iterator.hasNext());
        assertEquals("field1", iterator.next().name());
        assertTrue(iterator.hasNext());
        assertEquals("field2", iterator.next().name());
        assertTrue(iterator.hasNext());
        assertEquals("field3", iterator.next().name());
        assertFalse(iterator.hasNext());
    }
}"
}</t>
  </si>
  <si>
    <t>2024-01-10 15:05:32</t>
  </si>
  <si>
    <t>Write a test for mutant @mutant513</t>
  </si>
  <si>
    <t>{
  "answer": "Yes",
  "explanation": "We can write a test for mutant @mutant513 by verifying that the add method does not add the field to the document.",
  "code": "Document document = new Document();
IndexableField field = new StringField("name", "John Doe", Field.Store.YES);
document.add(field);
assertEquals(0, document.getFields().size());"
}</t>
  </si>
  <si>
    <t>2024-01-10 15:09:30</t>
  </si>
  <si>
    <t>Write a test for @Mutant513</t>
  </si>
  <si>
    <t>{
  "answer": "Yes",
  "explanation": "To test @Mutant513, we can verify that the add method adds the field to the document.",
  "code": "Document document = new Document();
IndexableField field = new StringField("name", "John Doe", Field.Store.YES);
document.add(field);
IndexableField addedField = document.getField("name");
assertNotNull(addedField);
assertEquals("name", addedField.name());
assertEquals("John Doe", addedField.stringValue());"
}</t>
  </si>
  <si>
    <t>2024-01-10 15:09:52</t>
  </si>
  <si>
    <t>Write a test for @mutant513 . There are no concrete implementations of IndexableField and BytesRef available, so these need to be mocked with Mockito</t>
  </si>
  <si>
    <t>{
  "answer": "Yes",
  "explanation": "Yes, we can write a test for @mutant513 by mocking the IndexableField and BytesRef classes using Mockito.",
  "code": "import org.junit.Test;
import org.mockito.Mockito;
public class DocumentTest {
  @Test
  public void testAddField() {
    // Create a mock IndexableField
    IndexableField field = Mockito.mock(IndexableField.class);
    // Create a mock Document
    Document document = new Document();
    // Add the mock field to the document
    document.add(field);
    // Verify that the field was added
    Mockito.verify(document).add(field);
  }
}"
}</t>
  </si>
  <si>
    <t>2024-01-10 15:11:38</t>
  </si>
  <si>
    <t>Write a test for @mutant513 . There are no concrete implementations of IndexableField and BytesRef available, so these need to be mocked with Mockito. Do not only check if the function was called with Mockito, but also check if  the field has really been added to the Document.</t>
  </si>
  <si>
    <t>{
  "answer": "Yes",
  "explanation": "Yes, we can use Mockito to mock the IndexableField and BytesRef objects and verify that the add method was called on the Document object, as well as check if the field was actually added to the Document.",
  "code": "import org.junit.Test;
import org.mockito.Mockito;
public class DocumentTest {
  @Test
  public void testAddField() {
    // Create a mock IndexableField
    IndexableField field = Mockito.mock(IndexableField.class);
    // Create a mock BytesRef
    BytesRef bytes = Mockito.mock(BytesRef.class);
    // Set up the mock behavior
    Mockito.when(field.name()).thenReturn("fieldName");
    Mockito.when(field.binaryValue()).thenReturn(bytes);
    // Create a Document
    Document document = new Document();
    // Add the field to the Document
    document.add(field);
    // Verify that the add method was called
    Mockito.verify(document).add(field);
    // Verify that the field was added to the Document
    Assert.assertEquals(field, document.getField("fieldName"));
  }
}"
}</t>
  </si>
  <si>
    <t>2024-01-10 15:13:22</t>
  </si>
  <si>
    <t>Write a test that test the removeField method . There are no concrete implementations of IndexableField and BytesRef available, so these need to be mocked with Mockito. Do not check if the function was called with Mockito, but check if  the field has really been added to and removed from the Document.</t>
  </si>
  <si>
    <t>{
  "answer": "Yes, it is possible to test the removeField method using Mockito to mock IndexableField and BytesRef.",
  "explanation": "By mocking the IndexableField and BytesRef classes using Mockito, we can create test cases to verify that the field has been added to and removed from the Document.",
  "code": "import org.junit.Test;
import org.mockito.Mockito;
public class DocumentTest {
  @Test
  public void testRemoveField() {
    // Create a mock IndexableField
    IndexableField field = Mockito.mock(IndexableField.class);
    // Create a mock BytesRef
    BytesRef bytes = Mockito.mock(BytesRef.class);
    // Set up the mock behavior
    Mockito.when(field.name()).thenReturn("fieldName");
    Mockito.when(field.binaryValue()).thenReturn(bytes);
    // Create a new Document
    Document document = new Document();
    // Add the field to the document
    document.add(field);
    // Verify that the field has been added
    Assert.assertEquals(1, document.getFields().size());
    // Remove the field from the document
    document.removeField("fieldName");
    // Verify that the field has been removed
    Assert.assertEquals(0, document.getFields().size());
  }
}"
}</t>
  </si>
  <si>
    <t>2024-01-10 15:18:16</t>
  </si>
  <si>
    <t>Write a test that tests that  the removeField method only removes the first field with a given name, not all of them . There are no concrete implementations of IndexableField and BytesRef available, so these need to be mocked with Mockito. Do not check if the function was called with Mockito, but check if  the field has really been added to and removed from the Document. Also be aware that Mockito and Assert are already imported, so no function call prefixes for these libraries are needed.</t>
  </si>
  <si>
    <t>{
  "answer": "The test should verify that the removeField method removes only the first field with a given name, not all of them.",
  "explanation": "To test this, we can create a Document object, add multiple fields with the same name, and then call the removeField method. After removing the field, we can check if it has been successfully removed by using the getField method to see if the field still exists in the Document.",
  "code": "Document document = new Document();
IndexableField field1 = mock(IndexableField.class);
IndexableField field2 = mock(IndexableField.class);
when(field1.name()).thenReturn("fieldName");
when(field2.name()).thenReturn("fieldName");
// Add multiple fields with the same name
document.add(field1);
document.add(field2);
document.removeField("fieldName");
// Check if the field has been successfully removed
assertNull(document.getField("fieldName"));"
}</t>
  </si>
  <si>
    <t>2024-01-10 15:21:44</t>
  </si>
  <si>
    <t>Write a test that tests that tests getBinaryValues . There are no concrete implementations of IndexableField and BytesRef available, so these need to be mocked with Mockito. Do not check if the function was called with Mockito, but check if  the field has really been added to and removed from the Document. Also be aware that Mockito and Assert are already imported, so no function call prefixes for these libraries are needed.</t>
  </si>
  <si>
    <t>{
  "answer": "Yes, it is possible to test the getBinaryValues method using Mockito to mock the IndexableField and BytesRef classes.",
  "explanation": "By mocking the IndexableField and BytesRef classes with Mockito, we can create test cases to verify that the getBinaryValues method correctly adds and removes fields from the Document.",
  "code": "import org.mockito.Mockito;
@Test
public void testGetBinaryValues() {
  Document document = new Document();
  // Mock IndexableField
  IndexableField field = Mockito.mock(IndexableField.class);
  Mockito.when(field.name()).thenReturn("binaryField");
  // Mock BytesRef
  BytesRef bytesRef = Mockito.mock(BytesRef.class);
  // Add field to document
  document.add(field);
  // Verify that field was added
  Assert.assertEquals(1, document.getFields().size());
  // Get binary values
  BytesRef[] binaryValues = document.getBinaryValues("binaryField");
  // Verify that binary values are returned
  Assert.assertEquals(1, binaryValues.length);
  Assert.assertEquals(bytesRef, binaryValues[0]);
  // Remove field from document
  document.removeField("binaryField");
  // Verify that field was removed
  Assert.assertEquals(0, document.getFields().size());
}"
}</t>
  </si>
  <si>
    <t>2024-01-10 15:25:33</t>
  </si>
  <si>
    <t>getBinaryValues</t>
  </si>
  <si>
    <t>Write a test that tests that  the removeField method only removes the first field with a given name, not all of them . There are no concrete implementations of IndexableField and BytesRef available, so these need to be mocked with Mockito. Do not check if the function was called with Mockito. Also be aware that Mockito and Assert are already imported, so no function call prefixes for these libraries are needed.</t>
  </si>
  <si>
    <t>{
  "answer": "The test should verify that the removeField method removes only the first field with a given name.",
  "explanation": "To test the removeField method, we can create a Document object and add multiple fields with the same name. Then, we can call the removeField method and check if only the first field with the given name is removed.",
  "code": "Document document = new Document();
IndexableField field1 = mock(IndexableField.class);
IndexableField field2 = mock(IndexableField.class);
when(field1.name()).thenReturn("fieldName");
when(field2.name()).thenReturn("fieldName");
// Add fields to the document
document.add(field1);
document.add(field2);
// Remove the field
document.removeField("fieldName");
// Verify that only the first field is removed
assertNull(document.getField("fieldName"));"
}</t>
  </si>
  <si>
    <t>2024-01-10 15:26:43</t>
  </si>
  <si>
    <t>Write a test for the getBinaryValues method. There are no concrete implementations of IndexableField and BytesRef available, so these need to be mocked with Mockito. Do not check if the function was called with Mockito. Also be aware that Mockito and Assert are already imported, so no function call prefixes for these libraries are needed.</t>
  </si>
  <si>
    <t>{
  "answer": "Yes, it is possible to write a test for the getBinaryValues method using Mockito to mock IndexableField and BytesRef.",
  "explanation": "By using Mockito, we can create mock objects for IndexableField and BytesRef and set up the desired behavior for testing the getBinaryValues method.",
  "code": "import org.mockito.Mock;
import org.mockito.MockitoAnnotations;
public class DocumentTest {
  @Mock
  private IndexableField field1;
  @Mock
  private IndexableField field2;
  @Before
  public void setup() {
    MockitoAnnotations.initMocks(this);
  }
  @Test
  public void testGetBinaryValues() {
    Document document = new Document();
    document.add(field1);
    document.add(field2);
    BytesRef[] expected = {new BytesRef("value1"), new BytesRef("value2")};
    when(field1.name()).thenReturn("name");
    when(field1.binaryValue()).thenReturn(new BytesRef("value1"));
    when(field2.name()).thenReturn("name");
    when(field2.binaryValue()).thenReturn(new BytesRef("value2"));
    BytesRef[] actual = document.getBinaryValues("name");
    assertArrayEquals(expected, actual);
  }
}"
}</t>
  </si>
  <si>
    <t>2024-01-10 15:28:00</t>
  </si>
  <si>
    <t>write a test which kills @mutant380</t>
  </si>
  <si>
    <t>{"answer": "Yes", "explanation": "The test can be written to verify that the modified iterator() method does not return the expected iterator.", "code": "import org.junit.Test;
import static org.junit.Assert.*;
public class DocumentTest {
    @Test
    public void testIterator() {
        Document document = new Document();
        document.add(new StringField("field1", "value1", Field.Store.YES));
        document.add(new StringField("field2", "value2", Field.Store.YES));
        document.add(new StringField("field3", "value3", Field.Store.YES));
        Iterator&lt;IndexableField&gt; iterator = document.iterator();
        assertFalse(iterator.hasNext());
    }
}"}</t>
  </si>
  <si>
    <t>2024-01-10 15:08:15</t>
  </si>
  <si>
    <t>write a test which kills @mutant380 using mockito</t>
  </si>
  <si>
    <t>{
  "answer": "Yes",
  "explanation": "Yes, we can write a test using Mockito to kill @mutant380 by mocking the iterator() method to throw an exception.",
  "code": "import org.junit.Test;
import org.mockito.Mockito;
public class DocumentTest {
  @Test(expected = RuntimeException.class)
  public void testIteratorThrowsException() {
    Document document = new Document();
    Document spyDocument = Mockito.spy(document);
    Mockito.doThrow(new RuntimeException()).when(spyDocument).iterator();
    spyDocument.iterator();
  }
}"
}</t>
  </si>
  <si>
    <t>2024-01-10 15:11:23</t>
  </si>
  <si>
    <t>{
  "answer": "Yes",
  "explanation": "Yes, we can write a test using Mockito to kill @mutant380 by mocking the iterator() method to return a modified iterator.",
  "code": "import org.junit.Test;
import org.mockito.Mockito;
public class DocumentTest {
  @Test
  public void testIterator() {
    Document document = new Document();
    Iterator&lt;IndexableField&gt; mockIterator = Mockito.mock(Iterator.class);
    Mockito.when(mockIterator.hasNext()).thenReturn(true);
    Mockito.when(mockIterator.next()).thenReturn(Mockito.mock(IndexableField.class));
    Mockito.when(document.iterator()).thenReturn(mockIterator);
    // Perform test and assertions
  }
}"
}</t>
  </si>
  <si>
    <t>write a test which kills @mutant396 using mockito</t>
  </si>
  <si>
    <t>{
  "answer": "Yes",
  "explanation": "Yes, we can write a test using Mockito to kill @mutant396.",
  "code": "import org.junit.Test;
import org.mockito.Mockito;
public class DocumentTest {
    @Test
    public void testRemoveFields() {
        Document document = new Document();
        IndexableField field1 = Mockito.mock(IndexableField.class);
        IndexableField field2 = Mockito.mock(IndexableField.class);
        document.add(field1);
        document.add(field2);
        document.removeFields("name");
        Mockito.verify(field1, Mockito.times(1)).name();
        Mockito.verify(field2, Mockito.times(1)).name();
    }
}"
}</t>
  </si>
  <si>
    <t>2024-01-10 15:17:32</t>
  </si>
  <si>
    <t>write a test which kills @mutant418 using mockito</t>
  </si>
  <si>
    <t>{
  "answer": "Yes",
  "explanation": "Yes, we can write a test using Mockito to kill @mutant418.",
  "code": "import org.junit.Test;
import org.mockito.Mockito;
public class DocumentTest {
    @Test
    public void testGetBinaryValues() {
        Document document = new Document();
        IndexableField field = Mockito.mock(IndexableField.class);
        Mockito.when(field.name()).thenReturn("testField");
        Mockito.when(field.binaryValue()).thenReturn(new BytesRef("testValue"));
        document.add(field);
        BytesRef[] result = document.getBinaryValues("testField");
        assertArrayEquals(new BytesRef[]{new BytesRef("testValue")}, result);
    }
}"
}</t>
  </si>
  <si>
    <t>2024-01-10 15:24:05</t>
  </si>
  <si>
    <t>Which method is mutated by @mutant424</t>
  </si>
  <si>
    <t>{
  "answer": "getValues(String)",
  "explanation": "The method getValues(String) is mutated by @mutant424.",
  "code": "public final String[] getValues(String name) {
  // mutated code
}"
}</t>
  </si>
  <si>
    <t>2024-01-10 15:06:01</t>
  </si>
  <si>
    <t>2024-01-10 15:06:41</t>
  </si>
  <si>
    <t>Please give me a test for @mutant513</t>
  </si>
  <si>
    <t>{
  "answer": "Yes",
  "explanation": "To test @mutant513, we can verify if the add method adds the field to the document correctly.",
  "code": "Document document = new Document();
IndexableField field = new StringField("name", "John Doe", Field.Store.YES);
document.add(field);
IndexableField addedField = document.getField("name");
assertNotNull(addedField);
assertEquals("name", addedField.name());
assertEquals("John Doe", addedField.stringValue());"
}</t>
  </si>
  <si>
    <t>2024-01-10 15:12:05</t>
  </si>
  <si>
    <t>Can you implement a test for mutant @mutant513</t>
  </si>
  <si>
    <t>{
  "answer": "Yes",
  "explanation": "To test mutant @mutant513, we can verify if the add method modifies the fields list by checking its size before and after calling the method.",
  "code": "Document document = new Document();
int initialSize = document.getFields().size();
IndexableField field = new StringField("name", "value", Field.Store.YES);
document.add(field);
int finalSize = document.getFields().size();
assertNotEquals(initialSize, finalSize);"
}</t>
  </si>
  <si>
    <t>2024-01-10 15:12:45</t>
  </si>
  <si>
    <t>Please implement a working test for @mutant450</t>
  </si>
  <si>
    <t>{
  "answer": "The test should check if the getBinaryValue method returns null when there are no binary fields with the specified name.",
  "explanation": "The mutant in @mutant450 changes the condition in the getBinaryValue method, causing it to always return null. The test should verify this behavior.",
  "code": "public void testGetBinaryValue() {
  Document document = new Document();
  BytesRef result = document.getBinaryValue("name");
  assertNull(result);
}"
}</t>
  </si>
  <si>
    <t>2024-01-10 15:17:01</t>
  </si>
  <si>
    <t>Please implement a working test to identify @mutant450</t>
  </si>
  <si>
    <t>{
  "answer": "The mutant @mutant450 can be identified by checking the condition in the getBinaryValue method.",
  "explanation": "In the getBinaryValue method of the mutant, the condition 'field.name().equals("name")' is incorrect as it should compare with the parameter 'name' instead of the string literal 'name'.",
  "code": "Document document = new Document();
IndexableField field1 = new StringField("name", "John Doe", Field.Store.YES);
IndexableField field2 = new StringField("age", "30", Field.Store.YES);
document.add(field1);
document.add(field2);
BytesRef binaryValue = document.getBinaryValue("name");
if (binaryValue != null) {
    System.out.println(binaryValue.utf8ToString());
}"
}</t>
  </si>
  <si>
    <t>2024-01-10 15:17:38</t>
  </si>
  <si>
    <t>that was not a test</t>
  </si>
  <si>
    <t xml:space="preserve">Answer:
I apologize for the confusion.
Explanation:
I misunderstood your request. Please let me know what specific question or task you would like assistance with.
Code:
</t>
  </si>
  <si>
    <t>2024-01-10 15:19:11</t>
  </si>
  <si>
    <t>how do i create one instance of document or indexablefield? Elaborate the use of those classes and how they work together?</t>
  </si>
  <si>
    <t>{
  "answer": "To create an instance of Document or IndexableField, you can use their respective constructors.",
  "explanation": "The Document class represents a set of fields, where each field has a name and a textual value. The IndexableField interface represents a single field in a document. The Document class contains a list of IndexableField objects. You can create an instance of Document and add IndexableField objects to it using the add() method.",
  "code": "Document document = new Document();
IndexableField field = new StringField("name", "John Doe", Field.Store.YES);
document.add(field);"
}</t>
  </si>
  <si>
    <t>2024-01-10 15:11:10</t>
  </si>
  <si>
    <t>How would you mock an indexablefield in this case and what would be an example test?</t>
  </si>
  <si>
    <t>{
  "answer": "You can mock an IndexableField using a mocking framework like Mockito, and an example test would be to verify that the add method adds the field to the document.",
  "explanation": "To mock an IndexableField, you can use a mocking framework like Mockito to create a mock object that simulates the behavior of an IndexableField. In the example test, you can use the mock object to verify that the add method of the Document class adds the field to the document.",
  "code": "import org.junit.Test;
import org.mockito.Mock;
import static org.mockito.Mockito.*;
public class DocumentTest {
    @Mock
    private IndexableField field;
    @Test
    public void testAddField() {
        Document document = new Document();
        document.add(field);
        verify(field).name();
    }
}" 
}</t>
  </si>
  <si>
    <t>How to create a mock of IndexableField with fitting values?</t>
  </si>
  <si>
    <t>{
  "answer": "You can create a mock of IndexableField using a mocking framework like Mockito.",
  "explanation": "Mockito allows you to create a mock object of IndexableField and set the desired values for testing purposes.",
  "code": "IndexableField mockField = Mockito.mock(IndexableField.class);
Mockito.when(mockField.name()).thenReturn("fieldName");
Mockito.when(mockField.stringValue()).thenReturn("fieldValue");"
}</t>
  </si>
  <si>
    <t>2024-01-10 15:21:29</t>
  </si>
  <si>
    <t>.</t>
  </si>
  <si>
    <t>JavaFile</t>
  </si>
  <si>
    <t>ClassFile</t>
  </si>
  <si>
    <t>Mutants Killed</t>
  </si>
  <si>
    <t>Lines Covered</t>
  </si>
  <si>
    <t>Lines Not Covered</t>
  </si>
  <si>
    <t>Points</t>
  </si>
  <si>
    <t>Covered Methods</t>
  </si>
  <si>
    <t>tests/mp/112/130/original/00000001/TestOptions.java</t>
  </si>
  <si>
    <t>2024-01-10 14:31:38</t>
  </si>
  <si>
    <t xml:space="preserve">
</t>
  </si>
  <si>
    <t>tests/mp/109/129/original/00000001/TestOptions.java</t>
  </si>
  <si>
    <t>2024-01-10 14:33:33</t>
  </si>
  <si>
    <t>tests/mp/117/163/original/00000001/TestOptions.java</t>
  </si>
  <si>
    <t>2024-01-10 14:33:52</t>
  </si>
  <si>
    <t>tests/mp/111/137/original/00000001/TestOptions.java</t>
  </si>
  <si>
    <t>2024-01-10 14:34:00</t>
  </si>
  <si>
    <t>tests/mp/117/163/original/00000002/TestOptions.java</t>
  </si>
  <si>
    <t>2024-01-10 14:34:01</t>
  </si>
  <si>
    <t>tests/mp/109/124/original/00000001/TestOptions.java</t>
  </si>
  <si>
    <t>2024-01-10 14:34:35</t>
  </si>
  <si>
    <t>tests/mp/109/129/original/00000002/TestOptions.java</t>
  </si>
  <si>
    <t>2024-01-10 14:35:37</t>
  </si>
  <si>
    <t>tests/mp/117/163/original/00000003/TestOptions.java</t>
  </si>
  <si>
    <t>2024-01-10 14:35:58</t>
  </si>
  <si>
    <t>tests/mp/113/142/original/00000001/TestOptions.java</t>
  </si>
  <si>
    <t>2024-01-10 14:36:00</t>
  </si>
  <si>
    <t>tests/mp/109/129/original/00000003/TestOptions.java</t>
  </si>
  <si>
    <t>2024-01-10 14:36:01</t>
  </si>
  <si>
    <t>tests/mp/109/129/original/00000004/TestOptions.java</t>
  </si>
  <si>
    <t>tests/mp/109/129/original/00000004/TestOptions.class</t>
  </si>
  <si>
    <t>2024-01-10 14:36:15</t>
  </si>
  <si>
    <t>16,18,21,24,27,165,166,167,168,223,224,227,229,232</t>
  </si>
  <si>
    <t>35,36,37,38,39,40,41,42,43,44,45,46,47,48,49,50,58,59,68,69,70,71,72,73,74,75,76,77,78,79,80,81,82,83,84,85,86,94,95,103,104,112,113,124,125,126,127,128,130,131,140,141,142,143,144,145,146,147,149,150,151,152,153,154,155,156,177,178,179,180,189,190,191,192,201,202,211,212,213,214,215,216,217,218,219,220,225,228,230</t>
  </si>
  <si>
    <t xml:space="preserve">hasOption, stripLeadingHyphens
</t>
  </si>
  <si>
    <t>tests/mp/113/157/original/00000001/TestOptions.java</t>
  </si>
  <si>
    <t>2024-01-10 14:36:22</t>
  </si>
  <si>
    <t>tests/mp/117/163/original/00000004/TestOptions.java</t>
  </si>
  <si>
    <t>tests/mp/117/163/original/00000004/TestOptions.class</t>
  </si>
  <si>
    <t>2024-01-10 14:36:23</t>
  </si>
  <si>
    <t>16,18,21,24,27,124,125,126,127,130,131,223,224,227,228</t>
  </si>
  <si>
    <t>35,36,37,38,39,40,41,42,43,44,45,46,47,48,49,50,58,59,68,69,70,71,72,73,74,75,76,77,78,79,80,81,82,83,84,85,86,94,95,103,104,112,113,128,140,141,142,143,144,145,146,147,149,150,151,152,153,154,155,156,165,166,167,168,177,178,179,180,189,190,191,192,201,202,211,212,213,214,215,216,217,218,219,220,225,229,230,232</t>
  </si>
  <si>
    <t xml:space="preserve">getOption, stripLeadingHyphens
</t>
  </si>
  <si>
    <t>tests/mp/109/112/original/00000001/TestOptions.java</t>
  </si>
  <si>
    <t>2024-01-10 14:36:27</t>
  </si>
  <si>
    <t>tests/mp/109/129/original/00000005/TestOptions.java</t>
  </si>
  <si>
    <t>tests/mp/109/129/original/00000005/TestOptions.class</t>
  </si>
  <si>
    <t>2024-01-10 14:36:45</t>
  </si>
  <si>
    <t>16,18,21,24,27,68,69,70,71,72,75,76,77,83,84,85,86,165,166,167,168,223,224,227,229,232</t>
  </si>
  <si>
    <t>35,36,37,38,39,40,41,42,43,44,45,46,47,48,49,50,58,59,73,74,78,79,80,81,82,94,95,103,104,112,113,124,125,126,127,128,130,131,140,141,142,143,144,145,146,147,149,150,151,152,153,154,155,156,177,178,179,180,189,190,191,192,201,202,211,212,213,214,215,216,217,218,219,220,225,228,230</t>
  </si>
  <si>
    <t xml:space="preserve">addOption, hasOption, stripLeadingHyphens
</t>
  </si>
  <si>
    <t>tests/mp/117/146/original/00000001/TestOptions.java</t>
  </si>
  <si>
    <t>2024-01-10 14:36:49</t>
  </si>
  <si>
    <t>tests/mp/113/157/original/00000002/TestOptions.java</t>
  </si>
  <si>
    <t>tests/mp/113/157/original/00000002/TestOptions.class</t>
  </si>
  <si>
    <t>2024-01-10 14:36:52</t>
  </si>
  <si>
    <t>16,18,21,24,27,124,125,126,127,130,131,223,224,227,229,232</t>
  </si>
  <si>
    <t>35,36,37,38,39,40,41,42,43,44,45,46,47,48,49,50,58,59,68,69,70,71,72,73,74,75,76,77,78,79,80,81,82,83,84,85,86,94,95,103,104,112,113,128,140,141,142,143,144,145,146,147,149,150,151,152,153,154,155,156,165,166,167,168,177,178,179,180,189,190,191,192,201,202,211,212,213,214,215,216,217,218,219,220,225,228,230</t>
  </si>
  <si>
    <t>tests/mp/117/146/original/00000002/TestOptions.java</t>
  </si>
  <si>
    <t>tests/mp/117/146/original/00000002/TestOptions.class</t>
  </si>
  <si>
    <t>2024-01-10 14:37:06</t>
  </si>
  <si>
    <t>16,18,21,24,27,211,212,213,214,215,216,217,218,219,220</t>
  </si>
  <si>
    <t>35,36,37,38,39,40,41,42,43,44,45,46,47,48,49,50,58,59,68,69,70,71,72,73,74,75,76,77,78,79,80,81,82,83,84,85,86,94,95,103,104,112,113,124,125,126,127,128,130,131,140,141,142,143,144,145,146,147,149,150,151,152,153,154,155,156,165,166,167,168,177,178,179,180,189,190,191,192,201,202,223,224,225,227,228,229,230,232</t>
  </si>
  <si>
    <t xml:space="preserve">toString
</t>
  </si>
  <si>
    <t>tests/mp/109/124/original/00000002/TestOptions.java</t>
  </si>
  <si>
    <t>2024-01-10 14:37:07</t>
  </si>
  <si>
    <t>tests/mp/111/137/original/00000002/TestOptions.java</t>
  </si>
  <si>
    <t>2024-01-10 14:37:13</t>
  </si>
  <si>
    <t>tests/mp/110/123/original/00000001/TestOptions.java</t>
  </si>
  <si>
    <t>2024-01-10 14:37:21</t>
  </si>
  <si>
    <t>tests/mp/113/157/original/00000003/TestOptions.java</t>
  </si>
  <si>
    <t>tests/mp/113/157/original/00000003/TestOptions.class</t>
  </si>
  <si>
    <t>2024-01-10 14:37:24</t>
  </si>
  <si>
    <t>tests/mp/111/137/original/00000003/TestOptions.java</t>
  </si>
  <si>
    <t>2024-01-10 14:37:26</t>
  </si>
  <si>
    <t>tests/mp/110/115/original/00000001/TestOptions.java</t>
  </si>
  <si>
    <t>2024-01-10 14:37:29</t>
  </si>
  <si>
    <t>tests/mp/113/157/original/00000004/TestOptions.java</t>
  </si>
  <si>
    <t>tests/mp/113/157/original/00000004/TestOptions.class</t>
  </si>
  <si>
    <t>2024-01-10 14:37:37</t>
  </si>
  <si>
    <t>tests/mp/111/137/original/00000004/TestOptions.java</t>
  </si>
  <si>
    <t>2024-01-10 14:37:40</t>
  </si>
  <si>
    <t>tests/mp/110/115/original/00000002/TestOptions.java</t>
  </si>
  <si>
    <t>2024-01-10 14:37:46</t>
  </si>
  <si>
    <t>tests/mp/113/142/original/00000002/TestOptions.java</t>
  </si>
  <si>
    <t>2024-01-10 14:37:47</t>
  </si>
  <si>
    <t>tests/mp/111/137/original/00000005/TestOptions.java</t>
  </si>
  <si>
    <t>2024-01-10 14:37:54</t>
  </si>
  <si>
    <t>tests/mp/111/127/original/00000001/TestOptions.java</t>
  </si>
  <si>
    <t>tests/mp/110/115/original/00000003/TestOptions.java</t>
  </si>
  <si>
    <t>tests/mp/110/115/original/00000003/TestOptions.class</t>
  </si>
  <si>
    <t>2024-01-10 14:37:59</t>
  </si>
  <si>
    <t>16,18,21,24,27,68,69,70,71,72,75,76,77,83,84,85,86,124,125,126,127,128,223,224,227,229,232</t>
  </si>
  <si>
    <t>35,36,37,38,39,40,41,42,43,44,45,46,47,48,49,50,58,59,73,74,78,79,80,81,82,94,95,103,104,112,113,130,131,140,141,142,143,144,145,146,147,149,150,151,152,153,154,155,156,165,166,167,168,177,178,179,180,189,190,191,192,201,202,211,212,213,214,215,216,217,218,219,220,225,228,230</t>
  </si>
  <si>
    <t xml:space="preserve">addOption, getOption, stripLeadingHyphens
</t>
  </si>
  <si>
    <t>tests/mp/111/127/original/00000002/TestOptions.java</t>
  </si>
  <si>
    <t>tests/mp/111/127/original/00000002/TestOptions.class</t>
  </si>
  <si>
    <t>2024-01-10 14:38:04</t>
  </si>
  <si>
    <t>tests/mp/111/137/original/00000006/TestOptions.java</t>
  </si>
  <si>
    <t>2024-01-10 14:38:09</t>
  </si>
  <si>
    <t>tests/mp/111/127/original/00000003/TestOptions.java</t>
  </si>
  <si>
    <t>tests/mp/111/127/original/00000003/TestOptions.class</t>
  </si>
  <si>
    <t>2024-01-10 14:38:27</t>
  </si>
  <si>
    <t>tests/mp/109/129/original/00000006/TestOptions.java</t>
  </si>
  <si>
    <t>2024-01-10 14:38:39</t>
  </si>
  <si>
    <t>tests/mp/113/142/original/00000003/TestOptions.java</t>
  </si>
  <si>
    <t>tests/mp/113/142/original/00000003/TestOptions.class</t>
  </si>
  <si>
    <t>2024-01-10 14:38:40</t>
  </si>
  <si>
    <t>tests/mp/109/112/original/00000002/TestOptions.java</t>
  </si>
  <si>
    <t>2024-01-10 14:38:47</t>
  </si>
  <si>
    <t>tests/mp/117/146/original/00000003/TestOptions.java</t>
  </si>
  <si>
    <t>tests/mp/117/146/original/00000003/TestOptions.class</t>
  </si>
  <si>
    <t>tests/mp/111/137/original/00000007/TestOptions.java</t>
  </si>
  <si>
    <t>2024-01-10 14:38:48</t>
  </si>
  <si>
    <t>tests/mp/111/127/original/00000004/TestOptions.java</t>
  </si>
  <si>
    <t>tests/mp/111/127/original/00000004/TestOptions.class</t>
  </si>
  <si>
    <t>2024-01-10 14:38:51</t>
  </si>
  <si>
    <t>tests/mp/109/129/original/00000007/TestOptions.java</t>
  </si>
  <si>
    <t>tests/mp/109/129/original/00000007/TestOptions.class</t>
  </si>
  <si>
    <t>tests/mp/109/124/original/00000003/TestOptions.java</t>
  </si>
  <si>
    <t>2024-01-10 14:38:55</t>
  </si>
  <si>
    <t>tests/mp/117/146/original/00000004/TestOptions.java</t>
  </si>
  <si>
    <t>tests/mp/117/146/original/00000004/TestOptions.class</t>
  </si>
  <si>
    <t>2024-01-10 14:39:04</t>
  </si>
  <si>
    <t>tests/mp/110/114/original/00000001/TestOptions.java</t>
  </si>
  <si>
    <t>2024-01-10 14:39:07</t>
  </si>
  <si>
    <t>tests/mp/109/112/original/00000003/TestOptions.java</t>
  </si>
  <si>
    <t>2024-01-10 14:39:19</t>
  </si>
  <si>
    <t>tests/mp/111/137/original/00000008/TestOptions.java</t>
  </si>
  <si>
    <t>tests/mp/117/146/original/00000005/TestOptions.java</t>
  </si>
  <si>
    <t>tests/mp/117/146/original/00000005/TestOptions.class</t>
  </si>
  <si>
    <t>2024-01-10 14:39:24</t>
  </si>
  <si>
    <t>tests/mp/112/119/original/00000001/TestOptions.java</t>
  </si>
  <si>
    <t>2024-01-10 14:39:31</t>
  </si>
  <si>
    <t>tests/mp/114/154/original/00000001/TestOptions.java</t>
  </si>
  <si>
    <t>2024-01-10 14:39:36</t>
  </si>
  <si>
    <t>tests/mp/114/154/original/00000002/TestOptions.java</t>
  </si>
  <si>
    <t>2024-01-10 14:39:43</t>
  </si>
  <si>
    <t>tests/mp/112/119/original/00000002/TestOptions.java</t>
  </si>
  <si>
    <t>2024-01-10 14:39:47</t>
  </si>
  <si>
    <t>tests/mp/110/115/original/00000004/TestOptions.java</t>
  </si>
  <si>
    <t>tests/mp/110/115/original/00000004/TestOptions.class</t>
  </si>
  <si>
    <t>2024-01-10 14:39:53</t>
  </si>
  <si>
    <t>16,18,21,24,27,68,69,70,71,72,75,76,77,83,84,85,86,124,125,126,127,128,223,224,227,228,229,232</t>
  </si>
  <si>
    <t>35,36,37,38,39,40,41,42,43,44,45,46,47,48,49,50,58,59,73,74,78,79,80,81,82,94,95,103,104,112,113,130,131,140,141,142,143,144,145,146,147,149,150,151,152,153,154,155,156,165,166,167,168,177,178,179,180,189,190,191,192,201,202,211,212,213,214,215,216,217,218,219,220,225,230</t>
  </si>
  <si>
    <t>tests/mp/112/119/original/00000003/TestOptions.java</t>
  </si>
  <si>
    <t>2024-01-10 14:40:01</t>
  </si>
  <si>
    <t>tests/mp/111/137/original/00000009/TestOptions.java</t>
  </si>
  <si>
    <t>tests/mp/111/127/original/00000005/TestOptions.java</t>
  </si>
  <si>
    <t>2024-01-10 14:40:02</t>
  </si>
  <si>
    <t>tests/mp/109/124/original/00000004/TestOptions.java</t>
  </si>
  <si>
    <t>tests/mp/109/124/original/00000004/TestOptions.class</t>
  </si>
  <si>
    <t>2024-01-10 14:40:03</t>
  </si>
  <si>
    <t>tests/mp/115/151/original/00000001/TestOptions.java</t>
  </si>
  <si>
    <t>2024-01-10 14:40:10</t>
  </si>
  <si>
    <t>tests/mp/113/157/original/00000005/TestOptions.java</t>
  </si>
  <si>
    <t>2024-01-10 14:40:15</t>
  </si>
  <si>
    <t>tests/mp/112/119/original/00000004/TestOptions.java</t>
  </si>
  <si>
    <t>2024-01-10 14:40:17</t>
  </si>
  <si>
    <t>tests/mp/115/151/original/00000002/TestOptions.java</t>
  </si>
  <si>
    <t>tests/mp/115/151/original/00000002/TestOptions.class</t>
  </si>
  <si>
    <t>2024-01-10 14:40:19</t>
  </si>
  <si>
    <t>16,18,21,24,27,58,59</t>
  </si>
  <si>
    <t>35,36,37,38,39,40,41,42,43,44,45,46,47,48,49,50,68,69,70,71,72,73,74,75,76,77,78,79,80,81,82,83,84,85,86,94,95,103,104,112,113,124,125,126,127,128,130,131,140,141,142,143,144,145,146,147,149,150,151,152,153,154,155,156,165,166,167,168,177,178,179,180,189,190,191,192,201,202,211,212,213,214,215,216,217,218,219,220,223,224,225,227,228,229,230,232</t>
  </si>
  <si>
    <t xml:space="preserve">getOptionGroups
</t>
  </si>
  <si>
    <t>tests/mp/110/140/original/00000001/TestOptions.java</t>
  </si>
  <si>
    <t>tests/mp/110/115/original/00000005/TestOptions.java</t>
  </si>
  <si>
    <t>tests/mp/110/115/original/00000005/TestOptions.class</t>
  </si>
  <si>
    <t>2024-01-10 14:40:21</t>
  </si>
  <si>
    <t>16,18,21,24,27,68,69,70,71,72,75,76,77,83,84,85,86,124,125,126,127,128,223,224,227,229,230,232</t>
  </si>
  <si>
    <t>35,36,37,38,39,40,41,42,43,44,45,46,47,48,49,50,58,59,73,74,78,79,80,81,82,94,95,103,104,112,113,130,131,140,141,142,143,144,145,146,147,149,150,151,152,153,154,155,156,165,166,167,168,177,178,179,180,189,190,191,192,201,202,211,212,213,214,215,216,217,218,219,220,225,228</t>
  </si>
  <si>
    <t>tests/mp/109/124/original/00000005/TestOptions.java</t>
  </si>
  <si>
    <t>tests/mp/109/124/original/00000005/TestOptions.class</t>
  </si>
  <si>
    <t>tests/mp/112/119/original/00000005/TestOptions.java</t>
  </si>
  <si>
    <t>tests/mp/112/119/original/00000005/TestOptions.class</t>
  </si>
  <si>
    <t>2024-01-10 14:40:27</t>
  </si>
  <si>
    <t>tests/mp/113/157/original/00000006/TestOptions.java</t>
  </si>
  <si>
    <t>tests/mp/113/157/original/00000006/TestOptions.class</t>
  </si>
  <si>
    <t>2024-01-10 14:40:29</t>
  </si>
  <si>
    <t>16,18,21,24,27,124,125,126,127,130,131,223,224,227,229,230</t>
  </si>
  <si>
    <t>35,36,37,38,39,40,41,42,43,44,45,46,47,48,49,50,58,59,68,69,70,71,72,73,74,75,76,77,78,79,80,81,82,83,84,85,86,94,95,103,104,112,113,128,140,141,142,143,144,145,146,147,149,150,151,152,153,154,155,156,165,166,167,168,177,178,179,180,189,190,191,192,201,202,211,212,213,214,215,216,217,218,219,220,225,228,232</t>
  </si>
  <si>
    <t>tests/mp/109/124/original/00000006/TestOptions.java</t>
  </si>
  <si>
    <t>tests/mp/109/124/original/00000006/TestOptions.class</t>
  </si>
  <si>
    <t>2024-01-10 14:40:36</t>
  </si>
  <si>
    <t>tests/mp/113/157/original/00000007/TestOptions.java</t>
  </si>
  <si>
    <t>tests/mp/113/157/original/00000007/TestOptions.class</t>
  </si>
  <si>
    <t>2024-01-10 14:40:42</t>
  </si>
  <si>
    <t>tests/mp/110/115/original/00000006/TestOptions.java</t>
  </si>
  <si>
    <t>tests/mp/110/115/original/00000006/TestOptions.class</t>
  </si>
  <si>
    <t>2024-01-10 14:40:43</t>
  </si>
  <si>
    <t>tests/mp/113/160/original/00000001/TestOptions.java</t>
  </si>
  <si>
    <t>tests/mp/113/160/original/00000002/TestOptions.java</t>
  </si>
  <si>
    <t>2024-01-10 14:41:03</t>
  </si>
  <si>
    <t>tests/mp/113/166/original/00000001/TestOptions.java</t>
  </si>
  <si>
    <t>2024-01-10 14:41:08</t>
  </si>
  <si>
    <t>tests/mp/114/154/original/00000003/TestOptions.java</t>
  </si>
  <si>
    <t>2024-01-10 14:41:15</t>
  </si>
  <si>
    <t>tests/mp/109/112/original/00000004/TestOptions.java</t>
  </si>
  <si>
    <t>2024-01-10 14:41:17</t>
  </si>
  <si>
    <t>tests/mp/113/166/original/00000002/TestOptions.java</t>
  </si>
  <si>
    <t>2024-01-10 14:41:22</t>
  </si>
  <si>
    <t>tests/mp/110/123/original/00000002/TestOptions.java</t>
  </si>
  <si>
    <t>2024-01-10 14:41:23</t>
  </si>
  <si>
    <t>tests/mp/114/154/original/00000004/TestOptions.java</t>
  </si>
  <si>
    <t>tests/mp/113/142/original/00000004/TestOptions.java</t>
  </si>
  <si>
    <t>2024-01-10 14:41:37</t>
  </si>
  <si>
    <t>tests/mp/113/166/original/00000003/TestOptions.java</t>
  </si>
  <si>
    <t>tests/mp/113/166/original/00000003/TestOptions.class</t>
  </si>
  <si>
    <t>2024-01-10 14:41:41</t>
  </si>
  <si>
    <t>16,18,21,24,27,68,69,70,71,72,75,76,77,83,84,85,86,112,113</t>
  </si>
  <si>
    <t>35,36,37,38,39,40,41,42,43,44,45,46,47,48,49,50,58,59,73,74,78,79,80,81,82,94,95,103,104,124,125,126,127,128,130,131,140,141,142,143,144,145,146,147,149,150,151,152,153,154,155,156,165,166,167,168,177,178,179,180,189,190,191,192,201,202,211,212,213,214,215,216,217,218,219,220,223,224,225,227,228,229,230,232</t>
  </si>
  <si>
    <t xml:space="preserve">addOption, getRequiredOptions
</t>
  </si>
  <si>
    <t>tests/mp/110/115/original/00000007/TestOptions.java</t>
  </si>
  <si>
    <t>tests/mp/110/115/original/00000007/TestOptions.class</t>
  </si>
  <si>
    <t>2024-01-10 14:41:49</t>
  </si>
  <si>
    <t>16,18,21,24,27,68,69,70,71,72,75,76,77,83,84,85,86,211,212,213,214,215,216,217,218,219,220</t>
  </si>
  <si>
    <t>35,36,37,38,39,40,41,42,43,44,45,46,47,48,49,50,58,59,73,74,78,79,80,81,82,94,95,103,104,112,113,124,125,126,127,128,130,131,140,141,142,143,144,145,146,147,149,150,151,152,153,154,155,156,165,166,167,168,177,178,179,180,189,190,191,192,201,202,223,224,225,227,228,229,230,232</t>
  </si>
  <si>
    <t xml:space="preserve">addOption, toString
</t>
  </si>
  <si>
    <t>tests/mp/115/151/original/00000003/TestOptions.java</t>
  </si>
  <si>
    <t>2024-01-10 14:41:55</t>
  </si>
  <si>
    <t>tests/mp/113/142/original/00000005/TestOptions.java</t>
  </si>
  <si>
    <t>2024-01-10 14:42:03</t>
  </si>
  <si>
    <t>tests/mp/115/143/original/00000001/TestOptions.java</t>
  </si>
  <si>
    <t>tests/mp/113/157/original/00000008/TestOptions.java</t>
  </si>
  <si>
    <t>2024-01-10 14:42:18</t>
  </si>
  <si>
    <t>tests/mp/112/120/original/00000001/TestOptions.java</t>
  </si>
  <si>
    <t>2024-01-10 14:42:21</t>
  </si>
  <si>
    <t>tests/mp/112/119/original/00000006/TestOptions.java</t>
  </si>
  <si>
    <t>tests/mp/112/119/original/00000006/TestOptions.class</t>
  </si>
  <si>
    <t>2024-01-10 14:42:33</t>
  </si>
  <si>
    <t>tests/mp/113/160/original/00000003/TestOptions.java</t>
  </si>
  <si>
    <t>2024-01-10 14:42:37</t>
  </si>
  <si>
    <t>tests/mp/117/146/original/00000006/TestOptions.java</t>
  </si>
  <si>
    <t>tests/mp/117/146/original/00000006/TestOptions.class</t>
  </si>
  <si>
    <t>tests/mp/113/142/original/00000006/TestOptions.java</t>
  </si>
  <si>
    <t>tests/mp/113/166/original/00000004/TestOptions.java</t>
  </si>
  <si>
    <t>tests/mp/113/166/original/00000004/TestOptions.class</t>
  </si>
  <si>
    <t>2024-01-10 14:42:54</t>
  </si>
  <si>
    <t>16,18,21,24,27,68,69,70,71,72,75,76,77,78,81,82,83,84,85,86,112,113</t>
  </si>
  <si>
    <t>35,36,37,38,39,40,41,42,43,44,45,46,47,48,49,50,58,59,73,74,79,80,94,95,103,104,124,125,126,127,128,130,131,140,141,142,143,144,145,146,147,149,150,151,152,153,154,155,156,165,166,167,168,177,178,179,180,189,190,191,192,201,202,211,212,213,214,215,216,217,218,219,220,223,224,225,227,228,229,230,232</t>
  </si>
  <si>
    <t>tests/mp/113/142/original/00000007/TestOptions.java</t>
  </si>
  <si>
    <t>tests/mp/113/142/original/00000007/TestOptions.class</t>
  </si>
  <si>
    <t>2024-01-10 14:42:56</t>
  </si>
  <si>
    <t>tests/mp/112/120/original/00000002/TestOptions.java</t>
  </si>
  <si>
    <t>2024-01-10 14:42:59</t>
  </si>
  <si>
    <t>tests/mp/115/151/original/00000004/TestOptions.java</t>
  </si>
  <si>
    <t>2024-01-10 14:43:01</t>
  </si>
  <si>
    <t>tests/mp/110/114/original/00000002/TestOptions.java</t>
  </si>
  <si>
    <t>2024-01-10 14:43:07</t>
  </si>
  <si>
    <t>tests/mp/112/120/original/00000003/TestOptions.java</t>
  </si>
  <si>
    <t>2024-01-10 14:43:16</t>
  </si>
  <si>
    <t>tests/mp/113/142/original/00000008/TestOptions.java</t>
  </si>
  <si>
    <t>tests/mp/113/142/original/00000008/TestOptions.class</t>
  </si>
  <si>
    <t>2024-01-10 14:43:17</t>
  </si>
  <si>
    <t>tests/mp/114/154/original/00000005/TestOptions.java</t>
  </si>
  <si>
    <t>tests/mp/114/154/original/00000005/TestOptions.class</t>
  </si>
  <si>
    <t>2024-01-10 14:43:22</t>
  </si>
  <si>
    <t>16,18,21,24,27,35,36,39,40,41,42,43,44,45,46,47,48,49,50,68,69,70,71,72,75,76,77,78,81,82,83,84,85,86,112,113</t>
  </si>
  <si>
    <t>37,38,58,59,73,74,79,80,94,95,103,104,124,125,126,127,128,130,131,140,141,142,143,144,145,146,147,149,150,151,152,153,154,155,156,165,166,167,168,177,178,179,180,189,190,191,192,201,202,211,212,213,214,215,216,217,218,219,220,223,224,225,227,228,229,230,232</t>
  </si>
  <si>
    <t xml:space="preserve">addOptionGroup, addOption, getRequiredOptions
</t>
  </si>
  <si>
    <t>tests/mp/111/109/original/00000001/TestOptions.java</t>
  </si>
  <si>
    <t>tests/mp/111/109/original/00000001/TestOptions.class</t>
  </si>
  <si>
    <t>2024-01-10 14:43:27</t>
  </si>
  <si>
    <t>16,18,21,24,27,68,69,70,71,72,75,76,77,83,84,85,86,124,125,126,127,128,223,224,225</t>
  </si>
  <si>
    <t>35,36,37,38,39,40,41,42,43,44,45,46,47,48,49,50,58,59,73,74,78,79,80,81,82,94,95,103,104,112,113,130,131,140,141,142,143,144,145,146,147,149,150,151,152,153,154,155,156,165,166,167,168,177,178,179,180,189,190,191,192,201,202,211,212,213,214,215,216,217,218,219,220,227,228,229,230,232</t>
  </si>
  <si>
    <t>tests/mp/111/127/original/00000006/TestOptions.java</t>
  </si>
  <si>
    <t>2024-01-10 14:43:32</t>
  </si>
  <si>
    <t>tests/mp/115/151/original/00000005/TestOptions.java</t>
  </si>
  <si>
    <t>tests/mp/113/166/original/00000005/TestOptions.java</t>
  </si>
  <si>
    <t>tests/mp/113/166/original/00000005/TestOptions.class</t>
  </si>
  <si>
    <t>2024-01-10 14:43:41</t>
  </si>
  <si>
    <t>tests/mp/113/157/original/00000009/TestOptions.java</t>
  </si>
  <si>
    <t>2024-01-10 14:43:42</t>
  </si>
  <si>
    <t>tests/mp/109/124/original/00000007/TestOptions.java</t>
  </si>
  <si>
    <t>tests/mp/109/124/original/00000007/TestOptions.class</t>
  </si>
  <si>
    <t>2024-01-10 14:43:49</t>
  </si>
  <si>
    <t>tests/mp/109/129/original/00000008/TestOptions.java</t>
  </si>
  <si>
    <t>tests/mp/109/129/original/00000008/TestOptions.class</t>
  </si>
  <si>
    <t>2024-01-10 14:43:52</t>
  </si>
  <si>
    <t>tests/mp/113/157/original/00000010/TestOptions.java</t>
  </si>
  <si>
    <t>tests/mp/113/157/original/00000010/TestOptions.class</t>
  </si>
  <si>
    <t>2024-01-10 14:43:55</t>
  </si>
  <si>
    <t>16,18,21,24,27,94,95,103,104</t>
  </si>
  <si>
    <t>35,36,37,38,39,40,41,42,43,44,45,46,47,48,49,50,58,59,68,69,70,71,72,73,74,75,76,77,78,79,80,81,82,83,84,85,86,112,113,124,125,126,127,128,130,131,140,141,142,143,144,145,146,147,149,150,151,152,153,154,155,156,165,166,167,168,177,178,179,180,189,190,191,192,201,202,211,212,213,214,215,216,217,218,219,220,223,224,225,227,228,229,230,232</t>
  </si>
  <si>
    <t xml:space="preserve">getOptions, helpOptions
</t>
  </si>
  <si>
    <t>tests/mp/110/128/original/00000001/TestOptions.java</t>
  </si>
  <si>
    <t>2024-01-10 14:43:56</t>
  </si>
  <si>
    <t>tests/mp/112/120/original/00000004/TestOptions.java</t>
  </si>
  <si>
    <t>2024-01-10 14:44:02</t>
  </si>
  <si>
    <t>tests/mp/113/157/original/00000011/TestOptions.java</t>
  </si>
  <si>
    <t>2024-01-10 14:44:06</t>
  </si>
  <si>
    <t>tests/mp/109/124/original/00000008/TestOptions.java</t>
  </si>
  <si>
    <t>tests/mp/109/124/original/00000008/TestOptions.class</t>
  </si>
  <si>
    <t>2024-01-10 14:44:09</t>
  </si>
  <si>
    <t>tests/mp/113/157/original/00000012/TestOptions.java</t>
  </si>
  <si>
    <t>2024-01-10 14:44:13</t>
  </si>
  <si>
    <t>tests/mp/114/154/original/00000006/TestOptions.java</t>
  </si>
  <si>
    <t>tests/mp/114/154/original/00000006/TestOptions.class</t>
  </si>
  <si>
    <t>16,18,21,24,27,35,36,39,40,41,42,43,44,45,46,47,48,49,50,58,59,68,69,70,71,72,75,76,77,78,81,82,83,84,85,86</t>
  </si>
  <si>
    <t>37,38,73,74,79,80,94,95,103,104,112,113,124,125,126,127,128,130,131,140,141,142,143,144,145,146,147,149,150,151,152,153,154,155,156,165,166,167,168,177,178,179,180,189,190,191,192,201,202,211,212,213,214,215,216,217,218,219,220,223,224,225,227,228,229,230,232</t>
  </si>
  <si>
    <t xml:space="preserve">addOptionGroup, getOptionGroups, addOption
</t>
  </si>
  <si>
    <t>tests/mp/113/160/original/00000004/TestOptions.java</t>
  </si>
  <si>
    <t>2024-01-10 14:44:15</t>
  </si>
  <si>
    <t>tests/mp/111/127/original/00000007/TestOptions.java</t>
  </si>
  <si>
    <t>2024-01-10 14:44:20</t>
  </si>
  <si>
    <t>tests/mp/117/141/original/00000001/TestOptions.java</t>
  </si>
  <si>
    <t>2024-01-10 14:44:21</t>
  </si>
  <si>
    <t>tests/mp/109/112/original/00000005/TestOptions.java</t>
  </si>
  <si>
    <t>tests/mp/109/112/original/00000005/TestOptions.class</t>
  </si>
  <si>
    <t>2024-01-10 14:44:30</t>
  </si>
  <si>
    <t>16,18,21,24,27,68,69,70,71,72,75,76,77,83,84,85,86</t>
  </si>
  <si>
    <t>35,36,37,38,39,40,41,42,43,44,45,46,47,48,49,50,58,59,73,74,78,79,80,81,82,94,95,103,104,112,113,124,125,126,127,128,130,131,140,141,142,143,144,145,146,147,149,150,151,152,153,154,155,156,165,166,167,168,177,178,179,180,189,190,191,192,201,202,211,212,213,214,215,216,217,218,219,220,223,224,225,227,228,229,230,232</t>
  </si>
  <si>
    <t xml:space="preserve">addOption
</t>
  </si>
  <si>
    <t>tests/mp/111/109/original/00000002/TestOptions.java</t>
  </si>
  <si>
    <t>tests/mp/111/109/original/00000002/TestOptions.class</t>
  </si>
  <si>
    <t>16,18,21,24,27,68,69,70,71,72,75,76,77,83,84,85,86,124,125,126,127,130,131,223,224,225</t>
  </si>
  <si>
    <t>35,36,37,38,39,40,41,42,43,44,45,46,47,48,49,50,58,59,73,74,78,79,80,81,82,94,95,103,104,112,113,128,140,141,142,143,144,145,146,147,149,150,151,152,153,154,155,156,165,166,167,168,177,178,179,180,189,190,191,192,201,202,211,212,213,214,215,216,217,218,219,220,227,228,229,230,232</t>
  </si>
  <si>
    <t>tests/mp/113/157/original/00000013/TestOptions.java</t>
  </si>
  <si>
    <t>tests/mp/113/157/original/00000013/TestOptions.class</t>
  </si>
  <si>
    <t>2024-01-10 14:44:32</t>
  </si>
  <si>
    <t>tests/mp/110/114/original/00000003/TestOptions.java</t>
  </si>
  <si>
    <t>2024-01-10 14:44:48</t>
  </si>
  <si>
    <t>tests/mp/114/154/original/00000007/TestOptions.java</t>
  </si>
  <si>
    <t>tests/mp/114/154/original/00000007/TestOptions.class</t>
  </si>
  <si>
    <t>2024-01-10 14:44:52</t>
  </si>
  <si>
    <t>16,18,21,24,27,35,36,39,40,41,42,43,44,45,46,47,48,49,50,68,69,70,71,72,75,76,77,83,84,85,86,112,113</t>
  </si>
  <si>
    <t>37,38,58,59,73,74,78,79,80,81,82,94,95,103,104,124,125,126,127,128,130,131,140,141,142,143,144,145,146,147,149,150,151,152,153,154,155,156,165,166,167,168,177,178,179,180,189,190,191,192,201,202,211,212,213,214,215,216,217,218,219,220,223,224,225,227,228,229,230,232</t>
  </si>
  <si>
    <t>tests/mp/117/141/original/00000002/TestOptions.java</t>
  </si>
  <si>
    <t>2024-01-10 14:44:54</t>
  </si>
  <si>
    <t>tests/mp/115/151/original/00000006/TestOptions.java</t>
  </si>
  <si>
    <t>tests/mp/112/130/original/00000002/TestOptions.java</t>
  </si>
  <si>
    <t>2024-01-10 14:44:59</t>
  </si>
  <si>
    <t>tests/mp/111/127/original/00000008/TestOptions.java</t>
  </si>
  <si>
    <t>2024-01-10 14:45:05</t>
  </si>
  <si>
    <t>tests/mp/117/168/original/00000001/TestOptions.java</t>
  </si>
  <si>
    <t>tests/mp/117/168/original/00000001/TestOptions.class</t>
  </si>
  <si>
    <t>16,18,21,24,27,35,36,37,38,39,40,41,42,43,44,45,46,47,48,49,50,58,59,68,69,70,71,72,73,74,75,76,77,78,79,80,81,82,83,84,85,86,94,95,103,104,112,113,124,125,126,127,128,130,131,140,141,142,143,144,145,146,147,149,150,151,152,153,154,155,156,165,166,167,168,177,178,179,180,189,190,191,192,201,202,211,212,213,214,215,216,217,218,219,220,223,224,225,227,228,229,230,232</t>
  </si>
  <si>
    <t>tests/mp/115/151/original/00000007/TestOptions.java</t>
  </si>
  <si>
    <t>2024-01-10 14:45:07</t>
  </si>
  <si>
    <t>tests/mp/110/140/original/00000002/TestOptions.java</t>
  </si>
  <si>
    <t>tests/mp/112/130/original/00000003/TestOptions.java</t>
  </si>
  <si>
    <t>tests/mp/113/157/original/00000014/TestOptions.java</t>
  </si>
  <si>
    <t>tests/mp/113/157/original/00000014/TestOptions.class</t>
  </si>
  <si>
    <t>2024-01-10 14:45:13</t>
  </si>
  <si>
    <t>16,18,21,24,27,103,104</t>
  </si>
  <si>
    <t>35,36,37,38,39,40,41,42,43,44,45,46,47,48,49,50,58,59,68,69,70,71,72,73,74,75,76,77,78,79,80,81,82,83,84,85,86,94,95,112,113,124,125,126,127,128,130,131,140,141,142,143,144,145,146,147,149,150,151,152,153,154,155,156,165,166,167,168,177,178,179,180,189,190,191,192,201,202,211,212,213,214,215,216,217,218,219,220,223,224,225,227,228,229,230,232</t>
  </si>
  <si>
    <t xml:space="preserve">helpOptions
</t>
  </si>
  <si>
    <t>tests/mp/109/112/original/00000006/TestOptions.java</t>
  </si>
  <si>
    <t>tests/mp/109/112/original/00000006/TestOptions.class</t>
  </si>
  <si>
    <t>2024-01-10 14:45:14</t>
  </si>
  <si>
    <t>tests/mp/117/146/original/00000007/TestOptions.java</t>
  </si>
  <si>
    <t>2024-01-10 14:45:19</t>
  </si>
  <si>
    <t>tests/mp/117/146/original/00000008/TestOptions.java</t>
  </si>
  <si>
    <t>2024-01-10 14:45:25</t>
  </si>
  <si>
    <t>tests/mp/110/115/original/00000008/TestOptions.java</t>
  </si>
  <si>
    <t>tests/mp/110/115/original/00000008/TestOptions.class</t>
  </si>
  <si>
    <t>16,18,21,24,27,35,36,37,38,39,40,49,50,68,69,70,71,72,75,76,77,83,84,85,86,211,212,213,214,215,216,217,218,219,220</t>
  </si>
  <si>
    <t>41,42,43,44,45,46,47,48,58,59,73,74,78,79,80,81,82,94,95,103,104,112,113,124,125,126,127,128,130,131,140,141,142,143,144,145,146,147,149,150,151,152,153,154,155,156,165,166,167,168,177,178,179,180,189,190,191,192,201,202,223,224,225,227,228,229,230,232</t>
  </si>
  <si>
    <t xml:space="preserve">addOptionGroup, addOption, toString
</t>
  </si>
  <si>
    <t>tests/mp/112/130/original/00000004/TestOptions.java</t>
  </si>
  <si>
    <t>2024-01-10 14:45:29</t>
  </si>
  <si>
    <t>tests/mp/115/151/original/00000008/TestOptions.java</t>
  </si>
  <si>
    <t>2024-01-10 14:45:32</t>
  </si>
  <si>
    <t>tests/mp/110/114/original/00000004/TestOptions.java</t>
  </si>
  <si>
    <t>2024-01-10 14:45:33</t>
  </si>
  <si>
    <t>tests/mp/113/160/original/00000005/TestOptions.java</t>
  </si>
  <si>
    <t>2024-01-10 14:45:36</t>
  </si>
  <si>
    <t>tests/mp/114/164/original/00000001/TestOptions.java</t>
  </si>
  <si>
    <t>2024-01-10 14:45:38</t>
  </si>
  <si>
    <t>tests/mp/112/119/original/00000007/TestOptions.java</t>
  </si>
  <si>
    <t>tests/mp/112/119/original/00000007/TestOptions.class</t>
  </si>
  <si>
    <t>2024-01-10 14:45:39</t>
  </si>
  <si>
    <t>16,18,21,24,27,68,69,70,71,72,73,74,75,76,77,83,84,85,86,189,190,191,192,223,224,227,229,232</t>
  </si>
  <si>
    <t>35,36,37,38,39,40,41,42,43,44,45,46,47,48,49,50,58,59,78,79,80,81,82,94,95,103,104,112,113,124,125,126,127,128,130,131,140,141,142,143,144,145,146,147,149,150,151,152,153,154,155,156,165,166,167,168,177,178,179,180,201,202,211,212,213,214,215,216,217,218,219,220,225,228,230</t>
  </si>
  <si>
    <t xml:space="preserve">addOption, hasShortOption, stripLeadingHyphens
</t>
  </si>
  <si>
    <t>tests/mp/110/114/original/00000005/TestOptions.java</t>
  </si>
  <si>
    <t>tests/mp/110/114/original/00000005/TestOptions.class</t>
  </si>
  <si>
    <t>2024-01-10 14:45:43</t>
  </si>
  <si>
    <t>tests/mp/114/164/original/00000002/TestOptions.java</t>
  </si>
  <si>
    <t>2024-01-10 14:45:49</t>
  </si>
  <si>
    <t>tests/mp/109/129/original/00000009/TestOptions.java</t>
  </si>
  <si>
    <t>tests/mp/109/129/original/00000009/TestOptions.class</t>
  </si>
  <si>
    <t>2024-01-10 14:45:51</t>
  </si>
  <si>
    <t>tests/mp/110/140/original/00000003/TestOptions.java</t>
  </si>
  <si>
    <t>2024-01-10 14:45:57</t>
  </si>
  <si>
    <t>tests/mp/114/164/original/00000003/TestOptions.java</t>
  </si>
  <si>
    <t>2024-01-10 14:45:59</t>
  </si>
  <si>
    <t>tests/mp/113/157/original/00000015/TestOptions.java</t>
  </si>
  <si>
    <t>tests/mp/113/157/original/00000015/TestOptions.class</t>
  </si>
  <si>
    <t>2024-01-10 14:46:01</t>
  </si>
  <si>
    <t>tests/mp/112/130/original/00000005/TestOptions.java</t>
  </si>
  <si>
    <t>2024-01-10 14:46:03</t>
  </si>
  <si>
    <t>tests/mp/111/109/original/00000003/TestOptions.java</t>
  </si>
  <si>
    <t>tests/mp/111/109/original/00000003/TestOptions.class</t>
  </si>
  <si>
    <t>2024-01-10 14:46:10</t>
  </si>
  <si>
    <t>16,18,21,24,27,68,69,70,71,72,75,76,77,83,84,85,86,124,125,126,127,128,223,224,227,228</t>
  </si>
  <si>
    <t>35,36,37,38,39,40,41,42,43,44,45,46,47,48,49,50,58,59,73,74,78,79,80,81,82,94,95,103,104,112,113,130,131,140,141,142,143,144,145,146,147,149,150,151,152,153,154,155,156,165,166,167,168,177,178,179,180,189,190,191,192,201,202,211,212,213,214,215,216,217,218,219,220,225,229,230,232</t>
  </si>
  <si>
    <t>tests/mp/112/130/original/00000006/TestOptions.java</t>
  </si>
  <si>
    <t>tests/mp/112/130/original/00000006/TestOptions.class</t>
  </si>
  <si>
    <t>2024-01-10 14:46:12</t>
  </si>
  <si>
    <t>16,18,21,24,27,68,69,70,71,72,73,74,75,76,77,78,81,82,83,84,85,86,165,166,167,168,177,178,179,180,223,224,227,229,232</t>
  </si>
  <si>
    <t>35,36,37,38,39,40,41,42,43,44,45,46,47,48,49,50,58,59,79,80,94,95,103,104,112,113,124,125,126,127,128,130,131,140,141,142,143,144,145,146,147,149,150,151,152,153,154,155,156,189,190,191,192,201,202,211,212,213,214,215,216,217,218,219,220,225,228,230</t>
  </si>
  <si>
    <t xml:space="preserve">addOption, hasOption, hasLongOption, stripLeadingHyphens
</t>
  </si>
  <si>
    <t>tests/mp/117/163/original/00000005/TestOptions.java</t>
  </si>
  <si>
    <t>2024-01-10 14:46:14</t>
  </si>
  <si>
    <t>tests/mp/112/119/original/00000008/TestOptions.java</t>
  </si>
  <si>
    <t>tests/mp/112/119/original/00000008/TestOptions.class</t>
  </si>
  <si>
    <t>2024-01-10 14:46:16</t>
  </si>
  <si>
    <t>16,18,21,24,27,68,69,70,71,72,73,74,75,76,77,83,84,85,86,177,178,179,180,223,224,227,229,232</t>
  </si>
  <si>
    <t>35,36,37,38,39,40,41,42,43,44,45,46,47,48,49,50,58,59,78,79,80,81,82,94,95,103,104,112,113,124,125,126,127,128,130,131,140,141,142,143,144,145,146,147,149,150,151,152,153,154,155,156,165,166,167,168,189,190,191,192,201,202,211,212,213,214,215,216,217,218,219,220,225,228,230</t>
  </si>
  <si>
    <t xml:space="preserve">addOption, hasLongOption, stripLeadingHyphens
</t>
  </si>
  <si>
    <t>tests/mp/117/146/original/00000009/TestOptions.java</t>
  </si>
  <si>
    <t>2024-01-10 14:46:22</t>
  </si>
  <si>
    <t>tests/mp/113/157/original/00000016/TestOptions.java</t>
  </si>
  <si>
    <t>tests/mp/113/157/original/00000016/TestOptions.class</t>
  </si>
  <si>
    <t>2024-01-10 14:46:23</t>
  </si>
  <si>
    <t>tests/mp/117/163/original/00000006/TestOptions.java</t>
  </si>
  <si>
    <t>tests/mp/117/146/original/00000010/TestOptions.java</t>
  </si>
  <si>
    <t>tests/mp/117/146/original/00000010/TestOptions.class</t>
  </si>
  <si>
    <t>2024-01-10 14:46:29</t>
  </si>
  <si>
    <t>tests/mp/115/143/original/00000002/TestOptions.java</t>
  </si>
  <si>
    <t>2024-01-10 14:46:33</t>
  </si>
  <si>
    <t>tests/mp/113/157/original/00000017/TestOptions.java</t>
  </si>
  <si>
    <t>tests/mp/113/157/original/00000017/TestOptions.class</t>
  </si>
  <si>
    <t>2024-01-10 14:46:35</t>
  </si>
  <si>
    <t>tests/mp/117/168/original/00000002/TestOptions.java</t>
  </si>
  <si>
    <t>tests/mp/117/168/original/00000002/TestOptions.class</t>
  </si>
  <si>
    <t>2024-01-10 14:46:50</t>
  </si>
  <si>
    <t>tests/mp/113/166/original/00000006/TestOptions.java</t>
  </si>
  <si>
    <t>2024-01-10 14:46:51</t>
  </si>
  <si>
    <t>tests/mp/117/146/original/00000011/TestOptions.java</t>
  </si>
  <si>
    <t>tests/mp/117/146/original/00000011/TestOptions.class</t>
  </si>
  <si>
    <t>2024-01-10 14:46:52</t>
  </si>
  <si>
    <t>tests/mp/111/109/original/00000004/TestOptions.java</t>
  </si>
  <si>
    <t>tests/mp/111/109/original/00000004/TestOptions.class</t>
  </si>
  <si>
    <t>2024-01-10 14:46:53</t>
  </si>
  <si>
    <t>16,18,21,24,27,68,69,70,71,72,75,76,77,83,84,85,86,124,125,126,127,128,223,224,227,229,230</t>
  </si>
  <si>
    <t>35,36,37,38,39,40,41,42,43,44,45,46,47,48,49,50,58,59,73,74,78,79,80,81,82,94,95,103,104,112,113,130,131,140,141,142,143,144,145,146,147,149,150,151,152,153,154,155,156,165,166,167,168,177,178,179,180,189,190,191,192,201,202,211,212,213,214,215,216,217,218,219,220,225,228,232</t>
  </si>
  <si>
    <t>tests/mp/117/163/original/00000007/TestOptions.java</t>
  </si>
  <si>
    <t>2024-01-10 14:46:54</t>
  </si>
  <si>
    <t>tests/mp/113/166/original/00000007/TestOptions.java</t>
  </si>
  <si>
    <t>2024-01-10 14:47:04</t>
  </si>
  <si>
    <t>tests/mp/117/163/original/00000008/TestOptions.java</t>
  </si>
  <si>
    <t>tests/mp/112/120/original/00000005/TestOptions.java</t>
  </si>
  <si>
    <t>2024-01-10 14:47:10</t>
  </si>
  <si>
    <t>tests/mp/117/163/original/00000009/TestOptions.java</t>
  </si>
  <si>
    <t>2024-01-10 14:47:16</t>
  </si>
  <si>
    <t>tests/mp/113/166/original/00000008/TestOptions.java</t>
  </si>
  <si>
    <t>tests/mp/113/166/original/00000008/TestOptions.class</t>
  </si>
  <si>
    <t>2024-01-10 14:47:19</t>
  </si>
  <si>
    <t>tests/mp/115/148/original/00000001/TestOptions.java</t>
  </si>
  <si>
    <t>tests/mp/110/123/original/00000003/TestOptions.java</t>
  </si>
  <si>
    <t>2024-01-10 14:47:24</t>
  </si>
  <si>
    <t>tests/mp/115/151/original/00000009/TestOptions.java</t>
  </si>
  <si>
    <t>2024-01-10 14:47:33</t>
  </si>
  <si>
    <t>tests/mp/110/140/original/00000004/TestOptions.java</t>
  </si>
  <si>
    <t>tests/mp/110/140/original/00000004/TestOptions.class</t>
  </si>
  <si>
    <t>2024-01-10 14:47:38</t>
  </si>
  <si>
    <t>tests/mp/111/127/original/00000009/TestOptions.java</t>
  </si>
  <si>
    <t>2024-01-10 14:47:41</t>
  </si>
  <si>
    <t>tests/mp/112/130/original/00000007/TestOptions.java</t>
  </si>
  <si>
    <t>tests/mp/113/166/original/00000009/TestOptions.java</t>
  </si>
  <si>
    <t>tests/mp/113/166/original/00000009/TestOptions.class</t>
  </si>
  <si>
    <t>2024-01-10 14:47:50</t>
  </si>
  <si>
    <t>tests/mp/112/130/original/00000008/TestOptions.java</t>
  </si>
  <si>
    <t>tests/mp/117/146/original/00000012/TestOptions.java</t>
  </si>
  <si>
    <t>tests/mp/117/146/original/00000012/TestOptions.class</t>
  </si>
  <si>
    <t>2024-01-10 14:47:58</t>
  </si>
  <si>
    <t>tests/mp/109/136/original/00000001/TestOptions.java</t>
  </si>
  <si>
    <t>2024-01-10 14:48:03</t>
  </si>
  <si>
    <t>tests/mp/114/154/original/00000008/TestOptions.java</t>
  </si>
  <si>
    <t>2024-01-10 14:48:11</t>
  </si>
  <si>
    <t>tests/mp/113/157/original/00000018/TestOptions.java</t>
  </si>
  <si>
    <t>tests/mp/113/157/original/00000018/TestOptions.class</t>
  </si>
  <si>
    <t>2024-01-10 14:48:14</t>
  </si>
  <si>
    <t>16,18,21,24,27,189,190,191,192,223,224,227,229,232</t>
  </si>
  <si>
    <t>35,36,37,38,39,40,41,42,43,44,45,46,47,48,49,50,58,59,68,69,70,71,72,73,74,75,76,77,78,79,80,81,82,83,84,85,86,94,95,103,104,112,113,124,125,126,127,128,130,131,140,141,142,143,144,145,146,147,149,150,151,152,153,154,155,156,165,166,167,168,177,178,179,180,201,202,211,212,213,214,215,216,217,218,219,220,225,228,230</t>
  </si>
  <si>
    <t xml:space="preserve">hasShortOption, stripLeadingHyphens
</t>
  </si>
  <si>
    <t>tests/mp/117/146/original/00000013/TestOptions.java</t>
  </si>
  <si>
    <t>tests/mp/117/146/original/00000013/TestOptions.class</t>
  </si>
  <si>
    <t>2024-01-10 14:48:16</t>
  </si>
  <si>
    <t>tests/mp/114/154/original/00000009/TestOptions.java</t>
  </si>
  <si>
    <t>tests/mp/114/154/original/00000009/TestOptions.class</t>
  </si>
  <si>
    <t>2024-01-10 14:48:18</t>
  </si>
  <si>
    <t>16,18,21,24,27,68,69,70,71,72,73,74,75,76,77,78,81,82,83,84,85,86,177,178,179,180,223,224,227,229,232</t>
  </si>
  <si>
    <t>35,36,37,38,39,40,41,42,43,44,45,46,47,48,49,50,58,59,79,80,94,95,103,104,112,113,124,125,126,127,128,130,131,140,141,142,143,144,145,146,147,149,150,151,152,153,154,155,156,165,166,167,168,189,190,191,192,201,202,211,212,213,214,215,216,217,218,219,220,225,228,230</t>
  </si>
  <si>
    <t>tests/mp/117/146/original/00000014/TestOptions.java</t>
  </si>
  <si>
    <t>tests/mp/117/146/original/00000014/TestOptions.class</t>
  </si>
  <si>
    <t>2024-01-10 14:48:41</t>
  </si>
  <si>
    <t>tests/mp/112/120/original/00000006/TestOptions.java</t>
  </si>
  <si>
    <t>2024-01-10 14:48:44</t>
  </si>
  <si>
    <t>tests/mp/113/142/original/00000009/TestOptions.java</t>
  </si>
  <si>
    <t>tests/mp/113/142/original/00000009/TestOptions.class</t>
  </si>
  <si>
    <t>2024-01-10 14:48:47</t>
  </si>
  <si>
    <t>16,18,21,24,27,177,178,179,180,223,224,227,229,232</t>
  </si>
  <si>
    <t>35,36,37,38,39,40,41,42,43,44,45,46,47,48,49,50,58,59,68,69,70,71,72,73,74,75,76,77,78,79,80,81,82,83,84,85,86,94,95,103,104,112,113,124,125,126,127,128,130,131,140,141,142,143,144,145,146,147,149,150,151,152,153,154,155,156,165,166,167,168,189,190,191,192,201,202,211,212,213,214,215,216,217,218,219,220,225,228,230</t>
  </si>
  <si>
    <t xml:space="preserve">hasLongOption, stripLeadingHyphens
</t>
  </si>
  <si>
    <t>tests/mp/109/124/original/00000009/TestOptions.java</t>
  </si>
  <si>
    <t>2024-01-10 14:48:48</t>
  </si>
  <si>
    <t>tests/mp/113/166/original/00000010/TestOptions.java</t>
  </si>
  <si>
    <t>2024-01-10 14:48:51</t>
  </si>
  <si>
    <t>tests/mp/109/124/original/00000010/TestOptions.java</t>
  </si>
  <si>
    <t>tests/mp/109/124/original/00000010/TestOptions.class</t>
  </si>
  <si>
    <t>2024-01-10 14:48:58</t>
  </si>
  <si>
    <t>tests/mp/117/168/original/00000003/TestOptions.java</t>
  </si>
  <si>
    <t>tests/mp/117/168/original/00000003/TestOptions.class</t>
  </si>
  <si>
    <t>2024-01-10 14:49:04</t>
  </si>
  <si>
    <t>tests/mp/113/142/original/00000010/TestOptions.java</t>
  </si>
  <si>
    <t>tests/mp/113/142/original/00000010/TestOptions.class</t>
  </si>
  <si>
    <t>2024-01-10 14:49:06</t>
  </si>
  <si>
    <t>tests/mp/112/130/original/00000009/TestOptions.java</t>
  </si>
  <si>
    <t>tests/mp/112/130/original/00000009/TestOptions.class</t>
  </si>
  <si>
    <t>2024-01-10 14:49:08</t>
  </si>
  <si>
    <t>16,18,21,24,27,68,69,70,71,72,73,74,75,76,77,78,81,82,83,84,85,86,211,212,213,214,215,216,217,218,219,220</t>
  </si>
  <si>
    <t>35,36,37,38,39,40,41,42,43,44,45,46,47,48,49,50,58,59,79,80,94,95,103,104,112,113,124,125,126,127,128,130,131,140,141,142,143,144,145,146,147,149,150,151,152,153,154,155,156,165,166,167,168,177,178,179,180,189,190,191,192,201,202,223,224,225,227,228,229,230,232</t>
  </si>
  <si>
    <t>tests/mp/113/166/original/00000011/TestOptions.java</t>
  </si>
  <si>
    <t>2024-01-10 14:49:09</t>
  </si>
  <si>
    <t>tests/mp/110/140/original/00000005/TestOptions.java</t>
  </si>
  <si>
    <t>tests/mp/110/140/original/00000005/TestOptions.class</t>
  </si>
  <si>
    <t>2024-01-10 14:49:17</t>
  </si>
  <si>
    <t>16,18,21,24,27,68,69,70,71,72,73,74,75,76,77,83,84,85,86,165,166,167,168,223,224,227,229,232</t>
  </si>
  <si>
    <t>35,36,37,38,39,40,41,42,43,44,45,46,47,48,49,50,58,59,78,79,80,81,82,94,95,103,104,112,113,124,125,126,127,128,130,131,140,141,142,143,144,145,146,147,149,150,151,152,153,154,155,156,177,178,179,180,189,190,191,192,201,202,211,212,213,214,215,216,217,218,219,220,225,228,230</t>
  </si>
  <si>
    <t>tests/mp/115/143/original/00000003/TestOptions.java</t>
  </si>
  <si>
    <t>2024-01-10 14:49:24</t>
  </si>
  <si>
    <t>tests/mp/109/129/original/00000010/TestOptions.java</t>
  </si>
  <si>
    <t>tests/mp/109/129/original/00000010/TestOptions.class</t>
  </si>
  <si>
    <t>2024-01-10 14:49:26</t>
  </si>
  <si>
    <t>tests/mp/112/120/original/00000007/TestOptions.java</t>
  </si>
  <si>
    <t>tests/mp/112/120/original/00000007/TestOptions.class</t>
  </si>
  <si>
    <t>2024-01-10 14:49:31</t>
  </si>
  <si>
    <t>16,18,21,24,27,68,69,70,71,72,75,76,77,83,84,85,86,140,141,142,143,144,145,146,149,150,155,156,223,224,227,229,232</t>
  </si>
  <si>
    <t>35,36,37,38,39,40,41,42,43,44,45,46,47,48,49,50,58,59,73,74,78,79,80,81,82,94,95,103,104,112,113,124,125,126,127,128,130,131,147,151,152,153,154,165,166,167,168,177,178,179,180,189,190,191,192,201,202,211,212,213,214,215,216,217,218,219,220,225,228,230</t>
  </si>
  <si>
    <t xml:space="preserve">addOption, getMatchingOptions, stripLeadingHyphens
</t>
  </si>
  <si>
    <t>tests/mp/113/166/original/00000012/TestOptions.java</t>
  </si>
  <si>
    <t>tests/mp/113/166/original/00000012/TestOptions.class</t>
  </si>
  <si>
    <t>2024-01-10 14:49:38</t>
  </si>
  <si>
    <t>tests/mp/111/133/original/00000001/TestOptions.java</t>
  </si>
  <si>
    <t>2024-01-10 14:49:39</t>
  </si>
  <si>
    <t>tests/mp/112/120/original/00000008/TestOptions.java</t>
  </si>
  <si>
    <t>tests/mp/112/120/original/00000008/TestOptions.class</t>
  </si>
  <si>
    <t>2024-01-10 14:49:47</t>
  </si>
  <si>
    <t>tests/mp/109/124/original/00000011/TestOptions.java</t>
  </si>
  <si>
    <t>tests/mp/109/124/original/00000011/TestOptions.class</t>
  </si>
  <si>
    <t>2024-01-10 14:49:50</t>
  </si>
  <si>
    <t>tests/mp/109/129/original/00000011/TestOptions.java</t>
  </si>
  <si>
    <t>tests/mp/109/129/original/00000011/TestOptions.class</t>
  </si>
  <si>
    <t>2024-01-10 14:50:04</t>
  </si>
  <si>
    <t>tests/mp/114/164/original/00000004/TestOptions.java</t>
  </si>
  <si>
    <t>2024-01-10 14:50:07</t>
  </si>
  <si>
    <t>tests/mp/112/130/original/00000010/TestOptions.java</t>
  </si>
  <si>
    <t>tests/mp/112/130/original/00000010/TestOptions.class</t>
  </si>
  <si>
    <t>2024-01-10 14:50:08</t>
  </si>
  <si>
    <t>tests/mp/114/154/original/00000010/TestOptions.java</t>
  </si>
  <si>
    <t>2024-01-10 14:50:09</t>
  </si>
  <si>
    <t>tests/mp/117/146/original/00000015/TestOptions.java</t>
  </si>
  <si>
    <t>tests/mp/117/146/original/00000015/TestOptions.class</t>
  </si>
  <si>
    <t>2024-01-10 14:50:14</t>
  </si>
  <si>
    <t>tests/mp/110/115/original/00000009/TestOptions.java</t>
  </si>
  <si>
    <t>tests/mp/110/115/original/00000009/TestOptions.class</t>
  </si>
  <si>
    <t>16,18,21,24,27,35,36,37,38,39,40,49,50,68,69,70,71,72,75,76,77,83,84,85,86,103,104</t>
  </si>
  <si>
    <t>41,42,43,44,45,46,47,48,58,59,73,74,78,79,80,81,82,94,95,112,113,124,125,126,127,128,130,131,140,141,142,143,144,145,146,147,149,150,151,152,153,154,155,156,165,166,167,168,177,178,179,180,189,190,191,192,201,202,211,212,213,214,215,216,217,218,219,220,223,224,225,227,228,229,230,232</t>
  </si>
  <si>
    <t xml:space="preserve">addOptionGroup, addOption, helpOptions
</t>
  </si>
  <si>
    <t>tests/mp/114/154/original/00000011/TestOptions.java</t>
  </si>
  <si>
    <t>tests/mp/114/154/original/00000011/TestOptions.class</t>
  </si>
  <si>
    <t>2024-01-10 14:50:15</t>
  </si>
  <si>
    <t>16,18,21,24,27,68,69,70,71,72,73,74,75,76,77,78,79,80,81,82,83,84,85,86</t>
  </si>
  <si>
    <t>35,36,37,38,39,40,41,42,43,44,45,46,47,48,49,50,58,59,94,95,103,104,112,113,124,125,126,127,128,130,131,140,141,142,143,144,145,146,147,149,150,151,152,153,154,155,156,165,166,167,168,177,178,179,180,189,190,191,192,201,202,211,212,213,214,215,216,217,218,219,220,223,224,225,227,228,229,230,232</t>
  </si>
  <si>
    <t>tests/mp/111/137/original/00000010/TestOptions.java</t>
  </si>
  <si>
    <t>tests/mp/111/137/original/00000010/TestOptions.class</t>
  </si>
  <si>
    <t>2024-01-10 14:50:16</t>
  </si>
  <si>
    <t>tests/mp/114/164/original/00000005/TestOptions.java</t>
  </si>
  <si>
    <t>tests/mp/114/164/original/00000005/TestOptions.class</t>
  </si>
  <si>
    <t>2024-01-10 14:50:17</t>
  </si>
  <si>
    <t>tests/mp/109/129/original/00000012/TestOptions.java</t>
  </si>
  <si>
    <t>tests/mp/109/129/original/00000012/TestOptions.class</t>
  </si>
  <si>
    <t>2024-01-10 14:50:24</t>
  </si>
  <si>
    <t>tests/mp/113/142/original/00000011/TestOptions.java</t>
  </si>
  <si>
    <t>tests/mp/113/142/original/00000011/TestOptions.class</t>
  </si>
  <si>
    <t>2024-01-10 14:50:25</t>
  </si>
  <si>
    <t>16,18,21,24,27,140,141,142,143,144,145,146,149,150,155,156,223,224,227,229,232</t>
  </si>
  <si>
    <t>35,36,37,38,39,40,41,42,43,44,45,46,47,48,49,50,58,59,68,69,70,71,72,73,74,75,76,77,78,79,80,81,82,83,84,85,86,94,95,103,104,112,113,124,125,126,127,128,130,131,147,151,152,153,154,165,166,167,168,177,178,179,180,189,190,191,192,201,202,211,212,213,214,215,216,217,218,219,220,225,228,230</t>
  </si>
  <si>
    <t xml:space="preserve">getMatchingOptions, stripLeadingHyphens
</t>
  </si>
  <si>
    <t>tests/mp/110/123/original/00000004/TestOptions.java</t>
  </si>
  <si>
    <t>2024-01-10 14:50:31</t>
  </si>
  <si>
    <t>tests/mp/113/157/original/00000019/TestOptions.java</t>
  </si>
  <si>
    <t>2024-01-10 14:50:32</t>
  </si>
  <si>
    <t>tests/mp/113/166/original/00000013/TestOptions.java</t>
  </si>
  <si>
    <t>tests/mp/113/166/original/00000013/TestOptions.class</t>
  </si>
  <si>
    <t>2024-01-10 14:50:33</t>
  </si>
  <si>
    <t>tests/mp/117/141/original/00000003/TestOptions.java</t>
  </si>
  <si>
    <t>tests/mp/111/137/original/00000011/TestOptions.java</t>
  </si>
  <si>
    <t>tests/mp/111/137/original/00000011/TestOptions.class</t>
  </si>
  <si>
    <t>2024-01-10 14:50:43</t>
  </si>
  <si>
    <t>tests/mp/109/124/original/00000012/TestOptions.java</t>
  </si>
  <si>
    <t>tests/mp/109/124/original/00000012/TestOptions.class</t>
  </si>
  <si>
    <t>tests/mp/111/133/original/00000002/TestOptions.java</t>
  </si>
  <si>
    <t>tests/mp/111/133/original/00000002/TestOptions.class</t>
  </si>
  <si>
    <t>2024-01-10 14:50:45</t>
  </si>
  <si>
    <t>tests/mp/114/164/original/00000006/TestOptions.java</t>
  </si>
  <si>
    <t>tests/mp/114/164/original/00000006/TestOptions.class</t>
  </si>
  <si>
    <t>2024-01-10 14:50:47</t>
  </si>
  <si>
    <t>tests/mp/110/114/original/00000006/TestOptions.java</t>
  </si>
  <si>
    <t>2024-01-10 14:50:59</t>
  </si>
  <si>
    <t>tests/mp/117/163/original/00000010/TestOptions.java</t>
  </si>
  <si>
    <t>2024-01-10 14:51:04</t>
  </si>
  <si>
    <t>tests/mp/111/137/original/00000012/TestOptions.java</t>
  </si>
  <si>
    <t>tests/mp/111/137/original/00000012/TestOptions.class</t>
  </si>
  <si>
    <t>tests/mp/113/160/original/00000006/TestOptions.java</t>
  </si>
  <si>
    <t>tests/mp/113/160/original/00000006/TestOptions.class</t>
  </si>
  <si>
    <t>tests/mp/113/166/original/00000014/TestOptions.java</t>
  </si>
  <si>
    <t>tests/mp/113/166/original/00000014/TestOptions.class</t>
  </si>
  <si>
    <t>2024-01-10 14:51:10</t>
  </si>
  <si>
    <t>tests/mp/110/123/original/00000005/TestOptions.java</t>
  </si>
  <si>
    <t>2024-01-10 14:51:12</t>
  </si>
  <si>
    <t>tests/mp/116/147/original/00000001/TestOptions.java</t>
  </si>
  <si>
    <t>2024-01-10 14:51:13</t>
  </si>
  <si>
    <t>tests/mp/113/157/original/00000020/TestOptions.java</t>
  </si>
  <si>
    <t>2024-01-10 14:51:14</t>
  </si>
  <si>
    <t>tests/mp/116/147/original/00000002/TestOptions.java</t>
  </si>
  <si>
    <t>tests/mp/116/147/original/00000002/TestOptions.class</t>
  </si>
  <si>
    <t>2024-01-10 14:51:33</t>
  </si>
  <si>
    <t>16,18,21,24,27,68,69,70,71,72,75,76,77,83,84,85,86,94,95,103,104</t>
  </si>
  <si>
    <t>35,36,37,38,39,40,41,42,43,44,45,46,47,48,49,50,58,59,73,74,78,79,80,81,82,112,113,124,125,126,127,128,130,131,140,141,142,143,144,145,146,147,149,150,151,152,153,154,155,156,165,166,167,168,177,178,179,180,189,190,191,192,201,202,211,212,213,214,215,216,217,218,219,220,223,224,225,227,228,229,230,232</t>
  </si>
  <si>
    <t xml:space="preserve">addOption, getOptions, helpOptions
</t>
  </si>
  <si>
    <t>tests/mp/111/137/original/00000013/TestOptions.java</t>
  </si>
  <si>
    <t>tests/mp/111/137/original/00000013/TestOptions.class</t>
  </si>
  <si>
    <t>tests/mp/112/120/original/00000009/TestOptions.java</t>
  </si>
  <si>
    <t>2024-01-10 14:51:35</t>
  </si>
  <si>
    <t>tests/mp/112/119/original/00000009/TestOptions.java</t>
  </si>
  <si>
    <t>tests/mp/112/119/original/00000009/TestOptions.class</t>
  </si>
  <si>
    <t>2024-01-10 14:51:41</t>
  </si>
  <si>
    <t>16,18,21,24,27,68,69,70,71,72,73,74,75,76,77,83,84,85,86,189,190,191,192,211,212,213,214,215,216,217,218,219,220,223,224,227,229,232</t>
  </si>
  <si>
    <t>35,36,37,38,39,40,41,42,43,44,45,46,47,48,49,50,58,59,78,79,80,81,82,94,95,103,104,112,113,124,125,126,127,128,130,131,140,141,142,143,144,145,146,147,149,150,151,152,153,154,155,156,165,166,167,168,177,178,179,180,201,202,225,228,230</t>
  </si>
  <si>
    <t xml:space="preserve">addOption, hasShortOption, toString, stripLeadingHyphens
</t>
  </si>
  <si>
    <t>tests/mp/111/109/original/00000005/TestOptions.java</t>
  </si>
  <si>
    <t>tests/mp/111/109/original/00000005/TestOptions.class</t>
  </si>
  <si>
    <t>2024-01-10 14:51:42</t>
  </si>
  <si>
    <t>tests/mp/113/157/original/00000021/TestOptions.java</t>
  </si>
  <si>
    <t>2024-01-10 14:51:45</t>
  </si>
  <si>
    <t>tests/mp/113/166/original/00000015/TestOptions.java</t>
  </si>
  <si>
    <t>tests/mp/113/166/original/00000015/TestOptions.class</t>
  </si>
  <si>
    <t>2024-01-10 14:51:46</t>
  </si>
  <si>
    <t>tests/mp/109/125/original/00000001/TestOptions.java</t>
  </si>
  <si>
    <t>2024-01-10 14:51:55</t>
  </si>
  <si>
    <t>tests/mp/112/130/original/00000011/TestOptions.java</t>
  </si>
  <si>
    <t>tests/mp/112/130/original/00000011/TestOptions.class</t>
  </si>
  <si>
    <t>tests/mp/117/146/original/00000016/TestOptions.java</t>
  </si>
  <si>
    <t>tests/mp/117/146/original/00000016/TestOptions.class</t>
  </si>
  <si>
    <t>2024-01-10 14:51:58</t>
  </si>
  <si>
    <t>tests/mp/112/120/original/00000010/TestOptions.java</t>
  </si>
  <si>
    <t>2024-01-10 14:51:59</t>
  </si>
  <si>
    <t>tests/mp/113/157/original/00000022/TestOptions.java</t>
  </si>
  <si>
    <t>2024-01-10 14:52:01</t>
  </si>
  <si>
    <t>tests/mp/109/129/original/00000013/TestOptions.java</t>
  </si>
  <si>
    <t>2024-01-10 14:52:02</t>
  </si>
  <si>
    <t>tests/mp/109/136/original/00000002/TestOptions.java</t>
  </si>
  <si>
    <t>2024-01-10 14:52:10</t>
  </si>
  <si>
    <t>tests/mp/113/160/original/00000007/TestOptions.java</t>
  </si>
  <si>
    <t>tests/mp/113/160/original/00000007/TestOptions.class</t>
  </si>
  <si>
    <t>2024-01-10 14:52:15</t>
  </si>
  <si>
    <t>tests/mp/111/137/original/00000014/TestOptions.java</t>
  </si>
  <si>
    <t>tests/mp/111/137/original/00000014/TestOptions.class</t>
  </si>
  <si>
    <t>2024-01-10 14:52:16</t>
  </si>
  <si>
    <t>tests/mp/109/129/original/00000014/TestOptions.java</t>
  </si>
  <si>
    <t>2024-01-10 14:52:17</t>
  </si>
  <si>
    <t>tests/mp/113/142/original/00000012/TestOptions.java</t>
  </si>
  <si>
    <t>tests/mp/113/142/original/00000012/TestOptions.class</t>
  </si>
  <si>
    <t>2024-01-10 14:52:18</t>
  </si>
  <si>
    <t>tests/mp/114/154/original/00000012/TestOptions.java</t>
  </si>
  <si>
    <t>tests/mp/114/154/original/00000012/TestOptions.class</t>
  </si>
  <si>
    <t>2024-01-10 14:52:23</t>
  </si>
  <si>
    <t>16,18,21,24,27,68,69,70,71,72,73,74,75,76,77,78,81,82,83,84,85,86,124,125,126,127,130,131,223,224,227,229,232</t>
  </si>
  <si>
    <t>35,36,37,38,39,40,41,42,43,44,45,46,47,48,49,50,58,59,79,80,94,95,103,104,112,113,128,140,141,142,143,144,145,146,147,149,150,151,152,153,154,155,156,165,166,167,168,177,178,179,180,189,190,191,192,201,202,211,212,213,214,215,216,217,218,219,220,225,228,230</t>
  </si>
  <si>
    <t>tests/mp/116/147/original/00000003/TestOptions.java</t>
  </si>
  <si>
    <t>tests/mp/116/147/original/00000003/TestOptions.class</t>
  </si>
  <si>
    <t>2024-01-10 14:52:30</t>
  </si>
  <si>
    <t>tests/mp/110/128/original/00000002/TestOptions.java</t>
  </si>
  <si>
    <t>2024-01-10 14:52:31</t>
  </si>
  <si>
    <t>tests/mp/109/129/original/00000015/TestOptions.java</t>
  </si>
  <si>
    <t>tests/mp/109/129/original/00000015/TestOptions.class</t>
  </si>
  <si>
    <t>2024-01-10 14:52:34</t>
  </si>
  <si>
    <t>tests/mp/110/128/original/00000003/TestOptions.java</t>
  </si>
  <si>
    <t>2024-01-10 14:52:44</t>
  </si>
  <si>
    <t>tests/mp/111/137/original/00000015/TestOptions.java</t>
  </si>
  <si>
    <t>tests/mp/111/137/original/00000015/TestOptions.class</t>
  </si>
  <si>
    <t>2024-01-10 14:52:47</t>
  </si>
  <si>
    <t>tests/mp/115/143/original/00000004/TestOptions.java</t>
  </si>
  <si>
    <t>tests/mp/115/143/original/00000004/TestOptions.class</t>
  </si>
  <si>
    <t>2024-01-10 14:52:49</t>
  </si>
  <si>
    <t>16,18,21,24,27,35,36,37,38,39,40,41,42,43,44,45,46,47,48,49,50,68,69,70,71,72,75,76,77,83,84,85,86,112,113</t>
  </si>
  <si>
    <t>58,59,73,74,78,79,80,81,82,94,95,103,104,124,125,126,127,128,130,131,140,141,142,143,144,145,146,147,149,150,151,152,153,154,155,156,165,166,167,168,177,178,179,180,189,190,191,192,201,202,211,212,213,214,215,216,217,218,219,220,223,224,225,227,228,229,230,232</t>
  </si>
  <si>
    <t>tests/mp/110/128/original/00000004/TestOptions.java</t>
  </si>
  <si>
    <t>2024-01-10 14:52:52</t>
  </si>
  <si>
    <t>tests/mp/110/140/original/00000006/TestOptions.java</t>
  </si>
  <si>
    <t>2024-01-10 14:52:53</t>
  </si>
  <si>
    <t>tests/mp/114/154/original/00000013/TestOptions.java</t>
  </si>
  <si>
    <t>tests/mp/113/157/original/00000023/TestOptions.java</t>
  </si>
  <si>
    <t>2024-01-10 14:52:54</t>
  </si>
  <si>
    <t>tests/mp/114/154/original/00000014/TestOptions.java</t>
  </si>
  <si>
    <t>tests/mp/114/154/original/00000014/TestOptions.class</t>
  </si>
  <si>
    <t>2024-01-10 14:52:59</t>
  </si>
  <si>
    <t>tests/mp/113/157/original/00000024/TestOptions.java</t>
  </si>
  <si>
    <t>tests/mp/113/157/original/00000024/TestOptions.class</t>
  </si>
  <si>
    <t>2024-01-10 14:53:02</t>
  </si>
  <si>
    <t>tests/mp/110/140/original/00000007/TestOptions.java</t>
  </si>
  <si>
    <t>2024-01-10 14:53:03</t>
  </si>
  <si>
    <t>tests/mp/113/142/original/00000013/TestOptions.java</t>
  </si>
  <si>
    <t>tests/mp/113/142/original/00000013/TestOptions.class</t>
  </si>
  <si>
    <t>2024-01-10 14:53:04</t>
  </si>
  <si>
    <t>16,18,21,24,27,112,113</t>
  </si>
  <si>
    <t>35,36,37,38,39,40,41,42,43,44,45,46,47,48,49,50,58,59,68,69,70,71,72,73,74,75,76,77,78,79,80,81,82,83,84,85,86,94,95,103,104,124,125,126,127,128,130,131,140,141,142,143,144,145,146,147,149,150,151,152,153,154,155,156,165,166,167,168,177,178,179,180,189,190,191,192,201,202,211,212,213,214,215,216,217,218,219,220,223,224,225,227,228,229,230,232</t>
  </si>
  <si>
    <t xml:space="preserve">getRequiredOptions
</t>
  </si>
  <si>
    <t>tests/mp/117/146/original/00000017/TestOptions.java</t>
  </si>
  <si>
    <t>tests/mp/110/128/original/00000005/TestOptions.java</t>
  </si>
  <si>
    <t>2024-01-10 14:53:05</t>
  </si>
  <si>
    <t>tests/mp/115/167/original/00000001/TestOptions.java</t>
  </si>
  <si>
    <t>tests/mp/113/160/original/00000008/TestOptions.java</t>
  </si>
  <si>
    <t>tests/mp/113/160/original/00000008/TestOptions.class</t>
  </si>
  <si>
    <t>2024-01-10 14:53:15</t>
  </si>
  <si>
    <t>tests/mp/110/140/original/00000008/TestOptions.java</t>
  </si>
  <si>
    <t>tests/mp/110/140/original/00000008/TestOptions.class</t>
  </si>
  <si>
    <t>16,18,21,24,27,68,69,70,71,72,73,74,75,76,77,78,81,82,83,84,85,86,112,113</t>
  </si>
  <si>
    <t>35,36,37,38,39,40,41,42,43,44,45,46,47,48,49,50,58,59,79,80,94,95,103,104,124,125,126,127,128,130,131,140,141,142,143,144,145,146,147,149,150,151,152,153,154,155,156,165,166,167,168,177,178,179,180,189,190,191,192,201,202,211,212,213,214,215,216,217,218,219,220,223,224,225,227,228,229,230,232</t>
  </si>
  <si>
    <t>tests/mp/110/123/original/00000006/TestOptions.java</t>
  </si>
  <si>
    <t>tests/mp/110/123/original/00000006/TestOptions.class</t>
  </si>
  <si>
    <t>2024-01-10 14:53:16</t>
  </si>
  <si>
    <t>16,18,21,24,27,35,36,39,40,49,50,68,69,70,71,72,75,76,77,83,84,85,86</t>
  </si>
  <si>
    <t>37,38,41,42,43,44,45,46,47,48,58,59,73,74,78,79,80,81,82,94,95,103,104,112,113,124,125,126,127,128,130,131,140,141,142,143,144,145,146,147,149,150,151,152,153,154,155,156,165,166,167,168,177,178,179,180,189,190,191,192,201,202,211,212,213,214,215,216,217,218,219,220,223,224,225,227,228,229,230,232</t>
  </si>
  <si>
    <t xml:space="preserve">addOptionGroup, addOption
</t>
  </si>
  <si>
    <t>tests/mp/114/164/original/00000007/TestOptions.java</t>
  </si>
  <si>
    <t>2024-01-10 14:53:17</t>
  </si>
  <si>
    <t>tests/mp/113/157/original/00000025/TestOptions.java</t>
  </si>
  <si>
    <t>tests/mp/113/157/original/00000025/TestOptions.class</t>
  </si>
  <si>
    <t>2024-01-10 14:53:18</t>
  </si>
  <si>
    <t>tests/mp/111/137/original/00000016/TestOptions.java</t>
  </si>
  <si>
    <t>tests/mp/111/137/original/00000016/TestOptions.class</t>
  </si>
  <si>
    <t>2024-01-10 14:53:23</t>
  </si>
  <si>
    <t>tests/mp/112/119/original/00000010/TestOptions.java</t>
  </si>
  <si>
    <t>tests/mp/112/119/original/00000010/TestOptions.class</t>
  </si>
  <si>
    <t>2024-01-10 14:53:26</t>
  </si>
  <si>
    <t>16,18,21,24,27,189,190,191,192,211,212,213,214,215,216,217,218,219,220,223,224,227,229,232</t>
  </si>
  <si>
    <t>35,36,37,38,39,40,41,42,43,44,45,46,47,48,49,50,58,59,68,69,70,71,72,73,74,75,76,77,78,79,80,81,82,83,84,85,86,94,95,103,104,112,113,124,125,126,127,128,130,131,140,141,142,143,144,145,146,147,149,150,151,152,153,154,155,156,165,166,167,168,177,178,179,180,201,202,225,228,230</t>
  </si>
  <si>
    <t xml:space="preserve">hasShortOption, toString, stripLeadingHyphens
</t>
  </si>
  <si>
    <t>tests/mp/110/114/original/00000007/TestOptions.java</t>
  </si>
  <si>
    <t>tests/mp/110/114/original/00000007/TestOptions.class</t>
  </si>
  <si>
    <t>16,18,21,24,27</t>
  </si>
  <si>
    <t>35,36,37,38,39,40,41,42,43,44,45,46,47,48,49,50,58,59,68,69,70,71,72,73,74,75,76,77,78,79,80,81,82,83,84,85,86,94,95,103,104,112,113,124,125,126,127,128,130,131,140,141,142,143,144,145,146,147,149,150,151,152,153,154,155,156,165,166,167,168,177,178,179,180,189,190,191,192,201,202,211,212,213,214,215,216,217,218,219,220,223,224,225,227,228,229,230,232</t>
  </si>
  <si>
    <t>tests/mp/113/157/original/00000026/TestOptions.java</t>
  </si>
  <si>
    <t>tests/mp/113/157/original/00000026/TestOptions.class</t>
  </si>
  <si>
    <t>2024-01-10 14:53:34</t>
  </si>
  <si>
    <t>tests/mp/116/147/original/00000004/TestOptions.java</t>
  </si>
  <si>
    <t>tests/mp/116/147/original/00000004/TestOptions.class</t>
  </si>
  <si>
    <t>2024-01-10 14:53:38</t>
  </si>
  <si>
    <t>tests/mp/111/137/original/00000017/TestOptions.java</t>
  </si>
  <si>
    <t>tests/mp/111/137/original/00000017/TestOptions.class</t>
  </si>
  <si>
    <t>2024-01-10 14:53:41</t>
  </si>
  <si>
    <t>tests/mp/112/130/original/00000012/TestOptions.java</t>
  </si>
  <si>
    <t>tests/mp/112/130/original/00000012/TestOptions.class</t>
  </si>
  <si>
    <t>2024-01-10 14:53:42</t>
  </si>
  <si>
    <t>16,18,21,24,27,68,69,70,71,72,73,74,75,76,77,78,81,82,83,84,85,86,189,190,191,192,223,224,227,229,232</t>
  </si>
  <si>
    <t>35,36,37,38,39,40,41,42,43,44,45,46,47,48,49,50,58,59,79,80,94,95,103,104,112,113,124,125,126,127,128,130,131,140,141,142,143,144,145,146,147,149,150,151,152,153,154,155,156,165,166,167,168,177,178,179,180,201,202,211,212,213,214,215,216,217,218,219,220,225,228,230</t>
  </si>
  <si>
    <t>tests/mp/109/129/original/00000016/TestOptions.java</t>
  </si>
  <si>
    <t>tests/mp/109/129/original/00000016/TestOptions.class</t>
  </si>
  <si>
    <t>2024-01-10 14:53:46</t>
  </si>
  <si>
    <t>tests/mp/112/119/original/00000011/TestOptions.java</t>
  </si>
  <si>
    <t>tests/mp/112/119/original/00000011/TestOptions.class</t>
  </si>
  <si>
    <t>tests/mp/113/160/original/00000009/TestOptions.java</t>
  </si>
  <si>
    <t>tests/mp/113/160/original/00000009/TestOptions.class</t>
  </si>
  <si>
    <t>2024-01-10 14:53:55</t>
  </si>
  <si>
    <t>tests/mp/112/130/original/00000013/TestOptions.java</t>
  </si>
  <si>
    <t>tests/mp/112/130/original/00000013/TestOptions.class</t>
  </si>
  <si>
    <t>2024-01-10 14:54:00</t>
  </si>
  <si>
    <t>16,18,21,24,27,68,69,70,71,72,73,74,75,76,77,78,81,82,83,84,85,86,189,190,191,192,223,224,227,229,230</t>
  </si>
  <si>
    <t>35,36,37,38,39,40,41,42,43,44,45,46,47,48,49,50,58,59,79,80,94,95,103,104,112,113,124,125,126,127,128,130,131,140,141,142,143,144,145,146,147,149,150,151,152,153,154,155,156,165,166,167,168,177,178,179,180,201,202,211,212,213,214,215,216,217,218,219,220,225,228,232</t>
  </si>
  <si>
    <t>tests/mp/111/127/original/00000010/TestOptions.java</t>
  </si>
  <si>
    <t>2024-01-10 14:54:01</t>
  </si>
  <si>
    <t>tests/mp/114/154/original/00000015/TestOptions.java</t>
  </si>
  <si>
    <t>tests/mp/114/154/original/00000015/TestOptions.class</t>
  </si>
  <si>
    <t>2024-01-10 14:54:03</t>
  </si>
  <si>
    <t>tests/mp/115/167/original/00000002/TestOptions.java</t>
  </si>
  <si>
    <t>2024-01-10 14:54:04</t>
  </si>
  <si>
    <t>tests/mp/113/157/original/00000027/TestOptions.java</t>
  </si>
  <si>
    <t>2024-01-10 14:54:07</t>
  </si>
  <si>
    <t>tests/mp/117/141/original/00000004/TestOptions.java</t>
  </si>
  <si>
    <t>2024-01-10 14:54:11</t>
  </si>
  <si>
    <t>tests/mp/109/129/original/00000017/TestOptions.java</t>
  </si>
  <si>
    <t>tests/mp/109/129/original/00000017/TestOptions.class</t>
  </si>
  <si>
    <t>2024-01-10 14:54:18</t>
  </si>
  <si>
    <t>tests/mp/113/157/original/00000028/TestOptions.java</t>
  </si>
  <si>
    <t>tests/mp/115/167/original/00000003/TestOptions.java</t>
  </si>
  <si>
    <t>2024-01-10 14:54:20</t>
  </si>
  <si>
    <t>tests/mp/112/130/original/00000014/TestOptions.java</t>
  </si>
  <si>
    <t>tests/mp/112/130/original/00000014/TestOptions.class</t>
  </si>
  <si>
    <t>16,18,21,24,27,68,69,70,71,72,73,74,75,76,77,78,81,82,83,84,85,86,189,190,191,192,223,224,227,228</t>
  </si>
  <si>
    <t>35,36,37,38,39,40,41,42,43,44,45,46,47,48,49,50,58,59,79,80,94,95,103,104,112,113,124,125,126,127,128,130,131,140,141,142,143,144,145,146,147,149,150,151,152,153,154,155,156,165,166,167,168,177,178,179,180,201,202,211,212,213,214,215,216,217,218,219,220,225,229,230,232</t>
  </si>
  <si>
    <t>tests/mp/117/141/original/00000005/TestOptions.java</t>
  </si>
  <si>
    <t>tests/mp/117/141/original/00000005/TestOptions.class</t>
  </si>
  <si>
    <t>2024-01-10 14:54:23</t>
  </si>
  <si>
    <t>tests/mp/110/114/original/00000008/TestOptions.java</t>
  </si>
  <si>
    <t>2024-01-10 14:54:24</t>
  </si>
  <si>
    <t>tests/mp/109/136/original/00000003/TestOptions.java</t>
  </si>
  <si>
    <t>2024-01-10 14:54:32</t>
  </si>
  <si>
    <t>tests/mp/113/142/original/00000014/TestOptions.java</t>
  </si>
  <si>
    <t>tests/mp/113/142/original/00000014/TestOptions.class</t>
  </si>
  <si>
    <t>2024-01-10 14:54:33</t>
  </si>
  <si>
    <t>tests/mp/116/147/original/00000005/TestOptions.java</t>
  </si>
  <si>
    <t>tests/mp/116/147/original/00000005/TestOptions.class</t>
  </si>
  <si>
    <t>2024-01-10 14:54:34</t>
  </si>
  <si>
    <t>16,18,21,24,27,68,69,70,71,72,73,74,75,76,77,83,84,85,86,124,125,126,127,130,131,223,224,227,229,232</t>
  </si>
  <si>
    <t>35,36,37,38,39,40,41,42,43,44,45,46,47,48,49,50,58,59,78,79,80,81,82,94,95,103,104,112,113,128,140,141,142,143,144,145,146,147,149,150,151,152,153,154,155,156,165,166,167,168,177,178,179,180,189,190,191,192,201,202,211,212,213,214,215,216,217,218,219,220,225,228,230</t>
  </si>
  <si>
    <t>tests/mp/110/114/original/00000009/TestOptions.java</t>
  </si>
  <si>
    <t>tests/mp/110/114/original/00000009/TestOptions.class</t>
  </si>
  <si>
    <t>2024-01-10 14:54:38</t>
  </si>
  <si>
    <t>16,18,21,24,27,35,36,39,40,49,50</t>
  </si>
  <si>
    <t>37,38,41,42,43,44,45,46,47,48,58,59,68,69,70,71,72,73,74,75,76,77,78,79,80,81,82,83,84,85,86,94,95,103,104,112,113,124,125,126,127,128,130,131,140,141,142,143,144,145,146,147,149,150,151,152,153,154,155,156,165,166,167,168,177,178,179,180,189,190,191,192,201,202,211,212,213,214,215,216,217,218,219,220,223,224,225,227,228,229,230,232</t>
  </si>
  <si>
    <t xml:space="preserve">addOptionGroup
</t>
  </si>
  <si>
    <t>tests/mp/109/125/original/00000002/TestOptions.java</t>
  </si>
  <si>
    <t>tests/mp/116/147/original/00000006/TestOptions.java</t>
  </si>
  <si>
    <t>tests/mp/116/147/original/00000006/TestOptions.class</t>
  </si>
  <si>
    <t>2024-01-10 14:54:46</t>
  </si>
  <si>
    <t>tests/mp/111/133/original/00000003/TestOptions.java</t>
  </si>
  <si>
    <t>2024-01-10 14:54:48</t>
  </si>
  <si>
    <t>tests/mp/111/133/original/00000004/TestOptions.java</t>
  </si>
  <si>
    <t>tests/mp/111/133/original/00000004/TestOptions.class</t>
  </si>
  <si>
    <t>2024-01-10 14:54:59</t>
  </si>
  <si>
    <t>16,18,21,24,27,68,69,70,71,72,73,74,75,76,77,78,81,82,83,84,85,86,94,95,103,104</t>
  </si>
  <si>
    <t>35,36,37,38,39,40,41,42,43,44,45,46,47,48,49,50,58,59,79,80,112,113,124,125,126,127,128,130,131,140,141,142,143,144,145,146,147,149,150,151,152,153,154,155,156,165,166,167,168,177,178,179,180,189,190,191,192,201,202,211,212,213,214,215,216,217,218,219,220,223,224,225,227,228,229,230,232</t>
  </si>
  <si>
    <t>tests/mp/113/142/original/00000015/TestOptions.java</t>
  </si>
  <si>
    <t>tests/mp/113/142/original/00000015/TestOptions.class</t>
  </si>
  <si>
    <t>tests/mp/110/128/original/00000006/TestOptions.java</t>
  </si>
  <si>
    <t>tests/mp/110/128/original/00000006/TestOptions.class</t>
  </si>
  <si>
    <t>16,18,21,24,27,68,69,70,71,72,75,76,77,83,84,85,86,124,125,126,127,130,131,223,224,227,229,232</t>
  </si>
  <si>
    <t>35,36,37,38,39,40,41,42,43,44,45,46,47,48,49,50,58,59,73,74,78,79,80,81,82,94,95,103,104,112,113,128,140,141,142,143,144,145,146,147,149,150,151,152,153,154,155,156,165,166,167,168,177,178,179,180,189,190,191,192,201,202,211,212,213,214,215,216,217,218,219,220,225,228,230</t>
  </si>
  <si>
    <t>tests/mp/112/119/original/00000012/TestOptions.java</t>
  </si>
  <si>
    <t>2024-01-10 14:55:06</t>
  </si>
  <si>
    <t>tests/mp/112/130/original/00000015/TestOptions.java</t>
  </si>
  <si>
    <t>tests/mp/112/130/original/00000015/TestOptions.class</t>
  </si>
  <si>
    <t>2024-01-10 14:55:23</t>
  </si>
  <si>
    <t>tests/mp/110/140/original/00000009/TestOptions.java</t>
  </si>
  <si>
    <t>tests/mp/110/140/original/00000009/TestOptions.class</t>
  </si>
  <si>
    <t>2024-01-10 14:55:25</t>
  </si>
  <si>
    <t>16,18,21,24,27,35,36,37,38,39,40,49,50,112,113</t>
  </si>
  <si>
    <t>41,42,43,44,45,46,47,48,58,59,68,69,70,71,72,73,74,75,76,77,78,79,80,81,82,83,84,85,86,94,95,103,104,124,125,126,127,128,130,131,140,141,142,143,144,145,146,147,149,150,151,152,153,154,155,156,165,166,167,168,177,178,179,180,189,190,191,192,201,202,211,212,213,214,215,216,217,218,219,220,223,224,225,227,228,229,230,232</t>
  </si>
  <si>
    <t xml:space="preserve">addOptionGroup, getRequiredOptions
</t>
  </si>
  <si>
    <t>tests/mp/113/142/original/00000016/TestOptions.java</t>
  </si>
  <si>
    <t>2024-01-10 14:55:31</t>
  </si>
  <si>
    <t>tests/mp/109/136/original/00000004/TestOptions.java</t>
  </si>
  <si>
    <t>tests/mp/110/128/original/00000007/TestOptions.java</t>
  </si>
  <si>
    <t>tests/mp/110/128/original/00000007/TestOptions.class</t>
  </si>
  <si>
    <t>2024-01-10 14:55:36</t>
  </si>
  <si>
    <t>tests/mp/110/114/original/00000010/TestOptions.java</t>
  </si>
  <si>
    <t>tests/mp/110/114/original/00000010/TestOptions.class</t>
  </si>
  <si>
    <t>16,18,21,24,27,35,36,39,40,49,50,211,212,213,214,215,216,217,218,219,220</t>
  </si>
  <si>
    <t>37,38,41,42,43,44,45,46,47,48,58,59,68,69,70,71,72,73,74,75,76,77,78,79,80,81,82,83,84,85,86,94,95,103,104,112,113,124,125,126,127,128,130,131,140,141,142,143,144,145,146,147,149,150,151,152,153,154,155,156,165,166,167,168,177,178,179,180,189,190,191,192,201,202,223,224,225,227,228,229,230,232</t>
  </si>
  <si>
    <t xml:space="preserve">addOptionGroup, toString
</t>
  </si>
  <si>
    <t>tests/mp/111/109/original/00000006/TestOptions.java</t>
  </si>
  <si>
    <t>tests/mp/111/109/original/00000006/TestOptions.class</t>
  </si>
  <si>
    <t>2024-01-10 14:55:40</t>
  </si>
  <si>
    <t>tests/mp/117/141/original/00000006/TestOptions.java</t>
  </si>
  <si>
    <t>tests/mp/117/141/original/00000006/TestOptions.class</t>
  </si>
  <si>
    <t>2024-01-10 14:55:47</t>
  </si>
  <si>
    <t>tests/mp/109/136/original/00000005/TestOptions.java</t>
  </si>
  <si>
    <t>tests/mp/109/136/original/00000005/TestOptions.class</t>
  </si>
  <si>
    <t>2024-01-10 14:55:48</t>
  </si>
  <si>
    <t>tests/mp/111/127/original/00000011/TestOptions.java</t>
  </si>
  <si>
    <t>tests/mp/111/127/original/00000011/TestOptions.class</t>
  </si>
  <si>
    <t>2024-01-10 14:55:52</t>
  </si>
  <si>
    <t>16,18,21,24,27,68,69,70,71,72,75,76,77,78,81,82,83,84,85,86,211,212,213,214,215,216,217,218,219,220</t>
  </si>
  <si>
    <t>35,36,37,38,39,40,41,42,43,44,45,46,47,48,49,50,58,59,73,74,79,80,94,95,103,104,112,113,124,125,126,127,128,130,131,140,141,142,143,144,145,146,147,149,150,151,152,153,154,155,156,165,166,167,168,177,178,179,180,189,190,191,192,201,202,223,224,225,227,228,229,230,232</t>
  </si>
  <si>
    <t>tests/mp/109/129/original/00000018/TestOptions.java</t>
  </si>
  <si>
    <t>tests/mp/109/129/original/00000018/TestOptions.class</t>
  </si>
  <si>
    <t>tests/mp/113/142/original/00000017/TestOptions.java</t>
  </si>
  <si>
    <t>tests/mp/113/142/original/00000017/TestOptions.class</t>
  </si>
  <si>
    <t>2024-01-10 14:56:01</t>
  </si>
  <si>
    <t>tests/mp/112/119/original/00000013/TestOptions.java</t>
  </si>
  <si>
    <t>tests/mp/112/119/original/00000013/TestOptions.class</t>
  </si>
  <si>
    <t>16,18,21,24,27,68,69,70,71,72,73,74,75,76,77,83,84,85,86,189,190,191,192,223,224,227,228</t>
  </si>
  <si>
    <t>35,36,37,38,39,40,41,42,43,44,45,46,47,48,49,50,58,59,78,79,80,81,82,94,95,103,104,112,113,124,125,126,127,128,130,131,140,141,142,143,144,145,146,147,149,150,151,152,153,154,155,156,165,166,167,168,177,178,179,180,201,202,211,212,213,214,215,216,217,218,219,220,225,229,230,232</t>
  </si>
  <si>
    <t>tests/mp/112/130/original/00000016/TestOptions.java</t>
  </si>
  <si>
    <t>tests/mp/112/130/original/00000016/TestOptions.class</t>
  </si>
  <si>
    <t>2024-01-10 14:56:09</t>
  </si>
  <si>
    <t>tests/mp/113/166/original/00000016/TestOptions.java</t>
  </si>
  <si>
    <t>2024-01-10 14:56:12</t>
  </si>
  <si>
    <t>tests/mp/109/124/original/00000013/TestOptions.java</t>
  </si>
  <si>
    <t>2024-01-10 14:56:13</t>
  </si>
  <si>
    <t>tests/mp/110/123/original/00000007/TestOptions.java</t>
  </si>
  <si>
    <t>tests/mp/110/123/original/00000007/TestOptions.class</t>
  </si>
  <si>
    <t>2024-01-10 14:56:15</t>
  </si>
  <si>
    <t>16,18,21,24,27,68,69,70,71,72,75,76,77,83,84,85,86,177,178,179,180,223,224,227,229,232</t>
  </si>
  <si>
    <t>35,36,37,38,39,40,41,42,43,44,45,46,47,48,49,50,58,59,73,74,78,79,80,81,82,94,95,103,104,112,113,124,125,126,127,128,130,131,140,141,142,143,144,145,146,147,149,150,151,152,153,154,155,156,165,166,167,168,189,190,191,192,201,202,211,212,213,214,215,216,217,218,219,220,225,228,230</t>
  </si>
  <si>
    <t>tests/mp/115/143/original/00000005/TestOptions.java</t>
  </si>
  <si>
    <t>tests/mp/115/143/original/00000005/TestOptions.class</t>
  </si>
  <si>
    <t>2024-01-10 14:56:17</t>
  </si>
  <si>
    <t>16,18,21,24,27,35,36,39,40,41,42,43,44,45,46,47,48,49,50,68,69,70,71,72,75,76,77,83,84,85,86</t>
  </si>
  <si>
    <t>37,38,58,59,73,74,78,79,80,81,82,94,95,103,104,112,113,124,125,126,127,128,130,131,140,141,142,143,144,145,146,147,149,150,151,152,153,154,155,156,165,166,167,168,177,178,179,180,189,190,191,192,201,202,211,212,213,214,215,216,217,218,219,220,223,224,225,227,228,229,230,232</t>
  </si>
  <si>
    <t>tests/mp/109/136/original/00000006/TestOptions.java</t>
  </si>
  <si>
    <t>tests/mp/109/136/original/00000006/TestOptions.class</t>
  </si>
  <si>
    <t>2024-01-10 14:56:20</t>
  </si>
  <si>
    <t>tests/mp/117/163/original/00000011/TestOptions.java</t>
  </si>
  <si>
    <t>2024-01-10 14:56:21</t>
  </si>
  <si>
    <t>tests/mp/111/127/original/00000012/TestOptions.java</t>
  </si>
  <si>
    <t>tests/mp/111/127/original/00000012/TestOptions.class</t>
  </si>
  <si>
    <t>2024-01-10 14:56:22</t>
  </si>
  <si>
    <t>tests/mp/112/119/original/00000014/TestOptions.java</t>
  </si>
  <si>
    <t>tests/mp/112/119/original/00000014/TestOptions.class</t>
  </si>
  <si>
    <t>2024-01-10 14:56:27</t>
  </si>
  <si>
    <t>16,18,21,24,27,68,69,70,71,72,73,74,75,76,77,83,84,85,86,177,178,179,180,223,224,227,228</t>
  </si>
  <si>
    <t>35,36,37,38,39,40,41,42,43,44,45,46,47,48,49,50,58,59,78,79,80,81,82,94,95,103,104,112,113,124,125,126,127,128,130,131,140,141,142,143,144,145,146,147,149,150,151,152,153,154,155,156,165,166,167,168,189,190,191,192,201,202,211,212,213,214,215,216,217,218,219,220,225,229,230,232</t>
  </si>
  <si>
    <t>tests/mp/113/166/original/00000017/TestOptions.java</t>
  </si>
  <si>
    <t>tests/mp/113/166/original/00000017/TestOptions.class</t>
  </si>
  <si>
    <t>2024-01-10 14:56:31</t>
  </si>
  <si>
    <t>16,18,21,24,27,68,69,70,71,72,75,76,77,78,81,82,83,84,85,86,124,125,126,127,128,223,224,227,228</t>
  </si>
  <si>
    <t>35,36,37,38,39,40,41,42,43,44,45,46,47,48,49,50,58,59,73,74,79,80,94,95,103,104,112,113,130,131,140,141,142,143,144,145,146,147,149,150,151,152,153,154,155,156,165,166,167,168,177,178,179,180,189,190,191,192,201,202,211,212,213,214,215,216,217,218,219,220,225,229,230,232</t>
  </si>
  <si>
    <t>tests/mp/117/163/original/00000012/TestOptions.java</t>
  </si>
  <si>
    <t>2024-01-10 14:56:32</t>
  </si>
  <si>
    <t>tests/mp/114/164/original/00000008/TestOptions.java</t>
  </si>
  <si>
    <t>2024-01-10 14:56:40</t>
  </si>
  <si>
    <t>tests/mp/110/114/original/00000011/TestOptions.java</t>
  </si>
  <si>
    <t>tests/mp/110/114/original/00000011/TestOptions.class</t>
  </si>
  <si>
    <t>2024-01-10 14:56:46</t>
  </si>
  <si>
    <t>tests/mp/117/141/original/00000007/TestOptions.java</t>
  </si>
  <si>
    <t>tests/mp/117/141/original/00000007/TestOptions.class</t>
  </si>
  <si>
    <t>2024-01-10 14:56:48</t>
  </si>
  <si>
    <t>tests/mp/111/127/original/00000013/TestOptions.java</t>
  </si>
  <si>
    <t>tests/mp/111/127/original/00000013/TestOptions.class</t>
  </si>
  <si>
    <t>tests/mp/117/146/original/00000018/TestOptions.java</t>
  </si>
  <si>
    <t>tests/mp/117/146/original/00000018/TestOptions.class</t>
  </si>
  <si>
    <t>2024-01-10 14:56:51</t>
  </si>
  <si>
    <t>tests/mp/114/154/original/00000016/TestOptions.java</t>
  </si>
  <si>
    <t>tests/mp/114/154/original/00000016/TestOptions.class</t>
  </si>
  <si>
    <t>2024-01-10 14:57:01</t>
  </si>
  <si>
    <t>16,18,21,24,27,68,69,70,71,72,73,74,75,76,77,78,81,82,83,84,85,86,103,104</t>
  </si>
  <si>
    <t>35,36,37,38,39,40,41,42,43,44,45,46,47,48,49,50,58,59,79,80,94,95,112,113,124,125,126,127,128,130,131,140,141,142,143,144,145,146,147,149,150,151,152,153,154,155,156,165,166,167,168,177,178,179,180,189,190,191,192,201,202,211,212,213,214,215,216,217,218,219,220,223,224,225,227,228,229,230,232</t>
  </si>
  <si>
    <t xml:space="preserve">addOption, helpOptions
</t>
  </si>
  <si>
    <t>tests/mp/113/166/original/00000018/TestOptions.java</t>
  </si>
  <si>
    <t>tests/mp/113/166/original/00000018/TestOptions.class</t>
  </si>
  <si>
    <t>2024-01-10 14:57:04</t>
  </si>
  <si>
    <t>tests/mp/112/119/original/00000015/TestOptions.java</t>
  </si>
  <si>
    <t>tests/mp/112/119/original/00000015/TestOptions.class</t>
  </si>
  <si>
    <t>2024-01-10 14:57:07</t>
  </si>
  <si>
    <t>16,18,21,24,27,68,69,70,71,72,73,74,75,76,77,83,84,85,86,189,190,191,192,223,224,225</t>
  </si>
  <si>
    <t>35,36,37,38,39,40,41,42,43,44,45,46,47,48,49,50,58,59,78,79,80,81,82,94,95,103,104,112,113,124,125,126,127,128,130,131,140,141,142,143,144,145,146,147,149,150,151,152,153,154,155,156,165,166,167,168,177,178,179,180,201,202,211,212,213,214,215,216,217,218,219,220,227,228,229,230,232</t>
  </si>
  <si>
    <t>tests/mp/116/144/original/00000001/TestOptions.java</t>
  </si>
  <si>
    <t>2024-01-10 14:57:09</t>
  </si>
  <si>
    <t>tests/mp/110/114/original/00000012/TestOptions.java</t>
  </si>
  <si>
    <t>tests/mp/110/114/original/00000012/TestOptions.class</t>
  </si>
  <si>
    <t>2024-01-10 14:57:16</t>
  </si>
  <si>
    <t>tests/mp/111/127/original/00000014/TestOptions.java</t>
  </si>
  <si>
    <t>tests/mp/111/127/original/00000014/TestOptions.class</t>
  </si>
  <si>
    <t>2024-01-10 14:57:21</t>
  </si>
  <si>
    <t>tests/mp/113/166/original/00000019/TestOptions.java</t>
  </si>
  <si>
    <t>tests/mp/113/166/original/00000019/TestOptions.class</t>
  </si>
  <si>
    <t>2024-01-10 14:57:22</t>
  </si>
  <si>
    <t>16,18,21,24,27,68,69,70,71,72,75,76,77,78,81,82,83,84,85,86,124,125,126,127,128,223,224,227,229,230</t>
  </si>
  <si>
    <t>35,36,37,38,39,40,41,42,43,44,45,46,47,48,49,50,58,59,73,74,79,80,94,95,103,104,112,113,130,131,140,141,142,143,144,145,146,147,149,150,151,152,153,154,155,156,165,166,167,168,177,178,179,180,189,190,191,192,201,202,211,212,213,214,215,216,217,218,219,220,225,228,232</t>
  </si>
  <si>
    <t>tests/mp/109/129/original/00000019/TestOptions.java</t>
  </si>
  <si>
    <t>2024-01-10 14:57:25</t>
  </si>
  <si>
    <t>tests/mp/117/163/original/00000013/TestOptions.java</t>
  </si>
  <si>
    <t>2024-01-10 14:57:29</t>
  </si>
  <si>
    <t>tests/mp/111/137/original/00000018/TestOptions.java</t>
  </si>
  <si>
    <t>tests/mp/111/137/original/00000018/TestOptions.class</t>
  </si>
  <si>
    <t>tests/mp/114/164/original/00000009/TestOptions.java</t>
  </si>
  <si>
    <t>2024-01-10 14:57:30</t>
  </si>
  <si>
    <t>tests/mp/116/144/original/00000002/TestOptions.java</t>
  </si>
  <si>
    <t>tests/mp/116/144/original/00000002/TestOptions.class</t>
  </si>
  <si>
    <t>2024-01-10 14:57:35</t>
  </si>
  <si>
    <t>tests/mp/115/167/original/00000004/TestOptions.java</t>
  </si>
  <si>
    <t>tests/mp/115/167/original/00000004/TestOptions.class</t>
  </si>
  <si>
    <t>2024-01-10 14:57:39</t>
  </si>
  <si>
    <t>tests/mp/117/146/original/00000019/TestOptions.java</t>
  </si>
  <si>
    <t>tests/mp/117/146/original/00000019/TestOptions.class</t>
  </si>
  <si>
    <t>tests/mp/111/127/original/00000015/TestOptions.java</t>
  </si>
  <si>
    <t>tests/mp/111/127/original/00000015/TestOptions.class</t>
  </si>
  <si>
    <t>2024-01-10 14:57:40</t>
  </si>
  <si>
    <t>tests/mp/110/128/original/00000008/TestOptions.java</t>
  </si>
  <si>
    <t>tests/mp/110/128/original/00000008/TestOptions.class</t>
  </si>
  <si>
    <t>2024-01-10 14:57:43</t>
  </si>
  <si>
    <t>tests/mp/110/114/original/00000013/TestOptions.java</t>
  </si>
  <si>
    <t>tests/mp/110/114/original/00000013/TestOptions.class</t>
  </si>
  <si>
    <t>2024-01-10 14:57:45</t>
  </si>
  <si>
    <t>tests/mp/113/142/original/00000018/TestOptions.java</t>
  </si>
  <si>
    <t>2024-01-10 14:57:47</t>
  </si>
  <si>
    <t>tests/mp/109/136/original/00000007/TestOptions.java</t>
  </si>
  <si>
    <t>tests/mp/109/136/original/00000007/TestOptions.class</t>
  </si>
  <si>
    <t>2024-01-10 14:57:59</t>
  </si>
  <si>
    <t>16,18,21,24,27,35,36,37,38,39,40,41,42,43,44,45,46,47,48,49,50,68,69,70,71,72,73,74,75,76,77,83,84,85,86,112,113</t>
  </si>
  <si>
    <t>58,59,78,79,80,81,82,94,95,103,104,124,125,126,127,128,130,131,140,141,142,143,144,145,146,147,149,150,151,152,153,154,155,156,165,166,167,168,177,178,179,180,189,190,191,192,201,202,211,212,213,214,215,216,217,218,219,220,223,224,225,227,228,229,230,232</t>
  </si>
  <si>
    <t>tests/mp/113/142/original/00000019/TestOptions.java</t>
  </si>
  <si>
    <t>tests/mp/113/142/original/00000019/TestOptions.class</t>
  </si>
  <si>
    <t>2024-01-10 14:58:01</t>
  </si>
  <si>
    <t>tests/mp/113/166/original/00000020/TestOptions.java</t>
  </si>
  <si>
    <t>tests/mp/113/166/original/00000020/TestOptions.class</t>
  </si>
  <si>
    <t>2024-01-10 14:58:04</t>
  </si>
  <si>
    <t>16,18,21,24,27,68,69,70,71,72,75,76,77,78,81,82,83,84,85,86,124,125,126,127,130,131,223,224,225</t>
  </si>
  <si>
    <t>35,36,37,38,39,40,41,42,43,44,45,46,47,48,49,50,58,59,73,74,79,80,94,95,103,104,112,113,128,140,141,142,143,144,145,146,147,149,150,151,152,153,154,155,156,165,166,167,168,177,178,179,180,189,190,191,192,201,202,211,212,213,214,215,216,217,218,219,220,227,228,229,230,232</t>
  </si>
  <si>
    <t>tests/mp/114/154/original/00000017/TestOptions.java</t>
  </si>
  <si>
    <t>tests/mp/114/154/original/00000017/TestOptions.class</t>
  </si>
  <si>
    <t>2024-01-10 14:58:07</t>
  </si>
  <si>
    <t>16,18,21,24,27,68,69,70,71,72,73,74,75,76,77,78,81,82,83,84,85,86,124,125,126,127,128,223,224,227,229,232</t>
  </si>
  <si>
    <t>35,36,37,38,39,40,41,42,43,44,45,46,47,48,49,50,58,59,79,80,94,95,103,104,112,113,130,131,140,141,142,143,144,145,146,147,149,150,151,152,153,154,155,156,165,166,167,168,177,178,179,180,189,190,191,192,201,202,211,212,213,214,215,216,217,218,219,220,225,228,230</t>
  </si>
  <si>
    <t>tests/mp/110/128/original/00000009/TestOptions.java</t>
  </si>
  <si>
    <t>tests/mp/110/128/original/00000009/TestOptions.class</t>
  </si>
  <si>
    <t>2024-01-10 14:58:09</t>
  </si>
  <si>
    <t>tests/mp/117/146/original/00000020/TestOptions.java</t>
  </si>
  <si>
    <t>2024-01-10 14:58:14</t>
  </si>
  <si>
    <t>tests/mp/110/123/original/00000008/TestOptions.java</t>
  </si>
  <si>
    <t>tests/mp/110/123/original/00000008/TestOptions.class</t>
  </si>
  <si>
    <t>2024-01-10 14:58:15</t>
  </si>
  <si>
    <t>tests/mp/109/125/original/00000003/TestOptions.java</t>
  </si>
  <si>
    <t>2024-01-10 14:58:19</t>
  </si>
  <si>
    <t>tests/mp/110/128/original/00000010/TestOptions.java</t>
  </si>
  <si>
    <t>tests/mp/110/128/original/00000010/TestOptions.class</t>
  </si>
  <si>
    <t>2024-01-10 14:58:27</t>
  </si>
  <si>
    <t>tests/mp/117/146/original/00000021/TestOptions.java</t>
  </si>
  <si>
    <t>tests/mp/117/146/original/00000021/TestOptions.class</t>
  </si>
  <si>
    <t>2024-01-10 14:58:29</t>
  </si>
  <si>
    <t>tests/mp/113/157/original/00000029/TestOptions.java</t>
  </si>
  <si>
    <t>tests/mp/113/157/original/00000029/TestOptions.class</t>
  </si>
  <si>
    <t>tests/mp/113/160/original/00000010/TestOptions.java</t>
  </si>
  <si>
    <t>2024-01-10 14:58:53</t>
  </si>
  <si>
    <t>tests/mp/114/164/original/00000010/TestOptions.java</t>
  </si>
  <si>
    <t>tests/mp/114/164/original/00000010/TestOptions.class</t>
  </si>
  <si>
    <t>2024-01-10 14:58:55</t>
  </si>
  <si>
    <t>tests/mp/113/142/original/00000020/TestOptions.java</t>
  </si>
  <si>
    <t>tests/mp/113/142/original/00000020/TestOptions.class</t>
  </si>
  <si>
    <t>tests/mp/114/154/original/00000018/TestOptions.java</t>
  </si>
  <si>
    <t>tests/mp/114/154/original/00000018/TestOptions.class</t>
  </si>
  <si>
    <t>2024-01-10 14:59:10</t>
  </si>
  <si>
    <t>tests/mp/113/160/original/00000011/TestOptions.java</t>
  </si>
  <si>
    <t>tests/mp/113/160/original/00000011/TestOptions.class</t>
  </si>
  <si>
    <t>tests/mp/116/153/original/00000001/TestOptions.java</t>
  </si>
  <si>
    <t>tests/mp/116/153/original/00000001/TestOptions.class</t>
  </si>
  <si>
    <t>2024-01-10 14:59:14</t>
  </si>
  <si>
    <t>tests/mp/113/142/original/00000021/TestOptions.java</t>
  </si>
  <si>
    <t>tests/mp/113/142/original/00000021/TestOptions.class</t>
  </si>
  <si>
    <t>2024-01-10 14:59:26</t>
  </si>
  <si>
    <t>tests/mp/110/123/original/00000009/TestOptions.java</t>
  </si>
  <si>
    <t>tests/mp/110/123/original/00000009/TestOptions.class</t>
  </si>
  <si>
    <t>tests/mp/117/141/original/00000008/TestOptions.java</t>
  </si>
  <si>
    <t>tests/mp/117/141/original/00000008/TestOptions.class</t>
  </si>
  <si>
    <t>2024-01-10 14:59:33</t>
  </si>
  <si>
    <t>tests/mp/111/109/original/00000007/TestOptions.java</t>
  </si>
  <si>
    <t>tests/mp/111/109/original/00000007/TestOptions.class</t>
  </si>
  <si>
    <t>2024-01-10 14:59:36</t>
  </si>
  <si>
    <t>16,18,21,24,27,68,69,70,71,72,73,74,75,76,77,83,84,85,86,140,141,142,143,144,145,146,149,150,151,152,153,154,155,156,223,224,227,229,232</t>
  </si>
  <si>
    <t>35,36,37,38,39,40,41,42,43,44,45,46,47,48,49,50,58,59,78,79,80,81,82,94,95,103,104,112,113,124,125,126,127,128,130,131,147,165,166,167,168,177,178,179,180,189,190,191,192,201,202,211,212,213,214,215,216,217,218,219,220,225,228,230</t>
  </si>
  <si>
    <t>tests/mp/115/148/original/00000002/TestOptions.java</t>
  </si>
  <si>
    <t>2024-01-10 14:59:39</t>
  </si>
  <si>
    <t>tests/mp/117/146/original/00000022/TestOptions.java</t>
  </si>
  <si>
    <t>2024-01-10 14:59:42</t>
  </si>
  <si>
    <t>tests/mp/112/130/original/00000017/TestOptions.java</t>
  </si>
  <si>
    <t>tests/mp/112/130/original/00000017/TestOptions.class</t>
  </si>
  <si>
    <t>2024-01-10 14:59:50</t>
  </si>
  <si>
    <t>tests/mp/110/140/original/00000010/TestOptions.java</t>
  </si>
  <si>
    <t>tests/mp/113/166/original/00000021/TestOptions.java</t>
  </si>
  <si>
    <t>tests/mp/113/166/original/00000021/TestOptions.class</t>
  </si>
  <si>
    <t>2024-01-10 14:59:54</t>
  </si>
  <si>
    <t>16,18,21,24,27,68,69,70,71,72,75,76,77,78,81,82,83,84,85,86,140,141,142,143,144,145,146,149,150,155,156,223,224,227,229,232</t>
  </si>
  <si>
    <t>35,36,37,38,39,40,41,42,43,44,45,46,47,48,49,50,58,59,73,74,79,80,94,95,103,104,112,113,124,125,126,127,128,130,131,147,151,152,153,154,165,166,167,168,177,178,179,180,189,190,191,192,201,202,211,212,213,214,215,216,217,218,219,220,225,228,230</t>
  </si>
  <si>
    <t>tests/mp/114/154/original/00000019/TestOptions.java</t>
  </si>
  <si>
    <t>2024-01-10 14:59:59</t>
  </si>
  <si>
    <t>tests/mp/124/142/original/00000001/TestDocument.java</t>
  </si>
  <si>
    <t>tests/mp/124/142/original/00000001/TestDocument.class</t>
  </si>
  <si>
    <t>2024-01-10 15:03:08</t>
  </si>
  <si>
    <t>10,12,17,18,159,201,202,203,204,211,212</t>
  </si>
  <si>
    <t>21,22,34,35,36,47,48,49,50,51,52,53,55,56,66,67,68,69,70,71,72,73,74,85,86,87,88,89,90,91,92,93,94,95,96,107,108,109,110,111,112,114,115,116,123,124,125,126,128,129,139,140,141,142,143,144,145,146,147,155,156,168,169,170,171,172,173,174,175,176,177,179,180,188,189,190,191,193,194,205,206,207,208,209,210,218,219,220</t>
  </si>
  <si>
    <t>tests/mp/123/157/original/00000001/TestDocument.java</t>
  </si>
  <si>
    <t>2024-01-10 15:03:16</t>
  </si>
  <si>
    <t>tests/mp/124/144/original/00000001/TestDocument.java</t>
  </si>
  <si>
    <t>tests/mp/123/157/original/00000002/TestDocument.java</t>
  </si>
  <si>
    <t>tests/mp/123/157/original/00000002/TestDocument.class</t>
  </si>
  <si>
    <t>2024-01-10 15:03:26</t>
  </si>
  <si>
    <t>10,12,17,18,21,22,159</t>
  </si>
  <si>
    <t>34,35,36,47,48,49,50,51,52,53,55,56,66,67,68,69,70,71,72,73,74,85,86,87,88,89,90,91,92,93,94,95,96,107,108,109,110,111,112,114,115,116,123,124,125,126,128,129,139,140,141,142,143,144,145,146,147,155,156,168,169,170,171,172,173,174,175,176,177,179,180,188,189,190,191,193,194,201,202,203,204,205,206,207,208,209,210,211,212,218,219,220</t>
  </si>
  <si>
    <t xml:space="preserve">iterator
</t>
  </si>
  <si>
    <t>tests/mp/124/142/original/00000002/TestDocument.java</t>
  </si>
  <si>
    <t>tests/mp/124/142/original/00000002/TestDocument.class</t>
  </si>
  <si>
    <t>2024-01-10 15:03:30</t>
  </si>
  <si>
    <t>tests/mp/119/133/original/00000001/TestDocument.java</t>
  </si>
  <si>
    <t>tests/mp/119/133/original/00000001/TestDocument.class</t>
  </si>
  <si>
    <t>2024-01-10 15:04:21</t>
  </si>
  <si>
    <t>tests/mp/119/119/original/00000001/TestDocument.java</t>
  </si>
  <si>
    <t>tests/mp/119/119/original/00000001/TestDocument.class</t>
  </si>
  <si>
    <t>10,12,17,18,159</t>
  </si>
  <si>
    <t>21,22,34,35,36,47,48,49,50,51,52,53,55,56,66,67,68,69,70,71,72,73,74,85,86,87,88,89,90,91,92,93,94,95,96,107,108,109,110,111,112,114,115,116,123,124,125,126,128,129,139,140,141,142,143,144,145,146,147,155,156,168,169,170,171,172,173,174,175,176,177,179,180,188,189,190,191,193,194,201,202,203,204,205,206,207,208,209,210,211,212,218,219,220</t>
  </si>
  <si>
    <t>tests/mp/123/157/original/00000003/TestDocument.java</t>
  </si>
  <si>
    <t>tests/mp/123/157/original/00000003/TestDocument.class</t>
  </si>
  <si>
    <t>2024-01-10 15:04:34</t>
  </si>
  <si>
    <t>10,12,17,18,123,124,129,159</t>
  </si>
  <si>
    <t>21,22,34,35,36,47,48,49,50,51,52,53,55,56,66,67,68,69,70,71,72,73,74,85,86,87,88,89,90,91,92,93,94,95,96,107,108,109,110,111,112,114,115,116,125,126,128,139,140,141,142,143,144,145,146,147,155,156,168,169,170,171,172,173,174,175,176,177,179,180,188,189,190,191,193,194,201,202,203,204,205,206,207,208,209,210,211,212,218,219,220</t>
  </si>
  <si>
    <t xml:space="preserve">getField
</t>
  </si>
  <si>
    <t>tests/mp/119/130/original/00000001/TestDocument.java</t>
  </si>
  <si>
    <t>tests/mp/119/130/original/00000001/TestDocument.class</t>
  </si>
  <si>
    <t>2024-01-10 15:04:36</t>
  </si>
  <si>
    <t>tests/mp/125/163/original/00000001/TestDocument.java</t>
  </si>
  <si>
    <t>2024-01-10 15:04:55</t>
  </si>
  <si>
    <t>tests/mp/119/119/original/00000002/TestDocument.java</t>
  </si>
  <si>
    <t>tests/mp/119/119/original/00000002/TestDocument.class</t>
  </si>
  <si>
    <t>2024-01-10 15:05:22</t>
  </si>
  <si>
    <t>tests/mp/123/157/original/00000004/TestDocument.java</t>
  </si>
  <si>
    <t>tests/mp/123/157/original/00000004/TestDocument.class</t>
  </si>
  <si>
    <t>2024-01-10 15:05:28</t>
  </si>
  <si>
    <t>10,12,17,18,159,188,189,194</t>
  </si>
  <si>
    <t>21,22,34,35,36,47,48,49,50,51,52,53,55,56,66,67,68,69,70,71,72,73,74,85,86,87,88,89,90,91,92,93,94,95,96,107,108,109,110,111,112,114,115,116,123,124,125,126,128,129,139,140,141,142,143,144,145,146,147,155,156,168,169,170,171,172,173,174,175,176,177,179,180,190,191,193,201,202,203,204,205,206,207,208,209,210,211,212,218,219,220</t>
  </si>
  <si>
    <t xml:space="preserve">get
</t>
  </si>
  <si>
    <t>tests/mp/123/146/original/00000001/TestDocument.java</t>
  </si>
  <si>
    <t>tests/mp/123/146/original/00000001/TestDocument.class</t>
  </si>
  <si>
    <t>2024-01-10 15:05:58</t>
  </si>
  <si>
    <t>tests/mp/119/133/original/00000002/TestDocument.java</t>
  </si>
  <si>
    <t>tests/mp/119/133/original/00000002/TestDocument.class</t>
  </si>
  <si>
    <t>2024-01-10 15:06:07</t>
  </si>
  <si>
    <t>10,12,17,18,107,108,116,159</t>
  </si>
  <si>
    <t>21,22,34,35,36,47,48,49,50,51,52,53,55,56,66,67,68,69,70,71,72,73,74,85,86,87,88,89,90,91,92,93,94,95,96,109,110,111,112,114,115,123,124,125,126,128,129,139,140,141,142,143,144,145,146,147,155,156,168,169,170,171,172,173,174,175,176,177,179,180,188,189,190,191,193,194,201,202,203,204,205,206,207,208,209,210,211,212,218,219,220</t>
  </si>
  <si>
    <t xml:space="preserve">getBinaryValue
</t>
  </si>
  <si>
    <t>tests/mp/123/146/original/00000002/TestDocument.java</t>
  </si>
  <si>
    <t>tests/mp/123/146/original/00000002/TestDocument.class</t>
  </si>
  <si>
    <t>tests/mp/123/157/original/00000005/TestDocument.java</t>
  </si>
  <si>
    <t>2024-01-10 15:06:21</t>
  </si>
  <si>
    <t>tests/mp/125/160/original/00000001/TestDocument.java</t>
  </si>
  <si>
    <t>2024-01-10 15:06:23</t>
  </si>
  <si>
    <t>tests/mp/125/163/original/00000002/TestDocument.java</t>
  </si>
  <si>
    <t>2024-01-10 15:06:32</t>
  </si>
  <si>
    <t>tests/mp/122/164/original/00000001/TestDocument.java</t>
  </si>
  <si>
    <t>2024-01-10 15:06:39</t>
  </si>
  <si>
    <t>tests/mp/123/157/original/00000006/TestDocument.java</t>
  </si>
  <si>
    <t>2024-01-10 15:06:42</t>
  </si>
  <si>
    <t>tests/mp/121/115/original/00000001/TestDocument.java</t>
  </si>
  <si>
    <t>tests/mp/121/115/original/00000001/TestDocument.class</t>
  </si>
  <si>
    <t>2024-01-10 15:06:59</t>
  </si>
  <si>
    <t>10,12,17,18,34,35,36,159,188,189,190,191</t>
  </si>
  <si>
    <t>21,22,47,48,49,50,51,52,53,55,56,66,67,68,69,70,71,72,73,74,85,86,87,88,89,90,91,92,93,94,95,96,107,108,109,110,111,112,114,115,116,123,124,125,126,128,129,139,140,141,142,143,144,145,146,147,155,156,168,169,170,171,172,173,174,175,176,177,179,180,193,194,201,202,203,204,205,206,207,208,209,210,211,212,218,219,220</t>
  </si>
  <si>
    <t xml:space="preserve">add, get
</t>
  </si>
  <si>
    <t>tests/mp/123/157/original/00000007/TestDocument.java</t>
  </si>
  <si>
    <t>tests/mp/123/157/original/00000007/TestDocument.class</t>
  </si>
  <si>
    <t>2024-01-10 15:07:15</t>
  </si>
  <si>
    <t>10,12,17,18,85,86,87,95,96,159</t>
  </si>
  <si>
    <t>21,22,34,35,36,47,48,49,50,51,52,53,55,56,66,67,68,69,70,71,72,73,74,88,89,90,91,92,93,94,107,108,109,110,111,112,114,115,116,123,124,125,126,128,129,139,140,141,142,143,144,145,146,147,155,156,168,169,170,171,172,173,174,175,176,177,179,180,188,189,190,191,193,194,201,202,203,204,205,206,207,208,209,210,211,212,218,219,220</t>
  </si>
  <si>
    <t xml:space="preserve">getBinaryValues
</t>
  </si>
  <si>
    <t>tests/mp/125/163/original/00000003/TestDocument.java</t>
  </si>
  <si>
    <t>tests/mp/125/163/original/00000003/TestDocument.class</t>
  </si>
  <si>
    <t>2024-01-10 15:07:34</t>
  </si>
  <si>
    <t>10,12,17,18,21,22,34,35,36,47,48,49,50,51,52,53,55,56,66,67,68,69,70,71,72,73,74,85,86,87,88,89,90,91,92,93,94,95,96,107,108,109,110,111,112,114,115,116,123,124,125,126,128,129,139,140,141,142,143,144,145,146,147,155,156,159,168,169,170,171,172,173,174,175,176,177,179,180,188,189,190,191,193,194,201,202,203,204,205,206,207,208,209,210,211,212,218,219,220</t>
  </si>
  <si>
    <t>tests/mp/123/157/original/00000008/TestDocument.java</t>
  </si>
  <si>
    <t>tests/mp/123/157/original/00000008/TestDocument.class</t>
  </si>
  <si>
    <t>2024-01-10 15:07:39</t>
  </si>
  <si>
    <t>tests/mp/119/119/original/00000003/TestDocument.java</t>
  </si>
  <si>
    <t>tests/mp/119/119/original/00000003/TestDocument.class</t>
  </si>
  <si>
    <t>2024-01-10 15:07:46</t>
  </si>
  <si>
    <t>10,12,17,18,34,35,36,159,201,202,203,204,205,206,207,211,212</t>
  </si>
  <si>
    <t>21,22,47,48,49,50,51,52,53,55,56,66,67,68,69,70,71,72,73,74,85,86,87,88,89,90,91,92,93,94,95,96,107,108,109,110,111,112,114,115,116,123,124,125,126,128,129,139,140,141,142,143,144,145,146,147,155,156,168,169,170,171,172,173,174,175,176,177,179,180,188,189,190,191,193,194,208,209,218,219,220</t>
  </si>
  <si>
    <t xml:space="preserve">add, toString
</t>
  </si>
  <si>
    <t>tests/mp/120/129/original/00000001/TestDocument.java</t>
  </si>
  <si>
    <t>tests/mp/120/137/original/00000001/TestDocument.java</t>
  </si>
  <si>
    <t>2024-01-10 15:07:47</t>
  </si>
  <si>
    <t>tests/mp/119/130/original/00000002/TestDocument.java</t>
  </si>
  <si>
    <t>tests/mp/119/130/original/00000002/TestDocument.class</t>
  </si>
  <si>
    <t>2024-01-10 15:07:48</t>
  </si>
  <si>
    <t>tests/mp/123/148/original/00000001/TestDocument.java</t>
  </si>
  <si>
    <t>2024-01-10 15:07:49</t>
  </si>
  <si>
    <t>tests/mp/123/157/original/00000009/TestDocument.java</t>
  </si>
  <si>
    <t>tests/mp/123/157/original/00000009/TestDocument.class</t>
  </si>
  <si>
    <t>2024-01-10 15:07:53</t>
  </si>
  <si>
    <t>tests/mp/120/129/original/00000002/TestDocument.java</t>
  </si>
  <si>
    <t>tests/mp/120/129/original/00000002/TestDocument.class</t>
  </si>
  <si>
    <t>2024-01-10 15:07:56</t>
  </si>
  <si>
    <t>10,12,17,18,34,35,36,159,188,189,190,193,194</t>
  </si>
  <si>
    <t>21,22,47,48,49,50,51,52,53,55,56,66,67,68,69,70,71,72,73,74,85,86,87,88,89,90,91,92,93,94,95,96,107,108,109,110,111,112,114,115,116,123,124,125,126,128,129,139,140,141,142,143,144,145,146,147,155,156,168,169,170,171,172,173,174,175,176,177,179,180,191,201,202,203,204,205,206,207,208,209,210,211,212,218,219,220</t>
  </si>
  <si>
    <t>tests/mp/123/146/original/00000003/TestDocument.java</t>
  </si>
  <si>
    <t>2024-01-10 15:08:06</t>
  </si>
  <si>
    <t>tests/mp/119/130/original/00000003/TestDocument.java</t>
  </si>
  <si>
    <t>tests/mp/119/130/original/00000003/TestDocument.class</t>
  </si>
  <si>
    <t>2024-01-10 15:08:10</t>
  </si>
  <si>
    <t>tests/mp/118/114/original/00000001/TestDocument.java</t>
  </si>
  <si>
    <t>tests/mp/118/114/original/00000001/TestDocument.class</t>
  </si>
  <si>
    <t>2024-01-10 15:08:11</t>
  </si>
  <si>
    <t>tests/mp/120/137/original/00000002/TestDocument.java</t>
  </si>
  <si>
    <t>tests/mp/126/147/original/00000001/TestDocument.java</t>
  </si>
  <si>
    <t>2024-01-10 15:08:22</t>
  </si>
  <si>
    <t>tests/mp/123/146/original/00000004/TestDocument.java</t>
  </si>
  <si>
    <t>2024-01-10 15:08:23</t>
  </si>
  <si>
    <t>tests/mp/121/115/original/00000002/TestDocument.java</t>
  </si>
  <si>
    <t>tests/mp/121/115/original/00000002/TestDocument.class</t>
  </si>
  <si>
    <t>2024-01-10 15:08:28</t>
  </si>
  <si>
    <t>10,12,17,18,34,35,36,159,168,169,170,171,172,173,174,175,176,179,180</t>
  </si>
  <si>
    <t>21,22,47,48,49,50,51,52,53,55,56,66,67,68,69,70,71,72,73,74,85,86,87,88,89,90,91,92,93,94,95,96,107,108,109,110,111,112,114,115,116,123,124,125,126,128,129,139,140,141,142,143,144,145,146,147,155,156,177,188,189,190,191,193,194,201,202,203,204,205,206,207,208,209,210,211,212,218,219,220</t>
  </si>
  <si>
    <t xml:space="preserve">add, getValues
</t>
  </si>
  <si>
    <t>tests/mp/119/119/original/00000004/TestDocument.java</t>
  </si>
  <si>
    <t>tests/mp/119/119/original/00000004/TestDocument.class</t>
  </si>
  <si>
    <t>2024-01-10 15:08:41</t>
  </si>
  <si>
    <t>tests/mp/126/149/original/00000001/TestDocument.java</t>
  </si>
  <si>
    <t>2024-01-10 15:08:50</t>
  </si>
  <si>
    <t>tests/mp/123/157/original/00000010/TestDocument.java</t>
  </si>
  <si>
    <t>tests/mp/123/157/original/00000010/TestDocument.class</t>
  </si>
  <si>
    <t>2024-01-10 15:08:52</t>
  </si>
  <si>
    <t>10,12,17,18,159,168,169,170,175,176,177</t>
  </si>
  <si>
    <t>21,22,34,35,36,47,48,49,50,51,52,53,55,56,66,67,68,69,70,71,72,73,74,85,86,87,88,89,90,91,92,93,94,95,96,107,108,109,110,111,112,114,115,116,123,124,125,126,128,129,139,140,141,142,143,144,145,146,147,155,156,171,172,173,174,179,180,188,189,190,191,193,194,201,202,203,204,205,206,207,208,209,210,211,212,218,219,220</t>
  </si>
  <si>
    <t xml:space="preserve">getValues
</t>
  </si>
  <si>
    <t>tests/mp/119/119/original/00000005/TestDocument.java</t>
  </si>
  <si>
    <t>tests/mp/119/119/original/00000005/TestDocument.class</t>
  </si>
  <si>
    <t>tests/mp/122/151/original/00000001/TestDocument.java</t>
  </si>
  <si>
    <t>tests/mp/122/151/original/00000001/TestDocument.class</t>
  </si>
  <si>
    <t>2024-01-10 15:08:55</t>
  </si>
  <si>
    <t>10,12,17,18,139,140,141,146,147,159</t>
  </si>
  <si>
    <t>21,22,34,35,36,47,48,49,50,51,52,53,55,56,66,67,68,69,70,71,72,73,74,85,86,87,88,89,90,91,92,93,94,95,96,107,108,109,110,111,112,114,115,116,123,124,125,126,128,129,142,143,144,145,155,156,168,169,170,171,172,173,174,175,176,177,179,180,188,189,190,191,193,194,201,202,203,204,205,206,207,208,209,210,211,212,218,219,220</t>
  </si>
  <si>
    <t xml:space="preserve">getFields_1
</t>
  </si>
  <si>
    <t>tests/mp/123/146/original/00000005/TestDocument.java</t>
  </si>
  <si>
    <t>tests/mp/123/146/original/00000005/TestDocument.class</t>
  </si>
  <si>
    <t>2024-01-10 15:08:59</t>
  </si>
  <si>
    <t>tests/mp/121/123/original/00000001/TestDocument.java</t>
  </si>
  <si>
    <t>2024-01-10 15:09:03</t>
  </si>
  <si>
    <t>tests/mp/123/157/original/00000011/TestDocument.java</t>
  </si>
  <si>
    <t>tests/mp/123/157/original/00000011/TestDocument.class</t>
  </si>
  <si>
    <t>2024-01-10 15:09:07</t>
  </si>
  <si>
    <t>tests/mp/119/130/original/00000004/TestDocument.java</t>
  </si>
  <si>
    <t>2024-01-10 15:09:08</t>
  </si>
  <si>
    <t>tests/mp/121/123/original/00000002/TestDocument.java</t>
  </si>
  <si>
    <t>2024-01-10 15:09:11</t>
  </si>
  <si>
    <t>tests/mp/120/109/original/00000001/TestDocument.java</t>
  </si>
  <si>
    <t>tests/mp/120/109/original/00000001/TestDocument.class</t>
  </si>
  <si>
    <t>2024-01-10 15:09:12</t>
  </si>
  <si>
    <t>10,12,17,18,34,35,36,107,108,109,110,111,115,116,159</t>
  </si>
  <si>
    <t>21,22,47,48,49,50,51,52,53,55,56,66,67,68,69,70,71,72,73,74,85,86,87,88,89,90,91,92,93,94,95,96,112,123,124,125,126,128,129,139,140,141,142,143,144,145,146,147,155,156,168,169,170,171,172,173,174,175,176,177,179,180,188,189,190,191,193,194,201,202,203,204,205,206,207,208,209,210,211,212,218,219,220</t>
  </si>
  <si>
    <t xml:space="preserve">add, getBinaryValue
</t>
  </si>
  <si>
    <t>tests/mp/122/151/original/00000002/TestDocument.java</t>
  </si>
  <si>
    <t>tests/mp/122/151/original/00000002/TestDocument.class</t>
  </si>
  <si>
    <t>2024-01-10 15:09:13</t>
  </si>
  <si>
    <t>tests/mp/120/129/original/00000003/TestDocument.java</t>
  </si>
  <si>
    <t>tests/mp/120/129/original/00000003/TestDocument.class</t>
  </si>
  <si>
    <t>10,12,17,18,34,35,36,123,124,125,126,159</t>
  </si>
  <si>
    <t>21,22,47,48,49,50,51,52,53,55,56,66,67,68,69,70,71,72,73,74,85,86,87,88,89,90,91,92,93,94,95,96,107,108,109,110,111,112,114,115,116,128,129,139,140,141,142,143,144,145,146,147,155,156,168,169,170,171,172,173,174,175,176,177,179,180,188,189,190,191,193,194,201,202,203,204,205,206,207,208,209,210,211,212,218,219,220</t>
  </si>
  <si>
    <t xml:space="preserve">add, getField
</t>
  </si>
  <si>
    <t>tests/mp/119/119/original/00000006/TestDocument.java</t>
  </si>
  <si>
    <t>tests/mp/119/119/original/00000006/TestDocument.class</t>
  </si>
  <si>
    <t>2024-01-10 15:09:14</t>
  </si>
  <si>
    <t>10,12,17,18,34,35,36,159,201,202,203,204,205,206,207,208,209,210,211,212</t>
  </si>
  <si>
    <t>21,22,47,48,49,50,51,52,53,55,56,66,67,68,69,70,71,72,73,74,85,86,87,88,89,90,91,92,93,94,95,96,107,108,109,110,111,112,114,115,116,123,124,125,126,128,129,139,140,141,142,143,144,145,146,147,155,156,168,169,170,171,172,173,174,175,176,177,179,180,188,189,190,191,193,194,218,219,220</t>
  </si>
  <si>
    <t>tests/mp/123/157/original/00000012/TestDocument.java</t>
  </si>
  <si>
    <t>2024-01-10 15:09:18</t>
  </si>
  <si>
    <t>tests/mp/119/130/original/00000005/TestDocument.java</t>
  </si>
  <si>
    <t>2024-01-10 15:09:24</t>
  </si>
  <si>
    <t>tests/mp/118/114/original/00000002/TestDocument.java</t>
  </si>
  <si>
    <t>tests/mp/118/114/original/00000002/TestDocument.class</t>
  </si>
  <si>
    <t>2024-01-10 15:09:31</t>
  </si>
  <si>
    <t>10,12,17,18,34,35,36,47,48,49,50,51,52,53,159</t>
  </si>
  <si>
    <t>21,22,55,56,66,67,68,69,70,71,72,73,74,85,86,87,88,89,90,91,92,93,94,95,96,107,108,109,110,111,112,114,115,116,123,124,125,126,128,129,139,140,141,142,143,144,145,146,147,155,156,168,169,170,171,172,173,174,175,176,177,179,180,188,189,190,191,193,194,201,202,203,204,205,206,207,208,209,210,211,212,218,219,220</t>
  </si>
  <si>
    <t xml:space="preserve">add, removeField
</t>
  </si>
  <si>
    <t>tests/mp/126/141/original/00000001/TestDocument.java</t>
  </si>
  <si>
    <t>2024-01-10 15:09:32</t>
  </si>
  <si>
    <t>tests/mp/119/130/original/00000006/TestDocument.java</t>
  </si>
  <si>
    <t>tests/mp/119/130/original/00000006/TestDocument.class</t>
  </si>
  <si>
    <t>2024-01-10 15:09:34</t>
  </si>
  <si>
    <t>10,12,17,18,34,35,36,47,48,49,50,51,52,53,159,201,202,203,204,211,212</t>
  </si>
  <si>
    <t>21,22,55,56,66,67,68,69,70,71,72,73,74,85,86,87,88,89,90,91,92,93,94,95,96,107,108,109,110,111,112,114,115,116,123,124,125,126,128,129,139,140,141,142,143,144,145,146,147,155,156,168,169,170,171,172,173,174,175,176,177,179,180,188,189,190,191,193,194,205,206,207,208,209,210,218,219,220</t>
  </si>
  <si>
    <t xml:space="preserve">add, removeField, toString
</t>
  </si>
  <si>
    <t>tests/mp/121/123/original/00000003/TestDocument.java</t>
  </si>
  <si>
    <t>tests/mp/121/123/original/00000003/TestDocument.class</t>
  </si>
  <si>
    <t>2024-01-10 15:09:36</t>
  </si>
  <si>
    <t>tests/mp/118/140/original/00000001/TestDocument.java</t>
  </si>
  <si>
    <t>tests/mp/122/151/original/00000003/TestDocument.java</t>
  </si>
  <si>
    <t>2024-01-10 15:09:42</t>
  </si>
  <si>
    <t>tests/mp/122/151/original/00000004/TestDocument.java</t>
  </si>
  <si>
    <t>tests/mp/122/151/original/00000004/TestDocument.class</t>
  </si>
  <si>
    <t>tests/mp/125/163/original/00000004/TestDocument.java</t>
  </si>
  <si>
    <t>2024-01-10 15:09:56</t>
  </si>
  <si>
    <t>tests/mp/121/115/original/00000003/TestDocument.java</t>
  </si>
  <si>
    <t>tests/mp/121/115/original/00000003/TestDocument.class</t>
  </si>
  <si>
    <t>2024-01-10 15:10:02</t>
  </si>
  <si>
    <t>10,12,17,18,34,35,36,155,156,159</t>
  </si>
  <si>
    <t>21,22,47,48,49,50,51,52,53,55,56,66,67,68,69,70,71,72,73,74,85,86,87,88,89,90,91,92,93,94,95,96,107,108,109,110,111,112,114,115,116,123,124,125,126,128,129,139,140,141,142,143,144,145,146,147,168,169,170,171,172,173,174,175,176,177,179,180,188,189,190,191,193,194,201,202,203,204,205,206,207,208,209,210,211,212,218,219,220</t>
  </si>
  <si>
    <t xml:space="preserve">add, getFields_2
</t>
  </si>
  <si>
    <t>tests/mp/120/129/original/00000004/TestDocument.java</t>
  </si>
  <si>
    <t>tests/mp/120/129/original/00000004/TestDocument.class</t>
  </si>
  <si>
    <t>tests/mp/125/163/original/00000005/TestDocument.java</t>
  </si>
  <si>
    <t>2024-01-10 15:10:05</t>
  </si>
  <si>
    <t>tests/mp/126/141/original/00000002/TestDocument.java</t>
  </si>
  <si>
    <t>tests/mp/123/157/original/00000013/TestDocument.java</t>
  </si>
  <si>
    <t>2024-01-10 15:10:08</t>
  </si>
  <si>
    <t>tests/mp/124/142/original/00000003/TestDocument.java</t>
  </si>
  <si>
    <t>2024-01-10 15:10:10</t>
  </si>
  <si>
    <t>tests/mp/118/140/original/00000002/TestDocument.java</t>
  </si>
  <si>
    <t>tests/mp/118/140/original/00000002/TestDocument.class</t>
  </si>
  <si>
    <t>2024-01-10 15:10:13</t>
  </si>
  <si>
    <t>10,12,17,18,34,35,36,85,86,87,88,89,90,91,92,93,94,95,96,159</t>
  </si>
  <si>
    <t>21,22,47,48,49,50,51,52,53,55,56,66,67,68,69,70,71,72,73,74,107,108,109,110,111,112,114,115,116,123,124,125,126,128,129,139,140,141,142,143,144,145,146,147,155,156,168,169,170,171,172,173,174,175,176,177,179,180,188,189,190,191,193,194,201,202,203,204,205,206,207,208,209,210,211,212,218,219,220</t>
  </si>
  <si>
    <t xml:space="preserve">add, getBinaryValues
</t>
  </si>
  <si>
    <t>tests/mp/123/157/original/00000014/TestDocument.java</t>
  </si>
  <si>
    <t>2024-01-10 15:10:16</t>
  </si>
  <si>
    <t>tests/mp/119/130/original/00000007/TestDocument.java</t>
  </si>
  <si>
    <t>2024-01-10 15:10:17</t>
  </si>
  <si>
    <t>tests/mp/122/151/original/00000005/TestDocument.java</t>
  </si>
  <si>
    <t>tests/mp/122/151/original/00000005/TestDocument.class</t>
  </si>
  <si>
    <t>2024-01-10 15:10:19</t>
  </si>
  <si>
    <t>tests/mp/124/166/original/00000001/TestDocument.java</t>
  </si>
  <si>
    <t>2024-01-10 15:10:24</t>
  </si>
  <si>
    <t>tests/mp/118/140/original/00000003/TestDocument.java</t>
  </si>
  <si>
    <t>tests/mp/118/140/original/00000003/TestDocument.class</t>
  </si>
  <si>
    <t>2024-01-10 15:10:30</t>
  </si>
  <si>
    <t>tests/mp/120/137/original/00000003/TestDocument.java</t>
  </si>
  <si>
    <t>tests/mp/120/137/original/00000003/TestDocument.class</t>
  </si>
  <si>
    <t>2024-01-10 15:10:33</t>
  </si>
  <si>
    <t>10,12,17,18,34,35,36,85,86,87,88,89,90,94,95,96,159</t>
  </si>
  <si>
    <t>21,22,47,48,49,50,51,52,53,55,56,66,67,68,69,70,71,72,73,74,91,92,107,108,109,110,111,112,114,115,116,123,124,125,126,128,129,139,140,141,142,143,144,145,146,147,155,156,168,169,170,171,172,173,174,175,176,177,179,180,188,189,190,191,193,194,201,202,203,204,205,206,207,208,209,210,211,212,218,219,220</t>
  </si>
  <si>
    <t>tests/mp/120/129/original/00000005/TestDocument.java</t>
  </si>
  <si>
    <t>tests/mp/120/129/original/00000005/TestDocument.class</t>
  </si>
  <si>
    <t>2024-01-10 15:10:35</t>
  </si>
  <si>
    <t>tests/mp/124/166/original/00000002/TestDocument.java</t>
  </si>
  <si>
    <t>tests/mp/124/142/original/00000004/TestDocument.java</t>
  </si>
  <si>
    <t>tests/mp/124/142/original/00000004/TestDocument.class</t>
  </si>
  <si>
    <t>2024-01-10 15:10:43</t>
  </si>
  <si>
    <t>tests/mp/122/151/original/00000006/TestDocument.java</t>
  </si>
  <si>
    <t>tests/mp/122/151/original/00000006/TestDocument.class</t>
  </si>
  <si>
    <t>2024-01-10 15:10:45</t>
  </si>
  <si>
    <t>tests/mp/118/140/original/00000004/TestDocument.java</t>
  </si>
  <si>
    <t>2024-01-10 15:10:46</t>
  </si>
  <si>
    <t>tests/mp/122/168/original/00000001/TestDocument.java</t>
  </si>
  <si>
    <t>2024-01-10 15:10:48</t>
  </si>
  <si>
    <t>tests/mp/118/136/original/00000001/TestDocument.java</t>
  </si>
  <si>
    <t>2024-01-10 15:10:49</t>
  </si>
  <si>
    <t>tests/mp/120/109/original/00000002/TestDocument.java</t>
  </si>
  <si>
    <t>tests/mp/120/109/original/00000002/TestDocument.class</t>
  </si>
  <si>
    <t>10,12,17,18,34,35,36,107,108,109,110,111,112,159</t>
  </si>
  <si>
    <t>21,22,47,48,49,50,51,52,53,55,56,66,67,68,69,70,71,72,73,74,85,86,87,88,89,90,91,92,93,94,95,96,114,115,116,123,124,125,126,128,129,139,140,141,142,143,144,145,146,147,155,156,168,169,170,171,172,173,174,175,176,177,179,180,188,189,190,191,193,194,201,202,203,204,205,206,207,208,209,210,211,212,218,219,220</t>
  </si>
  <si>
    <t>tests/mp/119/130/original/00000008/TestDocument.java</t>
  </si>
  <si>
    <t>tests/mp/119/130/original/00000008/TestDocument.class</t>
  </si>
  <si>
    <t>2024-01-10 15:10:51</t>
  </si>
  <si>
    <t>10,12,17,18,34,35,36,66,67,68,69,70,71,72,73,74,159,201,202,203,204,211,212</t>
  </si>
  <si>
    <t>21,22,47,48,49,50,51,52,53,55,56,85,86,87,88,89,90,91,92,93,94,95,96,107,108,109,110,111,112,114,115,116,123,124,125,126,128,129,139,140,141,142,143,144,145,146,147,155,156,168,169,170,171,172,173,174,175,176,177,179,180,188,189,190,191,193,194,205,206,207,208,209,210,218,219,220</t>
  </si>
  <si>
    <t xml:space="preserve">add, removeFields, toString
</t>
  </si>
  <si>
    <t>tests/mp/120/137/original/00000004/TestDocument.java</t>
  </si>
  <si>
    <t>tests/mp/120/137/original/00000004/TestDocument.class</t>
  </si>
  <si>
    <t>2024-01-10 15:10:55</t>
  </si>
  <si>
    <t>tests/mp/121/115/original/00000004/TestDocument.java</t>
  </si>
  <si>
    <t>tests/mp/121/115/original/00000004/TestDocument.class</t>
  </si>
  <si>
    <t>2024-01-10 15:10:58</t>
  </si>
  <si>
    <t>tests/mp/118/114/original/00000003/TestDocument.java</t>
  </si>
  <si>
    <t>tests/mp/118/114/original/00000003/TestDocument.class</t>
  </si>
  <si>
    <t>2024-01-10 15:11:00</t>
  </si>
  <si>
    <t>tests/mp/123/146/original/00000006/TestDocument.java</t>
  </si>
  <si>
    <t>2024-01-10 15:11:03</t>
  </si>
  <si>
    <t>tests/mp/122/151/original/00000007/TestDocument.java</t>
  </si>
  <si>
    <t>tests/mp/122/151/original/00000007/TestDocument.class</t>
  </si>
  <si>
    <t>2024-01-10 15:11:12</t>
  </si>
  <si>
    <t>tests/mp/119/119/original/00000007/TestDocument.java</t>
  </si>
  <si>
    <t>tests/mp/119/119/original/00000007/TestDocument.class</t>
  </si>
  <si>
    <t>2024-01-10 15:11:14</t>
  </si>
  <si>
    <t>10,12,17,18,34,35,36,47,48,49,50,51,52,53,123,124,129,159</t>
  </si>
  <si>
    <t>21,22,55,56,66,67,68,69,70,71,72,73,74,85,86,87,88,89,90,91,92,93,94,95,96,107,108,109,110,111,112,114,115,116,125,126,128,139,140,141,142,143,144,145,146,147,155,156,168,169,170,171,172,173,174,175,176,177,179,180,188,189,190,191,193,194,201,202,203,204,205,206,207,208,209,210,211,212,218,219,220</t>
  </si>
  <si>
    <t xml:space="preserve">add, removeField, getField
</t>
  </si>
  <si>
    <t>tests/mp/125/163/original/00000006/TestDocument.java</t>
  </si>
  <si>
    <t>2024-01-10 15:11:15</t>
  </si>
  <si>
    <t>tests/mp/120/137/original/00000005/TestDocument.java</t>
  </si>
  <si>
    <t>tests/mp/120/137/original/00000005/TestDocument.class</t>
  </si>
  <si>
    <t>2024-01-10 15:11:18</t>
  </si>
  <si>
    <t>tests/mp/125/153/original/00000001/TestDocument.java</t>
  </si>
  <si>
    <t>2024-01-10 15:11:19</t>
  </si>
  <si>
    <t>tests/mp/118/136/original/00000002/TestDocument.java</t>
  </si>
  <si>
    <t>tests/mp/118/136/original/00000002/TestDocument.class</t>
  </si>
  <si>
    <t>2024-01-10 15:11:21</t>
  </si>
  <si>
    <t>tests/mp/124/166/original/00000003/TestDocument.java</t>
  </si>
  <si>
    <t>tests/mp/124/166/original/00000003/TestDocument.class</t>
  </si>
  <si>
    <t>2024-01-10 15:11:22</t>
  </si>
  <si>
    <t>10,12,17,18,34,35,36,139,140,141,142,143,144,145,146,147,159</t>
  </si>
  <si>
    <t>21,22,47,48,49,50,51,52,53,55,56,66,67,68,69,70,71,72,73,74,85,86,87,88,89,90,91,92,93,94,95,96,107,108,109,110,111,112,114,115,116,123,124,125,126,128,129,155,156,168,169,170,171,172,173,174,175,176,177,179,180,188,189,190,191,193,194,201,202,203,204,205,206,207,208,209,210,211,212,218,219,220</t>
  </si>
  <si>
    <t xml:space="preserve">add, getFields_1
</t>
  </si>
  <si>
    <t>tests/mp/125/163/original/00000007/TestDocument.java</t>
  </si>
  <si>
    <t>tests/mp/125/163/original/00000007/TestDocument.class</t>
  </si>
  <si>
    <t>2024-01-10 15:11:36</t>
  </si>
  <si>
    <t>tests/mp/125/154/original/00000001/TestDocument.java</t>
  </si>
  <si>
    <t>tests/mp/125/154/original/00000001/TestDocument.class</t>
  </si>
  <si>
    <t>2024-01-10 15:11:39</t>
  </si>
  <si>
    <t>10,12,17,18,21,22,34,35,36,159</t>
  </si>
  <si>
    <t>47,48,49,50,51,52,53,55,56,66,67,68,69,70,71,72,73,74,85,86,87,88,89,90,91,92,93,94,95,96,107,108,109,110,111,112,114,115,116,123,124,125,126,128,129,139,140,141,142,143,144,145,146,147,155,156,168,169,170,171,172,173,174,175,176,177,179,180,188,189,190,191,193,194,201,202,203,204,205,206,207,208,209,210,211,212,218,219,220</t>
  </si>
  <si>
    <t xml:space="preserve">iterator, add
</t>
  </si>
  <si>
    <t>tests/mp/118/140/original/00000005/TestDocument.java</t>
  </si>
  <si>
    <t>tests/mp/124/142/original/00000005/TestDocument.java</t>
  </si>
  <si>
    <t>2024-01-10 15:11:40</t>
  </si>
  <si>
    <t>tests/mp/118/136/original/00000003/TestDocument.java</t>
  </si>
  <si>
    <t>tests/mp/118/136/original/00000003/TestDocument.class</t>
  </si>
  <si>
    <t>2024-01-10 15:11:41</t>
  </si>
  <si>
    <t>tests/mp/125/153/original/00000002/TestDocument.java</t>
  </si>
  <si>
    <t>2024-01-10 15:11:48</t>
  </si>
  <si>
    <t>tests/mp/120/129/original/00000006/TestDocument.java</t>
  </si>
  <si>
    <t>2024-01-10 15:11:51</t>
  </si>
  <si>
    <t>tests/mp/118/114/original/00000004/TestDocument.java</t>
  </si>
  <si>
    <t>tests/mp/118/114/original/00000004/TestDocument.class</t>
  </si>
  <si>
    <t>2024-01-10 15:11:53</t>
  </si>
  <si>
    <t>tests/mp/118/140/original/00000006/TestDocument.java</t>
  </si>
  <si>
    <t>tests/mp/118/140/original/00000006/TestDocument.class</t>
  </si>
  <si>
    <t>2024-01-10 15:11:57</t>
  </si>
  <si>
    <t>tests/mp/124/166/original/00000004/TestDocument.java</t>
  </si>
  <si>
    <t>tests/mp/124/166/original/00000004/TestDocument.class</t>
  </si>
  <si>
    <t>10,12,17,18,34,35,36,47,48,49,50,51,52,53,139,140,141,146,147,159</t>
  </si>
  <si>
    <t>21,22,55,56,66,67,68,69,70,71,72,73,74,85,86,87,88,89,90,91,92,93,94,95,96,107,108,109,110,111,112,114,115,116,123,124,125,126,128,129,142,143,144,145,155,156,168,169,170,171,172,173,174,175,176,177,179,180,188,189,190,191,193,194,201,202,203,204,205,206,207,208,209,210,211,212,218,219,220</t>
  </si>
  <si>
    <t xml:space="preserve">add, removeField, getFields_1
</t>
  </si>
  <si>
    <t>tests/mp/123/146/original/00000007/TestDocument.java</t>
  </si>
  <si>
    <t>2024-01-10 15:11:58</t>
  </si>
  <si>
    <t>tests/mp/121/115/original/00000005/TestDocument.java</t>
  </si>
  <si>
    <t>tests/mp/121/115/original/00000005/TestDocument.class</t>
  </si>
  <si>
    <t>2024-01-10 15:12:01</t>
  </si>
  <si>
    <t>10,12,17,18,34,35,36,159,168,169,170,175,176,177,218,219,220</t>
  </si>
  <si>
    <t>21,22,47,48,49,50,51,52,53,55,56,66,67,68,69,70,71,72,73,74,85,86,87,88,89,90,91,92,93,94,95,96,107,108,109,110,111,112,114,115,116,123,124,125,126,128,129,139,140,141,142,143,144,145,146,147,155,156,171,172,173,174,179,180,188,189,190,191,193,194,201,202,203,204,205,206,207,208,209,210,211,212</t>
  </si>
  <si>
    <t xml:space="preserve">add, getValues, clear
</t>
  </si>
  <si>
    <t>tests/mp/119/130/original/00000009/TestDocument.java</t>
  </si>
  <si>
    <t>tests/mp/119/130/original/00000009/TestDocument.class</t>
  </si>
  <si>
    <t>tests/mp/125/163/original/00000008/TestDocument.java</t>
  </si>
  <si>
    <t>2024-01-10 15:12:08</t>
  </si>
  <si>
    <t>tests/mp/123/143/original/00000001/TestDocument.java</t>
  </si>
  <si>
    <t>tests/mp/123/143/original/00000001/TestDocument.class</t>
  </si>
  <si>
    <t>2024-01-10 15:12:10</t>
  </si>
  <si>
    <t>tests/mp/118/114/original/00000005/TestDocument.java</t>
  </si>
  <si>
    <t>tests/mp/118/114/original/00000005/TestDocument.class</t>
  </si>
  <si>
    <t>tests/mp/121/112/original/00000001/TestDocument.java</t>
  </si>
  <si>
    <t>tests/mp/121/112/original/00000001/TestDocument.class</t>
  </si>
  <si>
    <t>2024-01-10 15:12:11</t>
  </si>
  <si>
    <t>tests/mp/120/129/original/00000007/TestDocument.java</t>
  </si>
  <si>
    <t>2024-01-10 15:12:14</t>
  </si>
  <si>
    <t>tests/mp/119/130/original/00000010/TestDocument.java</t>
  </si>
  <si>
    <t>tests/mp/119/130/original/00000010/TestDocument.class</t>
  </si>
  <si>
    <t>2024-01-10 15:12:19</t>
  </si>
  <si>
    <t>tests/mp/120/129/original/00000008/TestDocument.java</t>
  </si>
  <si>
    <t>tests/mp/120/129/original/00000008/TestDocument.class</t>
  </si>
  <si>
    <t>tests/mp/118/140/original/00000007/TestDocument.java</t>
  </si>
  <si>
    <t>tests/mp/118/140/original/00000007/TestDocument.class</t>
  </si>
  <si>
    <t>2024-01-10 15:12:26</t>
  </si>
  <si>
    <t>tests/mp/118/114/original/00000006/TestDocument.java</t>
  </si>
  <si>
    <t>tests/mp/118/114/original/00000006/TestDocument.class</t>
  </si>
  <si>
    <t>2024-01-10 15:12:31</t>
  </si>
  <si>
    <t>tests/mp/125/154/original/00000002/TestDocument.java</t>
  </si>
  <si>
    <t>tests/mp/125/154/original/00000002/TestDocument.class</t>
  </si>
  <si>
    <t>10,12,17,18,21,22,34,35,36,66,67,68,69,70,73,74,159</t>
  </si>
  <si>
    <t>47,48,49,50,51,52,53,55,56,71,72,85,86,87,88,89,90,91,92,93,94,95,96,107,108,109,110,111,112,114,115,116,123,124,125,126,128,129,139,140,141,142,143,144,145,146,147,155,156,168,169,170,171,172,173,174,175,176,177,179,180,188,189,190,191,193,194,201,202,203,204,205,206,207,208,209,210,211,212,218,219,220</t>
  </si>
  <si>
    <t xml:space="preserve">iterator, add, removeFields
</t>
  </si>
  <si>
    <t>tests/mp/124/142/original/00000006/TestDocument.java</t>
  </si>
  <si>
    <t>tests/mp/124/142/original/00000006/TestDocument.class</t>
  </si>
  <si>
    <t>2024-01-10 15:12:36</t>
  </si>
  <si>
    <t>tests/mp/119/128/original/00000001/TestDocument.java</t>
  </si>
  <si>
    <t>2024-01-10 15:12:58</t>
  </si>
  <si>
    <t>tests/mp/120/109/original/00000003/TestDocument.java</t>
  </si>
  <si>
    <t>tests/mp/120/109/original/00000003/TestDocument.class</t>
  </si>
  <si>
    <t>2024-01-10 15:12:59</t>
  </si>
  <si>
    <t>tests/mp/119/127/original/00000001/TestDocument.java</t>
  </si>
  <si>
    <t>tests/mp/125/153/original/00000003/TestDocument.java</t>
  </si>
  <si>
    <t>2024-01-10 15:13:03</t>
  </si>
  <si>
    <t>tests/mp/124/142/original/00000007/TestDocument.java</t>
  </si>
  <si>
    <t>tests/mp/124/142/original/00000007/TestDocument.class</t>
  </si>
  <si>
    <t>tests/mp/123/157/original/00000015/TestDocument.java</t>
  </si>
  <si>
    <t>tests/mp/120/129/original/00000009/TestDocument.java</t>
  </si>
  <si>
    <t>tests/mp/120/129/original/00000009/TestDocument.class</t>
  </si>
  <si>
    <t>2024-01-10 15:13:05</t>
  </si>
  <si>
    <t>10,12,17,18,34,35,36,47,48,49,50,51,52,53,139,140,141,142,143,144,145,146,147,159</t>
  </si>
  <si>
    <t>21,22,55,56,66,67,68,69,70,71,72,73,74,85,86,87,88,89,90,91,92,93,94,95,96,107,108,109,110,111,112,114,115,116,123,124,125,126,128,129,155,156,168,169,170,171,172,173,174,175,176,177,179,180,188,189,190,191,193,194,201,202,203,204,205,206,207,208,209,210,211,212,218,219,220</t>
  </si>
  <si>
    <t>tests/mp/118/114/original/00000007/TestDocument.java</t>
  </si>
  <si>
    <t>tests/mp/118/114/original/00000007/TestDocument.class</t>
  </si>
  <si>
    <t>2024-01-10 15:13:07</t>
  </si>
  <si>
    <t>10,12,17,18,34,35,36,159</t>
  </si>
  <si>
    <t>21,22,47,48,49,50,51,52,53,55,56,66,67,68,69,70,71,72,73,74,85,86,87,88,89,90,91,92,93,94,95,96,107,108,109,110,111,112,114,115,116,123,124,125,126,128,129,139,140,141,142,143,144,145,146,147,155,156,168,169,170,171,172,173,174,175,176,177,179,180,188,189,190,191,193,194,201,202,203,204,205,206,207,208,209,210,211,212,218,219,220</t>
  </si>
  <si>
    <t xml:space="preserve">add
</t>
  </si>
  <si>
    <t>tests/mp/126/141/original/00000003/TestDocument.java</t>
  </si>
  <si>
    <t>tests/mp/119/127/original/00000002/TestDocument.java</t>
  </si>
  <si>
    <t>tests/mp/119/127/original/00000002/TestDocument.class</t>
  </si>
  <si>
    <t>2024-01-10 15:13:15</t>
  </si>
  <si>
    <t>tests/mp/125/163/original/00000009/TestDocument.java</t>
  </si>
  <si>
    <t>2024-01-10 15:13:16</t>
  </si>
  <si>
    <t>tests/mp/125/153/original/00000004/TestDocument.java</t>
  </si>
  <si>
    <t>2024-01-10 15:13:21</t>
  </si>
  <si>
    <t>tests/mp/120/137/original/00000006/TestDocument.java</t>
  </si>
  <si>
    <t>tests/mp/120/137/original/00000006/TestDocument.class</t>
  </si>
  <si>
    <t>tests/mp/119/130/original/00000011/TestDocument.java</t>
  </si>
  <si>
    <t>tests/mp/119/130/original/00000011/TestDocument.class</t>
  </si>
  <si>
    <t>2024-01-10 15:13:23</t>
  </si>
  <si>
    <t>tests/mp/119/127/original/00000003/TestDocument.java</t>
  </si>
  <si>
    <t>tests/mp/119/127/original/00000003/TestDocument.class</t>
  </si>
  <si>
    <t>2024-01-10 15:13:28</t>
  </si>
  <si>
    <t>tests/mp/125/163/original/00000010/TestDocument.java</t>
  </si>
  <si>
    <t>tests/mp/125/163/original/00000010/TestDocument.class</t>
  </si>
  <si>
    <t>2024-01-10 15:13:29</t>
  </si>
  <si>
    <t>tests/mp/126/167/original/00000001/TestDocument.java</t>
  </si>
  <si>
    <t>2024-01-10 15:13:31</t>
  </si>
  <si>
    <t>tests/mp/123/157/original/00000016/TestDocument.java</t>
  </si>
  <si>
    <t>2024-01-10 15:13:34</t>
  </si>
  <si>
    <t>tests/mp/118/140/original/00000008/TestDocument.java</t>
  </si>
  <si>
    <t>tests/mp/118/140/original/00000008/TestDocument.class</t>
  </si>
  <si>
    <t>2024-01-10 15:13:35</t>
  </si>
  <si>
    <t>tests/mp/126/141/original/00000004/TestDocument.java</t>
  </si>
  <si>
    <t>2024-01-10 15:13:36</t>
  </si>
  <si>
    <t>tests/mp/120/129/original/00000010/TestDocument.java</t>
  </si>
  <si>
    <t>tests/mp/120/129/original/00000010/TestDocument.class</t>
  </si>
  <si>
    <t>2024-01-10 15:13:41</t>
  </si>
  <si>
    <t>tests/mp/125/163/original/00000011/TestDocument.java</t>
  </si>
  <si>
    <t>tests/mp/125/163/original/00000011/TestDocument.class</t>
  </si>
  <si>
    <t>2024-01-10 15:13:44</t>
  </si>
  <si>
    <t>tests/mp/119/119/original/00000008/TestDocument.java</t>
  </si>
  <si>
    <t>tests/mp/119/119/original/00000008/TestDocument.class</t>
  </si>
  <si>
    <t>tests/mp/120/137/original/00000007/TestDocument.java</t>
  </si>
  <si>
    <t>tests/mp/120/137/original/00000007/TestDocument.class</t>
  </si>
  <si>
    <t>2024-01-10 15:13:49</t>
  </si>
  <si>
    <t>tests/mp/123/148/original/00000002/TestDocument.java</t>
  </si>
  <si>
    <t>2024-01-10 15:13:51</t>
  </si>
  <si>
    <t>tests/mp/119/130/original/00000012/TestDocument.java</t>
  </si>
  <si>
    <t>tests/mp/119/130/original/00000012/TestDocument.class</t>
  </si>
  <si>
    <t>2024-01-10 15:13:58</t>
  </si>
  <si>
    <t>tests/mp/121/123/original/00000004/TestDocument.java</t>
  </si>
  <si>
    <t>tests/mp/121/123/original/00000004/TestDocument.class</t>
  </si>
  <si>
    <t>2024-01-10 15:13:59</t>
  </si>
  <si>
    <t>tests/mp/126/141/original/00000005/TestDocument.java</t>
  </si>
  <si>
    <t>2024-01-10 15:14:00</t>
  </si>
  <si>
    <t>tests/mp/124/166/original/00000005/TestDocument.java</t>
  </si>
  <si>
    <t>2024-01-10 15:14:01</t>
  </si>
  <si>
    <t>tests/mp/120/137/original/00000008/TestDocument.java</t>
  </si>
  <si>
    <t>tests/mp/120/137/original/00000008/TestDocument.class</t>
  </si>
  <si>
    <t>2024-01-10 15:14:06</t>
  </si>
  <si>
    <t>tests/mp/125/163/original/00000012/TestDocument.java</t>
  </si>
  <si>
    <t>tests/mp/125/163/original/00000012/TestDocument.class</t>
  </si>
  <si>
    <t>2024-01-10 15:14:13</t>
  </si>
  <si>
    <t>tests/mp/126/141/original/00000006/TestDocument.java</t>
  </si>
  <si>
    <t>2024-01-10 15:14:16</t>
  </si>
  <si>
    <t>tests/mp/125/154/original/00000003/TestDocument.java</t>
  </si>
  <si>
    <t>tests/mp/125/154/original/00000003/TestDocument.class</t>
  </si>
  <si>
    <t>2024-01-10 15:14:18</t>
  </si>
  <si>
    <t>tests/mp/122/151/original/00000008/TestDocument.java</t>
  </si>
  <si>
    <t>tests/mp/122/151/original/00000008/TestDocument.class</t>
  </si>
  <si>
    <t>tests/mp/119/130/original/00000013/TestDocument.java</t>
  </si>
  <si>
    <t>tests/mp/119/130/original/00000013/TestDocument.class</t>
  </si>
  <si>
    <t>tests/mp/120/129/original/00000011/TestDocument.java</t>
  </si>
  <si>
    <t>tests/mp/120/129/original/00000011/TestDocument.class</t>
  </si>
  <si>
    <t>2024-01-10 15:14:20</t>
  </si>
  <si>
    <t>10,12,17,18,34,35,36,66,67,68,69,70,71,72,73,74,139,140,141,146,147,159</t>
  </si>
  <si>
    <t>21,22,47,48,49,50,51,52,53,55,56,85,86,87,88,89,90,91,92,93,94,95,96,107,108,109,110,111,112,114,115,116,123,124,125,126,128,129,142,143,144,145,155,156,168,169,170,171,172,173,174,175,176,177,179,180,188,189,190,191,193,194,201,202,203,204,205,206,207,208,209,210,211,212,218,219,220</t>
  </si>
  <si>
    <t xml:space="preserve">add, removeFields, getFields_1
</t>
  </si>
  <si>
    <t>tests/mp/124/142/original/00000008/TestDocument.java</t>
  </si>
  <si>
    <t>tests/mp/124/142/original/00000008/TestDocument.class</t>
  </si>
  <si>
    <t>2024-01-10 15:14:22</t>
  </si>
  <si>
    <t>10,12,17,18,34,35,36,159,201,202,203,204,211,212,218,219,220</t>
  </si>
  <si>
    <t>21,22,47,48,49,50,51,52,53,55,56,66,67,68,69,70,71,72,73,74,85,86,87,88,89,90,91,92,93,94,95,96,107,108,109,110,111,112,114,115,116,123,124,125,126,128,129,139,140,141,142,143,144,145,146,147,155,156,168,169,170,171,172,173,174,175,176,177,179,180,188,189,190,191,193,194,205,206,207,208,209,210</t>
  </si>
  <si>
    <t xml:space="preserve">add, toString, clear
</t>
  </si>
  <si>
    <t>tests/mp/118/140/original/00000009/TestDocument.java</t>
  </si>
  <si>
    <t>tests/mp/118/140/original/00000009/TestDocument.class</t>
  </si>
  <si>
    <t>2024-01-10 15:14:25</t>
  </si>
  <si>
    <t>tests/mp/118/136/original/00000004/TestDocument.java</t>
  </si>
  <si>
    <t>tests/mp/118/136/original/00000004/TestDocument.class</t>
  </si>
  <si>
    <t>2024-01-10 15:14:26</t>
  </si>
  <si>
    <t>tests/mp/126/147/original/00000002/TestDocument.java</t>
  </si>
  <si>
    <t>2024-01-10 15:14:27</t>
  </si>
  <si>
    <t>tests/mp/125/154/original/00000004/TestDocument.java</t>
  </si>
  <si>
    <t>tests/mp/125/154/original/00000004/TestDocument.class</t>
  </si>
  <si>
    <t>2024-01-10 15:14:33</t>
  </si>
  <si>
    <t>10,12,17,18,34,35,36,66,67,68,69,70,71,72,73,74,123,124,129,159</t>
  </si>
  <si>
    <t>21,22,47,48,49,50,51,52,53,55,56,85,86,87,88,89,90,91,92,93,94,95,96,107,108,109,110,111,112,114,115,116,125,126,128,139,140,141,142,143,144,145,146,147,155,156,168,169,170,171,172,173,174,175,176,177,179,180,188,189,190,191,193,194,201,202,203,204,205,206,207,208,209,210,211,212,218,219,220</t>
  </si>
  <si>
    <t xml:space="preserve">add, removeFields, getField
</t>
  </si>
  <si>
    <t>tests/mp/126/141/original/00000007/TestDocument.java</t>
  </si>
  <si>
    <t>tests/mp/126/141/original/00000007/TestDocument.class</t>
  </si>
  <si>
    <t>2024-01-10 15:14:37</t>
  </si>
  <si>
    <t>10,12,17,18,34,35,36,123,124,159</t>
  </si>
  <si>
    <t>21,22,47,48,49,50,51,52,53,55,56,66,67,68,69,70,71,72,73,74,85,86,87,88,89,90,91,92,93,94,95,96,107,108,109,110,111,112,114,115,116,125,126,128,129,139,140,141,142,143,144,145,146,147,155,156,168,169,170,171,172,173,174,175,176,177,179,180,188,189,190,191,193,194,201,202,203,204,205,206,207,208,209,210,211,212,218,219,220</t>
  </si>
  <si>
    <t>tests/mp/125/153/original/00000005/TestDocument.java</t>
  </si>
  <si>
    <t>tests/mp/125/153/original/00000005/TestDocument.class</t>
  </si>
  <si>
    <t>2024-01-10 15:14:43</t>
  </si>
  <si>
    <t>tests/mp/126/147/original/00000003/TestDocument.java</t>
  </si>
  <si>
    <t>2024-01-10 15:14:54</t>
  </si>
  <si>
    <t>tests/mp/126/167/original/00000002/TestDocument.java</t>
  </si>
  <si>
    <t>tests/mp/119/133/original/00000003/TestDocument.java</t>
  </si>
  <si>
    <t>tests/mp/119/133/original/00000003/TestDocument.class</t>
  </si>
  <si>
    <t>2024-01-10 15:14:57</t>
  </si>
  <si>
    <t>tests/mp/120/109/original/00000004/TestDocument.java</t>
  </si>
  <si>
    <t>tests/mp/120/109/original/00000004/TestDocument.class</t>
  </si>
  <si>
    <t>2024-01-10 15:15:02</t>
  </si>
  <si>
    <t>tests/mp/118/140/original/00000010/TestDocument.java</t>
  </si>
  <si>
    <t>tests/mp/118/140/original/00000010/TestDocument.class</t>
  </si>
  <si>
    <t>2024-01-10 15:15:03</t>
  </si>
  <si>
    <t>tests/mp/126/147/original/00000004/TestDocument.java</t>
  </si>
  <si>
    <t>tests/mp/126/147/original/00000004/TestDocument.class</t>
  </si>
  <si>
    <t>2024-01-10 15:15:04</t>
  </si>
  <si>
    <t>tests/mp/126/141/original/00000008/TestDocument.java</t>
  </si>
  <si>
    <t>2024-01-10 15:15:05</t>
  </si>
  <si>
    <t>tests/mp/121/112/original/00000002/TestDocument.java</t>
  </si>
  <si>
    <t>tests/mp/121/112/original/00000002/TestDocument.class</t>
  </si>
  <si>
    <t>2024-01-10 15:15:07</t>
  </si>
  <si>
    <t>10,12,17,18,34,35,36,66,67,68,69,70,71,72,73,74,123,124,125,128,129,159</t>
  </si>
  <si>
    <t>21,22,47,48,49,50,51,52,53,55,56,85,86,87,88,89,90,91,92,93,94,95,96,107,108,109,110,111,112,114,115,116,126,139,140,141,142,143,144,145,146,147,155,156,168,169,170,171,172,173,174,175,176,177,179,180,188,189,190,191,193,194,201,202,203,204,205,206,207,208,209,210,211,212,218,219,220</t>
  </si>
  <si>
    <t>tests/mp/122/168/original/00000002/TestDocument.java</t>
  </si>
  <si>
    <t>2024-01-10 15:15:10</t>
  </si>
  <si>
    <t>tests/mp/125/154/original/00000005/TestDocument.java</t>
  </si>
  <si>
    <t>tests/mp/125/154/original/00000005/TestDocument.class</t>
  </si>
  <si>
    <t>2024-01-10 15:15:11</t>
  </si>
  <si>
    <t>tests/mp/123/148/original/00000003/TestDocument.java</t>
  </si>
  <si>
    <t>2024-01-10 15:15:14</t>
  </si>
  <si>
    <t>tests/mp/126/167/original/00000003/TestDocument.java</t>
  </si>
  <si>
    <t>2024-01-10 15:15:15</t>
  </si>
  <si>
    <t>tests/mp/123/146/original/00000008/TestDocument.java</t>
  </si>
  <si>
    <t>2024-01-10 15:15:16</t>
  </si>
  <si>
    <t>tests/mp/118/136/original/00000005/TestDocument.java</t>
  </si>
  <si>
    <t>tests/mp/118/136/original/00000005/TestDocument.class</t>
  </si>
  <si>
    <t>2024-01-10 15:15:18</t>
  </si>
  <si>
    <t>tests/mp/126/141/original/00000009/TestDocument.java</t>
  </si>
  <si>
    <t>tests/mp/126/141/original/00000009/TestDocument.class</t>
  </si>
  <si>
    <t>2024-01-10 15:15:21</t>
  </si>
  <si>
    <t>tests/mp/121/115/original/00000006/TestDocument.java</t>
  </si>
  <si>
    <t>tests/mp/121/115/original/00000006/TestDocument.class</t>
  </si>
  <si>
    <t>2024-01-10 15:15:22</t>
  </si>
  <si>
    <t>tests/mp/121/123/original/00000005/TestDocument.java</t>
  </si>
  <si>
    <t>tests/mp/121/123/original/00000005/TestDocument.class</t>
  </si>
  <si>
    <t>10,12,17,18,155,156,159</t>
  </si>
  <si>
    <t>21,22,34,35,36,47,48,49,50,51,52,53,55,56,66,67,68,69,70,71,72,73,74,85,86,87,88,89,90,91,92,93,94,95,96,107,108,109,110,111,112,114,115,116,123,124,125,126,128,129,139,140,141,142,143,144,145,146,147,168,169,170,171,172,173,174,175,176,177,179,180,188,189,190,191,193,194,201,202,203,204,205,206,207,208,209,210,211,212,218,219,220</t>
  </si>
  <si>
    <t xml:space="preserve">getFields_2
</t>
  </si>
  <si>
    <t>tests/mp/125/153/original/00000006/TestDocument.java</t>
  </si>
  <si>
    <t>2024-01-10 15:15:24</t>
  </si>
  <si>
    <t>tests/mp/123/146/original/00000009/TestDocument.java</t>
  </si>
  <si>
    <t>2024-01-10 15:15:26</t>
  </si>
  <si>
    <t>tests/mp/119/127/original/00000004/TestDocument.java</t>
  </si>
  <si>
    <t>tests/mp/119/128/original/00000002/TestDocument.java</t>
  </si>
  <si>
    <t>tests/mp/119/128/original/00000002/TestDocument.class</t>
  </si>
  <si>
    <t>2024-01-10 15:15:30</t>
  </si>
  <si>
    <t>tests/mp/125/163/original/00000013/TestDocument.java</t>
  </si>
  <si>
    <t>tests/mp/125/163/original/00000013/TestDocument.class</t>
  </si>
  <si>
    <t>2024-01-10 15:15:32</t>
  </si>
  <si>
    <t>tests/mp/119/130/original/00000014/TestDocument.java</t>
  </si>
  <si>
    <t>tests/mp/119/130/original/00000014/TestDocument.class</t>
  </si>
  <si>
    <t>2024-01-10 15:15:33</t>
  </si>
  <si>
    <t>tests/mp/125/153/original/00000007/TestDocument.java</t>
  </si>
  <si>
    <t>tests/mp/125/153/original/00000007/TestDocument.class</t>
  </si>
  <si>
    <t>2024-01-10 15:15:34</t>
  </si>
  <si>
    <t>10,12,17,18,21,22,34,35,36,159,218,219,220</t>
  </si>
  <si>
    <t>47,48,49,50,51,52,53,55,56,66,67,68,69,70,71,72,73,74,85,86,87,88,89,90,91,92,93,94,95,96,107,108,109,110,111,112,114,115,116,123,124,125,126,128,129,139,140,141,142,143,144,145,146,147,155,156,168,169,170,171,172,173,174,175,176,177,179,180,188,189,190,191,193,194,201,202,203,204,205,206,207,208,209,210,211,212</t>
  </si>
  <si>
    <t xml:space="preserve">iterator, add, clear
</t>
  </si>
  <si>
    <t>tests/mp/119/127/original/00000005/TestDocument.java</t>
  </si>
  <si>
    <t>2024-01-10 15:15:35</t>
  </si>
  <si>
    <t>tests/mp/124/166/original/00000006/TestDocument.java</t>
  </si>
  <si>
    <t>2024-01-10 15:15:44</t>
  </si>
  <si>
    <t>tests/mp/122/164/original/00000002/TestDocument.java</t>
  </si>
  <si>
    <t>2024-01-10 15:15:45</t>
  </si>
  <si>
    <t>tests/mp/125/154/original/00000006/TestDocument.java</t>
  </si>
  <si>
    <t>tests/mp/125/154/original/00000006/TestDocument.class</t>
  </si>
  <si>
    <t>2024-01-10 15:15:50</t>
  </si>
  <si>
    <t>tests/mp/119/127/original/00000006/TestDocument.java</t>
  </si>
  <si>
    <t>2024-01-10 15:15:53</t>
  </si>
  <si>
    <t>tests/mp/124/166/original/00000007/TestDocument.java</t>
  </si>
  <si>
    <t>tests/mp/124/166/original/00000007/TestDocument.class</t>
  </si>
  <si>
    <t>10,12,17,18,34,35,36,47,48,49,50,51,55,159</t>
  </si>
  <si>
    <t>21,22,52,53,56,66,67,68,69,70,71,72,73,74,85,86,87,88,89,90,91,92,93,94,95,96,107,108,109,110,111,112,114,115,116,123,124,125,126,128,129,139,140,141,142,143,144,145,146,147,155,156,168,169,170,171,172,173,174,175,176,177,179,180,188,189,190,191,193,194,201,202,203,204,205,206,207,208,209,210,211,212,218,219,220</t>
  </si>
  <si>
    <t>tests/mp/123/148/original/00000004/TestDocument.java</t>
  </si>
  <si>
    <t>2024-01-10 15:16:00</t>
  </si>
  <si>
    <t>tests/mp/125/154/original/00000007/TestDocument.java</t>
  </si>
  <si>
    <t>2024-01-10 15:16:01</t>
  </si>
  <si>
    <t>tests/mp/124/144/original/00000002/TestDocument.java</t>
  </si>
  <si>
    <t>2024-01-10 15:16:02</t>
  </si>
  <si>
    <t>tests/mp/119/130/original/00000015/TestDocument.java</t>
  </si>
  <si>
    <t>tests/mp/119/130/original/00000015/TestDocument.class</t>
  </si>
  <si>
    <t>2024-01-10 15:16:03</t>
  </si>
  <si>
    <t>10,12,17,18,34,35,36,159,168,169,170,171,174,175,176,177</t>
  </si>
  <si>
    <t>21,22,47,48,49,50,51,52,53,55,56,66,67,68,69,70,71,72,73,74,85,86,87,88,89,90,91,92,93,94,95,96,107,108,109,110,111,112,114,115,116,123,124,125,126,128,129,139,140,141,142,143,144,145,146,147,155,156,172,173,179,180,188,189,190,191,193,194,201,202,203,204,205,206,207,208,209,210,211,212,218,219,220</t>
  </si>
  <si>
    <t>tests/mp/120/120/original/00000001/TestDocument.java</t>
  </si>
  <si>
    <t>2024-01-10 15:16:04</t>
  </si>
  <si>
    <t>tests/mp/126/167/original/00000004/TestDocument.java</t>
  </si>
  <si>
    <t>2024-01-10 15:16:08</t>
  </si>
  <si>
    <t>tests/mp/119/128/original/00000003/TestDocument.java</t>
  </si>
  <si>
    <t>tests/mp/119/128/original/00000003/TestDocument.class</t>
  </si>
  <si>
    <t>2024-01-10 15:16:11</t>
  </si>
  <si>
    <t>tests/mp/125/154/original/00000008/TestDocument.java</t>
  </si>
  <si>
    <t>tests/mp/125/154/original/00000008/TestDocument.class</t>
  </si>
  <si>
    <t>2024-01-10 15:16:15</t>
  </si>
  <si>
    <t>tests/mp/120/129/original/00000012/TestDocument.java</t>
  </si>
  <si>
    <t>tests/mp/120/129/original/00000012/TestDocument.class</t>
  </si>
  <si>
    <t>2024-01-10 15:16:19</t>
  </si>
  <si>
    <t>tests/mp/126/167/original/00000005/TestDocument.java</t>
  </si>
  <si>
    <t>2024-01-10 15:16:21</t>
  </si>
  <si>
    <t>tests/mp/123/148/original/00000005/TestDocument.java</t>
  </si>
  <si>
    <t>2024-01-10 15:16:22</t>
  </si>
  <si>
    <t>tests/mp/119/127/original/00000007/TestDocument.java</t>
  </si>
  <si>
    <t>2024-01-10 15:16:23</t>
  </si>
  <si>
    <t>tests/mp/120/120/original/00000002/TestDocument.java</t>
  </si>
  <si>
    <t>2024-01-10 15:16:24</t>
  </si>
  <si>
    <t>tests/mp/124/166/original/00000008/TestDocument.java</t>
  </si>
  <si>
    <t>tests/mp/118/140/original/00000011/TestDocument.java</t>
  </si>
  <si>
    <t>tests/mp/118/140/original/00000011/TestDocument.class</t>
  </si>
  <si>
    <t>tests/mp/126/147/original/00000005/TestDocument.java</t>
  </si>
  <si>
    <t>tests/mp/126/147/original/00000005/TestDocument.class</t>
  </si>
  <si>
    <t>2024-01-10 15:16:29</t>
  </si>
  <si>
    <t>tests/mp/119/127/original/00000008/TestDocument.java</t>
  </si>
  <si>
    <t>tests/mp/119/127/original/00000008/TestDocument.class</t>
  </si>
  <si>
    <t>2024-01-10 15:16:32</t>
  </si>
  <si>
    <t>tests/mp/125/154/original/00000009/TestDocument.java</t>
  </si>
  <si>
    <t>tests/mp/125/154/original/00000009/TestDocument.class</t>
  </si>
  <si>
    <t>2024-01-10 15:16:35</t>
  </si>
  <si>
    <t>tests/mp/125/160/original/00000002/TestDocument.java</t>
  </si>
  <si>
    <t>2024-01-10 15:16:36</t>
  </si>
  <si>
    <t>tests/mp/119/128/original/00000004/TestDocument.java</t>
  </si>
  <si>
    <t>tests/mp/119/128/original/00000004/TestDocument.class</t>
  </si>
  <si>
    <t>2024-01-10 15:16:37</t>
  </si>
  <si>
    <t>tests/mp/122/168/original/00000003/TestDocument.java</t>
  </si>
  <si>
    <t>2024-01-10 15:16:41</t>
  </si>
  <si>
    <t>tests/mp/119/130/original/00000016/TestDocument.java</t>
  </si>
  <si>
    <t>tests/mp/119/130/original/00000016/TestDocument.class</t>
  </si>
  <si>
    <t>2024-01-10 15:16:46</t>
  </si>
  <si>
    <t>tests/mp/126/147/original/00000006/TestDocument.java</t>
  </si>
  <si>
    <t>tests/mp/126/147/original/00000006/TestDocument.class</t>
  </si>
  <si>
    <t>2024-01-10 15:16:48</t>
  </si>
  <si>
    <t>tests/mp/121/115/original/00000007/TestDocument.java</t>
  </si>
  <si>
    <t>tests/mp/121/115/original/00000007/TestDocument.class</t>
  </si>
  <si>
    <t>2024-01-10 15:16:51</t>
  </si>
  <si>
    <t>tests/mp/125/163/original/00000014/TestDocument.java</t>
  </si>
  <si>
    <t>tests/mp/125/163/original/00000014/TestDocument.class</t>
  </si>
  <si>
    <t>2024-01-10 15:16:53</t>
  </si>
  <si>
    <t>tests/mp/124/142/original/00000009/TestDocument.java</t>
  </si>
  <si>
    <t>2024-01-10 15:16:57</t>
  </si>
  <si>
    <t>tests/mp/120/109/original/00000005/TestDocument.java</t>
  </si>
  <si>
    <t>tests/mp/120/109/original/00000005/TestDocument.class</t>
  </si>
  <si>
    <t>2024-01-10 15:17:02</t>
  </si>
  <si>
    <t>tests/mp/120/120/original/00000003/TestDocument.java</t>
  </si>
  <si>
    <t>2024-01-10 15:17:05</t>
  </si>
  <si>
    <t>tests/mp/120/129/original/00000013/TestDocument.java</t>
  </si>
  <si>
    <t>tests/mp/120/129/original/00000013/TestDocument.class</t>
  </si>
  <si>
    <t>2024-01-10 15:17:10</t>
  </si>
  <si>
    <t>tests/mp/122/168/original/00000004/TestDocument.java</t>
  </si>
  <si>
    <t>tests/mp/122/168/original/00000004/TestDocument.class</t>
  </si>
  <si>
    <t>tests/mp/123/146/original/00000010/TestDocument.java</t>
  </si>
  <si>
    <t>tests/mp/125/154/original/00000010/TestDocument.java</t>
  </si>
  <si>
    <t>tests/mp/124/166/original/00000009/TestDocument.java</t>
  </si>
  <si>
    <t>tests/mp/124/166/original/00000009/TestDocument.class</t>
  </si>
  <si>
    <t>2024-01-10 15:17:27</t>
  </si>
  <si>
    <t>tests/mp/125/154/original/00000011/TestDocument.java</t>
  </si>
  <si>
    <t>tests/mp/125/154/original/00000011/TestDocument.class</t>
  </si>
  <si>
    <t>2024-01-10 15:17:30</t>
  </si>
  <si>
    <t>tests/mp/124/144/original/00000003/TestDocument.java</t>
  </si>
  <si>
    <t>tests/mp/124/144/original/00000003/TestDocument.class</t>
  </si>
  <si>
    <t>tests/mp/126/141/original/00000010/TestDocument.java</t>
  </si>
  <si>
    <t>tests/mp/126/141/original/00000010/TestDocument.class</t>
  </si>
  <si>
    <t>2024-01-10 15:17:33</t>
  </si>
  <si>
    <t>tests/mp/121/115/original/00000008/TestDocument.java</t>
  </si>
  <si>
    <t>tests/mp/121/115/original/00000008/TestDocument.class</t>
  </si>
  <si>
    <t>tests/mp/120/137/original/00000009/TestDocument.java</t>
  </si>
  <si>
    <t>2024-01-10 15:17:37</t>
  </si>
  <si>
    <t>tests/mp/120/120/original/00000004/TestDocument.java</t>
  </si>
  <si>
    <t>tests/mp/120/120/original/00000004/TestDocument.class</t>
  </si>
  <si>
    <t>tests/mp/124/142/original/00000010/TestDocument.java</t>
  </si>
  <si>
    <t>tests/mp/124/142/original/00000010/TestDocument.class</t>
  </si>
  <si>
    <t>2024-01-10 15:17:44</t>
  </si>
  <si>
    <t>tests/mp/125/154/original/00000012/TestDocument.java</t>
  </si>
  <si>
    <t>tests/mp/125/154/original/00000012/TestDocument.class</t>
  </si>
  <si>
    <t>2024-01-10 15:17:47</t>
  </si>
  <si>
    <t>tests/mp/120/137/original/00000010/TestDocument.java</t>
  </si>
  <si>
    <t>tests/mp/123/148/original/00000006/TestDocument.java</t>
  </si>
  <si>
    <t>2024-01-10 15:17:48</t>
  </si>
  <si>
    <t>tests/mp/119/119/original/00000009/TestDocument.java</t>
  </si>
  <si>
    <t>tests/mp/125/160/original/00000003/TestDocument.java</t>
  </si>
  <si>
    <t>2024-01-10 15:17:49</t>
  </si>
  <si>
    <t>tests/mp/123/143/original/00000002/TestDocument.java</t>
  </si>
  <si>
    <t>2024-01-10 15:17:53</t>
  </si>
  <si>
    <t>tests/mp/121/115/original/00000009/TestDocument.java</t>
  </si>
  <si>
    <t>tests/mp/121/115/original/00000009/TestDocument.class</t>
  </si>
  <si>
    <t>2024-01-10 15:18:05</t>
  </si>
  <si>
    <t>tests/mp/124/142/original/00000011/TestDocument.java</t>
  </si>
  <si>
    <t>tests/mp/124/142/original/00000011/TestDocument.class</t>
  </si>
  <si>
    <t>2024-01-10 15:18:08</t>
  </si>
  <si>
    <t>tests/mp/119/119/original/00000010/TestDocument.java</t>
  </si>
  <si>
    <t>tests/mp/119/119/original/00000010/TestDocument.class</t>
  </si>
  <si>
    <t>tests/mp/119/128/original/00000005/TestDocument.java</t>
  </si>
  <si>
    <t>tests/mp/119/128/original/00000005/TestDocument.class</t>
  </si>
  <si>
    <t>2024-01-10 15:18:10</t>
  </si>
  <si>
    <t>tests/mp/120/129/original/00000014/TestDocument.java</t>
  </si>
  <si>
    <t>tests/mp/120/129/original/00000014/TestDocument.class</t>
  </si>
  <si>
    <t>10,12,17,18,34,35,36,159,188,189,190,191,201,202,203,204,205,206,207,208,209,210,211,212</t>
  </si>
  <si>
    <t>21,22,47,48,49,50,51,52,53,55,56,66,67,68,69,70,71,72,73,74,85,86,87,88,89,90,91,92,93,94,95,96,107,108,109,110,111,112,114,115,116,123,124,125,126,128,129,139,140,141,142,143,144,145,146,147,155,156,168,169,170,171,172,173,174,175,176,177,179,180,193,194,218,219,220</t>
  </si>
  <si>
    <t xml:space="preserve">add, get, toString
</t>
  </si>
  <si>
    <t>tests/mp/124/166/original/00000010/TestDocument.java</t>
  </si>
  <si>
    <t>tests/mp/124/166/original/00000010/TestDocument.class</t>
  </si>
  <si>
    <t>2024-01-10 15:18:23</t>
  </si>
  <si>
    <t>tests/mp/118/136/original/00000006/TestDocument.java</t>
  </si>
  <si>
    <t>tests/mp/118/136/original/00000006/TestDocument.class</t>
  </si>
  <si>
    <t>2024-01-10 15:18:24</t>
  </si>
  <si>
    <t>tests/mp/125/160/original/00000004/TestDocument.java</t>
  </si>
  <si>
    <t>tests/mp/125/160/original/00000004/TestDocument.class</t>
  </si>
  <si>
    <t>2024-01-10 15:18:26</t>
  </si>
  <si>
    <t>tests/mp/119/128/original/00000006/TestDocument.java</t>
  </si>
  <si>
    <t>tests/mp/119/128/original/00000006/TestDocument.class</t>
  </si>
  <si>
    <t>2024-01-10 15:18:27</t>
  </si>
  <si>
    <t>tests/mp/123/143/original/00000003/TestDocument.java</t>
  </si>
  <si>
    <t>tests/mp/123/143/original/00000003/TestDocument.class</t>
  </si>
  <si>
    <t>2024-01-10 15:18:29</t>
  </si>
  <si>
    <t>tests/mp/126/141/original/00000011/TestDocument.java</t>
  </si>
  <si>
    <t>tests/mp/126/141/original/00000011/TestDocument.class</t>
  </si>
  <si>
    <t>2024-01-10 15:18:32</t>
  </si>
  <si>
    <t>10,12,17,18,34,35,36,155,156,159,218,219,220</t>
  </si>
  <si>
    <t>21,22,47,48,49,50,51,52,53,55,56,66,67,68,69,70,71,72,73,74,85,86,87,88,89,90,91,92,93,94,95,96,107,108,109,110,111,112,114,115,116,123,124,125,126,128,129,139,140,141,142,143,144,145,146,147,168,169,170,171,172,173,174,175,176,177,179,180,188,189,190,191,193,194,201,202,203,204,205,206,207,208,209,210,211,212</t>
  </si>
  <si>
    <t xml:space="preserve">add, getFields_2, clear
</t>
  </si>
  <si>
    <t>tests/mp/123/148/original/00000007/TestDocument.java</t>
  </si>
  <si>
    <t>2024-01-10 15:18:35</t>
  </si>
  <si>
    <t>tests/mp/125/154/original/00000013/TestDocument.java</t>
  </si>
  <si>
    <t>2024-01-10 15:18:39</t>
  </si>
  <si>
    <t>tests/mp/123/157/original/00000017/TestDocument.java</t>
  </si>
  <si>
    <t>2024-01-10 15:18:43</t>
  </si>
  <si>
    <t>tests/mp/120/129/original/00000015/TestDocument.java</t>
  </si>
  <si>
    <t>tests/mp/120/129/original/00000015/TestDocument.class</t>
  </si>
  <si>
    <t>2024-01-10 15:18:44</t>
  </si>
  <si>
    <t>10,12,17,18,34,35,36,159,188,189,190,193,194,201,202,203,204,205,206,207,208,209,210,211,212</t>
  </si>
  <si>
    <t>21,22,47,48,49,50,51,52,53,55,56,66,67,68,69,70,71,72,73,74,85,86,87,88,89,90,91,92,93,94,95,96,107,108,109,110,111,112,114,115,116,123,124,125,126,128,129,139,140,141,142,143,144,145,146,147,155,156,168,169,170,171,172,173,174,175,176,177,179,180,191,218,219,220</t>
  </si>
  <si>
    <t>tests/mp/125/154/original/00000014/TestDocument.java</t>
  </si>
  <si>
    <t>tests/mp/125/154/original/00000014/TestDocument.class</t>
  </si>
  <si>
    <t>2024-01-10 15:18:45</t>
  </si>
  <si>
    <t>tests/mp/124/166/original/00000011/TestDocument.java</t>
  </si>
  <si>
    <t>tests/mp/124/166/original/00000011/TestDocument.class</t>
  </si>
  <si>
    <t>2024-01-10 15:18:47</t>
  </si>
  <si>
    <t>10,12,17,18,34,35,36,66,67,68,69,70,71,72,73,74,139,140,141,142,145,146,147,159</t>
  </si>
  <si>
    <t>21,22,47,48,49,50,51,52,53,55,56,85,86,87,88,89,90,91,92,93,94,95,96,107,108,109,110,111,112,114,115,116,123,124,125,126,128,129,143,144,155,156,168,169,170,171,172,173,174,175,176,177,179,180,188,189,190,191,193,194,201,202,203,204,205,206,207,208,209,210,211,212,218,219,220</t>
  </si>
  <si>
    <t>tests/mp/120/109/original/00000006/TestDocument.java</t>
  </si>
  <si>
    <t>tests/mp/120/109/original/00000006/TestDocument.class</t>
  </si>
  <si>
    <t>2024-01-10 15:18:51</t>
  </si>
  <si>
    <t>tests/mp/121/115/original/00000010/TestDocument.java</t>
  </si>
  <si>
    <t>tests/mp/121/115/original/00000010/TestDocument.class</t>
  </si>
  <si>
    <t>10,12,17,18,34,35,36,85,86,87,88,94,95,96,159</t>
  </si>
  <si>
    <t>21,22,47,48,49,50,51,52,53,55,56,66,67,68,69,70,71,72,73,74,89,90,91,92,93,107,108,109,110,111,112,114,115,116,123,124,125,126,128,129,139,140,141,142,143,144,145,146,147,155,156,168,169,170,171,172,173,174,175,176,177,179,180,188,189,190,191,193,194,201,202,203,204,205,206,207,208,209,210,211,212,218,219,220</t>
  </si>
  <si>
    <t>tests/mp/120/137/original/00000011/TestDocument.java</t>
  </si>
  <si>
    <t>2024-01-10 15:19:02</t>
  </si>
  <si>
    <t>tests/mp/120/137/original/00000012/TestDocument.java</t>
  </si>
  <si>
    <t>2024-01-10 15:19:12</t>
  </si>
  <si>
    <t>tests/mp/121/123/original/00000006/TestDocument.java</t>
  </si>
  <si>
    <t>2024-01-10 15:19:13</t>
  </si>
  <si>
    <t>tests/mp/123/157/original/00000018/TestDocument.java</t>
  </si>
  <si>
    <t>2024-01-10 15:19:19</t>
  </si>
  <si>
    <t>tests/mp/121/123/original/00000007/TestDocument.java</t>
  </si>
  <si>
    <t>2024-01-10 15:19:21</t>
  </si>
  <si>
    <t>tests/mp/125/163/original/00000015/TestDocument.java</t>
  </si>
  <si>
    <t>tests/mp/126/147/original/00000007/TestDocument.java</t>
  </si>
  <si>
    <t>tests/mp/126/147/original/00000007/TestDocument.class</t>
  </si>
  <si>
    <t>2024-01-10 15:19:23</t>
  </si>
  <si>
    <t>10,12,17,18,34,35,36,47,48,49,50,51,52,53,155,156,159</t>
  </si>
  <si>
    <t>21,22,55,56,66,67,68,69,70,71,72,73,74,85,86,87,88,89,90,91,92,93,94,95,96,107,108,109,110,111,112,114,115,116,123,124,125,126,128,129,139,140,141,142,143,144,145,146,147,168,169,170,171,172,173,174,175,176,177,179,180,188,189,190,191,193,194,201,202,203,204,205,206,207,208,209,210,211,212,218,219,220</t>
  </si>
  <si>
    <t xml:space="preserve">add, removeField, getFields_2
</t>
  </si>
  <si>
    <t>tests/mp/119/133/original/00000004/TestDocument.java</t>
  </si>
  <si>
    <t>tests/mp/119/133/original/00000004/TestDocument.class</t>
  </si>
  <si>
    <t>2024-01-10 15:19:25</t>
  </si>
  <si>
    <t>tests/mp/123/157/original/00000019/TestDocument.java</t>
  </si>
  <si>
    <t>2024-01-10 15:19:26</t>
  </si>
  <si>
    <t>tests/mp/122/164/original/00000003/TestDocument.java</t>
  </si>
  <si>
    <t>2024-01-10 15:19:30</t>
  </si>
  <si>
    <t>tests/mp/120/137/original/00000013/TestDocument.java</t>
  </si>
  <si>
    <t>2024-01-10 15:19:33</t>
  </si>
  <si>
    <t>tests/mp/124/166/original/00000012/TestDocument.java</t>
  </si>
  <si>
    <t>tests/mp/124/166/original/00000012/TestDocument.class</t>
  </si>
  <si>
    <t>10,12,17,18,34,35,36,47,48,49,50,51,55,56,139,140,141,142,143,144,145,146,147,159</t>
  </si>
  <si>
    <t>21,22,52,53,66,67,68,69,70,71,72,73,74,85,86,87,88,89,90,91,92,93,94,95,96,107,108,109,110,111,112,114,115,116,123,124,125,126,128,129,155,156,168,169,170,171,172,173,174,175,176,177,179,180,188,189,190,191,193,194,201,202,203,204,205,206,207,208,209,210,211,212,218,219,220</t>
  </si>
  <si>
    <t>tests/mp/122/164/original/00000004/TestDocument.java</t>
  </si>
  <si>
    <t>tests/mp/122/164/original/00000004/TestDocument.class</t>
  </si>
  <si>
    <t>2024-01-10 15:19:40</t>
  </si>
  <si>
    <t>tests/mp/120/137/original/00000014/TestDocument.java</t>
  </si>
  <si>
    <t>2024-01-10 15:19:42</t>
  </si>
  <si>
    <t>tests/mp/119/128/original/00000007/TestDocument.java</t>
  </si>
  <si>
    <t>2024-01-10 15:19:44</t>
  </si>
  <si>
    <t>tests/mp/126/141/original/00000012/TestDocument.java</t>
  </si>
  <si>
    <t>tests/mp/126/141/original/00000012/TestDocument.class</t>
  </si>
  <si>
    <t>tests/mp/125/163/original/00000016/TestDocument.java</t>
  </si>
  <si>
    <t>2024-01-10 15:19:45</t>
  </si>
  <si>
    <t>tests/mp/123/157/original/00000020/TestDocument.java</t>
  </si>
  <si>
    <t>tests/mp/125/160/original/00000005/TestDocument.java</t>
  </si>
  <si>
    <t>2024-01-10 15:20:00</t>
  </si>
  <si>
    <t>tests/mp/123/157/original/00000021/TestDocument.java</t>
  </si>
  <si>
    <t>2024-01-10 15:20:01</t>
  </si>
  <si>
    <t>tests/mp/121/115/original/00000011/TestDocument.java</t>
  </si>
  <si>
    <t>tests/mp/121/115/original/00000011/TestDocument.class</t>
  </si>
  <si>
    <t>2024-01-10 15:20:07</t>
  </si>
  <si>
    <t>tests/mp/118/136/original/00000007/TestDocument.java</t>
  </si>
  <si>
    <t>tests/mp/118/136/original/00000007/TestDocument.class</t>
  </si>
  <si>
    <t>2024-01-10 15:20:08</t>
  </si>
  <si>
    <t>tests/mp/118/140/original/00000012/TestDocument.java</t>
  </si>
  <si>
    <t>tests/mp/118/140/original/00000012/TestDocument.class</t>
  </si>
  <si>
    <t>10,12,17,18,34,35,36,66,67,68,69,70,71,72,73,74,155,156,159</t>
  </si>
  <si>
    <t>21,22,47,48,49,50,51,52,53,55,56,85,86,87,88,89,90,91,92,93,94,95,96,107,108,109,110,111,112,114,115,116,123,124,125,126,128,129,139,140,141,142,143,144,145,146,147,168,169,170,171,172,173,174,175,176,177,179,180,188,189,190,191,193,194,201,202,203,204,205,206,207,208,209,210,211,212,218,219,220</t>
  </si>
  <si>
    <t xml:space="preserve">add, removeFields, getFields_2
</t>
  </si>
  <si>
    <t>tests/mp/120/137/original/00000015/TestDocument.java</t>
  </si>
  <si>
    <t>2024-01-10 15:20:15</t>
  </si>
  <si>
    <t>tests/mp/125/160/original/00000006/TestDocument.java</t>
  </si>
  <si>
    <t>tests/mp/125/160/original/00000006/TestDocument.class</t>
  </si>
  <si>
    <t>10,12,17,18,34,35,36,66,67,68,69,70,71,72,73,74,123,124,125,126,128,129,159</t>
  </si>
  <si>
    <t>21,22,47,48,49,50,51,52,53,55,56,85,86,87,88,89,90,91,92,93,94,95,96,107,108,109,110,111,112,114,115,116,139,140,141,142,143,144,145,146,147,155,156,168,169,170,171,172,173,174,175,176,177,179,180,188,189,190,191,193,194,201,202,203,204,205,206,207,208,209,210,211,212,218,219,220</t>
  </si>
  <si>
    <t>tests/mp/123/157/original/00000022/TestDocument.java</t>
  </si>
  <si>
    <t>tests/mp/123/157/original/00000022/TestDocument.class</t>
  </si>
  <si>
    <t>2024-01-10 15:20:18</t>
  </si>
  <si>
    <t>10,12,17,18,123,124,129,159,218,219,220</t>
  </si>
  <si>
    <t>21,22,34,35,36,47,48,49,50,51,52,53,55,56,66,67,68,69,70,71,72,73,74,85,86,87,88,89,90,91,92,93,94,95,96,107,108,109,110,111,112,114,115,116,125,126,128,139,140,141,142,143,144,145,146,147,155,156,168,169,170,171,172,173,174,175,176,177,179,180,188,189,190,191,193,194,201,202,203,204,205,206,207,208,209,210,211,212</t>
  </si>
  <si>
    <t xml:space="preserve">getField, clear
</t>
  </si>
  <si>
    <t>tests/mp/125/163/original/00000017/TestDocument.java</t>
  </si>
  <si>
    <t>tests/mp/125/163/original/00000017/TestDocument.class</t>
  </si>
  <si>
    <t>tests/mp/119/130/original/00000017/TestDocument.java</t>
  </si>
  <si>
    <t>2024-01-10 15:20:23</t>
  </si>
  <si>
    <t>tests/mp/120/137/original/00000016/TestDocument.java</t>
  </si>
  <si>
    <t>tests/mp/120/137/original/00000016/TestDocument.class</t>
  </si>
  <si>
    <t>2024-01-10 15:20:24</t>
  </si>
  <si>
    <t>10,12,17,18,34,35,36,66,67,68,69,70,71,72,73,74,139,140,141,142,143,144,145,146,147,159</t>
  </si>
  <si>
    <t>21,22,47,48,49,50,51,52,53,55,56,85,86,87,88,89,90,91,92,93,94,95,96,107,108,109,110,111,112,114,115,116,123,124,125,126,128,129,155,156,168,169,170,171,172,173,174,175,176,177,179,180,188,189,190,191,193,194,201,202,203,204,205,206,207,208,209,210,211,212,218,219,220</t>
  </si>
  <si>
    <t>tests/mp/126/141/original/00000013/TestDocument.java</t>
  </si>
  <si>
    <t>tests/mp/126/141/original/00000013/TestDocument.class</t>
  </si>
  <si>
    <t>2024-01-10 15:20:31</t>
  </si>
  <si>
    <t>tests/mp/123/146/original/00000011/TestDocument.java</t>
  </si>
  <si>
    <t>2024-01-10 15:20:32</t>
  </si>
  <si>
    <t>tests/mp/119/127/original/00000009/TestDocument.java</t>
  </si>
  <si>
    <t>2024-01-10 15:20:35</t>
  </si>
  <si>
    <t>tests/mp/120/137/original/00000017/TestDocument.java</t>
  </si>
  <si>
    <t>tests/mp/120/137/original/00000017/TestDocument.class</t>
  </si>
  <si>
    <t>2024-01-10 15:20:36</t>
  </si>
  <si>
    <t>tests/mp/122/152/original/00000001/TestDocument.java</t>
  </si>
  <si>
    <t>tests/mp/122/152/original/00000001/TestDocument.class</t>
  </si>
  <si>
    <t>2024-01-10 15:20:38</t>
  </si>
  <si>
    <t>tests/mp/124/142/original/00000012/TestDocument.java</t>
  </si>
  <si>
    <t>tests/mp/124/142/original/00000012/TestDocument.class</t>
  </si>
  <si>
    <t>2024-01-10 15:20:40</t>
  </si>
  <si>
    <t>tests/mp/120/129/original/00000016/TestDocument.java</t>
  </si>
  <si>
    <t>tests/mp/120/129/original/00000016/TestDocument.class</t>
  </si>
  <si>
    <t>2024-01-10 15:20:44</t>
  </si>
  <si>
    <t>10,12,17,18,34,35,36,123,124,125,128,129,159,201,202,203,204,205,206,207,208,209,210,211,212</t>
  </si>
  <si>
    <t>21,22,47,48,49,50,51,52,53,55,56,66,67,68,69,70,71,72,73,74,85,86,87,88,89,90,91,92,93,94,95,96,107,108,109,110,111,112,114,115,116,126,139,140,141,142,143,144,145,146,147,155,156,168,169,170,171,172,173,174,175,176,177,179,180,188,189,190,191,193,194,218,219,220</t>
  </si>
  <si>
    <t xml:space="preserve">add, getField, toString
</t>
  </si>
  <si>
    <t>tests/mp/121/123/original/00000008/TestDocument.java</t>
  </si>
  <si>
    <t>2024-01-10 15:20:48</t>
  </si>
  <si>
    <t>tests/mp/121/123/original/00000009/TestDocument.java</t>
  </si>
  <si>
    <t>2024-01-10 15:20:53</t>
  </si>
  <si>
    <t>tests/mp/120/109/original/00000007/TestDocument.java</t>
  </si>
  <si>
    <t>tests/mp/120/109/original/00000007/TestDocument.class</t>
  </si>
  <si>
    <t>2024-01-10 15:21:02</t>
  </si>
  <si>
    <t>tests/mp/121/115/original/00000012/TestDocument.java</t>
  </si>
  <si>
    <t>tests/mp/121/115/original/00000012/TestDocument.class</t>
  </si>
  <si>
    <t>2024-01-10 15:21:03</t>
  </si>
  <si>
    <t>tests/mp/119/128/original/00000008/TestDocument.java</t>
  </si>
  <si>
    <t>2024-01-10 15:21:04</t>
  </si>
  <si>
    <t>tests/mp/121/123/original/00000010/TestDocument.java</t>
  </si>
  <si>
    <t>tests/mp/125/154/original/00000015/TestDocument.java</t>
  </si>
  <si>
    <t>2024-01-10 15:21:05</t>
  </si>
  <si>
    <t>tests/mp/119/119/original/00000011/TestDocument.java</t>
  </si>
  <si>
    <t>2024-01-10 15:21:08</t>
  </si>
  <si>
    <t>tests/mp/119/127/original/00000010/TestDocument.java</t>
  </si>
  <si>
    <t>2024-01-10 15:21:12</t>
  </si>
  <si>
    <t>tests/mp/120/137/original/00000018/TestDocument.java</t>
  </si>
  <si>
    <t>tests/mp/120/137/original/00000018/TestDocument.class</t>
  </si>
  <si>
    <t>2024-01-10 15:21:16</t>
  </si>
  <si>
    <t>tests/mp/125/154/original/00000016/TestDocument.java</t>
  </si>
  <si>
    <t>tests/mp/125/154/original/00000016/TestDocument.class</t>
  </si>
  <si>
    <t>2024-01-10 15:21:23</t>
  </si>
  <si>
    <t>tests/mp/123/143/original/00000004/TestDocument.java</t>
  </si>
  <si>
    <t>tests/mp/120/137/original/00000019/TestDocument.java</t>
  </si>
  <si>
    <t>tests/mp/120/137/original/00000019/TestDocument.class</t>
  </si>
  <si>
    <t>2024-01-10 15:21:25</t>
  </si>
  <si>
    <t>tests/mp/119/119/original/00000012/TestDocument.java</t>
  </si>
  <si>
    <t>tests/mp/119/119/original/00000012/TestDocument.class</t>
  </si>
  <si>
    <t>tests/mp/120/120/original/00000005/TestDocument.java</t>
  </si>
  <si>
    <t>tests/mp/120/120/original/00000005/TestDocument.class</t>
  </si>
  <si>
    <t>2024-01-10 15:21:39</t>
  </si>
  <si>
    <t>tests/mp/119/127/original/00000011/TestDocument.java</t>
  </si>
  <si>
    <t>tests/mp/119/127/original/00000011/TestDocument.class</t>
  </si>
  <si>
    <t>2024-01-10 15:21:43</t>
  </si>
  <si>
    <t>tests/mp/125/153/original/00000008/TestDocument.java</t>
  </si>
  <si>
    <t>tests/mp/125/153/original/00000008/TestDocument.class</t>
  </si>
  <si>
    <t>tests/mp/121/115/original/00000013/TestDocument.java</t>
  </si>
  <si>
    <t>tests/mp/121/115/original/00000013/TestDocument.class</t>
  </si>
  <si>
    <t>2024-01-10 15:21:45</t>
  </si>
  <si>
    <t>10,12,17,18,34,35,36,139,140,141,142,145,146,147,159</t>
  </si>
  <si>
    <t>21,22,47,48,49,50,51,52,53,55,56,66,67,68,69,70,71,72,73,74,85,86,87,88,89,90,91,92,93,94,95,96,107,108,109,110,111,112,114,115,116,123,124,125,126,128,129,143,144,155,156,168,169,170,171,172,173,174,175,176,177,179,180,188,189,190,191,193,194,201,202,203,204,205,206,207,208,209,210,211,212,218,219,220</t>
  </si>
  <si>
    <t>tests/mp/119/133/original/00000005/TestDocument.java</t>
  </si>
  <si>
    <t>tests/mp/119/133/original/00000005/TestDocument.class</t>
  </si>
  <si>
    <t>2024-01-10 15:21:50</t>
  </si>
  <si>
    <t>10,12,17,18,34,35,36,107,108,109,110,111,112,115,159</t>
  </si>
  <si>
    <t>21,22,47,48,49,50,51,52,53,55,56,66,67,68,69,70,71,72,73,74,85,86,87,88,89,90,91,92,93,94,95,96,114,116,123,124,125,126,128,129,139,140,141,142,143,144,145,146,147,155,156,168,169,170,171,172,173,174,175,176,177,179,180,188,189,190,191,193,194,201,202,203,204,205,206,207,208,209,210,211,212,218,219,220</t>
  </si>
  <si>
    <t>tests/mp/126/149/original/00000002/TestDocument.java</t>
  </si>
  <si>
    <t>2024-01-10 15:21:51</t>
  </si>
  <si>
    <t>tests/mp/123/143/original/00000005/TestDocument.java</t>
  </si>
  <si>
    <t>2024-01-10 15:21:52</t>
  </si>
  <si>
    <t>tests/mp/125/154/original/00000017/TestDocument.java</t>
  </si>
  <si>
    <t>tests/mp/125/154/original/00000017/TestDocument.class</t>
  </si>
  <si>
    <t>2024-01-10 15:22:04</t>
  </si>
  <si>
    <t>tests/mp/125/160/original/00000007/TestDocument.java</t>
  </si>
  <si>
    <t>tests/mp/125/160/original/00000007/TestDocument.class</t>
  </si>
  <si>
    <t>2024-01-10 15:22:05</t>
  </si>
  <si>
    <t>tests/mp/121/123/original/00000011/TestDocument.java</t>
  </si>
  <si>
    <t>2024-01-10 15:22:11</t>
  </si>
  <si>
    <t>tests/mp/124/142/original/00000013/TestDocument.java</t>
  </si>
  <si>
    <t>tests/mp/124/142/original/00000013/TestDocument.class</t>
  </si>
  <si>
    <t>2024-01-10 15:22:15</t>
  </si>
  <si>
    <t>tests/mp/119/128/original/00000009/TestDocument.java</t>
  </si>
  <si>
    <t>2024-01-10 15:22:20</t>
  </si>
  <si>
    <t>tests/mp/122/152/original/00000002/TestDocument.java</t>
  </si>
  <si>
    <t>tests/mp/119/128/original/00000010/TestDocument.java</t>
  </si>
  <si>
    <t>tests/mp/119/128/original/00000010/TestDocument.class</t>
  </si>
  <si>
    <t>2024-01-10 15:22:30</t>
  </si>
  <si>
    <t>tests/mp/119/130/original/00000018/TestDocument.java</t>
  </si>
  <si>
    <t>2024-01-10 15:22:31</t>
  </si>
  <si>
    <t>tests/mp/123/148/original/00000008/TestDocument.java</t>
  </si>
  <si>
    <t>2024-01-10 15:22:32</t>
  </si>
  <si>
    <t>tests/mp/120/120/original/00000006/TestDocument.java</t>
  </si>
  <si>
    <t>tests/mp/120/120/original/00000006/TestDocument.class</t>
  </si>
  <si>
    <t>2024-01-10 15:22:33</t>
  </si>
  <si>
    <t>10,12,17,18,34,35,36,123,124,129,159,218,219,220</t>
  </si>
  <si>
    <t>21,22,47,48,49,50,51,52,53,55,56,66,67,68,69,70,71,72,73,74,85,86,87,88,89,90,91,92,93,94,95,96,107,108,109,110,111,112,114,115,116,125,126,128,139,140,141,142,143,144,145,146,147,155,156,168,169,170,171,172,173,174,175,176,177,179,180,188,189,190,191,193,194,201,202,203,204,205,206,207,208,209,210,211,212</t>
  </si>
  <si>
    <t xml:space="preserve">add, getField, clear
</t>
  </si>
  <si>
    <t>tests/mp/120/129/original/00000017/TestDocument.java</t>
  </si>
  <si>
    <t>tests/mp/120/129/original/00000017/TestDocument.class</t>
  </si>
  <si>
    <t>tests/mp/125/154/original/00000018/TestDocument.java</t>
  </si>
  <si>
    <t>tests/mp/125/154/original/00000018/TestDocument.class</t>
  </si>
  <si>
    <t>2024-01-10 15:22:41</t>
  </si>
  <si>
    <t>tests/mp/119/128/original/00000011/TestDocument.java</t>
  </si>
  <si>
    <t>tests/mp/119/128/original/00000011/TestDocument.class</t>
  </si>
  <si>
    <t>2024-01-10 15:22:57</t>
  </si>
  <si>
    <t>tests/mp/121/115/original/00000014/TestDocument.java</t>
  </si>
  <si>
    <t>tests/mp/121/115/original/00000014/TestDocument.class</t>
  </si>
  <si>
    <t>10,12,17,18,34,35,36,159,168,169,170,171,172,173,174,175,176,177,179,180</t>
  </si>
  <si>
    <t>21,22,47,48,49,50,51,52,53,55,56,66,67,68,69,70,71,72,73,74,85,86,87,88,89,90,91,92,93,94,95,96,107,108,109,110,111,112,114,115,116,123,124,125,126,128,129,139,140,141,142,143,144,145,146,147,155,156,188,189,190,191,193,194,201,202,203,204,205,206,207,208,209,210,211,212,218,219,220</t>
  </si>
  <si>
    <t>tests/mp/119/119/original/00000013/TestDocument.java</t>
  </si>
  <si>
    <t>2024-01-10 15:22:59</t>
  </si>
  <si>
    <t>tests/mp/119/130/original/00000019/TestDocument.java</t>
  </si>
  <si>
    <t>tests/mp/121/112/original/00000003/TestDocument.java</t>
  </si>
  <si>
    <t>tests/mp/121/112/original/00000003/TestDocument.class</t>
  </si>
  <si>
    <t>2024-01-10 15:23:01</t>
  </si>
  <si>
    <t>tests/mp/120/109/original/00000008/TestDocument.java</t>
  </si>
  <si>
    <t>tests/mp/120/109/original/00000008/TestDocument.class</t>
  </si>
  <si>
    <t>2024-01-10 15:23:03</t>
  </si>
  <si>
    <t>tests/mp/119/130/original/00000020/TestDocument.java</t>
  </si>
  <si>
    <t>2024-01-10 15:23:05</t>
  </si>
  <si>
    <t>tests/mp/126/149/original/00000003/TestDocument.java</t>
  </si>
  <si>
    <t>tests/mp/126/149/original/00000003/TestDocument.class</t>
  </si>
  <si>
    <t>2024-01-10 15:23:07</t>
  </si>
  <si>
    <t>10,12,17,18,34,35,36,66,67,68,69,70,71,72,73,74,159</t>
  </si>
  <si>
    <t>21,22,47,48,49,50,51,52,53,55,56,85,86,87,88,89,90,91,92,93,94,95,96,107,108,109,110,111,112,114,115,116,123,124,125,126,128,129,139,140,141,142,143,144,145,146,147,155,156,168,169,170,171,172,173,174,175,176,177,179,180,188,189,190,191,193,194,201,202,203,204,205,206,207,208,209,210,211,212,218,219,220</t>
  </si>
  <si>
    <t xml:space="preserve">add, removeFields
</t>
  </si>
  <si>
    <t>tests/mp/119/119/original/00000014/TestDocument.java</t>
  </si>
  <si>
    <t>2024-01-10 15:23:08</t>
  </si>
  <si>
    <t>tests/mp/124/166/original/00000013/TestDocument.java</t>
  </si>
  <si>
    <t>tests/mp/124/166/original/00000013/TestDocument.class</t>
  </si>
  <si>
    <t>2024-01-10 15:23:10</t>
  </si>
  <si>
    <t>tests/mp/119/127/original/00000012/TestDocument.java</t>
  </si>
  <si>
    <t>tests/mp/119/127/original/00000012/TestDocument.class</t>
  </si>
  <si>
    <t>2024-01-10 15:23:12</t>
  </si>
  <si>
    <t>tests/mp/124/142/original/00000014/TestDocument.java</t>
  </si>
  <si>
    <t>2024-01-10 15:23:15</t>
  </si>
  <si>
    <t>tests/mp/118/114/original/00000008/TestDocument.java</t>
  </si>
  <si>
    <t>2024-01-10 15:23:16</t>
  </si>
  <si>
    <t>tests/mp/119/130/original/00000021/TestDocument.java</t>
  </si>
  <si>
    <t>2024-01-10 15:23:22</t>
  </si>
  <si>
    <t>tests/mp/118/114/original/00000009/TestDocument.java</t>
  </si>
  <si>
    <t>tests/mp/118/114/original/00000009/TestDocument.class</t>
  </si>
  <si>
    <t>2024-01-10 15:23:24</t>
  </si>
  <si>
    <t>tests/mp/119/128/original/00000012/TestDocument.java</t>
  </si>
  <si>
    <t>2024-01-10 15:23:25</t>
  </si>
  <si>
    <t>tests/mp/122/168/original/00000005/TestDocument.java</t>
  </si>
  <si>
    <t>2024-01-10 15:23:27</t>
  </si>
  <si>
    <t>tests/mp/119/119/original/00000015/TestDocument.java</t>
  </si>
  <si>
    <t>2024-01-10 15:23:29</t>
  </si>
  <si>
    <t>tests/mp/124/142/original/00000015/TestDocument.java</t>
  </si>
  <si>
    <t>2024-01-10 15:23:33</t>
  </si>
  <si>
    <t>tests/mp/119/128/original/00000013/TestDocument.java</t>
  </si>
  <si>
    <t>tests/mp/119/128/original/00000013/TestDocument.class</t>
  </si>
  <si>
    <t>2024-01-10 15:23:35</t>
  </si>
  <si>
    <t>tests/mp/125/154/original/00000019/TestDocument.java</t>
  </si>
  <si>
    <t>tests/mp/125/154/original/00000019/TestDocument.class</t>
  </si>
  <si>
    <t>tests/mp/119/130/original/00000022/TestDocument.java</t>
  </si>
  <si>
    <t>tests/mp/119/130/original/00000022/TestDocument.class</t>
  </si>
  <si>
    <t>tests/mp/126/147/original/00000008/TestDocument.java</t>
  </si>
  <si>
    <t>tests/mp/126/147/original/00000008/TestDocument.class</t>
  </si>
  <si>
    <t>2024-01-10 15:23:40</t>
  </si>
  <si>
    <t>tests/mp/124/166/original/00000014/TestDocument.java</t>
  </si>
  <si>
    <t>2024-01-10 15:23:42</t>
  </si>
  <si>
    <t>tests/mp/124/142/original/00000016/TestDocument.java</t>
  </si>
  <si>
    <t>tests/mp/124/142/original/00000016/TestDocument.class</t>
  </si>
  <si>
    <t>2024-01-10 15:23:46</t>
  </si>
  <si>
    <t>tests/mp/119/119/original/00000016/TestDocument.java</t>
  </si>
  <si>
    <t>tests/mp/119/119/original/00000016/TestDocument.class</t>
  </si>
  <si>
    <t>2024-01-10 15:23:48</t>
  </si>
  <si>
    <t>tests/mp/119/127/original/00000013/TestDocument.java</t>
  </si>
  <si>
    <t>tests/mp/119/127/original/00000013/TestDocument.class</t>
  </si>
  <si>
    <t>2024-01-10 15:23:49</t>
  </si>
  <si>
    <t>tests/mp/119/130/original/00000023/TestDocument.java</t>
  </si>
  <si>
    <t>tests/mp/119/130/original/00000023/TestDocument.class</t>
  </si>
  <si>
    <t>2024-01-10 15:23:51</t>
  </si>
  <si>
    <t>tests/mp/125/154/original/00000020/TestDocument.java</t>
  </si>
  <si>
    <t>tests/mp/125/154/original/00000020/TestDocument.class</t>
  </si>
  <si>
    <t>tests/mp/119/133/original/00000006/TestDocument.java</t>
  </si>
  <si>
    <t>tests/mp/119/133/original/00000006/TestDocument.class</t>
  </si>
  <si>
    <t>tests/mp/126/141/original/00000014/TestDocument.java</t>
  </si>
  <si>
    <t>tests/mp/126/141/original/00000014/TestDocument.class</t>
  </si>
  <si>
    <t>2024-01-10 15:23:53</t>
  </si>
  <si>
    <t>tests/mp/120/137/original/00000020/TestDocument.java</t>
  </si>
  <si>
    <t>2024-01-10 15:23:54</t>
  </si>
  <si>
    <t>tests/mp/121/123/original/00000012/TestDocument.java</t>
  </si>
  <si>
    <t>2024-01-10 15:23:56</t>
  </si>
  <si>
    <t>tests/mp/124/166/original/00000015/TestDocument.java</t>
  </si>
  <si>
    <t>tests/mp/124/166/original/00000015/TestDocument.class</t>
  </si>
  <si>
    <t>2024-01-10 15:23:57</t>
  </si>
  <si>
    <t>10,12,17,18,34,35,36,47,48,49,50,51,52,53,123,124,125,128,129,159</t>
  </si>
  <si>
    <t>21,22,55,56,66,67,68,69,70,71,72,73,74,85,86,87,88,89,90,91,92,93,94,95,96,107,108,109,110,111,112,114,115,116,126,139,140,141,142,143,144,145,146,147,155,156,168,169,170,171,172,173,174,175,176,177,179,180,188,189,190,191,193,194,201,202,203,204,205,206,207,208,209,210,211,212,218,219,220</t>
  </si>
  <si>
    <t>tests/mp/122/168/original/00000006/TestDocument.java</t>
  </si>
  <si>
    <t>tests/mp/122/168/original/00000006/TestDocument.class</t>
  </si>
  <si>
    <t>tests/mp/123/143/original/00000006/TestDocument.java</t>
  </si>
  <si>
    <t>tests/mp/123/143/original/00000006/TestDocument.class</t>
  </si>
  <si>
    <t>2024-01-10 15:24:00</t>
  </si>
  <si>
    <t>tests/mp/124/142/original/00000017/TestDocument.java</t>
  </si>
  <si>
    <t>tests/mp/124/142/original/00000017/TestDocument.class</t>
  </si>
  <si>
    <t>tests/mp/126/147/original/00000009/TestDocument.java</t>
  </si>
  <si>
    <t>tests/mp/126/147/original/00000009/TestDocument.class</t>
  </si>
  <si>
    <t>tests/mp/120/137/original/00000021/TestDocument.java</t>
  </si>
  <si>
    <t>2024-01-10 15:24:08</t>
  </si>
  <si>
    <t>tests/mp/121/123/original/00000013/TestDocument.java</t>
  </si>
  <si>
    <t>2024-01-10 15:24:09</t>
  </si>
  <si>
    <t>tests/mp/119/127/original/00000014/TestDocument.java</t>
  </si>
  <si>
    <t>tests/mp/119/127/original/00000014/TestDocument.class</t>
  </si>
  <si>
    <t>2024-01-10 15:24:14</t>
  </si>
  <si>
    <t>tests/mp/118/140/original/00000013/TestDocument.java</t>
  </si>
  <si>
    <t>tests/mp/118/140/original/00000013/TestDocument.class</t>
  </si>
  <si>
    <t>tests/mp/121/123/original/00000014/TestDocument.java</t>
  </si>
  <si>
    <t>tests/mp/121/123/original/00000014/TestDocument.class</t>
  </si>
  <si>
    <t>2024-01-10 15:24:20</t>
  </si>
  <si>
    <t>tests/mp/119/128/original/00000014/TestDocument.java</t>
  </si>
  <si>
    <t>tests/mp/119/128/original/00000014/TestDocument.class</t>
  </si>
  <si>
    <t>2024-01-10 15:24:24</t>
  </si>
  <si>
    <t>tests/mp/126/147/original/00000010/TestDocument.java</t>
  </si>
  <si>
    <t>tests/mp/126/147/original/00000010/TestDocument.class</t>
  </si>
  <si>
    <t>tests/mp/120/139/original/00000001/TestDocument.java</t>
  </si>
  <si>
    <t>2024-01-10 15:24:33</t>
  </si>
  <si>
    <t>tests/mp/125/154/original/00000021/TestDocument.java</t>
  </si>
  <si>
    <t>tests/mp/125/154/original/00000021/TestDocument.class</t>
  </si>
  <si>
    <t>2024-01-10 15:24:37</t>
  </si>
  <si>
    <t>10,12,17,18,34,35,36,47,48,49,50,51,52,53,159,168,169,170,175,176,177</t>
  </si>
  <si>
    <t>21,22,55,56,66,67,68,69,70,71,72,73,74,85,86,87,88,89,90,91,92,93,94,95,96,107,108,109,110,111,112,114,115,116,123,124,125,126,128,129,139,140,141,142,143,144,145,146,147,155,156,171,172,173,174,179,180,188,189,190,191,193,194,201,202,203,204,205,206,207,208,209,210,211,212,218,219,220</t>
  </si>
  <si>
    <t xml:space="preserve">add, removeField, getValues
</t>
  </si>
  <si>
    <t>tests/mp/126/147/original/00000011/TestDocument.java</t>
  </si>
  <si>
    <t>tests/mp/126/147/original/00000011/TestDocument.class</t>
  </si>
  <si>
    <t>2024-01-10 15:24:39</t>
  </si>
  <si>
    <t>tests/mp/126/141/original/00000015/TestDocument.java</t>
  </si>
  <si>
    <t>tests/mp/126/141/original/00000015/TestDocument.class</t>
  </si>
  <si>
    <t>2024-01-10 15:24:40</t>
  </si>
  <si>
    <t>tests/mp/125/160/original/00000008/TestDocument.java</t>
  </si>
  <si>
    <t>tests/mp/125/160/original/00000008/TestDocument.class</t>
  </si>
  <si>
    <t>2024-01-10 15:24:42</t>
  </si>
  <si>
    <t>tests/mp/118/140/original/00000014/TestDocument.java</t>
  </si>
  <si>
    <t>tests/mp/118/140/original/00000014/TestDocument.class</t>
  </si>
  <si>
    <t>tests/mp/120/137/original/00000022/TestDocument.java</t>
  </si>
  <si>
    <t>tests/mp/120/137/original/00000022/TestDocument.class</t>
  </si>
  <si>
    <t>2024-01-10 15:24:44</t>
  </si>
  <si>
    <t>10,12,17,18,34,35,36,139,140,141,159</t>
  </si>
  <si>
    <t>21,22,47,48,49,50,51,52,53,55,56,66,67,68,69,70,71,72,73,74,85,86,87,88,89,90,91,92,93,94,95,96,107,108,109,110,111,112,114,115,116,123,124,125,126,128,129,142,143,144,145,147,155,156,168,169,170,171,172,173,174,175,176,177,179,180,188,189,190,191,193,194,201,202,203,204,205,206,207,208,209,210,211,212,218,219,220</t>
  </si>
  <si>
    <t>tests/mp/121/125/original/00000001/TestDocument.java</t>
  </si>
  <si>
    <t>tests/mp/121/125/original/00000001/TestDocument.class</t>
  </si>
  <si>
    <t>2024-01-10 15:24:45</t>
  </si>
  <si>
    <t>tests/mp/120/139/original/00000002/TestDocument.java</t>
  </si>
  <si>
    <t>2024-01-10 15:24:50</t>
  </si>
  <si>
    <t>tests/mp/125/154/original/00000022/TestDocument.java</t>
  </si>
  <si>
    <t>tests/mp/125/154/original/00000022/TestDocument.class</t>
  </si>
  <si>
    <t>tests/mp/121/125/original/00000002/TestDocument.java</t>
  </si>
  <si>
    <t>tests/mp/121/125/original/00000002/TestDocument.class</t>
  </si>
  <si>
    <t>2024-01-10 15:25:09</t>
  </si>
  <si>
    <t>tests/mp/124/166/original/00000016/TestDocument.java</t>
  </si>
  <si>
    <t>2024-01-10 15:25:13</t>
  </si>
  <si>
    <t>tests/mp/124/142/original/00000018/TestDocument.java</t>
  </si>
  <si>
    <t>tests/mp/124/142/original/00000018/TestDocument.class</t>
  </si>
  <si>
    <t>2024-01-10 15:25:15</t>
  </si>
  <si>
    <t>tests/mp/120/129/original/00000018/TestDocument.java</t>
  </si>
  <si>
    <t>tests/mp/120/129/original/00000018/TestDocument.class</t>
  </si>
  <si>
    <t>2024-01-10 15:25:17</t>
  </si>
  <si>
    <t>tests/mp/120/137/original/00000023/TestDocument.java</t>
  </si>
  <si>
    <t>tests/mp/120/137/original/00000023/TestDocument.class</t>
  </si>
  <si>
    <t>2024-01-10 15:25:20</t>
  </si>
  <si>
    <t>10,12,17,18,34,35,36,47,48,49,50,51,52,53,123,124,129,139,140,141,142,143,144,145,146,147,159</t>
  </si>
  <si>
    <t>21,22,55,56,66,67,68,69,70,71,72,73,74,85,86,87,88,89,90,91,92,93,94,95,96,107,108,109,110,111,112,114,115,116,125,126,128,155,156,168,169,170,171,172,173,174,175,176,177,179,180,188,189,190,191,193,194,201,202,203,204,205,206,207,208,209,210,211,212,218,219,220</t>
  </si>
  <si>
    <t xml:space="preserve">add, removeField, getField, getFields_1
</t>
  </si>
  <si>
    <t>tests/mp/119/128/original/00000015/TestDocument.java</t>
  </si>
  <si>
    <t>tests/mp/119/128/original/00000015/TestDocument.class</t>
  </si>
  <si>
    <t>2024-01-10 15:25:21</t>
  </si>
  <si>
    <t>tests/mp/122/168/original/00000007/TestDocument.java</t>
  </si>
  <si>
    <t>2024-01-10 15:25:24</t>
  </si>
  <si>
    <t>tests/mp/124/166/original/00000017/TestDocument.java</t>
  </si>
  <si>
    <t>tests/mp/124/166/original/00000017/TestDocument.class</t>
  </si>
  <si>
    <t>2024-01-10 15:25:29</t>
  </si>
  <si>
    <t>10,12,17,18,34,35,36,47,48,49,50,51,52,53,123,124,125,126,128,159</t>
  </si>
  <si>
    <t>21,22,55,56,66,67,68,69,70,71,72,73,74,85,86,87,88,89,90,91,92,93,94,95,96,107,108,109,110,111,112,114,115,116,129,139,140,141,142,143,144,145,146,147,155,156,168,169,170,171,172,173,174,175,176,177,179,180,188,189,190,191,193,194,201,202,203,204,205,206,207,208,209,210,211,212,218,219,220</t>
  </si>
  <si>
    <t>tests/mp/125/154/original/00000023/TestDocument.java</t>
  </si>
  <si>
    <t>2024-01-10 15:25:32</t>
  </si>
  <si>
    <t>tests/mp/122/152/original/00000003/TestDocument.java</t>
  </si>
  <si>
    <t>2024-01-10 15:25:34</t>
  </si>
  <si>
    <t>tests/mp/119/127/original/00000015/TestDocument.java</t>
  </si>
  <si>
    <t>tests/mp/119/127/original/00000015/TestDocument.class</t>
  </si>
  <si>
    <t>2024-01-10 15:25:44</t>
  </si>
  <si>
    <t>tests/mp/122/164/original/00000005/TestDocument.java</t>
  </si>
  <si>
    <t>tests/mp/122/164/original/00000005/TestDocument.class</t>
  </si>
  <si>
    <t>2024-01-10 15:25:45</t>
  </si>
  <si>
    <t>10,12,17,18,155,156,159,218,219,220</t>
  </si>
  <si>
    <t>21,22,34,35,36,47,48,49,50,51,52,53,55,56,66,67,68,69,70,71,72,73,74,85,86,87,88,89,90,91,92,93,94,95,96,107,108,109,110,111,112,114,115,116,123,124,125,126,128,129,139,140,141,142,143,144,145,146,147,168,169,170,171,172,173,174,175,176,177,179,180,188,189,190,191,193,194,201,202,203,204,205,206,207,208,209,210,211,212</t>
  </si>
  <si>
    <t xml:space="preserve">getFields_2, clear
</t>
  </si>
  <si>
    <t>tests/mp/119/130/original/00000024/TestDocument.java</t>
  </si>
  <si>
    <t>tests/mp/119/130/original/00000024/TestDocument.class</t>
  </si>
  <si>
    <t>10,12,17,18,34,35,36,85,86,87,95,96,159,218,219,220</t>
  </si>
  <si>
    <t>21,22,47,48,49,50,51,52,53,55,56,66,67,68,69,70,71,72,73,74,88,89,90,91,92,93,94,107,108,109,110,111,112,114,115,116,123,124,125,126,128,129,139,140,141,142,143,144,145,146,147,155,156,168,169,170,171,172,173,174,175,176,177,179,180,188,189,190,191,193,194,201,202,203,204,205,206,207,208,209,210,211,212</t>
  </si>
  <si>
    <t xml:space="preserve">add, getBinaryValues, clear
</t>
  </si>
  <si>
    <t>tests/mp/121/112/original/00000004/TestDocument.java</t>
  </si>
  <si>
    <t>tests/mp/121/112/original/00000004/TestDocument.class</t>
  </si>
  <si>
    <t>2024-01-10 15:26:01</t>
  </si>
  <si>
    <t>tests/mp/118/114/original/00000010/TestDocument.java</t>
  </si>
  <si>
    <t>tests/mp/118/114/original/00000010/TestDocument.class</t>
  </si>
  <si>
    <t>2024-01-10 15:26:02</t>
  </si>
  <si>
    <t>tests/mp/118/140/original/00000015/TestDocument.java</t>
  </si>
  <si>
    <t>2024-01-10 15:26:12</t>
  </si>
  <si>
    <t>tests/mp/118/114/original/00000011/TestDocument.java</t>
  </si>
  <si>
    <t>tests/mp/118/114/original/00000011/TestDocument.class</t>
  </si>
  <si>
    <t>2024-01-10 15:26:13</t>
  </si>
  <si>
    <t>tests/mp/126/141/original/00000016/TestDocument.java</t>
  </si>
  <si>
    <t>2024-01-10 15:26:16</t>
  </si>
  <si>
    <t>tests/mp/120/137/original/00000024/TestDocument.java</t>
  </si>
  <si>
    <t>tests/mp/120/137/original/00000024/TestDocument.class</t>
  </si>
  <si>
    <t>10,12,17,18,34,35,36,66,67,68,69,70,71,72,73,74,139,140,141,142,143,144,145,146,147,159,201,202,203,204,211,212</t>
  </si>
  <si>
    <t>21,22,47,48,49,50,51,52,53,55,56,85,86,87,88,89,90,91,92,93,94,95,96,107,108,109,110,111,112,114,115,116,123,124,125,126,128,129,155,156,168,169,170,171,172,173,174,175,176,177,179,180,188,189,190,191,193,194,205,206,207,208,209,210,218,219,220</t>
  </si>
  <si>
    <t xml:space="preserve">add, removeFields, getFields_1, toString
</t>
  </si>
  <si>
    <t>tests/mp/120/139/original/00000003/TestDocument.java</t>
  </si>
  <si>
    <t>tests/mp/120/139/original/00000003/TestDocument.class</t>
  </si>
  <si>
    <t>2024-01-10 15:26:25</t>
  </si>
  <si>
    <t>tests/mp/118/140/original/00000016/TestDocument.java</t>
  </si>
  <si>
    <t>tests/mp/118/140/original/00000016/TestDocument.class</t>
  </si>
  <si>
    <t>tests/mp/122/168/original/00000008/TestDocument.java</t>
  </si>
  <si>
    <t>tests/mp/122/168/original/00000008/TestDocument.class</t>
  </si>
  <si>
    <t>2024-01-10 15:26:31</t>
  </si>
  <si>
    <t>tests/mp/120/137/original/00000025/TestDocument.java</t>
  </si>
  <si>
    <t>tests/mp/120/137/original/00000025/TestDocument.class</t>
  </si>
  <si>
    <t>2024-01-10 15:26:38</t>
  </si>
  <si>
    <t>tests/mp/119/128/original/00000016/TestDocument.java</t>
  </si>
  <si>
    <t>tests/mp/119/128/original/00000016/TestDocument.class</t>
  </si>
  <si>
    <t>2024-01-10 15:26:39</t>
  </si>
  <si>
    <t>10,12,17,18,34,35,36,107,108,109,110,111,112,115,116,159</t>
  </si>
  <si>
    <t>21,22,47,48,49,50,51,52,53,55,56,66,67,68,69,70,71,72,73,74,85,86,87,88,89,90,91,92,93,94,95,96,114,123,124,125,126,128,129,139,140,141,142,143,144,145,146,147,155,156,168,169,170,171,172,173,174,175,176,177,179,180,188,189,190,191,193,194,201,202,203,204,205,206,207,208,209,210,211,212,218,219,220</t>
  </si>
  <si>
    <t>tests/mp/120/129/original/00000019/TestDocument.java</t>
  </si>
  <si>
    <t>tests/mp/120/129/original/00000019/TestDocument.class</t>
  </si>
  <si>
    <t>2024-01-10 15:26:40</t>
  </si>
  <si>
    <t>10,12,17,18,34,35,36,66,67,68,69,70,71,72,73,74,159,201,202,203,204,205,206,207,211,212</t>
  </si>
  <si>
    <t>21,22,47,48,49,50,51,52,53,55,56,85,86,87,88,89,90,91,92,93,94,95,96,107,108,109,110,111,112,114,115,116,123,124,125,126,128,129,139,140,141,142,143,144,145,146,147,155,156,168,169,170,171,172,173,174,175,176,177,179,180,188,189,190,191,193,194,208,209,218,219,220</t>
  </si>
  <si>
    <t>tests/mp/123/143/original/00000007/TestDocument.java</t>
  </si>
  <si>
    <t>2024-01-10 15:26:42</t>
  </si>
  <si>
    <t>tests/mp/121/115/original/00000015/TestDocument.java</t>
  </si>
  <si>
    <t>tests/mp/121/115/original/00000015/TestDocument.class</t>
  </si>
  <si>
    <t>2024-01-10 15:26:49</t>
  </si>
  <si>
    <t>tests/mp/122/152/original/00000004/TestDocument.java</t>
  </si>
  <si>
    <t>2024-01-10 15:26:51</t>
  </si>
  <si>
    <t>tests/mp/123/143/original/00000008/TestDocument.java</t>
  </si>
  <si>
    <t>2024-01-10 15:26:59</t>
  </si>
  <si>
    <t>tests/mp/118/114/original/00000012/TestDocument.java</t>
  </si>
  <si>
    <t>tests/mp/118/114/original/00000012/TestDocument.class</t>
  </si>
  <si>
    <t>2024-01-10 15:27:07</t>
  </si>
  <si>
    <t>tests/mp/121/125/original/00000003/TestDocument.java</t>
  </si>
  <si>
    <t>tests/mp/121/125/original/00000004/TestDocument.java</t>
  </si>
  <si>
    <t>tests/mp/121/125/original/00000004/TestDocument.class</t>
  </si>
  <si>
    <t>tests/mp/118/114/original/00000013/TestDocument.java</t>
  </si>
  <si>
    <t>tests/mp/118/114/original/00000013/TestDocument.class</t>
  </si>
  <si>
    <t>2024-01-10 15:27:22</t>
  </si>
  <si>
    <t>tests/mp/118/140/original/00000017/TestDocument.java</t>
  </si>
  <si>
    <t>tests/mp/118/140/original/00000017/TestDocument.class</t>
  </si>
  <si>
    <t>2024-01-10 15:27:25</t>
  </si>
  <si>
    <t>tests/mp/119/130/original/00000025/TestDocument.java</t>
  </si>
  <si>
    <t>tests/mp/119/130/original/00000025/TestDocument.class</t>
  </si>
  <si>
    <t>2024-01-10 15:27:31</t>
  </si>
  <si>
    <t>tests/mp/118/114/original/00000014/TestDocument.java</t>
  </si>
  <si>
    <t>tests/mp/118/114/original/00000014/TestDocument.class</t>
  </si>
  <si>
    <t>2024-01-10 15:27:37</t>
  </si>
  <si>
    <t>tests/mp/118/114/original/00000015/TestDocument.java</t>
  </si>
  <si>
    <t>tests/mp/118/114/original/00000015/TestDocument.class</t>
  </si>
  <si>
    <t>2024-01-10 15:27:46</t>
  </si>
  <si>
    <t>tests/mp/122/152/original/00000005/TestDocument.java</t>
  </si>
  <si>
    <t>2024-01-10 15:27:55</t>
  </si>
  <si>
    <t>tests/mp/123/143/original/00000009/TestDocument.java</t>
  </si>
  <si>
    <t>tests/mp/123/143/original/00000009/TestDocument.class</t>
  </si>
  <si>
    <t>2024-01-10 15:27:56</t>
  </si>
  <si>
    <t>tests/mp/123/146/original/00000012/TestDocument.java</t>
  </si>
  <si>
    <t>2024-01-10 15:27:59</t>
  </si>
  <si>
    <t>tests/mp/119/119/original/00000017/TestDocument.java</t>
  </si>
  <si>
    <t>tests/mp/119/119/original/00000017/TestDocument.class</t>
  </si>
  <si>
    <t>2024-01-10 15:28:03</t>
  </si>
  <si>
    <t>tests/mp/122/168/original/00000009/TestDocument.java</t>
  </si>
  <si>
    <t>tests/mp/122/168/original/00000009/TestDocument.class</t>
  </si>
  <si>
    <t>tests/mp/119/128/original/00000017/TestDocument.java</t>
  </si>
  <si>
    <t>tests/mp/119/128/original/00000017/TestDocument.class</t>
  </si>
  <si>
    <t>2024-01-10 15:28:05</t>
  </si>
  <si>
    <t>10,12,17,18,34,35,36,123,124,125,126,128,129,159</t>
  </si>
  <si>
    <t>21,22,47,48,49,50,51,52,53,55,56,66,67,68,69,70,71,72,73,74,85,86,87,88,89,90,91,92,93,94,95,96,107,108,109,110,111,112,114,115,116,139,140,141,142,143,144,145,146,147,155,156,168,169,170,171,172,173,174,175,176,177,179,180,188,189,190,191,193,194,201,202,203,204,205,206,207,208,209,210,211,212,218,219,220</t>
  </si>
  <si>
    <t>tests/mp/120/129/original/00000020/TestDocument.java</t>
  </si>
  <si>
    <t>tests/mp/120/129/original/00000020/TestDocument.class</t>
  </si>
  <si>
    <t>tests/mp/119/127/original/00000016/TestDocument.java</t>
  </si>
  <si>
    <t>tests/mp/119/127/original/00000016/TestDocument.class</t>
  </si>
  <si>
    <t>2024-01-10 15:28:06</t>
  </si>
  <si>
    <t>tests/mp/124/144/original/00000004/TestDocument.java</t>
  </si>
  <si>
    <t>tests/mp/124/144/original/00000004/TestDocument.class</t>
  </si>
  <si>
    <t>2024-01-10 15:28:10</t>
  </si>
  <si>
    <t>tests/mp/123/146/original/00000013/TestDocument.java</t>
  </si>
  <si>
    <t>tests/mp/123/146/original/00000013/TestDocument.class</t>
  </si>
  <si>
    <t>2024-01-10 15:28:15</t>
  </si>
  <si>
    <t>10,12,17,18,34,35,36,123,124,129,159</t>
  </si>
  <si>
    <t>21,22,47,48,49,50,51,52,53,55,56,66,67,68,69,70,71,72,73,74,85,86,87,88,89,90,91,92,93,94,95,96,107,108,109,110,111,112,114,115,116,125,126,128,139,140,141,142,143,144,145,146,147,155,156,168,169,170,171,172,173,174,175,176,177,179,180,188,189,190,191,193,194,201,202,203,204,205,206,207,208,209,210,211,212,218,219,220</t>
  </si>
  <si>
    <t>tests/mp/121/115/original/00000016/TestDocument.java</t>
  </si>
  <si>
    <t>tests/mp/121/115/original/00000016/TestDocument.class</t>
  </si>
  <si>
    <t>2024-01-10 15:28:20</t>
  </si>
  <si>
    <t>10,12,17,18,34,35,36,159,188,189,190,191,193,194</t>
  </si>
  <si>
    <t>21,22,47,48,49,50,51,52,53,55,56,66,67,68,69,70,71,72,73,74,85,86,87,88,89,90,91,92,93,94,95,96,107,108,109,110,111,112,114,115,116,123,124,125,126,128,129,139,140,141,142,143,144,145,146,147,155,156,168,169,170,171,172,173,174,175,176,177,179,180,201,202,203,204,205,206,207,208,209,210,211,212,218,219,220</t>
  </si>
  <si>
    <t>tests/mp/126/141/original/00000017/TestDocument.java</t>
  </si>
  <si>
    <t>tests/mp/126/141/original/00000017/TestDocument.class</t>
  </si>
  <si>
    <t>2024-01-10 15:28:22</t>
  </si>
  <si>
    <t>tests/mp/119/130/original/00000026/TestDocument.java</t>
  </si>
  <si>
    <t>tests/mp/121/123/original/00000015/TestDocument.java</t>
  </si>
  <si>
    <t>tests/mp/121/123/original/00000015/TestDocument.class</t>
  </si>
  <si>
    <t>2024-01-10 15:28:23</t>
  </si>
  <si>
    <t>10,12,17,18,34,35,36,66,67,68,69,159</t>
  </si>
  <si>
    <t>21,22,47,48,49,50,51,52,53,55,56,70,71,72,73,74,85,86,87,88,89,90,91,92,93,94,95,96,107,108,109,110,111,112,114,115,116,123,124,125,126,128,129,139,140,141,142,143,144,145,146,147,155,156,168,169,170,171,172,173,174,175,176,177,179,180,188,189,190,191,193,194,201,202,203,204,205,206,207,208,209,210,211,212,218,219,220</t>
  </si>
  <si>
    <t>tests/mp/124/166/original/00000018/TestDocument.java</t>
  </si>
  <si>
    <t>tests/mp/124/166/original/00000018/TestDocument.class</t>
  </si>
  <si>
    <t>2024-01-10 15:28:24</t>
  </si>
  <si>
    <t>tests/mp/120/120/original/00000007/TestDocument.java</t>
  </si>
  <si>
    <t>tests/mp/120/120/original/00000007/TestDocument.class</t>
  </si>
  <si>
    <t>2024-01-10 15:28:26</t>
  </si>
  <si>
    <t>10,12,17,18,34,35,36,107,108,109,115,116,159</t>
  </si>
  <si>
    <t>21,22,47,48,49,50,51,52,53,55,56,66,67,68,69,70,71,72,73,74,85,86,87,88,89,90,91,92,93,94,95,96,110,111,112,114,123,124,125,126,128,129,139,140,141,142,143,144,145,146,147,155,156,168,169,170,171,172,173,174,175,176,177,179,180,188,189,190,191,193,194,201,202,203,204,205,206,207,208,209,210,211,212,218,219,220</t>
  </si>
  <si>
    <t>tests/mp/125/154/original/00000024/TestDocument.java</t>
  </si>
  <si>
    <t>2024-01-10 15:28:28</t>
  </si>
  <si>
    <t>tests/mp/119/130/original/00000027/TestDocument.java</t>
  </si>
  <si>
    <t>tests/mp/119/130/original/00000027/TestDocument.class</t>
  </si>
  <si>
    <t>2024-01-10 15:28:31</t>
  </si>
  <si>
    <t>tests/mp/119/133/original/00000007/TestDocument.java</t>
  </si>
  <si>
    <t>tests/mp/119/133/original/00000007/TestDocument.class</t>
  </si>
  <si>
    <t>2024-01-10 15:28:40</t>
  </si>
  <si>
    <t>tests/mp/118/114/original/00000016/TestDocument.java</t>
  </si>
  <si>
    <t>tests/mp/118/114/original/00000016/TestDocument.class</t>
  </si>
  <si>
    <t>tests/mp/126/141/original/00000018/TestDocument.java</t>
  </si>
  <si>
    <t>tests/mp/125/154/original/00000025/TestDocument.java</t>
  </si>
  <si>
    <t>tests/mp/125/154/original/00000025/TestDocument.class</t>
  </si>
  <si>
    <t>2024-01-10 15:29:00</t>
  </si>
  <si>
    <t>tests/mp/125/163/original/00000018/TestDocument.java</t>
  </si>
  <si>
    <t>tests/mp/124/144/original/00000005/TestDocument.java</t>
  </si>
  <si>
    <t>tests/mp/124/144/original/00000005/TestDocument.class</t>
  </si>
  <si>
    <t>2024-01-10 15:29:03</t>
  </si>
  <si>
    <t>10,12,17,18,34,35,36,123,124,125,128,129,159</t>
  </si>
  <si>
    <t>21,22,47,48,49,50,51,52,53,55,56,66,67,68,69,70,71,72,73,74,85,86,87,88,89,90,91,92,93,94,95,96,107,108,109,110,111,112,114,115,116,126,139,140,141,142,143,144,145,146,147,155,156,168,169,170,171,172,173,174,175,176,177,179,180,188,189,190,191,193,194,201,202,203,204,205,206,207,208,209,210,211,212,218,219,220</t>
  </si>
  <si>
    <t>tests/mp/118/140/original/00000018/TestDocument.java</t>
  </si>
  <si>
    <t>2024-01-10 15:29:05</t>
  </si>
  <si>
    <t>tests/mp/121/115/original/00000017/TestDocument.java</t>
  </si>
  <si>
    <t>tests/mp/121/115/original/00000017/TestDocument.class</t>
  </si>
  <si>
    <t>2024-01-10 15:29:07</t>
  </si>
  <si>
    <t>tests/mp/125/163/original/00000019/TestDocument.java</t>
  </si>
  <si>
    <t>2024-01-10 15:29:08</t>
  </si>
  <si>
    <t>tests/mp/121/123/original/00000016/TestDocument.java</t>
  </si>
  <si>
    <t>tests/mp/121/123/original/00000016/TestDocument.class</t>
  </si>
  <si>
    <t>2024-01-10 15:29:12</t>
  </si>
  <si>
    <t>tests/mp/118/136/original/00000008/TestDocument.java</t>
  </si>
  <si>
    <t>tests/mp/120/129/original/00000021/TestDocument.java</t>
  </si>
  <si>
    <t>tests/mp/120/129/original/00000021/TestDocument.class</t>
  </si>
  <si>
    <t>tests/mp/125/163/original/00000020/TestDocument.java</t>
  </si>
  <si>
    <t>tests/mp/125/163/original/00000020/TestDocument.class</t>
  </si>
  <si>
    <t>2024-01-10 15:29:18</t>
  </si>
  <si>
    <t>10,12,17,18,34,35,36,47,48,49,50,51,52,53,159,188,189,190,191</t>
  </si>
  <si>
    <t>21,22,55,56,66,67,68,69,70,71,72,73,74,85,86,87,88,89,90,91,92,93,94,95,96,107,108,109,110,111,112,114,115,116,123,124,125,126,128,129,139,140,141,142,143,144,145,146,147,155,156,168,169,170,171,172,173,174,175,176,177,179,180,193,194,201,202,203,204,205,206,207,208,209,210,211,212,218,219,220</t>
  </si>
  <si>
    <t xml:space="preserve">add, removeField, get
</t>
  </si>
  <si>
    <t>tests/mp/118/114/original/00000017/TestDocument.java</t>
  </si>
  <si>
    <t>tests/mp/118/114/original/00000017/TestDocument.class</t>
  </si>
  <si>
    <t>tests/mp/122/152/original/00000006/TestDocument.java</t>
  </si>
  <si>
    <t>2024-01-10 15:29:24</t>
  </si>
  <si>
    <t>tests/mp/120/137/original/00000026/TestDocument.java</t>
  </si>
  <si>
    <t>2024-01-10 15:29:31</t>
  </si>
  <si>
    <t>tests/mp/125/160/original/00000009/TestDocument.java</t>
  </si>
  <si>
    <t>2024-01-10 15:29:36</t>
  </si>
  <si>
    <t>tests/mp/121/123/original/00000017/TestDocument.java</t>
  </si>
  <si>
    <t>tests/mp/121/123/original/00000017/TestDocument.class</t>
  </si>
  <si>
    <t>2024-01-10 15:29:37</t>
  </si>
  <si>
    <t>tests/mp/120/120/original/00000008/TestDocument.java</t>
  </si>
  <si>
    <t>2024-01-10 15:29:38</t>
  </si>
  <si>
    <t>tests/mp/119/119/original/00000018/TestDocument.java</t>
  </si>
  <si>
    <t>tests/mp/119/119/original/00000018/TestDocument.class</t>
  </si>
  <si>
    <t>2024-01-10 15:29:42</t>
  </si>
  <si>
    <t>tests/mp/119/127/original/00000017/TestDocument.java</t>
  </si>
  <si>
    <t>tests/mp/119/127/original/00000017/TestDocument.class</t>
  </si>
  <si>
    <t>tests/mp/118/140/original/00000019/TestDocument.java</t>
  </si>
  <si>
    <t>2024-01-10 15:29:43</t>
  </si>
  <si>
    <t>tests/mp/120/137/original/00000027/TestDocument.java</t>
  </si>
  <si>
    <t>tests/mp/120/137/original/00000027/TestDocument.class</t>
  </si>
  <si>
    <t>2024-01-10 15:29:45</t>
  </si>
  <si>
    <t>10,12,17,18,34,35,36,66,67,68,69,70,71,72,73,74,139,140,141,142,143,144,145,146,147,159,218,219,220</t>
  </si>
  <si>
    <t>21,22,47,48,49,50,51,52,53,55,56,85,86,87,88,89,90,91,92,93,94,95,96,107,108,109,110,111,112,114,115,116,123,124,125,126,128,129,155,156,168,169,170,171,172,173,174,175,176,177,179,180,188,189,190,191,193,194,201,202,203,204,205,206,207,208,209,210,211,212</t>
  </si>
  <si>
    <t xml:space="preserve">add, removeFields, getFields_1, clear
</t>
  </si>
  <si>
    <t>tests/mp/122/168/original/00000010/TestDocument.java</t>
  </si>
  <si>
    <t>tests/mp/126/149/original/00000004/TestDocument.java</t>
  </si>
  <si>
    <t>tests/mp/126/149/original/00000004/TestDocument.class</t>
  </si>
  <si>
    <t>tests/mp/120/120/original/00000009/TestDocument.java</t>
  </si>
  <si>
    <t>tests/mp/120/120/original/00000009/TestDocument.class</t>
  </si>
  <si>
    <t>2024-01-10 15:29:47</t>
  </si>
  <si>
    <t>tests/mp/118/136/original/00000009/TestDocument.java</t>
  </si>
  <si>
    <t>tests/mp/118/136/original/00000009/TestDocument.class</t>
  </si>
  <si>
    <t>2024-01-10 15:29:50</t>
  </si>
  <si>
    <t>tests/mp/120/139/original/00000004/TestDocument.java</t>
  </si>
  <si>
    <t>tests/mp/120/139/original/00000004/TestDocument.class</t>
  </si>
  <si>
    <t>2024-01-10 15:29:54</t>
  </si>
  <si>
    <t>tests/mp/120/137/original/00000028/TestDocument.java</t>
  </si>
  <si>
    <t>tests/mp/120/137/original/00000028/TestDocument.class</t>
  </si>
  <si>
    <t>2024-01-10 15:29:55</t>
  </si>
  <si>
    <t>tests/mp/119/128/original/00000018/TestDocument.java</t>
  </si>
  <si>
    <t>tests/mp/119/128/original/00000018/TestDocument.class</t>
  </si>
  <si>
    <t>2024-01-10 15:30:00</t>
  </si>
  <si>
    <t>tests/mp/118/136/original/00000010/TestDocument.java</t>
  </si>
  <si>
    <t>tests/mp/118/136/original/00000010/TestDocument.class</t>
  </si>
  <si>
    <t>tests/mp/125/160/original/00000010/TestDocument.java</t>
  </si>
  <si>
    <t>tests/mp/125/160/original/00000010/TestDocument.class</t>
  </si>
  <si>
    <t>2024-01-10 15:30:02</t>
  </si>
  <si>
    <t>tests/mp/119/127/original/00000018/TestDocument.java</t>
  </si>
  <si>
    <t>tests/mp/119/127/original/00000018/TestDocument.class</t>
  </si>
  <si>
    <t>2024-01-10 15:30:07</t>
  </si>
  <si>
    <t>Alive</t>
  </si>
  <si>
    <t>Equivalent</t>
  </si>
  <si>
    <t>Mutated Lines</t>
  </si>
  <si>
    <t>mutants/mp/110/115/00000001/Options.java</t>
  </si>
  <si>
    <t>mutants/mp/110/115/00000001/Options.class</t>
  </si>
  <si>
    <t>2024-01-10 14:29:30</t>
  </si>
  <si>
    <t>ASSUMED_NO</t>
  </si>
  <si>
    <t>mutants/mp/110/115/00000002/Options.java</t>
  </si>
  <si>
    <t>mutants/mp/110/115/00000002/Options.class</t>
  </si>
  <si>
    <t>2024-01-10 14:29:43</t>
  </si>
  <si>
    <t xml:space="preserve">getOption
</t>
  </si>
  <si>
    <t>mutants/mp/110/140/00000001/Options.java</t>
  </si>
  <si>
    <t>mutants/mp/110/140/00000001/Options.class</t>
  </si>
  <si>
    <t>2024-01-10 14:29:50</t>
  </si>
  <si>
    <t>mutants/mp/111/137/00000001/Options.java</t>
  </si>
  <si>
    <t>mutants/mp/111/137/00000001/Options.class</t>
  </si>
  <si>
    <t>2024-01-10 14:29:51</t>
  </si>
  <si>
    <t>mutants/mp/110/115/00000003/Options.java</t>
  </si>
  <si>
    <t>mutants/mp/110/115/00000003/Options.class</t>
  </si>
  <si>
    <t>2024-01-10 14:29:55</t>
  </si>
  <si>
    <t xml:space="preserve">stripLeadingHyphens
</t>
  </si>
  <si>
    <t>mutants/mp/110/114/00000001/Options.java</t>
  </si>
  <si>
    <t>mutants/mp/110/114/00000001/Options.class</t>
  </si>
  <si>
    <t>2024-01-10 14:29:57</t>
  </si>
  <si>
    <t>mutants/mp/116/147/00000001/Options.java</t>
  </si>
  <si>
    <t>mutants/mp/116/147/00000001/Options.class</t>
  </si>
  <si>
    <t>2024-01-10 14:30:08</t>
  </si>
  <si>
    <t>mutants/mp/117/141/00000001/Options.java</t>
  </si>
  <si>
    <t>2024-01-10 14:30:09</t>
  </si>
  <si>
    <t>mutants/mp/110/140/00000002/Options.java</t>
  </si>
  <si>
    <t>mutants/mp/110/140/00000002/Options.class</t>
  </si>
  <si>
    <t>2024-01-10 14:30:19</t>
  </si>
  <si>
    <t>mutants/mp/112/119/00000001/Options.java</t>
  </si>
  <si>
    <t>mutants/mp/112/119/00000001/Options.class</t>
  </si>
  <si>
    <t>2024-01-10 14:30:27</t>
  </si>
  <si>
    <t>mutants/mp/117/141/00000002/Options.java</t>
  </si>
  <si>
    <t>mutants/mp/117/141/00000002/Options.class</t>
  </si>
  <si>
    <t>2024-01-10 14:30:28</t>
  </si>
  <si>
    <t xml:space="preserve">hasShortOption
</t>
  </si>
  <si>
    <t>mutants/mp/110/114/00000002/Options.java</t>
  </si>
  <si>
    <t>mutants/mp/110/114/00000002/Options.class</t>
  </si>
  <si>
    <t>2024-01-10 14:30:34</t>
  </si>
  <si>
    <t>mutants/mp/114/152/00000001/Options.java</t>
  </si>
  <si>
    <t>mutants/mp/114/152/00000001/Options.class</t>
  </si>
  <si>
    <t>2024-01-10 14:30:35</t>
  </si>
  <si>
    <t>mutants/mp/109/129/00000001/Options.java</t>
  </si>
  <si>
    <t>mutants/mp/109/129/00000001/Options.class</t>
  </si>
  <si>
    <t>2024-01-10 14:30:41</t>
  </si>
  <si>
    <t>mutants/mp/117/146/00000001/Options.java</t>
  </si>
  <si>
    <t>mutants/mp/117/146/00000001/Options.class</t>
  </si>
  <si>
    <t>2024-01-10 14:30:44</t>
  </si>
  <si>
    <t>mutants/mp/111/137/00000002/Options.java</t>
  </si>
  <si>
    <t>mutants/mp/111/137/00000002/Options.class</t>
  </si>
  <si>
    <t xml:space="preserve">getMatchingOptions
</t>
  </si>
  <si>
    <t>mutants/mp/116/153/00000001/Options.java</t>
  </si>
  <si>
    <t>mutants/mp/116/153/00000001/Options.class</t>
  </si>
  <si>
    <t>2024-01-10 14:30:45</t>
  </si>
  <si>
    <t>mutants/mp/110/114/00000003/Options.java</t>
  </si>
  <si>
    <t>mutants/mp/110/114/00000003/Options.class</t>
  </si>
  <si>
    <t>2024-01-10 14:30:46</t>
  </si>
  <si>
    <t>mutants/mp/110/115/00000004/Options.java</t>
  </si>
  <si>
    <t>mutants/mp/110/115/00000004/Options.class</t>
  </si>
  <si>
    <t>2024-01-10 14:30:53</t>
  </si>
  <si>
    <t>mutants/mp/111/109/00000001/Options.java</t>
  </si>
  <si>
    <t>mutants/mp/111/109/00000001/Options.class</t>
  </si>
  <si>
    <t>2024-01-10 14:30:54</t>
  </si>
  <si>
    <t>mutants/mp/117/141/00000003/Options.java</t>
  </si>
  <si>
    <t>mutants/mp/117/141/00000003/Options.class</t>
  </si>
  <si>
    <t>2024-01-10 14:30:56</t>
  </si>
  <si>
    <t>mutants/mp/113/160/00000001/Options.java</t>
  </si>
  <si>
    <t>mutants/mp/113/160/00000001/Options.class</t>
  </si>
  <si>
    <t>mutants/mp/117/163/00000001/Options.java</t>
  </si>
  <si>
    <t>mutants/mp/117/163/00000001/Options.class</t>
  </si>
  <si>
    <t>2024-01-10 14:30:58</t>
  </si>
  <si>
    <t>mutants/mp/111/127/00000001/Options.java</t>
  </si>
  <si>
    <t>2024-01-10 14:30:59</t>
  </si>
  <si>
    <t>mutants/mp/112/120/00000001/Options.java</t>
  </si>
  <si>
    <t>mutants/mp/112/120/00000001/Options.class</t>
  </si>
  <si>
    <t>2024-01-10 14:31:00</t>
  </si>
  <si>
    <t>mutants/mp/117/168/00000001/Options.java</t>
  </si>
  <si>
    <t>mutants/mp/117/168/00000001/Options.class</t>
  </si>
  <si>
    <t>2024-01-10 14:31:01</t>
  </si>
  <si>
    <t xml:space="preserve">hasLongOption
</t>
  </si>
  <si>
    <t>mutants/mp/116/147/00000002/Options.java</t>
  </si>
  <si>
    <t>mutants/mp/116/147/00000002/Options.class</t>
  </si>
  <si>
    <t>2024-01-10 14:31:02</t>
  </si>
  <si>
    <t>mutants/mp/110/114/00000004/Options.java</t>
  </si>
  <si>
    <t>mutants/mp/110/114/00000004/Options.class</t>
  </si>
  <si>
    <t>2024-01-10 14:31:04</t>
  </si>
  <si>
    <t>mutants/mp/116/153/00000002/Options.java</t>
  </si>
  <si>
    <t>mutants/mp/116/153/00000002/Options.class</t>
  </si>
  <si>
    <t>2024-01-10 14:31:09</t>
  </si>
  <si>
    <t>mutants/mp/116/147/00000003/Options.java</t>
  </si>
  <si>
    <t>mutants/mp/116/147/00000003/Options.class</t>
  </si>
  <si>
    <t>2024-01-10 14:31:12</t>
  </si>
  <si>
    <t>mutants/mp/117/141/00000004/Options.java</t>
  </si>
  <si>
    <t>mutants/mp/117/141/00000004/Options.class</t>
  </si>
  <si>
    <t>2024-01-10 14:31:18</t>
  </si>
  <si>
    <t>mutants/mp/114/164/00000001/Options.java</t>
  </si>
  <si>
    <t>mutants/mp/114/164/00000001/Options.class</t>
  </si>
  <si>
    <t>2024-01-10 14:31:20</t>
  </si>
  <si>
    <t xml:space="preserve">addOptionGroup, getOption
</t>
  </si>
  <si>
    <t>mutants/mp/110/140/00000003/Options.java</t>
  </si>
  <si>
    <t>mutants/mp/110/140/00000003/Options.class</t>
  </si>
  <si>
    <t>2024-01-10 14:31:21</t>
  </si>
  <si>
    <t>mutants/mp/117/146/00000002/Options.java</t>
  </si>
  <si>
    <t>mutants/mp/117/146/00000002/Options.class</t>
  </si>
  <si>
    <t>2024-01-10 14:31:22</t>
  </si>
  <si>
    <t>mutants/mp/111/137/00000003/Options.java</t>
  </si>
  <si>
    <t>mutants/mp/111/137/00000003/Options.class</t>
  </si>
  <si>
    <t>2024-01-10 14:31:26</t>
  </si>
  <si>
    <t>mutants/mp/112/120/00000002/Options.java</t>
  </si>
  <si>
    <t>mutants/mp/112/120/00000002/Options.class</t>
  </si>
  <si>
    <t>mutants/mp/116/153/00000003/Options.java</t>
  </si>
  <si>
    <t>mutants/mp/116/153/00000003/Options.class</t>
  </si>
  <si>
    <t>2024-01-10 14:31:29</t>
  </si>
  <si>
    <t>mutants/mp/109/124/00000001/Options.java</t>
  </si>
  <si>
    <t>mutants/mp/109/124/00000001/Options.class</t>
  </si>
  <si>
    <t>mutants/mp/110/114/00000005/Options.java</t>
  </si>
  <si>
    <t>mutants/mp/110/114/00000005/Options.class</t>
  </si>
  <si>
    <t>2024-01-10 14:31:33</t>
  </si>
  <si>
    <t>mutants/mp/110/123/00000001/Options.java</t>
  </si>
  <si>
    <t>mutants/mp/110/123/00000001/Options.class</t>
  </si>
  <si>
    <t>mutants/mp/113/160/00000002/Options.java</t>
  </si>
  <si>
    <t>mutants/mp/113/160/00000002/Options.class</t>
  </si>
  <si>
    <t>2024-01-10 14:31:34</t>
  </si>
  <si>
    <t>mutants/mp/117/168/00000002/Options.java</t>
  </si>
  <si>
    <t>mutants/mp/117/168/00000002/Options.class</t>
  </si>
  <si>
    <t>2024-01-10 14:31:37</t>
  </si>
  <si>
    <t>mutants/mp/116/144/00000001/Options.java</t>
  </si>
  <si>
    <t>mutants/mp/116/144/00000001/Options.class</t>
  </si>
  <si>
    <t>2024-01-10 14:31:39</t>
  </si>
  <si>
    <t xml:space="preserve">hasOption
</t>
  </si>
  <si>
    <t>mutants/mp/117/141/00000005/Options.java</t>
  </si>
  <si>
    <t>mutants/mp/117/141/00000005/Options.class</t>
  </si>
  <si>
    <t>mutants/mp/110/140/00000004/Options.java</t>
  </si>
  <si>
    <t>mutants/mp/110/140/00000004/Options.class</t>
  </si>
  <si>
    <t>2024-01-10 14:31:48</t>
  </si>
  <si>
    <t>mutants/mp/116/147/00000004/Options.java</t>
  </si>
  <si>
    <t>mutants/mp/116/147/00000004/Options.class</t>
  </si>
  <si>
    <t>2024-01-10 14:31:49</t>
  </si>
  <si>
    <t>mutants/mp/115/167/00000001/Options.java</t>
  </si>
  <si>
    <t>mutants/mp/115/167/00000001/Options.class</t>
  </si>
  <si>
    <t>2024-01-10 14:31:51</t>
  </si>
  <si>
    <t>mutants/mp/116/165/00000001/Options.java</t>
  </si>
  <si>
    <t>2024-01-10 14:31:53</t>
  </si>
  <si>
    <t>mutants/mp/109/125/00000001/Options.java</t>
  </si>
  <si>
    <t>mutants/mp/109/125/00000001/Options.class</t>
  </si>
  <si>
    <t>2024-01-10 14:31:56</t>
  </si>
  <si>
    <t>mutants/mp/116/153/00000004/Options.java</t>
  </si>
  <si>
    <t>mutants/mp/116/153/00000004/Options.class</t>
  </si>
  <si>
    <t>2024-01-10 14:32:00</t>
  </si>
  <si>
    <t>mutants/mp/117/141/00000006/Options.java</t>
  </si>
  <si>
    <t>mutants/mp/117/141/00000006/Options.class</t>
  </si>
  <si>
    <t>2024-01-10 14:32:01</t>
  </si>
  <si>
    <t>mutants/mp/112/120/00000003/Options.java</t>
  </si>
  <si>
    <t>mutants/mp/112/120/00000003/Options.class</t>
  </si>
  <si>
    <t>mutants/mp/113/166/00000001/Options.java</t>
  </si>
  <si>
    <t>mutants/mp/113/166/00000001/Options.class</t>
  </si>
  <si>
    <t>2024-01-10 14:32:03</t>
  </si>
  <si>
    <t>mutants/mp/110/114/00000006/Options.java</t>
  </si>
  <si>
    <t>mutants/mp/110/114/00000006/Options.class</t>
  </si>
  <si>
    <t>2024-01-10 14:32:10</t>
  </si>
  <si>
    <t>DECLARED_YES</t>
  </si>
  <si>
    <t>mutants/mp/115/167/00000002/Options.java</t>
  </si>
  <si>
    <t>mutants/mp/115/167/00000002/Options.class</t>
  </si>
  <si>
    <t>2024-01-10 14:32:12</t>
  </si>
  <si>
    <t>224,225,232</t>
  </si>
  <si>
    <t>mutants/mp/114/154/00000001/Options.java</t>
  </si>
  <si>
    <t>mutants/mp/114/154/00000001/Options.class</t>
  </si>
  <si>
    <t>mutants/mp/116/147/00000005/Options.java</t>
  </si>
  <si>
    <t>mutants/mp/116/147/00000005/Options.class</t>
  </si>
  <si>
    <t>2024-01-10 14:32:15</t>
  </si>
  <si>
    <t>mutants/mp/109/124/00000002/Options.java</t>
  </si>
  <si>
    <t>mutants/mp/109/124/00000002/Options.class</t>
  </si>
  <si>
    <t>2024-01-10 14:32:24</t>
  </si>
  <si>
    <t>mutants/mp/115/148/00000001/Options.java</t>
  </si>
  <si>
    <t>mutants/mp/115/148/00000001/Options.class</t>
  </si>
  <si>
    <t>2024-01-10 14:32:25</t>
  </si>
  <si>
    <t>mutants/mp/109/136/00000001/Options.java</t>
  </si>
  <si>
    <t>mutants/mp/109/136/00000001/Options.class</t>
  </si>
  <si>
    <t>mutants/mp/116/147/00000006/Options.java</t>
  </si>
  <si>
    <t>mutants/mp/116/147/00000006/Options.class</t>
  </si>
  <si>
    <t>2024-01-10 14:32:26</t>
  </si>
  <si>
    <t>mutants/mp/117/146/00000003/Options.java</t>
  </si>
  <si>
    <t>mutants/mp/117/146/00000003/Options.class</t>
  </si>
  <si>
    <t>mutants/mp/117/168/00000003/Options.java</t>
  </si>
  <si>
    <t>mutants/mp/117/168/00000003/Options.class</t>
  </si>
  <si>
    <t>2024-01-10 14:32:27</t>
  </si>
  <si>
    <t>mutants/mp/111/139/00000001/Options.java</t>
  </si>
  <si>
    <t>mutants/mp/111/139/00000001/Options.class</t>
  </si>
  <si>
    <t>2024-01-10 14:32:30</t>
  </si>
  <si>
    <t>mutants/mp/115/167/00000003/Options.java</t>
  </si>
  <si>
    <t>mutants/mp/115/167/00000003/Options.class</t>
  </si>
  <si>
    <t>2024-01-10 14:32:32</t>
  </si>
  <si>
    <t>mutants/mp/113/166/00000002/Options.java</t>
  </si>
  <si>
    <t>mutants/mp/113/166/00000002/Options.class</t>
  </si>
  <si>
    <t>2024-01-10 14:32:33</t>
  </si>
  <si>
    <t>mutants/mp/116/153/00000005/Options.java</t>
  </si>
  <si>
    <t>mutants/mp/116/153/00000005/Options.class</t>
  </si>
  <si>
    <t>2024-01-10 14:32:35</t>
  </si>
  <si>
    <t>mutants/mp/111/127/00000002/Options.java</t>
  </si>
  <si>
    <t>mutants/mp/111/127/00000002/Options.class</t>
  </si>
  <si>
    <t>2024-01-10 14:32:38</t>
  </si>
  <si>
    <t>mutants/mp/116/147/00000007/Options.java</t>
  </si>
  <si>
    <t>mutants/mp/116/147/00000007/Options.class</t>
  </si>
  <si>
    <t>2024-01-10 14:32:44</t>
  </si>
  <si>
    <t>mutants/mp/117/141/00000007/Options.java</t>
  </si>
  <si>
    <t>mutants/mp/117/141/00000007/Options.class</t>
  </si>
  <si>
    <t>2024-01-10 14:32:46</t>
  </si>
  <si>
    <t>mutants/mp/112/130/00000001/Options.java</t>
  </si>
  <si>
    <t>mutants/mp/112/130/00000001/Options.class</t>
  </si>
  <si>
    <t>2024-01-10 14:32:50</t>
  </si>
  <si>
    <t>mutants/mp/112/120/00000004/Options.java</t>
  </si>
  <si>
    <t>mutants/mp/112/120/00000004/Options.class</t>
  </si>
  <si>
    <t>2024-01-10 14:32:52</t>
  </si>
  <si>
    <t>mutants/mp/113/157/00000001/Options.java</t>
  </si>
  <si>
    <t>mutants/mp/113/157/00000001/Options.class</t>
  </si>
  <si>
    <t>mutants/mp/110/123/00000002/Options.java</t>
  </si>
  <si>
    <t>mutants/mp/110/123/00000002/Options.class</t>
  </si>
  <si>
    <t>2024-01-10 14:32:57</t>
  </si>
  <si>
    <t>mutants/mp/116/147/00000008/Options.java</t>
  </si>
  <si>
    <t>mutants/mp/116/147/00000008/Options.class</t>
  </si>
  <si>
    <t>2024-01-10 14:32:59</t>
  </si>
  <si>
    <t>mutants/mp/112/130/00000002/Options.java</t>
  </si>
  <si>
    <t>mutants/mp/112/130/00000002/Options.class</t>
  </si>
  <si>
    <t>ASSUMED_YES</t>
  </si>
  <si>
    <t>mutants/mp/113/160/00000003/Options.java</t>
  </si>
  <si>
    <t>mutants/mp/113/160/00000003/Options.class</t>
  </si>
  <si>
    <t>2024-01-10 14:33:03</t>
  </si>
  <si>
    <t>mutants/mp/117/168/00000004/Options.java</t>
  </si>
  <si>
    <t>mutants/mp/109/112/00000001/Options.java</t>
  </si>
  <si>
    <t>mutants/mp/109/112/00000001/Options.class</t>
  </si>
  <si>
    <t>2024-01-10 14:33:10</t>
  </si>
  <si>
    <t>mutants/mp/116/153/00000006/Options.java</t>
  </si>
  <si>
    <t>mutants/mp/116/153/00000006/Options.class</t>
  </si>
  <si>
    <t>mutants/mp/112/130/00000003/Options.java</t>
  </si>
  <si>
    <t>mutants/mp/112/130/00000003/Options.class</t>
  </si>
  <si>
    <t>2024-01-10 14:33:13</t>
  </si>
  <si>
    <t>mutants/mp/111/133/00000001/Options.java</t>
  </si>
  <si>
    <t>mutants/mp/111/133/00000001/Options.class</t>
  </si>
  <si>
    <t>2024-01-10 14:33:14</t>
  </si>
  <si>
    <t>mutants/mp/109/124/00000003/Options.java</t>
  </si>
  <si>
    <t>mutants/mp/109/124/00000003/Options.class</t>
  </si>
  <si>
    <t>2024-01-10 14:33:15</t>
  </si>
  <si>
    <t>mutants/mp/109/136/00000002/Options.java</t>
  </si>
  <si>
    <t>mutants/mp/109/136/00000002/Options.class</t>
  </si>
  <si>
    <t>mutants/mp/116/147/00000009/Options.java</t>
  </si>
  <si>
    <t>mutants/mp/116/147/00000009/Options.class</t>
  </si>
  <si>
    <t>2024-01-10 14:33:18</t>
  </si>
  <si>
    <t>mutants/mp/115/143/00000001/Options.java</t>
  </si>
  <si>
    <t>mutants/mp/115/143/00000001/Options.class</t>
  </si>
  <si>
    <t>2024-01-10 14:33:23</t>
  </si>
  <si>
    <t>mutants/mp/116/153/00000007/Options.java</t>
  </si>
  <si>
    <t>mutants/mp/116/153/00000007/Options.class</t>
  </si>
  <si>
    <t>2024-01-10 14:33:28</t>
  </si>
  <si>
    <t>mutants/mp/112/130/00000004/Options.java</t>
  </si>
  <si>
    <t>mutants/mp/112/130/00000004/Options.class</t>
  </si>
  <si>
    <t>2024-01-10 14:33:29</t>
  </si>
  <si>
    <t>mutants/mp/117/141/00000008/Options.java</t>
  </si>
  <si>
    <t>mutants/mp/117/141/00000008/Options.class</t>
  </si>
  <si>
    <t>2024-01-10 14:33:31</t>
  </si>
  <si>
    <t>mutants/mp/112/120/00000005/Options.java</t>
  </si>
  <si>
    <t>mutants/mp/112/120/00000005/Options.class</t>
  </si>
  <si>
    <t>2024-01-10 14:33:32</t>
  </si>
  <si>
    <t>mutants/mp/114/164/00000002/Options.java</t>
  </si>
  <si>
    <t>mutants/mp/114/164/00000002/Options.class</t>
  </si>
  <si>
    <t>2024-01-10 14:33:35</t>
  </si>
  <si>
    <t>mutants/mp/116/147/00000010/Options.java</t>
  </si>
  <si>
    <t>mutants/mp/116/147/00000010/Options.class</t>
  </si>
  <si>
    <t>2024-01-10 14:33:36</t>
  </si>
  <si>
    <t>mutants/mp/115/148/00000002/Options.java</t>
  </si>
  <si>
    <t>mutants/mp/115/148/00000002/Options.class</t>
  </si>
  <si>
    <t>2024-01-10 14:33:39</t>
  </si>
  <si>
    <t>mutants/mp/112/130/00000005/Options.java</t>
  </si>
  <si>
    <t>mutants/mp/112/130/00000005/Options.class</t>
  </si>
  <si>
    <t>2024-01-10 14:33:44</t>
  </si>
  <si>
    <t>mutants/mp/113/160/00000004/Options.java</t>
  </si>
  <si>
    <t>mutants/mp/113/160/00000004/Options.class</t>
  </si>
  <si>
    <t>2024-01-10 14:33:47</t>
  </si>
  <si>
    <t xml:space="preserve">toString, stripLeadingHyphens
</t>
  </si>
  <si>
    <t>mutants/mp/115/167/00000004/Options.java</t>
  </si>
  <si>
    <t>2024-01-10 14:33:48</t>
  </si>
  <si>
    <t>mutants/mp/117/141/00000009/Options.java</t>
  </si>
  <si>
    <t>mutants/mp/117/141/00000009/Options.class</t>
  </si>
  <si>
    <t>mutants/mp/110/114/00000007/Options.java</t>
  </si>
  <si>
    <t>mutants/mp/110/114/00000007/Options.class</t>
  </si>
  <si>
    <t>mutants/mp/113/166/00000003/Options.java</t>
  </si>
  <si>
    <t>mutants/mp/113/166/00000003/Options.class</t>
  </si>
  <si>
    <t>2024-01-10 14:33:51</t>
  </si>
  <si>
    <t>mutants/mp/116/147/00000011/Options.java</t>
  </si>
  <si>
    <t>mutants/mp/116/147/00000011/Options.class</t>
  </si>
  <si>
    <t>2024-01-10 14:33:53</t>
  </si>
  <si>
    <t>mutants/mp/114/149/00000001/Options.java</t>
  </si>
  <si>
    <t>mutants/mp/114/149/00000001/Options.class</t>
  </si>
  <si>
    <t>mutants/mp/115/143/00000002/Options.java</t>
  </si>
  <si>
    <t>mutants/mp/115/143/00000002/Options.class</t>
  </si>
  <si>
    <t>2024-01-10 14:34:06</t>
  </si>
  <si>
    <t>mutants/mp/115/167/00000005/Options.java</t>
  </si>
  <si>
    <t>mutants/mp/115/167/00000005/Options.class</t>
  </si>
  <si>
    <t>2024-01-10 14:34:08</t>
  </si>
  <si>
    <t>mutants/mp/114/152/00000002/Options.java</t>
  </si>
  <si>
    <t>mutants/mp/114/152/00000002/Options.class</t>
  </si>
  <si>
    <t>2024-01-10 14:34:10</t>
  </si>
  <si>
    <t>mutants/mp/113/160/00000005/Options.java</t>
  </si>
  <si>
    <t>mutants/mp/113/160/00000005/Options.class</t>
  </si>
  <si>
    <t>2024-01-10 14:34:12</t>
  </si>
  <si>
    <t>PENDING_TEST</t>
  </si>
  <si>
    <t>mutants/mp/112/130/00000006/Options.java</t>
  </si>
  <si>
    <t>mutants/mp/112/130/00000006/Options.class</t>
  </si>
  <si>
    <t>mutants/mp/115/167/00000006/Options.java</t>
  </si>
  <si>
    <t>mutants/mp/115/167/00000006/Options.class</t>
  </si>
  <si>
    <t>2024-01-10 14:34:19</t>
  </si>
  <si>
    <t>mutants/mp/114/149/00000002/Options.java</t>
  </si>
  <si>
    <t>mutants/mp/114/149/00000002/Options.class</t>
  </si>
  <si>
    <t>mutants/mp/113/166/00000004/Options.java</t>
  </si>
  <si>
    <t>mutants/mp/113/166/00000004/Options.class</t>
  </si>
  <si>
    <t>2024-01-10 14:34:21</t>
  </si>
  <si>
    <t>mutants/mp/112/130/00000007/Options.java</t>
  </si>
  <si>
    <t>mutants/mp/112/130/00000007/Options.class</t>
  </si>
  <si>
    <t>2024-01-10 14:34:23</t>
  </si>
  <si>
    <t>mutants/mp/117/141/00000010/Options.java</t>
  </si>
  <si>
    <t>mutants/mp/117/141/00000010/Options.class</t>
  </si>
  <si>
    <t>2024-01-10 14:34:28</t>
  </si>
  <si>
    <t>mutants/mp/109/125/00000002/Options.java</t>
  </si>
  <si>
    <t>mutants/mp/109/125/00000002/Options.class</t>
  </si>
  <si>
    <t>2024-01-10 14:34:39</t>
  </si>
  <si>
    <t>mutants/mp/109/129/00000002/Options.java</t>
  </si>
  <si>
    <t>mutants/mp/109/129/00000002/Options.class</t>
  </si>
  <si>
    <t>2024-01-10 14:34:40</t>
  </si>
  <si>
    <t>mutants/mp/112/130/00000008/Options.java</t>
  </si>
  <si>
    <t>mutants/mp/112/130/00000008/Options.class</t>
  </si>
  <si>
    <t>2024-01-10 14:34:46</t>
  </si>
  <si>
    <t>mutants/mp/114/152/00000003/Options.java</t>
  </si>
  <si>
    <t>mutants/mp/114/152/00000003/Options.class</t>
  </si>
  <si>
    <t>2024-01-10 14:34:55</t>
  </si>
  <si>
    <t>mutants/mp/112/107/00000001/Options.java</t>
  </si>
  <si>
    <t>mutants/mp/112/107/00000001/Options.class</t>
  </si>
  <si>
    <t xml:space="preserve">addOption, hasShortOption
</t>
  </si>
  <si>
    <t>mutants/mp/113/160/00000006/Options.java</t>
  </si>
  <si>
    <t>mutants/mp/113/160/00000006/Options.class</t>
  </si>
  <si>
    <t>2024-01-10 14:34:58</t>
  </si>
  <si>
    <t>mutants/mp/116/144/00000002/Options.java</t>
  </si>
  <si>
    <t>mutants/mp/116/144/00000002/Options.class</t>
  </si>
  <si>
    <t>2024-01-10 14:35:04</t>
  </si>
  <si>
    <t>mutants/mp/114/152/00000004/Options.java</t>
  </si>
  <si>
    <t>mutants/mp/114/152/00000004/Options.class</t>
  </si>
  <si>
    <t>2024-01-10 14:35:10</t>
  </si>
  <si>
    <t>mutants/mp/114/149/00000003/Options.java</t>
  </si>
  <si>
    <t>mutants/mp/114/149/00000003/Options.class</t>
  </si>
  <si>
    <t>2024-01-10 14:35:12</t>
  </si>
  <si>
    <t>mutants/mp/115/167/00000007/Options.java</t>
  </si>
  <si>
    <t>mutants/mp/115/167/00000007/Options.class</t>
  </si>
  <si>
    <t>2024-01-10 14:35:19</t>
  </si>
  <si>
    <t>mutants/mp/110/128/00000001/Options.java</t>
  </si>
  <si>
    <t>mutants/mp/110/128/00000001/Options.class</t>
  </si>
  <si>
    <t>2024-01-10 14:35:24</t>
  </si>
  <si>
    <t>mutants/mp/112/107/00000002/Options.java</t>
  </si>
  <si>
    <t>mutants/mp/112/107/00000002/Options.class</t>
  </si>
  <si>
    <t>mutants/mp/114/149/00000004/Options.java</t>
  </si>
  <si>
    <t>mutants/mp/114/149/00000004/Options.class</t>
  </si>
  <si>
    <t>2024-01-10 14:35:32</t>
  </si>
  <si>
    <t>mutants/mp/109/124/00000004/Options.java</t>
  </si>
  <si>
    <t>2024-01-10 14:35:33</t>
  </si>
  <si>
    <t>mutants/mp/117/141/00000011/Options.java</t>
  </si>
  <si>
    <t>mutants/mp/117/141/00000011/Options.class</t>
  </si>
  <si>
    <t>mutants/mp/111/133/00000002/Options.java</t>
  </si>
  <si>
    <t>mutants/mp/111/133/00000002/Options.class</t>
  </si>
  <si>
    <t>2024-01-10 14:35:35</t>
  </si>
  <si>
    <t>mutants/mp/111/109/00000002/Options.java</t>
  </si>
  <si>
    <t>mutants/mp/111/109/00000002/Options.class</t>
  </si>
  <si>
    <t>mutants/mp/115/143/00000003/Options.java</t>
  </si>
  <si>
    <t>mutants/mp/115/143/00000003/Options.class</t>
  </si>
  <si>
    <t>mutants/mp/115/167/00000008/Options.java</t>
  </si>
  <si>
    <t>mutants/mp/115/167/00000008/Options.class</t>
  </si>
  <si>
    <t>2024-01-10 14:35:36</t>
  </si>
  <si>
    <t>mutants/mp/114/149/00000005/Options.java</t>
  </si>
  <si>
    <t>mutants/mp/114/149/00000005/Options.class</t>
  </si>
  <si>
    <t>2024-01-10 14:35:44</t>
  </si>
  <si>
    <t>mutants/mp/116/144/00000003/Options.java</t>
  </si>
  <si>
    <t>mutants/mp/116/144/00000003/Options.class</t>
  </si>
  <si>
    <t>mutants/mp/117/141/00000012/Options.java</t>
  </si>
  <si>
    <t>mutants/mp/117/141/00000012/Options.class</t>
  </si>
  <si>
    <t>2024-01-10 14:35:50</t>
  </si>
  <si>
    <t>mutants/mp/115/151/00000001/Options.java</t>
  </si>
  <si>
    <t>mutants/mp/115/151/00000001/Options.class</t>
  </si>
  <si>
    <t>2024-01-10 14:35:52</t>
  </si>
  <si>
    <t>mutants/mp/116/153/00000008/Options.java</t>
  </si>
  <si>
    <t>mutants/mp/116/153/00000008/Options.class</t>
  </si>
  <si>
    <t>2024-01-10 14:35:53</t>
  </si>
  <si>
    <t>mutants/mp/115/167/00000009/Options.java</t>
  </si>
  <si>
    <t>mutants/mp/115/167/00000009/Options.class</t>
  </si>
  <si>
    <t>2024-01-10 14:35:57</t>
  </si>
  <si>
    <t>228,229,231</t>
  </si>
  <si>
    <t>mutants/mp/110/128/00000002/Options.java</t>
  </si>
  <si>
    <t>mutants/mp/114/149/00000006/Options.java</t>
  </si>
  <si>
    <t>mutants/mp/114/149/00000006/Options.class</t>
  </si>
  <si>
    <t>2024-01-10 14:36:06</t>
  </si>
  <si>
    <t>mutants/mp/115/167/00000010/Options.java</t>
  </si>
  <si>
    <t>2024-01-10 14:36:14</t>
  </si>
  <si>
    <t>mutants/mp/117/141/00000013/Options.java</t>
  </si>
  <si>
    <t>mutants/mp/117/141/00000013/Options.class</t>
  </si>
  <si>
    <t>2024-01-10 14:36:16</t>
  </si>
  <si>
    <t>mutants/mp/115/143/00000004/Options.java</t>
  </si>
  <si>
    <t>mutants/mp/115/143/00000004/Options.class</t>
  </si>
  <si>
    <t>2024-01-10 14:36:20</t>
  </si>
  <si>
    <t>mutants/mp/116/144/00000004/Options.java</t>
  </si>
  <si>
    <t>mutants/mp/116/144/00000004/Options.class</t>
  </si>
  <si>
    <t>mutants/mp/117/168/00000005/Options.java</t>
  </si>
  <si>
    <t>2024-01-10 14:36:24</t>
  </si>
  <si>
    <t>mutants/mp/112/107/00000003/Options.java</t>
  </si>
  <si>
    <t>mutants/mp/112/107/00000003/Options.class</t>
  </si>
  <si>
    <t>2024-01-10 14:36:25</t>
  </si>
  <si>
    <t>127,146,168</t>
  </si>
  <si>
    <t xml:space="preserve">getOption, getMatchingOptions, hasOption
</t>
  </si>
  <si>
    <t>mutants/mp/116/153/00000009/Options.java</t>
  </si>
  <si>
    <t>mutants/mp/116/153/00000009/Options.class</t>
  </si>
  <si>
    <t>2024-01-10 14:36:33</t>
  </si>
  <si>
    <t xml:space="preserve">getOptions
</t>
  </si>
  <si>
    <t>mutants/mp/117/141/00000014/Options.java</t>
  </si>
  <si>
    <t>mutants/mp/117/141/00000014/Options.class</t>
  </si>
  <si>
    <t>2024-01-10 14:36:36</t>
  </si>
  <si>
    <t>mutants/mp/117/168/00000006/Options.java</t>
  </si>
  <si>
    <t>mutants/mp/117/168/00000006/Options.class</t>
  </si>
  <si>
    <t>2024-01-10 14:36:39</t>
  </si>
  <si>
    <t>mutants/mp/116/153/00000010/Options.java</t>
  </si>
  <si>
    <t>mutants/mp/116/153/00000010/Options.class</t>
  </si>
  <si>
    <t>mutants/mp/114/149/00000007/Options.java</t>
  </si>
  <si>
    <t>mutants/mp/114/149/00000007/Options.class</t>
  </si>
  <si>
    <t>mutants/mp/115/167/00000011/Options.java</t>
  </si>
  <si>
    <t>mutants/mp/115/167/00000011/Options.class</t>
  </si>
  <si>
    <t>2024-01-10 14:37:00</t>
  </si>
  <si>
    <t xml:space="preserve">getOptionGroup
</t>
  </si>
  <si>
    <t>mutants/mp/117/141/00000015/Options.java</t>
  </si>
  <si>
    <t>2024-01-10 14:37:03</t>
  </si>
  <si>
    <t>mutants/mp/114/152/00000005/Options.java</t>
  </si>
  <si>
    <t>mutants/mp/114/152/00000005/Options.class</t>
  </si>
  <si>
    <t>mutants/mp/112/107/00000004/Options.java</t>
  </si>
  <si>
    <t>mutants/mp/112/107/00000004/Options.class</t>
  </si>
  <si>
    <t>2024-01-10 14:37:04</t>
  </si>
  <si>
    <t>mutants/mp/111/139/00000002/Options.java</t>
  </si>
  <si>
    <t>mutants/mp/111/139/00000002/Options.class</t>
  </si>
  <si>
    <t>2024-01-10 14:37:05</t>
  </si>
  <si>
    <t>mutants/mp/110/128/00000003/Options.java</t>
  </si>
  <si>
    <t>mutants/mp/110/128/00000003/Options.class</t>
  </si>
  <si>
    <t>2024-01-10 14:37:09</t>
  </si>
  <si>
    <t>mutants/mp/116/144/00000005/Options.java</t>
  </si>
  <si>
    <t>mutants/mp/116/144/00000005/Options.class</t>
  </si>
  <si>
    <t>mutants/mp/114/149/00000008/Options.java</t>
  </si>
  <si>
    <t>mutants/mp/114/149/00000008/Options.class</t>
  </si>
  <si>
    <t>2024-01-10 14:37:16</t>
  </si>
  <si>
    <t>mutants/mp/114/152/00000006/Options.java</t>
  </si>
  <si>
    <t>mutants/mp/114/152/00000006/Options.class</t>
  </si>
  <si>
    <t>mutants/mp/116/153/00000011/Options.java</t>
  </si>
  <si>
    <t>mutants/mp/116/153/00000011/Options.class</t>
  </si>
  <si>
    <t>2024-01-10 14:37:27</t>
  </si>
  <si>
    <t>mutants/mp/117/141/00000016/Options.java</t>
  </si>
  <si>
    <t>mutants/mp/117/141/00000016/Options.class</t>
  </si>
  <si>
    <t>mutants/mp/114/149/00000009/Options.java</t>
  </si>
  <si>
    <t>mutants/mp/114/149/00000009/Options.class</t>
  </si>
  <si>
    <t>2024-01-10 14:37:34</t>
  </si>
  <si>
    <t>mutants/mp/114/152/00000007/Options.java</t>
  </si>
  <si>
    <t>mutants/mp/114/152/00000007/Options.class</t>
  </si>
  <si>
    <t>mutants/mp/116/153/00000012/Options.java</t>
  </si>
  <si>
    <t>mutants/mp/116/153/00000012/Options.class</t>
  </si>
  <si>
    <t>mutants/mp/114/149/00000010/Options.java</t>
  </si>
  <si>
    <t>mutants/mp/114/149/00000010/Options.class</t>
  </si>
  <si>
    <t>2024-01-10 14:37:53</t>
  </si>
  <si>
    <t>mutants/mp/112/107/00000005/Options.java</t>
  </si>
  <si>
    <t>mutants/mp/112/107/00000005/Options.class</t>
  </si>
  <si>
    <t>2024-01-10 14:37:57</t>
  </si>
  <si>
    <t>mutants/mp/114/152/00000008/Options.java</t>
  </si>
  <si>
    <t>mutants/mp/114/152/00000008/Options.class</t>
  </si>
  <si>
    <t>2024-01-10 14:38:02</t>
  </si>
  <si>
    <t>mutants/mp/117/141/00000017/Options.java</t>
  </si>
  <si>
    <t>mutants/mp/117/141/00000017/Options.class</t>
  </si>
  <si>
    <t>2024-01-10 14:38:05</t>
  </si>
  <si>
    <t>mutants/mp/116/153/00000013/Options.java</t>
  </si>
  <si>
    <t>mutants/mp/116/153/00000013/Options.class</t>
  </si>
  <si>
    <t>2024-01-10 14:38:18</t>
  </si>
  <si>
    <t>mutants/mp/117/168/00000007/Options.java</t>
  </si>
  <si>
    <t>mutants/mp/117/168/00000007/Options.class</t>
  </si>
  <si>
    <t>mutants/mp/114/149/00000011/Options.java</t>
  </si>
  <si>
    <t>mutants/mp/114/149/00000011/Options.class</t>
  </si>
  <si>
    <t>2024-01-10 14:38:24</t>
  </si>
  <si>
    <t>mutants/mp/112/107/00000006/Options.java</t>
  </si>
  <si>
    <t>mutants/mp/112/107/00000006/Options.class</t>
  </si>
  <si>
    <t>2024-01-10 14:39:01</t>
  </si>
  <si>
    <t>mutants/mp/110/128/00000004/Options.java</t>
  </si>
  <si>
    <t>mutants/mp/110/128/00000004/Options.class</t>
  </si>
  <si>
    <t>2024-01-10 14:39:13</t>
  </si>
  <si>
    <t>mutants/mp/114/152/00000009/Options.java</t>
  </si>
  <si>
    <t>mutants/mp/114/152/00000009/Options.class</t>
  </si>
  <si>
    <t>2024-01-10 14:39:14</t>
  </si>
  <si>
    <t>mutants/mp/115/167/00000012/Options.java</t>
  </si>
  <si>
    <t>mutants/mp/115/167/00000012/Options.class</t>
  </si>
  <si>
    <t>2024-01-10 14:39:20</t>
  </si>
  <si>
    <t>mutants/mp/116/153/00000014/Options.java</t>
  </si>
  <si>
    <t>mutants/mp/116/153/00000014/Options.class</t>
  </si>
  <si>
    <t>2024-01-10 14:39:27</t>
  </si>
  <si>
    <t>mutants/mp/115/167/00000013/Options.java</t>
  </si>
  <si>
    <t>mutants/mp/115/167/00000013/Options.class</t>
  </si>
  <si>
    <t>2024-01-10 14:39:38</t>
  </si>
  <si>
    <t>mutants/mp/109/112/00000002/Options.java</t>
  </si>
  <si>
    <t>mutants/mp/109/112/00000002/Options.class</t>
  </si>
  <si>
    <t>2024-01-10 14:39:39</t>
  </si>
  <si>
    <t>mutants/mp/117/141/00000018/Options.java</t>
  </si>
  <si>
    <t>mutants/mp/117/141/00000018/Options.class</t>
  </si>
  <si>
    <t>2024-01-10 14:39:52</t>
  </si>
  <si>
    <t>mutants/mp/117/141/00000019/Options.java</t>
  </si>
  <si>
    <t>mutants/mp/117/141/00000019/Options.class</t>
  </si>
  <si>
    <t>2024-01-10 14:40:12</t>
  </si>
  <si>
    <t>mutants/mp/109/112/00000003/Options.java</t>
  </si>
  <si>
    <t>mutants/mp/109/112/00000003/Options.class</t>
  </si>
  <si>
    <t>2024-01-10 14:40:24</t>
  </si>
  <si>
    <t>mutants/mp/117/141/00000020/Options.java</t>
  </si>
  <si>
    <t>mutants/mp/117/141/00000020/Options.class</t>
  </si>
  <si>
    <t>2024-01-10 14:40:44</t>
  </si>
  <si>
    <t>mutants/mp/111/137/00000004/Options.java</t>
  </si>
  <si>
    <t>2024-01-10 14:40:52</t>
  </si>
  <si>
    <t>mutants/mp/112/107/00000007/Options.java</t>
  </si>
  <si>
    <t>2024-01-10 14:40:54</t>
  </si>
  <si>
    <t>mutants/mp/111/137/00000005/Options.java</t>
  </si>
  <si>
    <t>mutants/mp/111/137/00000005/Options.class</t>
  </si>
  <si>
    <t>2024-01-10 14:41:20</t>
  </si>
  <si>
    <t>mutants/mp/117/141/00000021/Options.java</t>
  </si>
  <si>
    <t>2024-01-10 14:42:09</t>
  </si>
  <si>
    <t>mutants/mp/110/115/00000005/Options.java</t>
  </si>
  <si>
    <t>mutants/mp/110/115/00000005/Options.class</t>
  </si>
  <si>
    <t>2024-01-10 14:42:27</t>
  </si>
  <si>
    <t>mutants/mp/112/107/00000008/Options.java</t>
  </si>
  <si>
    <t>mutants/mp/112/107/00000008/Options.class</t>
  </si>
  <si>
    <t>2024-01-10 14:42:45</t>
  </si>
  <si>
    <t>mutants/mp/109/112/00000004/Options.java</t>
  </si>
  <si>
    <t>mutants/mp/109/112/00000004/Options.class</t>
  </si>
  <si>
    <t>mutants/mp/112/119/00000002/Options.java</t>
  </si>
  <si>
    <t>mutants/mp/112/119/00000002/Options.class</t>
  </si>
  <si>
    <t>mutants/mp/110/123/00000003/Options.java</t>
  </si>
  <si>
    <t>mutants/mp/110/123/00000003/Options.class</t>
  </si>
  <si>
    <t>2024-01-10 14:43:31</t>
  </si>
  <si>
    <t>mutants/mp/115/167/00000014/Options.java</t>
  </si>
  <si>
    <t>2024-01-10 14:43:51</t>
  </si>
  <si>
    <t>mutants/mp/115/167/00000015/Options.java</t>
  </si>
  <si>
    <t>mutants/mp/115/167/00000015/Options.class</t>
  </si>
  <si>
    <t>mutants/mp/109/125/00000003/Options.java</t>
  </si>
  <si>
    <t>mutants/mp/109/125/00000003/Options.class</t>
  </si>
  <si>
    <t>2024-01-10 14:45:10</t>
  </si>
  <si>
    <t>mutants/mp/109/125/00000004/Options.java</t>
  </si>
  <si>
    <t>mutants/mp/109/125/00000004/Options.class</t>
  </si>
  <si>
    <t>mutants/mp/117/141/00000022/Options.java</t>
  </si>
  <si>
    <t>mutants/mp/117/141/00000022/Options.class</t>
  </si>
  <si>
    <t>mutants/mp/116/153/00000015/Options.java</t>
  </si>
  <si>
    <t>mutants/mp/116/153/00000015/Options.class</t>
  </si>
  <si>
    <t>2024-01-10 14:45:54</t>
  </si>
  <si>
    <t>mutants/mp/117/141/00000023/Options.java</t>
  </si>
  <si>
    <t>mutants/mp/117/141/00000023/Options.class</t>
  </si>
  <si>
    <t>2024-01-10 14:46:08</t>
  </si>
  <si>
    <t>mutants/mp/117/141/00000024/Options.java</t>
  </si>
  <si>
    <t>mutants/mp/117/141/00000024/Options.class</t>
  </si>
  <si>
    <t>2024-01-10 14:46:31</t>
  </si>
  <si>
    <t>mutants/mp/109/125/00000005/Options.java</t>
  </si>
  <si>
    <t>mutants/mp/109/125/00000005/Options.class</t>
  </si>
  <si>
    <t>2024-01-10 14:46:32</t>
  </si>
  <si>
    <t>mutants/mp/110/115/00000006/Options.java</t>
  </si>
  <si>
    <t>2024-01-10 14:46:40</t>
  </si>
  <si>
    <t>mutants/mp/117/141/00000025/Options.java</t>
  </si>
  <si>
    <t>mutants/mp/117/141/00000025/Options.class</t>
  </si>
  <si>
    <t>2024-01-10 14:46:47</t>
  </si>
  <si>
    <t>mutants/mp/110/115/00000007/Options.java</t>
  </si>
  <si>
    <t>2024-01-10 14:47:08</t>
  </si>
  <si>
    <t>mutants/mp/117/141/00000026/Options.java</t>
  </si>
  <si>
    <t>mutants/mp/117/141/00000026/Options.class</t>
  </si>
  <si>
    <t>mutants/mp/110/115/00000008/Options.java</t>
  </si>
  <si>
    <t>2024-01-10 14:47:27</t>
  </si>
  <si>
    <t>mutants/mp/110/115/00000009/Options.java</t>
  </si>
  <si>
    <t>mutants/mp/110/115/00000009/Options.class</t>
  </si>
  <si>
    <t>2024-01-10 14:47:42</t>
  </si>
  <si>
    <t>mutants/mp/117/141/00000027/Options.java</t>
  </si>
  <si>
    <t>mutants/mp/117/141/00000027/Options.class</t>
  </si>
  <si>
    <t>2024-01-10 14:47:51</t>
  </si>
  <si>
    <t>mutants/mp/115/143/00000005/Options.java</t>
  </si>
  <si>
    <t>mutants/mp/115/143/00000005/Options.class</t>
  </si>
  <si>
    <t>2024-01-10 14:48:02</t>
  </si>
  <si>
    <t>mutants/mp/117/141/00000028/Options.java</t>
  </si>
  <si>
    <t>mutants/mp/117/141/00000028/Options.class</t>
  </si>
  <si>
    <t>2024-01-10 14:48:05</t>
  </si>
  <si>
    <t>mutants/mp/109/112/00000005/Options.java</t>
  </si>
  <si>
    <t>mutants/mp/109/112/00000005/Options.class</t>
  </si>
  <si>
    <t>2024-01-10 14:49:10</t>
  </si>
  <si>
    <t>mutants/mp/117/141/00000029/Options.java</t>
  </si>
  <si>
    <t>mutants/mp/117/141/00000029/Options.class</t>
  </si>
  <si>
    <t>2024-01-10 14:49:27</t>
  </si>
  <si>
    <t>mutants/mp/112/107/00000009/Options.java</t>
  </si>
  <si>
    <t>mutants/mp/112/107/00000009/Options.class</t>
  </si>
  <si>
    <t>2024-01-10 14:50:54</t>
  </si>
  <si>
    <t>mutants/mp/115/143/00000006/Options.java</t>
  </si>
  <si>
    <t>mutants/mp/115/143/00000006/Options.class</t>
  </si>
  <si>
    <t>2024-01-10 14:51:00</t>
  </si>
  <si>
    <t>mutants/mp/110/115/00000010/Options.java</t>
  </si>
  <si>
    <t>mutants/mp/110/115/00000010/Options.class</t>
  </si>
  <si>
    <t>2024-01-10 14:51:20</t>
  </si>
  <si>
    <t>mutants/mp/113/142/00000001/Options.java</t>
  </si>
  <si>
    <t>mutants/mp/113/142/00000001/Options.class</t>
  </si>
  <si>
    <t>2024-01-10 14:51:29</t>
  </si>
  <si>
    <t>mutants/mp/114/152/00000010/Options.java</t>
  </si>
  <si>
    <t>mutants/mp/114/152/00000010/Options.class</t>
  </si>
  <si>
    <t>mutants/mp/117/141/00000030/Options.java</t>
  </si>
  <si>
    <t>mutants/mp/117/141/00000030/Options.class</t>
  </si>
  <si>
    <t>2024-01-10 14:51:48</t>
  </si>
  <si>
    <t>mutants/mp/110/115/00000011/Options.java</t>
  </si>
  <si>
    <t>mutants/mp/110/115/00000011/Options.class</t>
  </si>
  <si>
    <t>mutants/mp/114/152/00000011/Options.java</t>
  </si>
  <si>
    <t>mutants/mp/114/152/00000011/Options.class</t>
  </si>
  <si>
    <t>2024-01-10 14:52:05</t>
  </si>
  <si>
    <t>mutants/mp/114/152/00000012/Options.java</t>
  </si>
  <si>
    <t>mutants/mp/114/152/00000012/Options.class</t>
  </si>
  <si>
    <t>2024-01-10 14:52:20</t>
  </si>
  <si>
    <t>mutants/mp/112/120/00000006/Options.java</t>
  </si>
  <si>
    <t>mutants/mp/112/120/00000006/Options.class</t>
  </si>
  <si>
    <t>2024-01-10 14:52:26</t>
  </si>
  <si>
    <t>mutants/mp/110/115/00000012/Options.java</t>
  </si>
  <si>
    <t>mutants/mp/110/115/00000012/Options.class</t>
  </si>
  <si>
    <t>mutants/mp/114/152/00000013/Options.java</t>
  </si>
  <si>
    <t>mutants/mp/114/152/00000013/Options.class</t>
  </si>
  <si>
    <t>2024-01-10 14:52:39</t>
  </si>
  <si>
    <t>mutants/mp/113/166/00000005/Options.java</t>
  </si>
  <si>
    <t>mutants/mp/113/166/00000005/Options.class</t>
  </si>
  <si>
    <t>2024-01-10 14:52:40</t>
  </si>
  <si>
    <t>mutants/mp/109/112/00000006/Options.java</t>
  </si>
  <si>
    <t>mutants/mp/109/112/00000006/Options.class</t>
  </si>
  <si>
    <t>2024-01-10 14:52:56</t>
  </si>
  <si>
    <t>mutants/mp/114/152/00000014/Options.java</t>
  </si>
  <si>
    <t>mutants/mp/114/152/00000014/Options.class</t>
  </si>
  <si>
    <t>2024-01-10 14:52:58</t>
  </si>
  <si>
    <t>mutants/mp/112/130/00000009/Options.java</t>
  </si>
  <si>
    <t>mutants/mp/112/130/00000009/Options.class</t>
  </si>
  <si>
    <t>2024-01-10 14:53:00</t>
  </si>
  <si>
    <t>mutants/mp/117/141/00000031/Options.java</t>
  </si>
  <si>
    <t>mutants/mp/117/141/00000031/Options.class</t>
  </si>
  <si>
    <t>mutants/mp/114/152/00000015/Options.java</t>
  </si>
  <si>
    <t>mutants/mp/114/152/00000015/Options.class</t>
  </si>
  <si>
    <t>mutants/mp/112/120/00000007/Options.java</t>
  </si>
  <si>
    <t>mutants/mp/112/120/00000007/Options.class</t>
  </si>
  <si>
    <t>2024-01-10 14:53:49</t>
  </si>
  <si>
    <t>mutants/mp/114/152/00000016/Options.java</t>
  </si>
  <si>
    <t>mutants/mp/114/152/00000016/Options.class</t>
  </si>
  <si>
    <t>2024-01-10 14:54:02</t>
  </si>
  <si>
    <t>mutants/mp/113/166/00000006/Options.java</t>
  </si>
  <si>
    <t>mutants/mp/113/166/00000006/Options.class</t>
  </si>
  <si>
    <t>2024-01-10 14:54:25</t>
  </si>
  <si>
    <t>mutants/mp/114/152/00000017/Options.java</t>
  </si>
  <si>
    <t>mutants/mp/114/152/00000017/Options.class</t>
  </si>
  <si>
    <t>2024-01-10 14:55:01</t>
  </si>
  <si>
    <t>mutants/mp/114/152/00000018/Options.java</t>
  </si>
  <si>
    <t>mutants/mp/114/152/00000018/Options.class</t>
  </si>
  <si>
    <t>mutants/mp/112/120/00000008/Options.java</t>
  </si>
  <si>
    <t>mutants/mp/112/120/00000008/Options.class</t>
  </si>
  <si>
    <t>mutants/mp/112/130/00000010/Options.java</t>
  </si>
  <si>
    <t>mutants/mp/112/130/00000010/Options.class</t>
  </si>
  <si>
    <t>2024-01-10 14:56:26</t>
  </si>
  <si>
    <t>mutants/mp/112/130/00000011/Options.java</t>
  </si>
  <si>
    <t>mutants/mp/112/130/00000011/Options.class</t>
  </si>
  <si>
    <t>2024-01-10 14:56:37</t>
  </si>
  <si>
    <t>mutants/mp/114/152/00000019/Options.java</t>
  </si>
  <si>
    <t>mutants/mp/112/130/00000012/Options.java</t>
  </si>
  <si>
    <t>mutants/mp/112/130/00000012/Options.class</t>
  </si>
  <si>
    <t>2024-01-10 14:56:44</t>
  </si>
  <si>
    <t>mutants/mp/112/120/00000009/Options.java</t>
  </si>
  <si>
    <t>mutants/mp/112/120/00000009/Options.class</t>
  </si>
  <si>
    <t>mutants/mp/112/130/00000013/Options.java</t>
  </si>
  <si>
    <t>mutants/mp/112/130/00000013/Options.class</t>
  </si>
  <si>
    <t>2024-01-10 14:56:56</t>
  </si>
  <si>
    <t>mutants/mp/112/107/00000010/Options.java</t>
  </si>
  <si>
    <t>mutants/mp/112/107/00000010/Options.class</t>
  </si>
  <si>
    <t>2024-01-10 14:57:05</t>
  </si>
  <si>
    <t>mutants/mp/112/120/00000010/Options.java</t>
  </si>
  <si>
    <t>mutants/mp/112/120/00000010/Options.class</t>
  </si>
  <si>
    <t>2024-01-10 14:57:10</t>
  </si>
  <si>
    <t>mutants/mp/115/151/00000002/Options.java</t>
  </si>
  <si>
    <t>mutants/mp/115/151/00000002/Options.class</t>
  </si>
  <si>
    <t>2024-01-10 14:57:12</t>
  </si>
  <si>
    <t>mutants/mp/112/130/00000014/Options.java</t>
  </si>
  <si>
    <t>mutants/mp/112/130/00000014/Options.class</t>
  </si>
  <si>
    <t>2024-01-10 14:57:14</t>
  </si>
  <si>
    <t>mutants/mp/110/115/00000013/Options.java</t>
  </si>
  <si>
    <t>mutants/mp/110/115/00000013/Options.class</t>
  </si>
  <si>
    <t>2024-01-10 14:57:20</t>
  </si>
  <si>
    <t>mutants/mp/112/107/00000011/Options.java</t>
  </si>
  <si>
    <t>mutants/mp/112/107/00000011/Options.class</t>
  </si>
  <si>
    <t>mutants/mp/112/130/00000015/Options.java</t>
  </si>
  <si>
    <t>mutants/mp/112/130/00000015/Options.class</t>
  </si>
  <si>
    <t>mutants/mp/110/115/00000014/Options.java</t>
  </si>
  <si>
    <t>mutants/mp/110/115/00000014/Options.class</t>
  </si>
  <si>
    <t>mutants/mp/114/152/00000020/Options.java</t>
  </si>
  <si>
    <t>2024-01-10 14:58:02</t>
  </si>
  <si>
    <t>mutants/mp/110/115/00000015/Options.java</t>
  </si>
  <si>
    <t>mutants/mp/110/115/00000015/Options.class</t>
  </si>
  <si>
    <t>2024-01-10 14:58:30</t>
  </si>
  <si>
    <t>mutants/mp/112/107/00000012/Options.java</t>
  </si>
  <si>
    <t>mutants/mp/112/107/00000012/Options.class</t>
  </si>
  <si>
    <t>2024-01-10 14:58:38</t>
  </si>
  <si>
    <t>mutants/mp/112/107/00000013/Options.java</t>
  </si>
  <si>
    <t>mutants/mp/112/107/00000013/Options.class</t>
  </si>
  <si>
    <t>2024-01-10 14:59:01</t>
  </si>
  <si>
    <t>mutants/mp/115/151/00000003/Options.java</t>
  </si>
  <si>
    <t>mutants/mp/115/151/00000003/Options.class</t>
  </si>
  <si>
    <t>2024-01-10 14:59:03</t>
  </si>
  <si>
    <t>mutants/mp/110/115/00000016/Options.java</t>
  </si>
  <si>
    <t>mutants/mp/110/115/00000016/Options.class</t>
  </si>
  <si>
    <t>2024-01-10 14:59:15</t>
  </si>
  <si>
    <t>mutants/mp/109/112/00000007/Options.java</t>
  </si>
  <si>
    <t>mutants/mp/109/112/00000007/Options.class</t>
  </si>
  <si>
    <t>2024-01-10 14:59:16</t>
  </si>
  <si>
    <t>mutants/mp/117/163/00000002/Options.java</t>
  </si>
  <si>
    <t>mutants/mp/117/163/00000002/Options.class</t>
  </si>
  <si>
    <t>2024-01-10 14:59:37</t>
  </si>
  <si>
    <t>mutants/mp/110/115/00000017/Options.java</t>
  </si>
  <si>
    <t>mutants/mp/110/115/00000017/Options.class</t>
  </si>
  <si>
    <t>2024-01-10 14:59:40</t>
  </si>
  <si>
    <t>mutants/mp/111/133/00000003/Options.java</t>
  </si>
  <si>
    <t>2024-01-10 14:59:45</t>
  </si>
  <si>
    <t>mutants/mp/117/141/00000032/Options.java</t>
  </si>
  <si>
    <t>mutants/mp/117/141/00000032/Options.class</t>
  </si>
  <si>
    <t>mutants/mp/114/164/00000003/Options.java</t>
  </si>
  <si>
    <t>mutants/mp/114/164/00000003/Options.class</t>
  </si>
  <si>
    <t>2024-01-10 14:59:56</t>
  </si>
  <si>
    <t>mutants/mp/115/151/00000004/Options.java</t>
  </si>
  <si>
    <t>mutants/mp/115/151/00000004/Options.class</t>
  </si>
  <si>
    <t>mutants/mp/110/115/00000018/Options.java</t>
  </si>
  <si>
    <t>2024-01-10 15:00:06</t>
  </si>
  <si>
    <t>mutants/mp/112/107/00000014/Options.java</t>
  </si>
  <si>
    <t>mutants/mp/112/107/00000014/Options.class</t>
  </si>
  <si>
    <t>2024-01-10 15:00:07</t>
  </si>
  <si>
    <t>mutants/mp/121/115/00000001/Document.java</t>
  </si>
  <si>
    <t>mutants/mp/121/115/00000001/Document.class</t>
  </si>
  <si>
    <t>2024-01-10 15:02:00</t>
  </si>
  <si>
    <t>mutants/mp/118/107/00000001/Document.java</t>
  </si>
  <si>
    <t>mutants/mp/118/107/00000001/Document.class</t>
  </si>
  <si>
    <t>2024-01-10 15:02:03</t>
  </si>
  <si>
    <t>mutants/mp/122/151/00000001/Document.java</t>
  </si>
  <si>
    <t>mutants/mp/122/151/00000001/Document.class</t>
  </si>
  <si>
    <t>2024-01-10 15:02:08</t>
  </si>
  <si>
    <t>mutants/mp/120/120/00000001/Document.java</t>
  </si>
  <si>
    <t>mutants/mp/120/120/00000001/Document.class</t>
  </si>
  <si>
    <t>2024-01-10 15:02:09</t>
  </si>
  <si>
    <t>mutants/mp/126/141/00000001/Document.java</t>
  </si>
  <si>
    <t>mutants/mp/126/141/00000001/Document.class</t>
  </si>
  <si>
    <t>2024-01-10 15:02:10</t>
  </si>
  <si>
    <t xml:space="preserve">removeField
</t>
  </si>
  <si>
    <t>mutants/mp/120/137/00000001/Document.java</t>
  </si>
  <si>
    <t>mutants/mp/120/137/00000001/Document.class</t>
  </si>
  <si>
    <t>2024-01-10 15:02:12</t>
  </si>
  <si>
    <t>mutants/mp/118/114/00000001/Document.java</t>
  </si>
  <si>
    <t>mutants/mp/118/114/00000001/Document.class</t>
  </si>
  <si>
    <t>mutants/mp/121/115/00000002/Document.java</t>
  </si>
  <si>
    <t>mutants/mp/121/115/00000002/Document.class</t>
  </si>
  <si>
    <t>2024-01-10 15:02:14</t>
  </si>
  <si>
    <t>mutants/mp/120/129/00000001/Document.java</t>
  </si>
  <si>
    <t>mutants/mp/120/129/00000001/Document.class</t>
  </si>
  <si>
    <t>2024-01-10 15:02:15</t>
  </si>
  <si>
    <t xml:space="preserve">removeFields
</t>
  </si>
  <si>
    <t>mutants/mp/125/153/00000001/Document.java</t>
  </si>
  <si>
    <t>mutants/mp/125/153/00000001/Document.class</t>
  </si>
  <si>
    <t>mutants/mp/123/148/00000001/Document.java</t>
  </si>
  <si>
    <t>mutants/mp/123/148/00000001/Document.class</t>
  </si>
  <si>
    <t>2024-01-10 15:02:16</t>
  </si>
  <si>
    <t>mutants/mp/118/140/00000001/Document.java</t>
  </si>
  <si>
    <t>mutants/mp/118/140/00000001/Document.class</t>
  </si>
  <si>
    <t>2024-01-10 15:02:21</t>
  </si>
  <si>
    <t>mutants/mp/120/120/00000002/Document.java</t>
  </si>
  <si>
    <t>2024-01-10 15:02:22</t>
  </si>
  <si>
    <t>mutants/mp/121/115/00000003/Document.java</t>
  </si>
  <si>
    <t>mutants/mp/121/115/00000003/Document.class</t>
  </si>
  <si>
    <t>mutants/mp/123/146/00000001/Document.java</t>
  </si>
  <si>
    <t>mutants/mp/123/146/00000001/Document.class</t>
  </si>
  <si>
    <t>2024-01-10 15:02:23</t>
  </si>
  <si>
    <t>mutants/mp/126/141/00000002/Document.java</t>
  </si>
  <si>
    <t>mutants/mp/126/141/00000002/Document.class</t>
  </si>
  <si>
    <t>2024-01-10 15:02:24</t>
  </si>
  <si>
    <t>mutants/mp/126/149/00000001/Document.java</t>
  </si>
  <si>
    <t>mutants/mp/126/149/00000001/Document.class</t>
  </si>
  <si>
    <t>2024-01-10 15:02:27</t>
  </si>
  <si>
    <t>mutants/mp/125/153/00000002/Document.java</t>
  </si>
  <si>
    <t>mutants/mp/125/153/00000002/Document.class</t>
  </si>
  <si>
    <t>2024-01-10 15:02:28</t>
  </si>
  <si>
    <t>mutants/mp/119/119/00000001/Document.java</t>
  </si>
  <si>
    <t>mutants/mp/119/119/00000001/Document.class</t>
  </si>
  <si>
    <t xml:space="preserve">clear
</t>
  </si>
  <si>
    <t>mutants/mp/123/148/00000002/Document.java</t>
  </si>
  <si>
    <t>mutants/mp/123/148/00000002/Document.class</t>
  </si>
  <si>
    <t>2024-01-10 15:02:35</t>
  </si>
  <si>
    <t>mutants/mp/119/127/00000001/Document.java</t>
  </si>
  <si>
    <t>mutants/mp/119/127/00000001/Document.class</t>
  </si>
  <si>
    <t>mutants/mp/118/136/00000001/Document.java</t>
  </si>
  <si>
    <t>mutants/mp/118/136/00000001/Document.class</t>
  </si>
  <si>
    <t>2024-01-10 15:02:36</t>
  </si>
  <si>
    <t>mutants/mp/118/114/00000002/Document.java</t>
  </si>
  <si>
    <t>mutants/mp/118/114/00000002/Document.class</t>
  </si>
  <si>
    <t>2024-01-10 15:02:39</t>
  </si>
  <si>
    <t>mutants/mp/119/128/00000001/Document.java</t>
  </si>
  <si>
    <t>mutants/mp/118/107/00000002/Document.java</t>
  </si>
  <si>
    <t>mutants/mp/118/107/00000002/Document.class</t>
  </si>
  <si>
    <t>2024-01-10 15:02:40</t>
  </si>
  <si>
    <t>109,111,125,142,171</t>
  </si>
  <si>
    <t xml:space="preserve">getBinaryValue, getField, getFields_1, getValues
</t>
  </si>
  <si>
    <t>mutants/mp/126/141/00000003/Document.java</t>
  </si>
  <si>
    <t>mutants/mp/126/141/00000003/Document.class</t>
  </si>
  <si>
    <t>mutants/mp/125/163/00000001/Document.java</t>
  </si>
  <si>
    <t>mutants/mp/125/163/00000001/Document.class</t>
  </si>
  <si>
    <t>2024-01-10 15:02:41</t>
  </si>
  <si>
    <t>mutants/mp/118/140/00000002/Document.java</t>
  </si>
  <si>
    <t>mutants/mp/118/140/00000002/Document.class</t>
  </si>
  <si>
    <t>mutants/mp/120/129/00000002/Document.java</t>
  </si>
  <si>
    <t>2024-01-10 15:02:44</t>
  </si>
  <si>
    <t>mutants/mp/125/153/00000003/Document.java</t>
  </si>
  <si>
    <t>2024-01-10 15:02:46</t>
  </si>
  <si>
    <t>mutants/mp/120/137/00000002/Document.java</t>
  </si>
  <si>
    <t>mutants/mp/120/137/00000002/Document.class</t>
  </si>
  <si>
    <t>2024-01-10 15:02:48</t>
  </si>
  <si>
    <t>mutants/mp/126/167/00000001/Document.java</t>
  </si>
  <si>
    <t>mutants/mp/126/167/00000001/Document.class</t>
  </si>
  <si>
    <t>2024-01-10 15:02:52</t>
  </si>
  <si>
    <t xml:space="preserve">removeField, removeFields
</t>
  </si>
  <si>
    <t>mutants/mp/121/115/00000004/Document.java</t>
  </si>
  <si>
    <t>mutants/mp/121/115/00000004/Document.class</t>
  </si>
  <si>
    <t>mutants/mp/122/151/00000002/Document.java</t>
  </si>
  <si>
    <t>mutants/mp/122/151/00000002/Document.class</t>
  </si>
  <si>
    <t>2024-01-10 15:02:53</t>
  </si>
  <si>
    <t>mutants/mp/122/168/00000001/Document.java</t>
  </si>
  <si>
    <t>mutants/mp/122/168/00000001/Document.class</t>
  </si>
  <si>
    <t>2024-01-10 15:02:56</t>
  </si>
  <si>
    <t>mutants/mp/121/125/00000001/Document.java</t>
  </si>
  <si>
    <t>mutants/mp/121/125/00000001/Document.class</t>
  </si>
  <si>
    <t>2024-01-10 15:02:57</t>
  </si>
  <si>
    <t>mutants/mp/123/148/00000003/Document.java</t>
  </si>
  <si>
    <t>mutants/mp/123/148/00000003/Document.class</t>
  </si>
  <si>
    <t>2024-01-10 15:02:58</t>
  </si>
  <si>
    <t>mutants/mp/118/107/00000003/Document.java</t>
  </si>
  <si>
    <t>mutants/mp/118/107/00000003/Document.class</t>
  </si>
  <si>
    <t>2024-01-10 15:02:59</t>
  </si>
  <si>
    <t>mutants/mp/118/140/00000003/Document.java</t>
  </si>
  <si>
    <t>mutants/mp/118/140/00000003/Document.class</t>
  </si>
  <si>
    <t>2024-01-10 15:03:00</t>
  </si>
  <si>
    <t>mutants/mp/121/115/00000005/Document.java</t>
  </si>
  <si>
    <t>mutants/mp/120/137/00000003/Document.java</t>
  </si>
  <si>
    <t>mutants/mp/120/137/00000003/Document.class</t>
  </si>
  <si>
    <t>2024-01-10 15:03:01</t>
  </si>
  <si>
    <t>mutants/mp/118/114/00000003/Document.java</t>
  </si>
  <si>
    <t>mutants/mp/118/114/00000003/Document.class</t>
  </si>
  <si>
    <t>2024-01-10 15:03:02</t>
  </si>
  <si>
    <t>mutants/mp/122/164/00000001/Document.java</t>
  </si>
  <si>
    <t>mutants/mp/122/164/00000001/Document.class</t>
  </si>
  <si>
    <t>mutants/mp/118/136/00000002/Document.java</t>
  </si>
  <si>
    <t>mutants/mp/118/136/00000002/Document.class</t>
  </si>
  <si>
    <t>2024-01-10 15:03:04</t>
  </si>
  <si>
    <t>mutants/mp/126/141/00000004/Document.java</t>
  </si>
  <si>
    <t>mutants/mp/126/141/00000004/Document.class</t>
  </si>
  <si>
    <t>2024-01-10 15:03:05</t>
  </si>
  <si>
    <t>mutants/mp/126/149/00000002/Document.java</t>
  </si>
  <si>
    <t>mutants/mp/126/149/00000002/Document.class</t>
  </si>
  <si>
    <t>mutants/mp/125/160/00000001/Document.java</t>
  </si>
  <si>
    <t>2024-01-10 15:03:06</t>
  </si>
  <si>
    <t>mutants/mp/120/120/00000003/Document.java</t>
  </si>
  <si>
    <t>mutants/mp/120/120/00000003/Document.class</t>
  </si>
  <si>
    <t>mutants/mp/119/130/00000001/Document.java</t>
  </si>
  <si>
    <t>mutants/mp/119/130/00000001/Document.class</t>
  </si>
  <si>
    <t>mutants/mp/119/127/00000002/Document.java</t>
  </si>
  <si>
    <t>mutants/mp/119/127/00000002/Document.class</t>
  </si>
  <si>
    <t>2024-01-10 15:03:09</t>
  </si>
  <si>
    <t>mutants/mp/118/114/00000004/Document.java</t>
  </si>
  <si>
    <t>mutants/mp/118/114/00000004/Document.class</t>
  </si>
  <si>
    <t>2024-01-10 15:03:11</t>
  </si>
  <si>
    <t>mutants/mp/119/119/00000002/Document.java</t>
  </si>
  <si>
    <t>mutants/mp/119/119/00000002/Document.class</t>
  </si>
  <si>
    <t>2024-01-10 15:03:13</t>
  </si>
  <si>
    <t>PROVEN_NO</t>
  </si>
  <si>
    <t>mutants/mp/122/168/00000002/Document.java</t>
  </si>
  <si>
    <t>mutants/mp/122/168/00000002/Document.class</t>
  </si>
  <si>
    <t>2024-01-10 15:03:14</t>
  </si>
  <si>
    <t>mutants/mp/126/167/00000002/Document.java</t>
  </si>
  <si>
    <t>mutants/mp/126/167/00000002/Document.class</t>
  </si>
  <si>
    <t>mutants/mp/123/146/00000002/Document.java</t>
  </si>
  <si>
    <t>2024-01-10 15:03:17</t>
  </si>
  <si>
    <t>mutants/mp/120/120/00000004/Document.java</t>
  </si>
  <si>
    <t>mutants/mp/120/120/00000004/Document.class</t>
  </si>
  <si>
    <t>2024-01-10 15:03:21</t>
  </si>
  <si>
    <t>mutants/mp/118/136/00000003/Document.java</t>
  </si>
  <si>
    <t>mutants/mp/118/136/00000003/Document.class</t>
  </si>
  <si>
    <t>mutants/mp/121/115/00000006/Document.java</t>
  </si>
  <si>
    <t>mutants/mp/121/115/00000006/Document.class</t>
  </si>
  <si>
    <t>2024-01-10 15:03:22</t>
  </si>
  <si>
    <t>mutants/mp/118/107/00000004/Document.java</t>
  </si>
  <si>
    <t>mutants/mp/118/107/00000004/Document.class</t>
  </si>
  <si>
    <t>2024-01-10 15:03:23</t>
  </si>
  <si>
    <t>mutants/mp/126/141/00000005/Document.java</t>
  </si>
  <si>
    <t>mutants/mp/126/141/00000005/Document.class</t>
  </si>
  <si>
    <t>mutants/mp/122/164/00000002/Document.java</t>
  </si>
  <si>
    <t>mutants/mp/121/123/00000001/Document.java</t>
  </si>
  <si>
    <t>2024-01-10 15:03:25</t>
  </si>
  <si>
    <t>mutants/mp/126/149/00000003/Document.java</t>
  </si>
  <si>
    <t>mutants/mp/126/149/00000003/Document.class</t>
  </si>
  <si>
    <t>mutants/mp/121/115/00000007/Document.java</t>
  </si>
  <si>
    <t>mutants/mp/121/115/00000007/Document.class</t>
  </si>
  <si>
    <t>2024-01-10 15:03:34</t>
  </si>
  <si>
    <t>mutants/mp/123/148/00000004/Document.java</t>
  </si>
  <si>
    <t>mutants/mp/123/148/00000004/Document.class</t>
  </si>
  <si>
    <t>mutants/mp/125/153/00000004/Document.java</t>
  </si>
  <si>
    <t>mutants/mp/125/153/00000004/Document.class</t>
  </si>
  <si>
    <t>2024-01-10 15:03:35</t>
  </si>
  <si>
    <t>mutants/mp/120/120/00000005/Document.java</t>
  </si>
  <si>
    <t>mutants/mp/120/120/00000005/Document.class</t>
  </si>
  <si>
    <t>mutants/mp/122/151/00000003/Document.java</t>
  </si>
  <si>
    <t>mutants/mp/122/151/00000003/Document.class</t>
  </si>
  <si>
    <t>2024-01-10 15:03:37</t>
  </si>
  <si>
    <t>mutants/mp/119/130/00000002/Document.java</t>
  </si>
  <si>
    <t>mutants/mp/119/130/00000002/Document.class</t>
  </si>
  <si>
    <t>2024-01-10 15:03:38</t>
  </si>
  <si>
    <t>mutants/mp/125/160/00000002/Document.java</t>
  </si>
  <si>
    <t>2024-01-10 15:03:39</t>
  </si>
  <si>
    <t>mutants/mp/118/114/00000005/Document.java</t>
  </si>
  <si>
    <t>mutants/mp/118/114/00000005/Document.class</t>
  </si>
  <si>
    <t xml:space="preserve">removeFields, get
</t>
  </si>
  <si>
    <t>mutants/mp/123/146/00000003/Document.java</t>
  </si>
  <si>
    <t>2024-01-10 15:03:40</t>
  </si>
  <si>
    <t>mutants/mp/120/129/00000003/Document.java</t>
  </si>
  <si>
    <t>mutants/mp/120/129/00000003/Document.class</t>
  </si>
  <si>
    <t>2024-01-10 15:03:41</t>
  </si>
  <si>
    <t>mutants/mp/118/107/00000005/Document.java</t>
  </si>
  <si>
    <t>mutants/mp/118/107/00000005/Document.class</t>
  </si>
  <si>
    <t>mutants/mp/126/167/00000003/Document.java</t>
  </si>
  <si>
    <t>mutants/mp/126/167/00000003/Document.class</t>
  </si>
  <si>
    <t>2024-01-10 15:03:42</t>
  </si>
  <si>
    <t>mutants/mp/126/141/00000006/Document.java</t>
  </si>
  <si>
    <t>mutants/mp/126/141/00000006/Document.class</t>
  </si>
  <si>
    <t>2024-01-10 15:03:43</t>
  </si>
  <si>
    <t>mutants/mp/119/127/00000003/Document.java</t>
  </si>
  <si>
    <t>mutants/mp/119/127/00000003/Document.class</t>
  </si>
  <si>
    <t>2024-01-10 15:03:44</t>
  </si>
  <si>
    <t>mutants/mp/119/130/00000003/Document.java</t>
  </si>
  <si>
    <t>mutants/mp/119/130/00000003/Document.class</t>
  </si>
  <si>
    <t>2024-01-10 15:03:46</t>
  </si>
  <si>
    <t>mutants/mp/120/120/00000006/Document.java</t>
  </si>
  <si>
    <t>mutants/mp/120/120/00000006/Document.class</t>
  </si>
  <si>
    <t>2024-01-10 15:03:51</t>
  </si>
  <si>
    <t>mutants/mp/126/149/00000004/Document.java</t>
  </si>
  <si>
    <t>mutants/mp/126/149/00000004/Document.class</t>
  </si>
  <si>
    <t>2024-01-10 15:03:52</t>
  </si>
  <si>
    <t>mutants/mp/126/167/00000004/Document.java</t>
  </si>
  <si>
    <t>mutants/mp/126/167/00000004/Document.class</t>
  </si>
  <si>
    <t>mutants/mp/125/153/00000005/Document.java</t>
  </si>
  <si>
    <t>mutants/mp/125/153/00000005/Document.class</t>
  </si>
  <si>
    <t>2024-01-10 15:03:53</t>
  </si>
  <si>
    <t>mutants/mp/126/141/00000007/Document.java</t>
  </si>
  <si>
    <t>mutants/mp/126/141/00000007/Document.class</t>
  </si>
  <si>
    <t>2024-01-10 15:03:55</t>
  </si>
  <si>
    <t>mutants/mp/125/160/00000003/Document.java</t>
  </si>
  <si>
    <t>mutants/mp/125/160/00000003/Document.class</t>
  </si>
  <si>
    <t>2024-01-10 15:03:59</t>
  </si>
  <si>
    <t>mutants/mp/122/164/00000003/Document.java</t>
  </si>
  <si>
    <t>mutants/mp/122/164/00000003/Document.class</t>
  </si>
  <si>
    <t>mutants/mp/126/167/00000005/Document.java</t>
  </si>
  <si>
    <t>mutants/mp/126/167/00000005/Document.class</t>
  </si>
  <si>
    <t>2024-01-10 15:04:04</t>
  </si>
  <si>
    <t>mutants/mp/123/146/00000004/Document.java</t>
  </si>
  <si>
    <t>2024-01-10 15:04:05</t>
  </si>
  <si>
    <t>89,172,208</t>
  </si>
  <si>
    <t>mutants/mp/118/107/00000006/Document.java</t>
  </si>
  <si>
    <t>mutants/mp/118/107/00000006/Document.class</t>
  </si>
  <si>
    <t>2024-01-10 15:04:06</t>
  </si>
  <si>
    <t>mutants/mp/126/141/00000008/Document.java</t>
  </si>
  <si>
    <t>mutants/mp/126/141/00000008/Document.class</t>
  </si>
  <si>
    <t>2024-01-10 15:04:09</t>
  </si>
  <si>
    <t>mutants/mp/126/149/00000005/Document.java</t>
  </si>
  <si>
    <t>mutants/mp/126/149/00000005/Document.class</t>
  </si>
  <si>
    <t>2024-01-10 15:04:11</t>
  </si>
  <si>
    <t>mutants/mp/121/123/00000002/Document.java</t>
  </si>
  <si>
    <t>2024-01-10 15:04:12</t>
  </si>
  <si>
    <t>mutants/mp/120/120/00000007/Document.java</t>
  </si>
  <si>
    <t>mutants/mp/120/120/00000007/Document.class</t>
  </si>
  <si>
    <t>2024-01-10 15:04:13</t>
  </si>
  <si>
    <t>mutants/mp/125/153/00000006/Document.java</t>
  </si>
  <si>
    <t>mutants/mp/125/153/00000006/Document.class</t>
  </si>
  <si>
    <t>2024-01-10 15:04:17</t>
  </si>
  <si>
    <t>mutants/mp/123/146/00000005/Document.java</t>
  </si>
  <si>
    <t>mutants/mp/123/146/00000005/Document.class</t>
  </si>
  <si>
    <t>2024-01-10 15:04:18</t>
  </si>
  <si>
    <t xml:space="preserve">getBinaryValues, getValues, toString
</t>
  </si>
  <si>
    <t>mutants/mp/120/129/00000004/Document.java</t>
  </si>
  <si>
    <t>mutants/mp/120/129/00000004/Document.class</t>
  </si>
  <si>
    <t>2024-01-10 15:04:20</t>
  </si>
  <si>
    <t>mutants/mp/122/151/00000004/Document.java</t>
  </si>
  <si>
    <t>mutants/mp/122/151/00000004/Document.class</t>
  </si>
  <si>
    <t>mutants/mp/122/168/00000003/Document.java</t>
  </si>
  <si>
    <t>mutants/mp/122/168/00000003/Document.class</t>
  </si>
  <si>
    <t>mutants/mp/126/149/00000006/Document.java</t>
  </si>
  <si>
    <t>mutants/mp/126/149/00000006/Document.class</t>
  </si>
  <si>
    <t>mutants/mp/126/141/00000009/Document.java</t>
  </si>
  <si>
    <t>mutants/mp/126/141/00000009/Document.class</t>
  </si>
  <si>
    <t>mutants/mp/118/136/00000004/Document.java</t>
  </si>
  <si>
    <t>mutants/mp/118/136/00000004/Document.class</t>
  </si>
  <si>
    <t xml:space="preserve">getValues, toString
</t>
  </si>
  <si>
    <t>mutants/mp/121/123/00000003/Document.java</t>
  </si>
  <si>
    <t>mutants/mp/121/123/00000003/Document.class</t>
  </si>
  <si>
    <t>2024-01-10 15:04:28</t>
  </si>
  <si>
    <t>mutants/mp/121/125/00000002/Document.java</t>
  </si>
  <si>
    <t>mutants/mp/121/125/00000002/Document.class</t>
  </si>
  <si>
    <t>mutants/mp/126/147/00000001/Document.java</t>
  </si>
  <si>
    <t>mutants/mp/126/147/00000001/Document.class</t>
  </si>
  <si>
    <t>2024-01-10 15:04:29</t>
  </si>
  <si>
    <t>mutants/mp/120/120/00000008/Document.java</t>
  </si>
  <si>
    <t>mutants/mp/120/120/00000008/Document.class</t>
  </si>
  <si>
    <t>mutants/mp/122/164/00000004/Document.java</t>
  </si>
  <si>
    <t>mutants/mp/122/164/00000004/Document.class</t>
  </si>
  <si>
    <t>2024-01-10 15:04:31</t>
  </si>
  <si>
    <t>mutants/mp/118/114/00000006/Document.java</t>
  </si>
  <si>
    <t>mutants/mp/118/114/00000006/Document.class</t>
  </si>
  <si>
    <t>2024-01-10 15:04:32</t>
  </si>
  <si>
    <t>mutants/mp/119/127/00000004/Document.java</t>
  </si>
  <si>
    <t>mutants/mp/119/127/00000004/Document.class</t>
  </si>
  <si>
    <t>2024-01-10 15:04:39</t>
  </si>
  <si>
    <t>mutants/mp/120/129/00000005/Document.java</t>
  </si>
  <si>
    <t>2024-01-10 15:04:42</t>
  </si>
  <si>
    <t>mutants/mp/125/153/00000007/Document.java</t>
  </si>
  <si>
    <t>mutants/mp/125/153/00000007/Document.class</t>
  </si>
  <si>
    <t>mutants/mp/126/141/00000010/Document.java</t>
  </si>
  <si>
    <t>mutants/mp/126/141/00000010/Document.class</t>
  </si>
  <si>
    <t>2024-01-10 15:04:43</t>
  </si>
  <si>
    <t>mutants/mp/120/120/00000009/Document.java</t>
  </si>
  <si>
    <t>mutants/mp/120/120/00000009/Document.class</t>
  </si>
  <si>
    <t>mutants/mp/125/160/00000004/Document.java</t>
  </si>
  <si>
    <t>mutants/mp/125/160/00000004/Document.class</t>
  </si>
  <si>
    <t>2024-01-10 15:04:48</t>
  </si>
  <si>
    <t>mutants/mp/119/128/00000002/Document.java</t>
  </si>
  <si>
    <t>mutants/mp/119/128/00000002/Document.class</t>
  </si>
  <si>
    <t>mutants/mp/121/125/00000003/Document.java</t>
  </si>
  <si>
    <t>mutants/mp/121/125/00000003/Document.class</t>
  </si>
  <si>
    <t>2024-01-10 15:04:52</t>
  </si>
  <si>
    <t>mutants/mp/122/164/00000005/Document.java</t>
  </si>
  <si>
    <t>mutants/mp/122/164/00000005/Document.class</t>
  </si>
  <si>
    <t>mutants/mp/120/109/00000001/Document.java</t>
  </si>
  <si>
    <t>mutants/mp/120/109/00000001/Document.class</t>
  </si>
  <si>
    <t>2024-01-10 15:04:57</t>
  </si>
  <si>
    <t>124,126,129</t>
  </si>
  <si>
    <t>mutants/mp/125/154/00000001/Document.java</t>
  </si>
  <si>
    <t>mutants/mp/125/154/00000001/Document.class</t>
  </si>
  <si>
    <t>2024-01-10 15:04:58</t>
  </si>
  <si>
    <t>mutants/mp/126/141/00000011/Document.java</t>
  </si>
  <si>
    <t>mutants/mp/126/141/00000011/Document.class</t>
  </si>
  <si>
    <t>2024-01-10 15:04:59</t>
  </si>
  <si>
    <t>mutants/mp/123/148/00000005/Document.java</t>
  </si>
  <si>
    <t>2024-01-10 15:05:01</t>
  </si>
  <si>
    <t>mutants/mp/119/127/00000005/Document.java</t>
  </si>
  <si>
    <t>mutants/mp/119/127/00000005/Document.class</t>
  </si>
  <si>
    <t>mutants/mp/120/120/00000010/Document.java</t>
  </si>
  <si>
    <t>mutants/mp/120/120/00000010/Document.class</t>
  </si>
  <si>
    <t>2024-01-10 15:05:03</t>
  </si>
  <si>
    <t>mutants/mp/125/153/00000008/Document.java</t>
  </si>
  <si>
    <t>mutants/mp/125/153/00000008/Document.class</t>
  </si>
  <si>
    <t>2024-01-10 15:05:06</t>
  </si>
  <si>
    <t>mutants/mp/126/147/00000002/Document.java</t>
  </si>
  <si>
    <t>mutants/mp/126/147/00000002/Document.class</t>
  </si>
  <si>
    <t>2024-01-10 15:05:07</t>
  </si>
  <si>
    <t>mutants/mp/125/160/00000005/Document.java</t>
  </si>
  <si>
    <t>mutants/mp/125/160/00000005/Document.class</t>
  </si>
  <si>
    <t>2024-01-10 15:05:09</t>
  </si>
  <si>
    <t>mutants/mp/122/168/00000004/Document.java</t>
  </si>
  <si>
    <t>2024-01-10 15:05:10</t>
  </si>
  <si>
    <t>mutants/mp/125/154/00000002/Document.java</t>
  </si>
  <si>
    <t>mutants/mp/125/154/00000002/Document.class</t>
  </si>
  <si>
    <t>2024-01-10 15:05:11</t>
  </si>
  <si>
    <t>mutants/mp/126/141/00000012/Document.java</t>
  </si>
  <si>
    <t>mutants/mp/126/141/00000012/Document.class</t>
  </si>
  <si>
    <t>2024-01-10 15:05:18</t>
  </si>
  <si>
    <t>mutants/mp/122/164/00000006/Document.java</t>
  </si>
  <si>
    <t>mutants/mp/122/164/00000006/Document.class</t>
  </si>
  <si>
    <t>2024-01-10 15:05:19</t>
  </si>
  <si>
    <t>mutants/mp/120/120/00000011/Document.java</t>
  </si>
  <si>
    <t>mutants/mp/120/120/00000011/Document.class</t>
  </si>
  <si>
    <t>mutants/mp/125/154/00000003/Document.java</t>
  </si>
  <si>
    <t>mutants/mp/125/154/00000003/Document.class</t>
  </si>
  <si>
    <t>2024-01-10 15:05:21</t>
  </si>
  <si>
    <t>mutants/mp/121/123/00000004/Document.java</t>
  </si>
  <si>
    <t>mutants/mp/125/153/00000009/Document.java</t>
  </si>
  <si>
    <t>mutants/mp/125/153/00000009/Document.class</t>
  </si>
  <si>
    <t>2024-01-10 15:05:25</t>
  </si>
  <si>
    <t>mutants/mp/122/168/00000005/Document.java</t>
  </si>
  <si>
    <t>mutants/mp/122/168/00000005/Document.class</t>
  </si>
  <si>
    <t>2024-01-10 15:05:31</t>
  </si>
  <si>
    <t>mutants/mp/126/141/00000013/Document.java</t>
  </si>
  <si>
    <t>mutants/mp/126/141/00000013/Document.class</t>
  </si>
  <si>
    <t>2024-01-10 15:05:36</t>
  </si>
  <si>
    <t>mutants/mp/126/149/00000007/Document.java</t>
  </si>
  <si>
    <t>mutants/mp/126/149/00000007/Document.class</t>
  </si>
  <si>
    <t>2024-01-10 15:05:38</t>
  </si>
  <si>
    <t>mutants/mp/121/123/00000005/Document.java</t>
  </si>
  <si>
    <t>mutants/mp/121/123/00000005/Document.class</t>
  </si>
  <si>
    <t>mutants/mp/120/129/00000006/Document.java</t>
  </si>
  <si>
    <t>2024-01-10 15:05:39</t>
  </si>
  <si>
    <t>mutants/mp/124/166/00000001/Document.java</t>
  </si>
  <si>
    <t>mutants/mp/124/166/00000001/Document.class</t>
  </si>
  <si>
    <t>2024-01-10 15:05:47</t>
  </si>
  <si>
    <t>mutants/mp/120/129/00000007/Document.java</t>
  </si>
  <si>
    <t>mutants/mp/120/129/00000007/Document.class</t>
  </si>
  <si>
    <t>2024-01-10 15:05:53</t>
  </si>
  <si>
    <t>mutants/mp/122/151/00000005/Document.java</t>
  </si>
  <si>
    <t>mutants/mp/122/151/00000005/Document.class</t>
  </si>
  <si>
    <t>2024-01-10 15:05:54</t>
  </si>
  <si>
    <t>mutants/mp/118/107/00000007/Document.java</t>
  </si>
  <si>
    <t>mutants/mp/118/107/00000007/Document.class</t>
  </si>
  <si>
    <t>2024-01-10 15:05:57</t>
  </si>
  <si>
    <t>mutants/mp/119/127/00000006/Document.java</t>
  </si>
  <si>
    <t>mutants/mp/119/127/00000006/Document.class</t>
  </si>
  <si>
    <t>mutants/mp/125/153/00000010/Document.java</t>
  </si>
  <si>
    <t>mutants/mp/125/153/00000010/Document.class</t>
  </si>
  <si>
    <t>2024-01-10 15:06:00</t>
  </si>
  <si>
    <t>mutants/mp/121/125/00000004/Document.java</t>
  </si>
  <si>
    <t>mutants/mp/121/125/00000004/Document.class</t>
  </si>
  <si>
    <t>mutants/mp/126/141/00000014/Document.java</t>
  </si>
  <si>
    <t>mutants/mp/122/151/00000006/Document.java</t>
  </si>
  <si>
    <t>mutants/mp/122/151/00000006/Document.class</t>
  </si>
  <si>
    <t>2024-01-10 15:06:16</t>
  </si>
  <si>
    <t>mutants/mp/124/166/00000002/Document.java</t>
  </si>
  <si>
    <t>mutants/mp/124/166/00000002/Document.class</t>
  </si>
  <si>
    <t>mutants/mp/121/125/00000005/Document.java</t>
  </si>
  <si>
    <t>mutants/mp/121/125/00000005/Document.class</t>
  </si>
  <si>
    <t>2024-01-10 15:06:20</t>
  </si>
  <si>
    <t>mutants/mp/126/149/00000008/Document.java</t>
  </si>
  <si>
    <t>mutants/mp/126/149/00000008/Document.class</t>
  </si>
  <si>
    <t>mutants/mp/126/141/00000015/Document.java</t>
  </si>
  <si>
    <t>mutants/mp/126/141/00000015/Document.class</t>
  </si>
  <si>
    <t>2024-01-10 15:06:29</t>
  </si>
  <si>
    <t>mutants/mp/123/143/00000001/Document.java</t>
  </si>
  <si>
    <t>mutants/mp/123/143/00000001/Document.class</t>
  </si>
  <si>
    <t>mutants/mp/118/107/00000008/Document.java</t>
  </si>
  <si>
    <t>mutants/mp/118/107/00000008/Document.class</t>
  </si>
  <si>
    <t>2024-01-10 15:06:36</t>
  </si>
  <si>
    <t>mutants/mp/122/151/00000007/Document.java</t>
  </si>
  <si>
    <t>mutants/mp/122/151/00000007/Document.class</t>
  </si>
  <si>
    <t>mutants/mp/120/120/00000012/Document.java</t>
  </si>
  <si>
    <t>mutants/mp/120/120/00000012/Document.class</t>
  </si>
  <si>
    <t>2024-01-10 15:06:43</t>
  </si>
  <si>
    <t>mutants/mp/126/149/00000009/Document.java</t>
  </si>
  <si>
    <t>mutants/mp/126/149/00000009/Document.class</t>
  </si>
  <si>
    <t>2024-01-10 15:06:44</t>
  </si>
  <si>
    <t>mutants/mp/119/130/00000004/Document.java</t>
  </si>
  <si>
    <t>mutants/mp/119/130/00000004/Document.class</t>
  </si>
  <si>
    <t>2024-01-10 15:06:45</t>
  </si>
  <si>
    <t>mutants/mp/119/127/00000007/Document.java</t>
  </si>
  <si>
    <t>2024-01-10 15:06:47</t>
  </si>
  <si>
    <t>mutants/mp/123/148/00000006/Document.java</t>
  </si>
  <si>
    <t>mutants/mp/123/148/00000006/Document.class</t>
  </si>
  <si>
    <t>2024-01-10 15:06:51</t>
  </si>
  <si>
    <t xml:space="preserve">getValues, get
</t>
  </si>
  <si>
    <t>mutants/mp/121/123/00000006/Document.java</t>
  </si>
  <si>
    <t>mutants/mp/121/123/00000006/Document.class</t>
  </si>
  <si>
    <t>mutants/mp/126/141/00000016/Document.java</t>
  </si>
  <si>
    <t>2024-01-10 15:06:52</t>
  </si>
  <si>
    <t>mutants/mp/120/139/00000001/Document.java</t>
  </si>
  <si>
    <t>mutants/mp/120/139/00000001/Document.class</t>
  </si>
  <si>
    <t>2024-01-10 15:06:54</t>
  </si>
  <si>
    <t>mutants/mp/126/149/00000010/Document.java</t>
  </si>
  <si>
    <t>mutants/mp/126/149/00000010/Document.class</t>
  </si>
  <si>
    <t>2024-01-10 15:06:55</t>
  </si>
  <si>
    <t>mutants/mp/118/107/00000009/Document.java</t>
  </si>
  <si>
    <t>mutants/mp/118/107/00000009/Document.class</t>
  </si>
  <si>
    <t>2024-01-10 15:06:57</t>
  </si>
  <si>
    <t>mutants/mp/126/167/00000006/Document.java</t>
  </si>
  <si>
    <t>mutants/mp/126/167/00000006/Document.class</t>
  </si>
  <si>
    <t>2024-01-10 15:07:13</t>
  </si>
  <si>
    <t>mutants/mp/121/112/00000001/Document.java</t>
  </si>
  <si>
    <t>mutants/mp/121/112/00000001/Document.class</t>
  </si>
  <si>
    <t>2024-01-10 15:07:21</t>
  </si>
  <si>
    <t>mutants/mp/123/143/00000002/Document.java</t>
  </si>
  <si>
    <t>2024-01-10 15:07:22</t>
  </si>
  <si>
    <t>mutants/mp/121/125/00000006/Document.java</t>
  </si>
  <si>
    <t>mutants/mp/121/125/00000006/Document.class</t>
  </si>
  <si>
    <t>mutants/mp/120/120/00000013/Document.java</t>
  </si>
  <si>
    <t>mutants/mp/120/120/00000013/Document.class</t>
  </si>
  <si>
    <t>2024-01-10 15:07:36</t>
  </si>
  <si>
    <t>mutants/mp/119/127/00000008/Document.java</t>
  </si>
  <si>
    <t>mutants/mp/120/139/00000002/Document.java</t>
  </si>
  <si>
    <t>mutants/mp/120/139/00000002/Document.class</t>
  </si>
  <si>
    <t>mutants/mp/122/168/00000006/Document.java</t>
  </si>
  <si>
    <t>mutants/mp/122/168/00000006/Document.class</t>
  </si>
  <si>
    <t>mutants/mp/118/107/00000010/Document.java</t>
  </si>
  <si>
    <t>mutants/mp/118/107/00000010/Document.class</t>
  </si>
  <si>
    <t>2024-01-10 15:08:01</t>
  </si>
  <si>
    <t>mutants/mp/123/143/00000003/Document.java</t>
  </si>
  <si>
    <t>mutants/mp/123/143/00000003/Document.class</t>
  </si>
  <si>
    <t>2024-01-10 15:08:05</t>
  </si>
  <si>
    <t>mutants/mp/119/127/00000009/Document.java</t>
  </si>
  <si>
    <t>mutants/mp/119/127/00000010/Document.java</t>
  </si>
  <si>
    <t>2024-01-10 15:08:25</t>
  </si>
  <si>
    <t>mutants/mp/123/143/00000004/Document.java</t>
  </si>
  <si>
    <t>mutants/mp/123/143/00000004/Document.class</t>
  </si>
  <si>
    <t>mutants/mp/118/107/00000011/Document.java</t>
  </si>
  <si>
    <t>2024-01-10 15:08:29</t>
  </si>
  <si>
    <t>mutants/mp/120/120/00000014/Document.java</t>
  </si>
  <si>
    <t>mutants/mp/120/120/00000014/Document.class</t>
  </si>
  <si>
    <t>2024-01-10 15:08:32</t>
  </si>
  <si>
    <t>mutants/mp/122/168/00000007/Document.java</t>
  </si>
  <si>
    <t>mutants/mp/122/168/00000007/Document.class</t>
  </si>
  <si>
    <t>2024-01-10 15:08:37</t>
  </si>
  <si>
    <t>mutants/mp/120/139/00000003/Document.java</t>
  </si>
  <si>
    <t>mutants/mp/120/139/00000003/Document.class</t>
  </si>
  <si>
    <t>2024-01-10 15:08:44</t>
  </si>
  <si>
    <t>mutants/mp/118/107/00000012/Document.java</t>
  </si>
  <si>
    <t>mutants/mp/118/107/00000012/Document.class</t>
  </si>
  <si>
    <t>2024-01-10 15:08:48</t>
  </si>
  <si>
    <t>mutants/mp/124/144/00000001/Document.java</t>
  </si>
  <si>
    <t>mutants/mp/124/144/00000001/Document.class</t>
  </si>
  <si>
    <t>mutants/mp/120/120/00000015/Document.java</t>
  </si>
  <si>
    <t>mutants/mp/120/120/00000015/Document.class</t>
  </si>
  <si>
    <t>2024-01-10 15:08:49</t>
  </si>
  <si>
    <t>207,209,210</t>
  </si>
  <si>
    <t>mutants/mp/126/167/00000007/Document.java</t>
  </si>
  <si>
    <t>mutants/mp/126/167/00000007/Document.class</t>
  </si>
  <si>
    <t>176,206,211</t>
  </si>
  <si>
    <t>mutants/mp/118/107/00000013/Document.java</t>
  </si>
  <si>
    <t>mutants/mp/118/107/00000013/Document.class</t>
  </si>
  <si>
    <t>2024-01-10 15:09:19</t>
  </si>
  <si>
    <t>mutants/mp/120/120/00000016/Document.java</t>
  </si>
  <si>
    <t>mutants/mp/120/120/00000016/Document.class</t>
  </si>
  <si>
    <t>2024-01-10 15:09:20</t>
  </si>
  <si>
    <t>mutants/mp/119/127/00000011/Document.java</t>
  </si>
  <si>
    <t>mutants/mp/119/127/00000011/Document.class</t>
  </si>
  <si>
    <t>2024-01-10 15:09:28</t>
  </si>
  <si>
    <t>mutants/mp/126/167/00000008/Document.java</t>
  </si>
  <si>
    <t>mutants/mp/126/167/00000008/Document.class</t>
  </si>
  <si>
    <t>mutants/mp/126/167/00000009/Document.java</t>
  </si>
  <si>
    <t>mutants/mp/126/167/00000009/Document.class</t>
  </si>
  <si>
    <t>2024-01-10 15:09:47</t>
  </si>
  <si>
    <t>mutants/mp/126/167/00000010/Document.java</t>
  </si>
  <si>
    <t>mutants/mp/126/167/00000010/Document.class</t>
  </si>
  <si>
    <t>mutants/mp/126/167/00000011/Document.java</t>
  </si>
  <si>
    <t>2024-01-10 15:10:38</t>
  </si>
  <si>
    <t>mutants/mp/123/143/00000005/Document.java</t>
  </si>
  <si>
    <t>mutants/mp/123/143/00000005/Document.class</t>
  </si>
  <si>
    <t>mutants/mp/118/107/00000014/Document.java</t>
  </si>
  <si>
    <t>mutants/mp/118/107/00000014/Document.class</t>
  </si>
  <si>
    <t>2024-01-10 15:10:44</t>
  </si>
  <si>
    <t>mutants/mp/126/167/00000012/Document.java</t>
  </si>
  <si>
    <t>mutants/mp/126/167/00000012/Document.class</t>
  </si>
  <si>
    <t>mutants/mp/122/152/00000001/Document.java</t>
  </si>
  <si>
    <t>mutants/mp/122/152/00000001/Document.class</t>
  </si>
  <si>
    <t>mutants/mp/122/152/00000002/Document.java</t>
  </si>
  <si>
    <t>mutants/mp/122/152/00000002/Document.class</t>
  </si>
  <si>
    <t>mutants/mp/126/167/00000013/Document.java</t>
  </si>
  <si>
    <t>mutants/mp/126/167/00000013/Document.class</t>
  </si>
  <si>
    <t>2024-01-10 15:11:17</t>
  </si>
  <si>
    <t>mutants/mp/119/127/00000012/Document.java</t>
  </si>
  <si>
    <t>mutants/mp/119/127/00000012/Document.class</t>
  </si>
  <si>
    <t>2024-01-10 15:11:20</t>
  </si>
  <si>
    <t>mutants/mp/120/120/00000017/Document.java</t>
  </si>
  <si>
    <t>mutants/mp/120/120/00000017/Document.class</t>
  </si>
  <si>
    <t>mutants/mp/122/152/00000003/Document.java</t>
  </si>
  <si>
    <t>mutants/mp/122/152/00000003/Document.class</t>
  </si>
  <si>
    <t>2024-01-10 15:11:32</t>
  </si>
  <si>
    <t>mutants/mp/121/123/00000007/Document.java</t>
  </si>
  <si>
    <t>2024-01-10 15:11:35</t>
  </si>
  <si>
    <t>mutants/mp/122/152/00000004/Document.java</t>
  </si>
  <si>
    <t>mutants/mp/122/152/00000004/Document.class</t>
  </si>
  <si>
    <t>2024-01-10 15:11:44</t>
  </si>
  <si>
    <t>mutants/mp/121/123/00000008/Document.java</t>
  </si>
  <si>
    <t>mutants/mp/121/123/00000008/Document.class</t>
  </si>
  <si>
    <t>2024-01-10 15:11:59</t>
  </si>
  <si>
    <t>mutants/mp/122/152/00000005/Document.java</t>
  </si>
  <si>
    <t>mutants/mp/122/152/00000005/Document.class</t>
  </si>
  <si>
    <t>2024-01-10 15:12:04</t>
  </si>
  <si>
    <t>mutants/mp/124/166/00000003/Document.java</t>
  </si>
  <si>
    <t>mutants/mp/124/166/00000003/Document.class</t>
  </si>
  <si>
    <t>mutants/mp/122/152/00000006/Document.java</t>
  </si>
  <si>
    <t>mutants/mp/122/152/00000006/Document.class</t>
  </si>
  <si>
    <t>2024-01-10 15:12:23</t>
  </si>
  <si>
    <t>mutants/mp/121/112/00000002/Document.java</t>
  </si>
  <si>
    <t>mutants/mp/121/112/00000002/Document.class</t>
  </si>
  <si>
    <t>mutants/mp/121/123/00000009/Document.java</t>
  </si>
  <si>
    <t>mutants/mp/121/123/00000009/Document.class</t>
  </si>
  <si>
    <t>mutants/mp/120/139/00000004/Document.java</t>
  </si>
  <si>
    <t>mutants/mp/120/139/00000004/Document.class</t>
  </si>
  <si>
    <t>2024-01-10 15:12:51</t>
  </si>
  <si>
    <t>mutants/mp/124/166/00000004/Document.java</t>
  </si>
  <si>
    <t>mutants/mp/124/166/00000004/Document.class</t>
  </si>
  <si>
    <t>mutants/mp/124/166/00000005/Document.java</t>
  </si>
  <si>
    <t>mutants/mp/124/166/00000005/Document.class</t>
  </si>
  <si>
    <t>mutants/mp/123/143/00000006/Document.java</t>
  </si>
  <si>
    <t>mutants/mp/123/143/00000006/Document.class</t>
  </si>
  <si>
    <t>2024-01-10 15:13:20</t>
  </si>
  <si>
    <t>mutants/mp/118/114/00000007/Document.java</t>
  </si>
  <si>
    <t>mutants/mp/118/114/00000007/Document.class</t>
  </si>
  <si>
    <t>2024-01-10 15:13:27</t>
  </si>
  <si>
    <t>mutants/mp/124/166/00000006/Document.java</t>
  </si>
  <si>
    <t>mutants/mp/124/166/00000006/Document.class</t>
  </si>
  <si>
    <t>2024-01-10 15:13:32</t>
  </si>
  <si>
    <t>mutants/mp/118/114/00000008/Document.java</t>
  </si>
  <si>
    <t>mutants/mp/118/114/00000008/Document.class</t>
  </si>
  <si>
    <t>mutants/mp/122/152/00000007/Document.java</t>
  </si>
  <si>
    <t>mutants/mp/122/152/00000007/Document.class</t>
  </si>
  <si>
    <t>mutants/mp/118/114/00000009/Document.java</t>
  </si>
  <si>
    <t>2024-01-10 15:14:29</t>
  </si>
  <si>
    <t>mutants/mp/119/130/00000005/Document.java</t>
  </si>
  <si>
    <t>mutants/mp/119/130/00000005/Document.class</t>
  </si>
  <si>
    <t>2024-01-10 15:14:35</t>
  </si>
  <si>
    <t>mutants/mp/122/152/00000008/Document.java</t>
  </si>
  <si>
    <t>mutants/mp/122/152/00000008/Document.class</t>
  </si>
  <si>
    <t>2024-01-10 15:14:41</t>
  </si>
  <si>
    <t>mutants/mp/120/137/00000004/Document.java</t>
  </si>
  <si>
    <t>mutants/mp/120/137/00000004/Document.class</t>
  </si>
  <si>
    <t>2024-01-10 15:14:45</t>
  </si>
  <si>
    <t>mutants/mp/119/130/00000006/Document.java</t>
  </si>
  <si>
    <t>mutants/mp/119/130/00000006/Document.class</t>
  </si>
  <si>
    <t>mutants/mp/119/130/00000007/Document.java</t>
  </si>
  <si>
    <t>mutants/mp/119/130/00000007/Document.class</t>
  </si>
  <si>
    <t>mutants/mp/119/119/00000003/Document.java</t>
  </si>
  <si>
    <t>2024-01-10 15:15:12</t>
  </si>
  <si>
    <t>mutants/mp/122/152/00000009/Document.java</t>
  </si>
  <si>
    <t>mutants/mp/122/152/00000009/Document.class</t>
  </si>
  <si>
    <t>140,143,147</t>
  </si>
  <si>
    <t>mutants/mp/122/151/00000008/Document.java</t>
  </si>
  <si>
    <t>mutants/mp/122/151/00000008/Document.class</t>
  </si>
  <si>
    <t>2024-01-10 15:16:13</t>
  </si>
  <si>
    <t>mutants/mp/121/112/00000003/Document.java</t>
  </si>
  <si>
    <t>mutants/mp/121/112/00000003/Document.class</t>
  </si>
  <si>
    <t>mutants/mp/118/114/00000010/Document.java</t>
  </si>
  <si>
    <t>mutants/mp/118/114/00000010/Document.class</t>
  </si>
  <si>
    <t>2024-01-10 15:16:26</t>
  </si>
  <si>
    <t>mutants/mp/122/152/00000010/Document.java</t>
  </si>
  <si>
    <t>mutants/mp/122/152/00000010/Document.class</t>
  </si>
  <si>
    <t>2024-01-10 15:16:34</t>
  </si>
  <si>
    <t>mutants/mp/122/164/00000007/Document.java</t>
  </si>
  <si>
    <t>mutants/mp/122/164/00000007/Document.class</t>
  </si>
  <si>
    <t>2024-01-10 15:16:52</t>
  </si>
  <si>
    <t>mutants/mp/119/130/00000008/Document.java</t>
  </si>
  <si>
    <t>mutants/mp/119/130/00000008/Document.class</t>
  </si>
  <si>
    <t>mutants/mp/122/152/00000011/Document.java</t>
  </si>
  <si>
    <t>mutants/mp/122/152/00000011/Document.class</t>
  </si>
  <si>
    <t>2024-01-10 15:17:03</t>
  </si>
  <si>
    <t>mutants/mp/122/152/00000012/Document.java</t>
  </si>
  <si>
    <t>mutants/mp/122/152/00000012/Document.class</t>
  </si>
  <si>
    <t>2024-01-10 15:17:23</t>
  </si>
  <si>
    <t>mutants/mp/119/130/00000009/Document.java</t>
  </si>
  <si>
    <t>mutants/mp/119/130/00000009/Document.class</t>
  </si>
  <si>
    <t>2024-01-10 15:17:46</t>
  </si>
  <si>
    <t>mutants/mp/119/130/00000010/Document.java</t>
  </si>
  <si>
    <t>mutants/mp/119/130/00000010/Document.class</t>
  </si>
  <si>
    <t>2024-01-10 15:18:03</t>
  </si>
  <si>
    <t>mutants/mp/118/114/00000011/Document.java</t>
  </si>
  <si>
    <t>mutants/mp/119/130/00000011/Document.java</t>
  </si>
  <si>
    <t>mutants/mp/119/130/00000011/Document.class</t>
  </si>
  <si>
    <t>2024-01-10 15:18:19</t>
  </si>
  <si>
    <t>mutants/mp/121/112/00000004/Document.java</t>
  </si>
  <si>
    <t>mutants/mp/121/112/00000004/Document.class</t>
  </si>
  <si>
    <t>2024-01-10 15:18:28</t>
  </si>
  <si>
    <t>mutants/mp/119/119/00000004/Document.java</t>
  </si>
  <si>
    <t>mutants/mp/119/119/00000004/Document.class</t>
  </si>
  <si>
    <t>2024-01-10 15:18:50</t>
  </si>
  <si>
    <t>mutants/mp/121/125/00000007/Document.java</t>
  </si>
  <si>
    <t>mutants/mp/121/125/00000007/Document.class</t>
  </si>
  <si>
    <t xml:space="preserve">getBinaryValues, getValues
</t>
  </si>
  <si>
    <t>mutants/mp/125/154/00000004/Document.java</t>
  </si>
  <si>
    <t>mutants/mp/125/154/00000004/Document.class</t>
  </si>
  <si>
    <t>mutants/mp/121/125/00000008/Document.java</t>
  </si>
  <si>
    <t>mutants/mp/121/125/00000008/Document.class</t>
  </si>
  <si>
    <t>2024-01-10 15:19:35</t>
  </si>
  <si>
    <t>mutants/mp/125/154/00000005/Document.java</t>
  </si>
  <si>
    <t>mutants/mp/125/154/00000005/Document.class</t>
  </si>
  <si>
    <t>2024-01-10 15:19:36</t>
  </si>
  <si>
    <t>mutants/mp/119/119/00000005/Document.java</t>
  </si>
  <si>
    <t>mutants/mp/119/119/00000005/Document.class</t>
  </si>
  <si>
    <t>2024-01-10 15:19:53</t>
  </si>
  <si>
    <t>mutants/mp/124/166/00000007/Document.java</t>
  </si>
  <si>
    <t>mutants/mp/124/166/00000007/Document.class</t>
  </si>
  <si>
    <t>2024-01-10 15:20:16</t>
  </si>
  <si>
    <t>mutants/mp/121/125/00000009/Document.java</t>
  </si>
  <si>
    <t>mutants/mp/121/125/00000009/Document.class</t>
  </si>
  <si>
    <t>mutants/mp/126/167/00000014/Document.java</t>
  </si>
  <si>
    <t>mutants/mp/126/167/00000014/Document.class</t>
  </si>
  <si>
    <t>mutants/mp/123/157/00000001/Document.java</t>
  </si>
  <si>
    <t>2024-01-10 15:20:51</t>
  </si>
  <si>
    <t>mutants/mp/118/114/00000012/Document.java</t>
  </si>
  <si>
    <t>2024-01-10 15:20:52</t>
  </si>
  <si>
    <t>mutants/mp/118/114/00000013/Document.java</t>
  </si>
  <si>
    <t>mutants/mp/124/166/00000008/Document.java</t>
  </si>
  <si>
    <t>2024-01-10 15:21:10</t>
  </si>
  <si>
    <t>mutants/mp/123/157/00000002/Document.java</t>
  </si>
  <si>
    <t>mutants/mp/123/157/00000002/Document.class</t>
  </si>
  <si>
    <t>2024-01-10 15:21:14</t>
  </si>
  <si>
    <t>mutants/mp/126/167/00000015/Document.java</t>
  </si>
  <si>
    <t>mutants/mp/126/167/00000015/Document.class</t>
  </si>
  <si>
    <t>2024-01-10 15:21:21</t>
  </si>
  <si>
    <t>mutants/mp/118/114/00000014/Document.java</t>
  </si>
  <si>
    <t>mutants/mp/118/114/00000014/Document.class</t>
  </si>
  <si>
    <t>2024-01-10 15:21:24</t>
  </si>
  <si>
    <t>mutants/mp/124/144/00000002/Document.java</t>
  </si>
  <si>
    <t>mutants/mp/124/144/00000002/Document.class</t>
  </si>
  <si>
    <t>mutants/mp/124/166/00000009/Document.java</t>
  </si>
  <si>
    <t>2024-01-10 15:21:28</t>
  </si>
  <si>
    <t>mutants/mp/124/166/00000010/Document.java</t>
  </si>
  <si>
    <t>mutants/mp/124/166/00000010/Document.class</t>
  </si>
  <si>
    <t>2024-01-10 15:21:41</t>
  </si>
  <si>
    <t>mutants/mp/124/144/00000003/Document.java</t>
  </si>
  <si>
    <t>mutants/mp/124/144/00000003/Document.class</t>
  </si>
  <si>
    <t>2024-01-10 15:21:47</t>
  </si>
  <si>
    <t>mutants/mp/123/157/00000003/Document.java</t>
  </si>
  <si>
    <t>mutants/mp/123/157/00000003/Document.class</t>
  </si>
  <si>
    <t>mutants/mp/124/166/00000011/Document.java</t>
  </si>
  <si>
    <t>mutants/mp/124/166/00000011/Document.class</t>
  </si>
  <si>
    <t>2024-01-10 15:21:57</t>
  </si>
  <si>
    <t>mutants/mp/124/144/00000004/Document.java</t>
  </si>
  <si>
    <t>mutants/mp/124/144/00000004/Document.class</t>
  </si>
  <si>
    <t>2024-01-10 15:22:00</t>
  </si>
  <si>
    <t>mutants/mp/121/125/00000010/Document.java</t>
  </si>
  <si>
    <t>mutants/mp/121/125/00000010/Document.class</t>
  </si>
  <si>
    <t>2024-01-10 15:22:49</t>
  </si>
  <si>
    <t>mutants/mp/123/157/00000004/Document.java</t>
  </si>
  <si>
    <t>mutants/mp/123/157/00000004/Document.class</t>
  </si>
  <si>
    <t>2024-01-10 15:23:26</t>
  </si>
  <si>
    <t>mutants/mp/120/120/00000018/Document.java</t>
  </si>
  <si>
    <t>mutants/mp/120/120/00000018/Document.class</t>
  </si>
  <si>
    <t>2024-01-10 15:23:31</t>
  </si>
  <si>
    <t>mutants/mp/121/125/00000011/Document.java</t>
  </si>
  <si>
    <t>mutants/mp/121/125/00000011/Document.class</t>
  </si>
  <si>
    <t>mutants/mp/121/112/00000005/Document.java</t>
  </si>
  <si>
    <t>mutants/mp/121/112/00000005/Document.class</t>
  </si>
  <si>
    <t>2024-01-10 15:23:36</t>
  </si>
  <si>
    <t>mutants/mp/126/167/00000016/Document.java</t>
  </si>
  <si>
    <t>mutants/mp/126/167/00000016/Document.class</t>
  </si>
  <si>
    <t>mutants/mp/123/157/00000005/Document.java</t>
  </si>
  <si>
    <t>mutants/mp/123/157/00000005/Document.class</t>
  </si>
  <si>
    <t>2024-01-10 15:24:54</t>
  </si>
  <si>
    <t>mutants/mp/120/109/00000002/Document.java</t>
  </si>
  <si>
    <t>mutants/mp/120/109/00000002/Document.class</t>
  </si>
  <si>
    <t>2024-01-10 15:24:59</t>
  </si>
  <si>
    <t>108,112,116</t>
  </si>
  <si>
    <t>mutants/mp/120/120/00000019/Document.java</t>
  </si>
  <si>
    <t>mutants/mp/120/120/00000019/Document.class</t>
  </si>
  <si>
    <t>mutants/mp/123/157/00000006/Document.java</t>
  </si>
  <si>
    <t>mutants/mp/123/157/00000006/Document.class</t>
  </si>
  <si>
    <t>mutants/mp/125/153/00000011/Document.java</t>
  </si>
  <si>
    <t>mutants/mp/125/153/00000011/Document.class</t>
  </si>
  <si>
    <t>2024-01-10 15:25:22</t>
  </si>
  <si>
    <t>mutants/mp/123/157/00000007/Document.java</t>
  </si>
  <si>
    <t>mutants/mp/120/109/00000003/Document.java</t>
  </si>
  <si>
    <t>mutants/mp/120/109/00000003/Document.class</t>
  </si>
  <si>
    <t>mutants/mp/121/123/00000010/Document.java</t>
  </si>
  <si>
    <t>mutants/mp/121/123/00000010/Document.class</t>
  </si>
  <si>
    <t>2024-01-10 15:26:05</t>
  </si>
  <si>
    <t>mutants/mp/123/157/00000008/Document.java</t>
  </si>
  <si>
    <t>2024-01-10 15:26:23</t>
  </si>
  <si>
    <t>mutants/mp/124/142/00000001/Document.java</t>
  </si>
  <si>
    <t>mutants/mp/123/157/00000009/Document.java</t>
  </si>
  <si>
    <t>2024-01-10 15:26:46</t>
  </si>
  <si>
    <t>mutants/mp/121/112/00000006/Document.java</t>
  </si>
  <si>
    <t>mutants/mp/121/112/00000006/Document.class</t>
  </si>
  <si>
    <t>2024-01-10 15:27:01</t>
  </si>
  <si>
    <t>mutants/mp/123/157/00000010/Document.java</t>
  </si>
  <si>
    <t>mutants/mp/123/157/00000010/Document.class</t>
  </si>
  <si>
    <t>2024-01-10 15:27:12</t>
  </si>
  <si>
    <t>mutants/mp/124/142/00000002/Document.java</t>
  </si>
  <si>
    <t>2024-01-10 15:27:16</t>
  </si>
  <si>
    <t>mutants/mp/120/109/00000004/Document.java</t>
  </si>
  <si>
    <t>mutants/mp/120/109/00000004/Document.class</t>
  </si>
  <si>
    <t>67,68,69,70,71,73,74</t>
  </si>
  <si>
    <t>mutants/mp/120/137/00000005/Document.java</t>
  </si>
  <si>
    <t>mutants/mp/120/137/00000005/Document.class</t>
  </si>
  <si>
    <t>2024-01-10 15:27:44</t>
  </si>
  <si>
    <t>mutants/mp/123/157/00000011/Document.java</t>
  </si>
  <si>
    <t>2024-01-10 15:27:51</t>
  </si>
  <si>
    <t>mutants/mp/123/157/00000012/Document.java</t>
  </si>
  <si>
    <t>mutants/mp/123/157/00000012/Document.class</t>
  </si>
  <si>
    <t>2024-01-10 15:28:42</t>
  </si>
  <si>
    <t>mutants/mp/124/142/00000003/Document.java</t>
  </si>
  <si>
    <t>mutants/mp/124/142/00000003/Document.class</t>
  </si>
  <si>
    <t>mutants/mp/119/130/00000012/Document.java</t>
  </si>
  <si>
    <t>mutants/mp/119/130/00000012/Document.class</t>
  </si>
  <si>
    <t>mutants/mp/119/130/00000013/Document.java</t>
  </si>
  <si>
    <t>mutants/mp/119/130/00000013/Document.class</t>
  </si>
  <si>
    <t>2024-01-10 15:29:10</t>
  </si>
  <si>
    <t>mutants/mp/123/146/00000006/Document.java</t>
  </si>
  <si>
    <t>mutants/mp/123/146/00000006/Document.class</t>
  </si>
  <si>
    <t>2024-01-10 15:29:11</t>
  </si>
  <si>
    <t>mutants/mp/126/141/00000017/Document.java</t>
  </si>
  <si>
    <t>2024-01-10 15:29:19</t>
  </si>
  <si>
    <t>mutants/mp/123/146/00000007/Document.java</t>
  </si>
  <si>
    <t>2024-01-10 15:29:20</t>
  </si>
  <si>
    <t>mutants/mp/123/146/00000008/Document.java</t>
  </si>
  <si>
    <t>mutants/mp/123/146/00000008/Document.class</t>
  </si>
  <si>
    <t>2024-01-10 15:29:30</t>
  </si>
  <si>
    <t>mutants/mp/126/141/00000018/Document.java</t>
  </si>
  <si>
    <t>mutants/mp/126/141/00000018/Document.class</t>
  </si>
  <si>
    <t>mutants/mp/119/130/00000014/Document.java</t>
  </si>
  <si>
    <t>2024-01-10 15:29:40</t>
  </si>
  <si>
    <t>mutants/mp/125/153/00000012/Document.java</t>
  </si>
  <si>
    <t>mutants/mp/125/153/00000012/Document.class</t>
  </si>
  <si>
    <t>2024-01-10 15:29:51</t>
  </si>
  <si>
    <t>mutants/mp/126/141/00000019/Document.java</t>
  </si>
  <si>
    <t>mutants/mp/126/141/00000019/Document.class</t>
  </si>
  <si>
    <t>2024-01-10 15:29:52</t>
  </si>
  <si>
    <t>mutants/mp/120/109/00000005/Document.java</t>
  </si>
  <si>
    <t>mutants/mp/120/109/00000005/Document.class</t>
  </si>
  <si>
    <t>2024-01-10 15:30:05</t>
  </si>
  <si>
    <t>Killmap</t>
  </si>
  <si>
    <t>Mutant</t>
  </si>
  <si>
    <t>Test</t>
  </si>
  <si>
    <t>NO_COVERAGE</t>
  </si>
  <si>
    <t>NO_KILL</t>
  </si>
  <si>
    <t>KILL</t>
  </si>
  <si>
    <t>Event</t>
  </si>
  <si>
    <t>ERROR</t>
  </si>
  <si>
    <t>Number of users who 
performed better with the
assistant</t>
  </si>
  <si>
    <t>Number of users who 
performed better or equal
with the assistant</t>
  </si>
  <si>
    <t>-</t>
  </si>
  <si>
    <t>p_value*</t>
  </si>
  <si>
    <t>*p_value computed according to the Wilcoxon Signed-Rank Test. Players with the assistant formed population A and players without it formed population B. NULL HYPOTHESIS: A and B come from the same distribution. ALTERNATIVE HYPOTHESIS: A and B come from different distributions</t>
  </si>
  <si>
    <t>Games with
the assistant</t>
  </si>
  <si>
    <t>Games without
the assistant</t>
  </si>
  <si>
    <t>Game ID</t>
  </si>
  <si>
    <t>History of player</t>
  </si>
  <si>
    <t xml:space="preserve"> </t>
  </si>
  <si>
    <t>Topic Classification</t>
  </si>
  <si>
    <t>Related Mutant/Test/Method</t>
  </si>
  <si>
    <t>Related methods or methods mutated/covered
by related mutant/test</t>
  </si>
  <si>
    <t>Test_ID</t>
  </si>
  <si>
    <t>Mutant_ID</t>
  </si>
  <si>
    <t>Mutated Methods</t>
  </si>
  <si>
    <t>Related Methods</t>
  </si>
  <si>
    <t>Average number of
words per question</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</si>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</sst>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9">
    <font>
      <sz val="10"/>
      <color rgb="FF000000"/>
      <name val="Arial"/>
      <scheme val="minor"/>
    </font>
    <font>
      <sz val="10"/>
      <color theme="1"/>
      <name val="Arial"/>
      <scheme val="minor"/>
    </font>
    <font>
      <sz val="10"/>
      <name val="Arial"/>
    </font>
    <font>
      <sz val="9"/>
      <color rgb="FF000000"/>
      <name val="&quot;Google Sans Mono&quot;"/>
    </font>
    <font>
      <sz val="17"/>
      <color theme="1"/>
      <name val="Arial"/>
      <scheme val="minor"/>
    </font>
    <font>
      <sz val="10"/>
      <color theme="1"/>
      <name val="Arial"/>
    </font>
    <font>
      <sz val="13"/>
      <color theme="1"/>
      <name val="Arial"/>
    </font>
    <font>
      <sz val="10"/>
      <color rgb="FF000000"/>
      <name val="Arial"/>
      <family val="2"/>
      <scheme val="minor"/>
    </font>
    <font>
      <sz val="10"/>
      <color theme="1"/>
      <name val="Arial"/>
      <family val="2"/>
      <scheme val="minor"/>
    </font>
  </fonts>
  <fills count="10">
    <fill>
      <patternFill patternType="none"/>
    </fill>
    <fill>
      <patternFill patternType="gray125"/>
    </fill>
    <fill>
      <patternFill patternType="solid">
        <fgColor rgb="FFFFE599"/>
        <bgColor rgb="FFFFE599"/>
      </patternFill>
    </fill>
    <fill>
      <patternFill patternType="solid">
        <fgColor rgb="FFFF9900"/>
        <bgColor rgb="FFFF9900"/>
      </patternFill>
    </fill>
    <fill>
      <patternFill patternType="solid">
        <fgColor rgb="FFFFFFFF"/>
        <bgColor rgb="FFFFFFFF"/>
      </patternFill>
    </fill>
    <fill>
      <patternFill patternType="solid">
        <fgColor rgb="FFFF0000"/>
        <bgColor rgb="FFFF0000"/>
      </patternFill>
    </fill>
    <fill>
      <patternFill patternType="solid">
        <fgColor rgb="FF00FFFF"/>
        <bgColor rgb="FF00FFFF"/>
      </patternFill>
    </fill>
    <fill>
      <patternFill patternType="solid">
        <fgColor theme="8" tint="0.39997558519241921"/>
        <bgColor indexed="64"/>
      </patternFill>
    </fill>
    <fill>
      <patternFill patternType="solid">
        <fgColor rgb="FFFF0000"/>
        <bgColor indexed="64"/>
      </patternFill>
    </fill>
    <fill>
      <patternFill patternType="solid">
        <fgColor theme="6" tint="0.59999389629810485"/>
        <bgColor indexed="64"/>
      </patternFill>
    </fill>
  </fills>
  <borders count="72">
    <border>
      <left/>
      <right/>
      <top/>
      <bottom/>
      <diagonal/>
    </border>
    <border>
      <left style="thin">
        <color rgb="FF000000"/>
      </left>
      <right/>
      <top style="thin">
        <color rgb="FF000000"/>
      </top>
      <bottom/>
      <diagonal/>
    </border>
    <border>
      <left/>
      <right style="double">
        <color rgb="FF000000"/>
      </right>
      <top style="thin">
        <color rgb="FF000000"/>
      </top>
      <bottom/>
      <diagonal/>
    </border>
    <border>
      <left/>
      <right/>
      <top style="thin">
        <color rgb="FF000000"/>
      </top>
      <bottom/>
      <diagonal/>
    </border>
    <border>
      <left/>
      <right style="dotted">
        <color rgb="FF000000"/>
      </right>
      <top style="thin">
        <color rgb="FF000000"/>
      </top>
      <bottom/>
      <diagonal/>
    </border>
    <border>
      <left style="dotted">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double">
        <color rgb="FF000000"/>
      </right>
      <top/>
      <bottom/>
      <diagonal/>
    </border>
    <border>
      <left/>
      <right style="dotted">
        <color rgb="FF000000"/>
      </right>
      <top/>
      <bottom/>
      <diagonal/>
    </border>
    <border>
      <left style="dotted">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right style="dotted">
        <color rgb="FF000000"/>
      </right>
      <top/>
      <bottom style="thin">
        <color rgb="FF000000"/>
      </bottom>
      <diagonal/>
    </border>
    <border>
      <left style="dotted">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double">
        <color rgb="FF000000"/>
      </right>
      <top style="thin">
        <color rgb="FF000000"/>
      </top>
      <bottom/>
      <diagonal/>
    </border>
    <border>
      <left style="thin">
        <color rgb="FF000000"/>
      </left>
      <right style="double">
        <color rgb="FF000000"/>
      </right>
      <top/>
      <bottom style="thin">
        <color rgb="FF000000"/>
      </bottom>
      <diagonal/>
    </border>
    <border>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thin">
        <color rgb="FF000000"/>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bottom style="double">
        <color rgb="FF000000"/>
      </bottom>
      <diagonal/>
    </border>
    <border>
      <left/>
      <right/>
      <top/>
      <bottom style="double">
        <color rgb="FF000000"/>
      </bottom>
      <diagonal/>
    </border>
    <border>
      <left/>
      <right/>
      <top style="thin">
        <color rgb="FF000000"/>
      </top>
      <bottom style="double">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right style="double">
        <color indexed="64"/>
      </right>
      <top style="thin">
        <color rgb="FF000000"/>
      </top>
      <bottom/>
      <diagonal/>
    </border>
    <border>
      <left/>
      <right style="double">
        <color indexed="64"/>
      </right>
      <top/>
      <bottom style="thin">
        <color rgb="FF000000"/>
      </bottom>
      <diagonal/>
    </border>
    <border>
      <left/>
      <right style="dotted">
        <color indexed="64"/>
      </right>
      <top style="thin">
        <color rgb="FF000000"/>
      </top>
      <bottom/>
      <diagonal/>
    </border>
    <border>
      <left/>
      <right style="dotted">
        <color indexed="64"/>
      </right>
      <top/>
      <bottom style="thin">
        <color rgb="FF000000"/>
      </bottom>
      <diagonal/>
    </border>
    <border>
      <left style="thin">
        <color rgb="FF000000"/>
      </left>
      <right style="double">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double">
        <color rgb="FF000000"/>
      </right>
      <top style="thin">
        <color indexed="64"/>
      </top>
      <bottom style="thin">
        <color indexed="64"/>
      </bottom>
      <diagonal/>
    </border>
    <border>
      <left style="double">
        <color rgb="FF000000"/>
      </left>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dotted">
        <color indexed="64"/>
      </right>
      <top style="thin">
        <color indexed="64"/>
      </top>
      <bottom style="thin">
        <color indexed="64"/>
      </bottom>
      <diagonal/>
    </border>
    <border>
      <left/>
      <right style="dotted">
        <color indexed="64"/>
      </right>
      <top/>
      <bottom style="thin">
        <color indexed="64"/>
      </bottom>
      <diagonal/>
    </border>
    <border>
      <left style="dotted">
        <color indexed="64"/>
      </left>
      <right/>
      <top style="thin">
        <color indexed="64"/>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bottom/>
      <diagonal/>
    </border>
    <border>
      <left/>
      <right style="double">
        <color rgb="FF000000"/>
      </right>
      <top/>
      <bottom style="thin">
        <color indexed="64"/>
      </bottom>
      <diagonal/>
    </border>
    <border>
      <left style="thin">
        <color indexed="64"/>
      </left>
      <right/>
      <top/>
      <bottom/>
      <diagonal/>
    </border>
    <border>
      <left style="thin">
        <color rgb="FF000000"/>
      </left>
      <right/>
      <top/>
      <bottom style="thin">
        <color indexed="64"/>
      </bottom>
      <diagonal/>
    </border>
    <border>
      <left/>
      <right/>
      <top style="double">
        <color rgb="FF000000"/>
      </top>
      <bottom/>
      <diagonal/>
    </border>
    <border>
      <left style="thin">
        <color rgb="FF000000"/>
      </left>
      <right/>
      <top style="double">
        <color rgb="FF000000"/>
      </top>
      <bottom/>
      <diagonal/>
    </border>
    <border>
      <left/>
      <right style="thin">
        <color indexed="64"/>
      </right>
      <top style="thin">
        <color rgb="FF000000"/>
      </top>
      <bottom style="double">
        <color rgb="FF000000"/>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dotted">
        <color indexed="64"/>
      </bottom>
      <diagonal/>
    </border>
    <border>
      <left/>
      <right style="thin">
        <color indexed="64"/>
      </right>
      <top style="thin">
        <color indexed="64"/>
      </top>
      <bottom style="dotted">
        <color indexed="64"/>
      </bottom>
      <diagonal/>
    </border>
  </borders>
  <cellStyleXfs count="1">
    <xf numFmtId="0" fontId="0" fillId="0" borderId="0"/>
  </cellStyleXfs>
  <cellXfs count="233">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8" xfId="0" applyFont="1" applyBorder="1" applyAlignment="1">
      <alignment horizontal="center"/>
    </xf>
    <xf numFmtId="0" fontId="1" fillId="0" borderId="11" xfId="0" applyFont="1" applyBorder="1" applyAlignment="1">
      <alignment horizontal="center"/>
    </xf>
    <xf numFmtId="0" fontId="1" fillId="0" borderId="7" xfId="0" applyFont="1" applyBorder="1"/>
    <xf numFmtId="0" fontId="1" fillId="0" borderId="0" xfId="0" applyFont="1"/>
    <xf numFmtId="0" fontId="1" fillId="0" borderId="8" xfId="0" applyFont="1" applyBorder="1"/>
    <xf numFmtId="0" fontId="1" fillId="0" borderId="9" xfId="0" applyFont="1" applyBorder="1"/>
    <xf numFmtId="0" fontId="1" fillId="2" borderId="10" xfId="0" applyFont="1" applyFill="1" applyBorder="1"/>
    <xf numFmtId="0" fontId="1" fillId="2" borderId="0" xfId="0" applyFont="1" applyFill="1"/>
    <xf numFmtId="0" fontId="1" fillId="0" borderId="11" xfId="0" applyFont="1" applyBorder="1"/>
    <xf numFmtId="0" fontId="3" fillId="2" borderId="0" xfId="0" applyFont="1" applyFill="1"/>
    <xf numFmtId="0" fontId="1" fillId="0" borderId="10" xfId="0" applyFont="1" applyBorder="1"/>
    <xf numFmtId="0" fontId="1" fillId="2" borderId="8" xfId="0" applyFont="1" applyFill="1" applyBorder="1"/>
    <xf numFmtId="0" fontId="1" fillId="2" borderId="9" xfId="0" applyFont="1" applyFill="1" applyBorder="1"/>
    <xf numFmtId="0" fontId="1" fillId="2" borderId="11" xfId="0" applyFont="1" applyFill="1" applyBorder="1"/>
    <xf numFmtId="0" fontId="1" fillId="0" borderId="12" xfId="0" applyFont="1" applyBorder="1"/>
    <xf numFmtId="0" fontId="1" fillId="0" borderId="13" xfId="0" applyFont="1" applyBorder="1"/>
    <xf numFmtId="0" fontId="1" fillId="0" borderId="14" xfId="0" applyFont="1" applyBorder="1"/>
    <xf numFmtId="0" fontId="1" fillId="0" borderId="15" xfId="0" applyFont="1" applyBorder="1"/>
    <xf numFmtId="0" fontId="1" fillId="0" borderId="16" xfId="0" applyFont="1" applyBorder="1"/>
    <xf numFmtId="0" fontId="1" fillId="2" borderId="14" xfId="0" applyFont="1" applyFill="1" applyBorder="1"/>
    <xf numFmtId="0" fontId="1" fillId="2" borderId="15" xfId="0" applyFont="1" applyFill="1" applyBorder="1"/>
    <xf numFmtId="0" fontId="1" fillId="2" borderId="17" xfId="0" applyFont="1" applyFill="1" applyBorder="1"/>
    <xf numFmtId="0" fontId="1" fillId="0" borderId="3" xfId="0" applyFont="1" applyBorder="1" applyAlignment="1">
      <alignment horizontal="center" vertical="center"/>
    </xf>
    <xf numFmtId="0" fontId="1" fillId="0" borderId="18" xfId="0" applyFont="1" applyBorder="1"/>
    <xf numFmtId="0" fontId="1" fillId="0" borderId="19" xfId="0" applyFont="1" applyBorder="1"/>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21" xfId="0" applyFont="1" applyBorder="1"/>
    <xf numFmtId="0" fontId="1" fillId="0" borderId="17" xfId="0" applyFont="1" applyBorder="1"/>
    <xf numFmtId="10" fontId="1" fillId="0" borderId="0" xfId="0" applyNumberFormat="1" applyFont="1"/>
    <xf numFmtId="0" fontId="1" fillId="0" borderId="3" xfId="0" applyFont="1" applyBorder="1"/>
    <xf numFmtId="10" fontId="1" fillId="0" borderId="6" xfId="0" applyNumberFormat="1" applyFont="1" applyBorder="1"/>
    <xf numFmtId="10" fontId="1" fillId="0" borderId="17" xfId="0" applyNumberFormat="1" applyFont="1" applyBorder="1"/>
    <xf numFmtId="0" fontId="1" fillId="0" borderId="23" xfId="0" applyFont="1" applyBorder="1"/>
    <xf numFmtId="0" fontId="1" fillId="0" borderId="24" xfId="0" applyFont="1" applyBorder="1"/>
    <xf numFmtId="0" fontId="1" fillId="0" borderId="6" xfId="0" applyFont="1" applyBorder="1"/>
    <xf numFmtId="0" fontId="1" fillId="0" borderId="1" xfId="0" applyFont="1" applyBorder="1"/>
    <xf numFmtId="0" fontId="1" fillId="0" borderId="2" xfId="0" applyFont="1" applyBorder="1"/>
    <xf numFmtId="0" fontId="3" fillId="4" borderId="0" xfId="0" applyFont="1" applyFill="1"/>
    <xf numFmtId="0" fontId="1" fillId="4" borderId="0" xfId="0" applyFont="1" applyFill="1"/>
    <xf numFmtId="0" fontId="1" fillId="4" borderId="8" xfId="0" applyFont="1" applyFill="1" applyBorder="1"/>
    <xf numFmtId="0" fontId="1" fillId="4" borderId="9" xfId="0" applyFont="1" applyFill="1" applyBorder="1"/>
    <xf numFmtId="0" fontId="1" fillId="4" borderId="10" xfId="0" applyFont="1" applyFill="1" applyBorder="1"/>
    <xf numFmtId="0" fontId="1" fillId="4" borderId="11" xfId="0" applyFont="1" applyFill="1" applyBorder="1"/>
    <xf numFmtId="0" fontId="1" fillId="4" borderId="7" xfId="0" applyFont="1" applyFill="1" applyBorder="1"/>
    <xf numFmtId="0" fontId="1" fillId="4" borderId="12" xfId="0" applyFont="1" applyFill="1" applyBorder="1"/>
    <xf numFmtId="0" fontId="1" fillId="4" borderId="13" xfId="0" applyFont="1" applyFill="1" applyBorder="1"/>
    <xf numFmtId="0" fontId="1" fillId="4" borderId="14" xfId="0" applyFont="1" applyFill="1" applyBorder="1"/>
    <xf numFmtId="0" fontId="1" fillId="4" borderId="15" xfId="0" applyFont="1" applyFill="1" applyBorder="1"/>
    <xf numFmtId="0" fontId="1" fillId="4" borderId="16" xfId="0" applyFont="1" applyFill="1" applyBorder="1"/>
    <xf numFmtId="0" fontId="1" fillId="4" borderId="17" xfId="0" applyFont="1" applyFill="1" applyBorder="1"/>
    <xf numFmtId="0" fontId="1" fillId="0" borderId="20" xfId="0" applyFont="1" applyBorder="1"/>
    <xf numFmtId="0" fontId="1" fillId="0" borderId="26" xfId="0" applyFont="1" applyBorder="1"/>
    <xf numFmtId="0" fontId="1" fillId="0" borderId="27" xfId="0" applyFont="1" applyBorder="1"/>
    <xf numFmtId="0" fontId="1" fillId="0" borderId="25" xfId="0" applyFont="1" applyBorder="1" applyAlignment="1">
      <alignment horizontal="left" vertical="center"/>
    </xf>
    <xf numFmtId="10" fontId="1" fillId="2" borderId="0" xfId="0" applyNumberFormat="1" applyFont="1" applyFill="1"/>
    <xf numFmtId="10" fontId="1" fillId="2" borderId="11" xfId="0" applyNumberFormat="1" applyFont="1" applyFill="1" applyBorder="1"/>
    <xf numFmtId="0" fontId="1" fillId="2" borderId="13" xfId="0" applyFont="1" applyFill="1" applyBorder="1"/>
    <xf numFmtId="10" fontId="1" fillId="2" borderId="13" xfId="0" applyNumberFormat="1" applyFont="1" applyFill="1" applyBorder="1"/>
    <xf numFmtId="10" fontId="1" fillId="2" borderId="17" xfId="0" applyNumberFormat="1" applyFont="1" applyFill="1" applyBorder="1"/>
    <xf numFmtId="0" fontId="1" fillId="2" borderId="3" xfId="0" applyFont="1" applyFill="1" applyBorder="1"/>
    <xf numFmtId="10" fontId="1" fillId="2" borderId="3" xfId="0" applyNumberFormat="1" applyFont="1" applyFill="1" applyBorder="1"/>
    <xf numFmtId="10" fontId="1" fillId="2" borderId="6" xfId="0" applyNumberFormat="1" applyFont="1" applyFill="1" applyBorder="1"/>
    <xf numFmtId="0" fontId="1" fillId="0" borderId="32" xfId="0" applyFont="1" applyBorder="1"/>
    <xf numFmtId="0" fontId="1" fillId="0" borderId="33" xfId="0" applyFont="1" applyBorder="1"/>
    <xf numFmtId="0" fontId="1" fillId="2" borderId="33" xfId="0" applyFont="1" applyFill="1" applyBorder="1"/>
    <xf numFmtId="10" fontId="1" fillId="2" borderId="33" xfId="0" applyNumberFormat="1" applyFont="1" applyFill="1" applyBorder="1"/>
    <xf numFmtId="0" fontId="1" fillId="4" borderId="33" xfId="0" applyFont="1" applyFill="1" applyBorder="1"/>
    <xf numFmtId="10" fontId="1" fillId="2" borderId="34" xfId="0" applyNumberFormat="1" applyFont="1" applyFill="1" applyBorder="1"/>
    <xf numFmtId="0" fontId="1" fillId="5" borderId="0" xfId="0" applyFont="1" applyFill="1"/>
    <xf numFmtId="0" fontId="1" fillId="6" borderId="0" xfId="0" applyFont="1" applyFill="1"/>
    <xf numFmtId="0" fontId="1" fillId="0" borderId="35" xfId="0" applyFont="1" applyBorder="1"/>
    <xf numFmtId="0" fontId="1" fillId="0" borderId="36" xfId="0" applyFont="1" applyBorder="1"/>
    <xf numFmtId="0" fontId="1" fillId="0" borderId="18" xfId="0" applyFont="1" applyBorder="1" applyAlignment="1">
      <alignment horizontal="center" vertical="center" wrapText="1"/>
    </xf>
    <xf numFmtId="0" fontId="1" fillId="0" borderId="3" xfId="0" applyFont="1" applyBorder="1" applyAlignment="1">
      <alignment horizontal="center" vertical="center" wrapText="1"/>
    </xf>
    <xf numFmtId="0" fontId="1" fillId="3" borderId="0" xfId="0" applyFont="1" applyFill="1" applyAlignment="1">
      <alignment wrapText="1"/>
    </xf>
    <xf numFmtId="10" fontId="1" fillId="0" borderId="44" xfId="0" applyNumberFormat="1" applyFont="1" applyBorder="1"/>
    <xf numFmtId="10" fontId="1" fillId="0" borderId="45" xfId="0" applyNumberFormat="1" applyFont="1" applyBorder="1"/>
    <xf numFmtId="10" fontId="1" fillId="0" borderId="46" xfId="0" applyNumberFormat="1" applyFont="1" applyBorder="1"/>
    <xf numFmtId="10" fontId="1" fillId="0" borderId="47" xfId="0" applyNumberFormat="1" applyFont="1" applyBorder="1"/>
    <xf numFmtId="0" fontId="1" fillId="0" borderId="48" xfId="0" applyFont="1" applyBorder="1"/>
    <xf numFmtId="0" fontId="1" fillId="0" borderId="49" xfId="0" applyFont="1" applyBorder="1"/>
    <xf numFmtId="0" fontId="1" fillId="0" borderId="50" xfId="0" applyFont="1" applyBorder="1"/>
    <xf numFmtId="0" fontId="1" fillId="0" borderId="52" xfId="0" applyFont="1" applyBorder="1"/>
    <xf numFmtId="0" fontId="1" fillId="0" borderId="41" xfId="0" applyFont="1" applyBorder="1"/>
    <xf numFmtId="0" fontId="1" fillId="0" borderId="58" xfId="0" applyFont="1" applyBorder="1"/>
    <xf numFmtId="0" fontId="1" fillId="0" borderId="0" xfId="0" quotePrefix="1" applyFont="1" applyAlignment="1">
      <alignment horizontal="center"/>
    </xf>
    <xf numFmtId="164" fontId="1" fillId="0" borderId="0" xfId="0" applyNumberFormat="1" applyFont="1" applyAlignment="1">
      <alignment horizontal="center"/>
    </xf>
    <xf numFmtId="0" fontId="0" fillId="0" borderId="61" xfId="0" applyBorder="1"/>
    <xf numFmtId="0" fontId="0" fillId="0" borderId="60" xfId="0" applyBorder="1"/>
    <xf numFmtId="0" fontId="0" fillId="0" borderId="62" xfId="0" applyBorder="1"/>
    <xf numFmtId="0" fontId="1" fillId="0" borderId="25" xfId="0" applyFont="1" applyBorder="1" applyAlignment="1">
      <alignment wrapText="1"/>
    </xf>
    <xf numFmtId="0" fontId="1" fillId="0" borderId="23" xfId="0" applyFont="1" applyBorder="1" applyAlignment="1">
      <alignment wrapText="1"/>
    </xf>
    <xf numFmtId="0" fontId="1" fillId="0" borderId="24" xfId="0" applyFont="1" applyBorder="1" applyAlignment="1">
      <alignment wrapText="1"/>
    </xf>
    <xf numFmtId="0" fontId="1" fillId="0" borderId="20" xfId="0" applyFont="1" applyBorder="1" applyAlignment="1">
      <alignment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0" fillId="0" borderId="0" xfId="0" applyAlignment="1">
      <alignment vertical="center"/>
    </xf>
    <xf numFmtId="3" fontId="1" fillId="0" borderId="0" xfId="0" applyNumberFormat="1" applyFont="1"/>
    <xf numFmtId="49" fontId="1" fillId="0" borderId="0" xfId="0" applyNumberFormat="1" applyFont="1"/>
    <xf numFmtId="49" fontId="0" fillId="0" borderId="0" xfId="0" applyNumberFormat="1"/>
    <xf numFmtId="0" fontId="8" fillId="0" borderId="0" xfId="0" applyFont="1"/>
    <xf numFmtId="0" fontId="1" fillId="8" borderId="0" xfId="0" applyFont="1" applyFill="1"/>
    <xf numFmtId="0" fontId="1" fillId="0" borderId="62" xfId="0" applyFont="1" applyBorder="1"/>
    <xf numFmtId="0" fontId="1" fillId="0" borderId="64" xfId="0" applyFont="1" applyBorder="1"/>
    <xf numFmtId="0" fontId="1" fillId="9" borderId="64" xfId="0" applyFont="1" applyFill="1" applyBorder="1" applyAlignment="1">
      <alignment horizontal="center" vertical="center"/>
    </xf>
    <xf numFmtId="0" fontId="1" fillId="9" borderId="0" xfId="0" applyFont="1" applyFill="1" applyAlignment="1">
      <alignment horizontal="center" vertical="center"/>
    </xf>
    <xf numFmtId="0" fontId="8" fillId="9" borderId="62" xfId="0" applyFont="1" applyFill="1" applyBorder="1" applyAlignment="1">
      <alignment horizontal="center" vertical="center"/>
    </xf>
    <xf numFmtId="0" fontId="1" fillId="9" borderId="64" xfId="0" applyFont="1" applyFill="1" applyBorder="1"/>
    <xf numFmtId="0" fontId="1" fillId="9" borderId="0" xfId="0" applyFont="1" applyFill="1"/>
    <xf numFmtId="0" fontId="8" fillId="9" borderId="62" xfId="0" applyFont="1" applyFill="1" applyBorder="1"/>
    <xf numFmtId="0" fontId="1" fillId="9" borderId="62" xfId="0" applyFont="1" applyFill="1" applyBorder="1"/>
    <xf numFmtId="0" fontId="0" fillId="9" borderId="64" xfId="0" applyFill="1" applyBorder="1"/>
    <xf numFmtId="0" fontId="0" fillId="9" borderId="0" xfId="0" applyFill="1"/>
    <xf numFmtId="0" fontId="7" fillId="9" borderId="62" xfId="0" applyFont="1" applyFill="1" applyBorder="1"/>
    <xf numFmtId="49" fontId="0" fillId="9" borderId="62" xfId="0" applyNumberFormat="1" applyFill="1" applyBorder="1"/>
    <xf numFmtId="0" fontId="0" fillId="9" borderId="62" xfId="0" applyFill="1" applyBorder="1"/>
    <xf numFmtId="0" fontId="8" fillId="0" borderId="18" xfId="0" applyFont="1" applyBorder="1" applyAlignment="1">
      <alignment horizontal="right"/>
    </xf>
    <xf numFmtId="0" fontId="0" fillId="0" borderId="65" xfId="0" applyBorder="1"/>
    <xf numFmtId="0" fontId="7" fillId="0" borderId="50" xfId="0" applyFont="1" applyBorder="1"/>
    <xf numFmtId="0" fontId="1" fillId="0" borderId="61" xfId="0" applyFont="1" applyBorder="1"/>
    <xf numFmtId="0" fontId="1" fillId="0" borderId="40" xfId="0" applyFont="1" applyBorder="1"/>
    <xf numFmtId="0" fontId="7" fillId="0" borderId="0" xfId="0" applyFont="1"/>
    <xf numFmtId="0" fontId="1" fillId="0" borderId="39" xfId="0" applyFont="1" applyBorder="1"/>
    <xf numFmtId="0" fontId="1" fillId="0" borderId="67" xfId="0" applyFont="1" applyBorder="1"/>
    <xf numFmtId="0" fontId="1" fillId="0" borderId="66" xfId="0" applyFont="1" applyBorder="1"/>
    <xf numFmtId="0" fontId="7" fillId="0" borderId="52" xfId="0" applyFont="1" applyBorder="1"/>
    <xf numFmtId="0" fontId="1" fillId="0" borderId="37" xfId="0" applyFont="1" applyBorder="1"/>
    <xf numFmtId="0" fontId="1" fillId="0" borderId="68" xfId="0" applyFont="1" applyBorder="1"/>
    <xf numFmtId="0" fontId="8" fillId="0" borderId="25" xfId="0" applyFont="1" applyBorder="1" applyAlignment="1">
      <alignment wrapText="1"/>
    </xf>
    <xf numFmtId="0" fontId="8" fillId="0" borderId="18" xfId="0" applyFont="1" applyBorder="1" applyAlignment="1">
      <alignment wrapText="1"/>
    </xf>
    <xf numFmtId="0" fontId="8" fillId="0" borderId="3" xfId="0" applyFont="1" applyBorder="1" applyAlignment="1">
      <alignment wrapText="1"/>
    </xf>
    <xf numFmtId="0" fontId="8" fillId="0" borderId="0" xfId="0" applyFont="1" applyAlignment="1">
      <alignment wrapText="1"/>
    </xf>
    <xf numFmtId="0" fontId="8" fillId="0" borderId="13" xfId="0" applyFont="1" applyBorder="1"/>
    <xf numFmtId="0" fontId="8" fillId="0" borderId="13" xfId="0" applyFont="1" applyBorder="1" applyAlignment="1">
      <alignment wrapText="1"/>
    </xf>
    <xf numFmtId="0" fontId="8" fillId="0" borderId="21" xfId="0" applyFont="1" applyBorder="1" applyAlignment="1">
      <alignment wrapText="1"/>
    </xf>
    <xf numFmtId="0" fontId="8" fillId="0" borderId="22" xfId="0" applyFont="1" applyBorder="1" applyAlignment="1">
      <alignment wrapText="1"/>
    </xf>
    <xf numFmtId="0" fontId="1" fillId="0" borderId="28"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7" xfId="0" applyFont="1" applyBorder="1" applyAlignment="1">
      <alignment horizontal="center" vertical="center"/>
    </xf>
    <xf numFmtId="0" fontId="7" fillId="0" borderId="69" xfId="0" applyFont="1" applyBorder="1"/>
    <xf numFmtId="0" fontId="8" fillId="0" borderId="70" xfId="0" applyFont="1" applyBorder="1" applyAlignment="1">
      <alignment wrapText="1"/>
    </xf>
    <xf numFmtId="0" fontId="1" fillId="0" borderId="71" xfId="0" applyFont="1" applyBorder="1"/>
    <xf numFmtId="164" fontId="1" fillId="7" borderId="55" xfId="0" applyNumberFormat="1" applyFont="1" applyFill="1" applyBorder="1" applyAlignment="1">
      <alignment horizontal="center"/>
    </xf>
    <xf numFmtId="164" fontId="1" fillId="7" borderId="57" xfId="0" applyNumberFormat="1" applyFont="1" applyFill="1" applyBorder="1" applyAlignment="1">
      <alignment horizontal="center"/>
    </xf>
    <xf numFmtId="0" fontId="1" fillId="0" borderId="55" xfId="0" quotePrefix="1" applyFont="1" applyBorder="1" applyAlignment="1">
      <alignment horizontal="center"/>
    </xf>
    <xf numFmtId="0" fontId="1" fillId="0" borderId="56" xfId="0" applyFont="1" applyBorder="1" applyAlignment="1">
      <alignment horizontal="center"/>
    </xf>
    <xf numFmtId="164" fontId="1" fillId="0" borderId="55" xfId="0" applyNumberFormat="1" applyFont="1" applyBorder="1" applyAlignment="1">
      <alignment horizontal="center"/>
    </xf>
    <xf numFmtId="164" fontId="1" fillId="0" borderId="57" xfId="0" applyNumberFormat="1" applyFont="1" applyBorder="1" applyAlignment="1">
      <alignment horizontal="center"/>
    </xf>
    <xf numFmtId="164" fontId="1" fillId="0" borderId="50" xfId="0" applyNumberFormat="1" applyFont="1" applyBorder="1" applyAlignment="1">
      <alignment horizontal="center"/>
    </xf>
    <xf numFmtId="0" fontId="1" fillId="0" borderId="1" xfId="0" applyFont="1" applyBorder="1" applyAlignment="1">
      <alignment horizontal="center" vertical="center" wrapText="1"/>
    </xf>
    <xf numFmtId="0" fontId="2" fillId="0" borderId="2" xfId="0" applyFont="1" applyBorder="1"/>
    <xf numFmtId="0" fontId="1" fillId="0" borderId="37" xfId="0" applyFont="1" applyBorder="1" applyAlignment="1">
      <alignment horizontal="center" wrapText="1"/>
    </xf>
    <xf numFmtId="0" fontId="1" fillId="0" borderId="42" xfId="0" applyFont="1" applyBorder="1" applyAlignment="1">
      <alignment horizontal="center" wrapText="1"/>
    </xf>
    <xf numFmtId="0" fontId="1" fillId="0" borderId="39" xfId="0" applyFont="1" applyBorder="1" applyAlignment="1">
      <alignment horizontal="center" wrapText="1"/>
    </xf>
    <xf numFmtId="0" fontId="1" fillId="0" borderId="43" xfId="0" applyFont="1" applyBorder="1" applyAlignment="1">
      <alignment horizontal="center" wrapText="1"/>
    </xf>
    <xf numFmtId="164" fontId="1" fillId="0" borderId="56" xfId="0" applyNumberFormat="1" applyFont="1" applyBorder="1" applyAlignment="1">
      <alignment horizontal="center"/>
    </xf>
    <xf numFmtId="164" fontId="1" fillId="0" borderId="51" xfId="0" applyNumberFormat="1" applyFont="1" applyBorder="1" applyAlignment="1">
      <alignment horizontal="center"/>
    </xf>
    <xf numFmtId="164" fontId="1" fillId="0" borderId="59" xfId="0" applyNumberFormat="1" applyFont="1" applyBorder="1" applyAlignment="1">
      <alignment horizontal="center"/>
    </xf>
    <xf numFmtId="164" fontId="1" fillId="0" borderId="54" xfId="0" applyNumberFormat="1" applyFont="1" applyBorder="1" applyAlignment="1">
      <alignment horizontal="center"/>
    </xf>
    <xf numFmtId="164" fontId="1" fillId="0" borderId="53" xfId="0" applyNumberFormat="1" applyFont="1" applyBorder="1" applyAlignment="1">
      <alignment horizontal="center"/>
    </xf>
    <xf numFmtId="0" fontId="1" fillId="0" borderId="19" xfId="0" applyFont="1" applyBorder="1"/>
    <xf numFmtId="0" fontId="2" fillId="0" borderId="20" xfId="0" applyFont="1" applyBorder="1"/>
    <xf numFmtId="0" fontId="1" fillId="0" borderId="5" xfId="0" applyFont="1" applyBorder="1" applyAlignment="1">
      <alignment horizontal="center" vertical="center" wrapText="1"/>
    </xf>
    <xf numFmtId="0" fontId="2" fillId="0" borderId="4" xfId="0" applyFont="1" applyBorder="1"/>
    <xf numFmtId="0" fontId="2" fillId="0" borderId="6" xfId="0" applyFont="1" applyBorder="1"/>
    <xf numFmtId="0" fontId="1" fillId="0" borderId="19" xfId="0" applyFont="1" applyBorder="1" applyAlignment="1">
      <alignment horizontal="center" wrapText="1"/>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horizontal="center"/>
    </xf>
    <xf numFmtId="0" fontId="1" fillId="0" borderId="1" xfId="0" applyFont="1" applyBorder="1" applyAlignment="1">
      <alignment horizontal="center" vertical="center"/>
    </xf>
    <xf numFmtId="0" fontId="2" fillId="0" borderId="7" xfId="0" applyFont="1" applyBorder="1"/>
    <xf numFmtId="0" fontId="1" fillId="0" borderId="2" xfId="0" applyFont="1" applyBorder="1" applyAlignment="1">
      <alignment horizontal="center" vertical="center"/>
    </xf>
    <xf numFmtId="0" fontId="2" fillId="0" borderId="8" xfId="0" applyFont="1" applyBorder="1"/>
    <xf numFmtId="0" fontId="1" fillId="0" borderId="5" xfId="0" applyFont="1" applyBorder="1" applyAlignment="1">
      <alignment horizontal="center"/>
    </xf>
    <xf numFmtId="0" fontId="1" fillId="0" borderId="0" xfId="0" applyFont="1"/>
    <xf numFmtId="0" fontId="0" fillId="0" borderId="0" xfId="0"/>
    <xf numFmtId="0" fontId="1" fillId="0" borderId="0" xfId="0" applyFont="1" applyAlignment="1">
      <alignment horizontal="center" wrapText="1"/>
    </xf>
    <xf numFmtId="0" fontId="1" fillId="0" borderId="8" xfId="0" applyFont="1" applyBorder="1" applyAlignment="1">
      <alignment horizontal="center" wrapText="1"/>
    </xf>
    <xf numFmtId="0" fontId="1" fillId="0" borderId="63" xfId="0" applyFont="1" applyBorder="1" applyAlignment="1">
      <alignment horizontal="center" wrapText="1"/>
    </xf>
    <xf numFmtId="0" fontId="2" fillId="0" borderId="28" xfId="0" applyFont="1" applyBorder="1"/>
    <xf numFmtId="0" fontId="2" fillId="0" borderId="29" xfId="0" applyFont="1" applyBorder="1"/>
    <xf numFmtId="0" fontId="1" fillId="0" borderId="0" xfId="0" applyFont="1" applyAlignment="1">
      <alignment horizontal="center" vertical="center"/>
    </xf>
    <xf numFmtId="0" fontId="1" fillId="0" borderId="62" xfId="0" applyFont="1" applyBorder="1" applyAlignment="1">
      <alignment horizontal="center" vertical="center"/>
    </xf>
    <xf numFmtId="0" fontId="7" fillId="9" borderId="64" xfId="0" applyFont="1" applyFill="1" applyBorder="1" applyAlignment="1">
      <alignment horizontal="center" vertical="center"/>
    </xf>
    <xf numFmtId="0" fontId="0" fillId="9" borderId="0" xfId="0" applyFill="1" applyAlignment="1">
      <alignment horizontal="center" vertical="center"/>
    </xf>
    <xf numFmtId="0" fontId="0" fillId="9" borderId="62" xfId="0" applyFill="1" applyBorder="1" applyAlignment="1">
      <alignment horizontal="center" vertical="center"/>
    </xf>
    <xf numFmtId="49" fontId="8" fillId="0" borderId="64" xfId="0" applyNumberFormat="1" applyFont="1" applyBorder="1" applyAlignment="1">
      <alignment horizontal="center" wrapText="1"/>
    </xf>
    <xf numFmtId="0" fontId="8" fillId="0" borderId="26" xfId="0" applyFont="1" applyBorder="1" applyAlignment="1">
      <alignment horizontal="left"/>
    </xf>
    <xf numFmtId="0" fontId="1" fillId="0" borderId="31" xfId="0" applyFont="1" applyBorder="1" applyAlignment="1">
      <alignment horizontal="left"/>
    </xf>
    <xf numFmtId="0" fontId="1" fillId="0" borderId="62" xfId="0" applyFont="1" applyBorder="1"/>
    <xf numFmtId="0" fontId="1" fillId="0" borderId="61" xfId="0" applyFont="1" applyBorder="1"/>
    <xf numFmtId="0" fontId="1" fillId="0" borderId="40" xfId="0" applyFont="1" applyBorder="1"/>
    <xf numFmtId="0" fontId="1" fillId="0" borderId="52" xfId="0" applyFont="1" applyBorder="1"/>
    <xf numFmtId="0" fontId="1" fillId="0" borderId="38" xfId="0" applyFont="1" applyBorder="1"/>
    <xf numFmtId="0" fontId="0" fillId="0" borderId="61" xfId="0" applyBorder="1"/>
    <xf numFmtId="0" fontId="7" fillId="0" borderId="50" xfId="0" applyFont="1" applyBorder="1"/>
    <xf numFmtId="0" fontId="7" fillId="0" borderId="51" xfId="0" applyFont="1" applyBorder="1"/>
    <xf numFmtId="0" fontId="1" fillId="0" borderId="61" xfId="0" applyFont="1" applyBorder="1" applyAlignment="1">
      <alignment horizontal="left"/>
    </xf>
    <xf numFmtId="0" fontId="1" fillId="0" borderId="40" xfId="0" applyFont="1" applyBorder="1" applyAlignment="1">
      <alignment horizontal="left"/>
    </xf>
    <xf numFmtId="0" fontId="7" fillId="0" borderId="50" xfId="0" applyFont="1" applyBorder="1" applyAlignment="1">
      <alignment horizontal="left"/>
    </xf>
    <xf numFmtId="0" fontId="7" fillId="0" borderId="51" xfId="0" applyFont="1" applyBorder="1" applyAlignment="1">
      <alignment horizontal="left"/>
    </xf>
    <xf numFmtId="0" fontId="0" fillId="0" borderId="52" xfId="0" applyBorder="1"/>
    <xf numFmtId="0" fontId="1" fillId="0" borderId="52" xfId="0" applyFont="1" applyBorder="1" applyAlignment="1">
      <alignment horizontal="left"/>
    </xf>
    <xf numFmtId="0" fontId="1" fillId="0" borderId="38" xfId="0" applyFont="1" applyBorder="1" applyAlignment="1">
      <alignment horizontal="left"/>
    </xf>
    <xf numFmtId="0" fontId="1" fillId="0" borderId="0" xfId="0" applyFont="1" applyAlignment="1">
      <alignment horizontal="left"/>
    </xf>
    <xf numFmtId="0" fontId="1" fillId="0" borderId="62" xfId="0" applyFont="1" applyBorder="1" applyAlignment="1">
      <alignment horizontal="left"/>
    </xf>
    <xf numFmtId="0" fontId="1" fillId="0" borderId="26" xfId="0" applyFont="1" applyBorder="1" applyAlignment="1">
      <alignment horizontal="left"/>
    </xf>
    <xf numFmtId="0" fontId="4" fillId="0" borderId="19" xfId="0" applyFont="1" applyBorder="1" applyAlignment="1">
      <alignment horizontal="center" vertical="center"/>
    </xf>
    <xf numFmtId="0" fontId="1" fillId="0" borderId="19" xfId="0" applyFont="1" applyBorder="1" applyAlignment="1">
      <alignment horizontal="center"/>
    </xf>
    <xf numFmtId="0" fontId="1" fillId="0" borderId="24"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2" xfId="0" applyFont="1" applyBorder="1" applyAlignment="1">
      <alignment horizontal="center"/>
    </xf>
    <xf numFmtId="0" fontId="1" fillId="0" borderId="14" xfId="0" applyFont="1" applyBorder="1" applyAlignment="1">
      <alignment horizontal="center"/>
    </xf>
    <xf numFmtId="0" fontId="7" fillId="0" borderId="52" xfId="0" applyFont="1" applyBorder="1" applyAlignment="1">
      <alignment horizontal="left"/>
    </xf>
    <xf numFmtId="0" fontId="7" fillId="0" borderId="38" xfId="0" applyFont="1" applyBorder="1" applyAlignment="1">
      <alignment horizontal="left"/>
    </xf>
    <xf numFmtId="0" fontId="1" fillId="0" borderId="50" xfId="0" applyFont="1" applyBorder="1"/>
    <xf numFmtId="0" fontId="1" fillId="0" borderId="51" xfId="0" applyFont="1" applyBorder="1"/>
  </cellXfs>
  <cellStyles count="1">
    <cellStyle name="Normal" xfId="0" builtinId="0"/>
  </cellStyles>
  <dxfs count="462">
    <dxf>
      <fill>
        <patternFill patternType="solid">
          <fgColor rgb="FF6D9EEB"/>
          <bgColor rgb="FF6D9EEB"/>
        </patternFill>
      </fill>
    </dxf>
    <dxf>
      <fill>
        <patternFill patternType="solid">
          <fgColor rgb="FFE06666"/>
          <bgColor rgb="FFE06666"/>
        </patternFill>
      </fill>
    </dxf>
    <dxf>
      <fill>
        <patternFill patternType="solid">
          <fgColor rgb="FFFFD966"/>
          <bgColor rgb="FFFFD9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93C47D"/>
          <bgColor rgb="FF93C47D"/>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6D9EEB"/>
          <bgColor rgb="FF6D9EEB"/>
        </patternFill>
      </fill>
    </dxf>
    <dxf>
      <fill>
        <patternFill patternType="solid">
          <fgColor rgb="FFE06666"/>
          <bgColor rgb="FFE06666"/>
        </patternFill>
      </fill>
    </dxf>
    <dxf>
      <fill>
        <patternFill patternType="solid">
          <fgColor rgb="FFFFD966"/>
          <bgColor rgb="FFFFD9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93C47D"/>
          <bgColor rgb="FF93C47D"/>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6D9EEB"/>
          <bgColor rgb="FF6D9EEB"/>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93C47D"/>
          <bgColor rgb="FF93C47D"/>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6D9EEB"/>
          <bgColor rgb="FF6D9EEB"/>
        </patternFill>
      </fill>
    </dxf>
    <dxf>
      <fill>
        <patternFill patternType="solid">
          <fgColor rgb="FFE06666"/>
          <bgColor rgb="FFE06666"/>
        </patternFill>
      </fill>
    </dxf>
    <dxf>
      <fill>
        <patternFill patternType="solid">
          <fgColor rgb="FFFFD966"/>
          <bgColor rgb="FFFFD9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93C47D"/>
          <bgColor rgb="FF93C47D"/>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6D9EEB"/>
          <bgColor rgb="FF6D9EEB"/>
        </patternFill>
      </fill>
    </dxf>
    <dxf>
      <fill>
        <patternFill patternType="solid">
          <fgColor rgb="FFE06666"/>
          <bgColor rgb="FFE06666"/>
        </patternFill>
      </fill>
    </dxf>
    <dxf>
      <fill>
        <patternFill patternType="solid">
          <fgColor rgb="FFFFD966"/>
          <bgColor rgb="FFFFD9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93C47D"/>
          <bgColor rgb="FF93C47D"/>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6D9EEB"/>
          <bgColor rgb="FF6D9EEB"/>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6D9EEB"/>
          <bgColor rgb="FF6D9EEB"/>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6D9EEB"/>
          <bgColor rgb="FF6D9EEB"/>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6D9EEB"/>
          <bgColor rgb="FF6D9EEB"/>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6D9EEB"/>
          <bgColor rgb="FF6D9EEB"/>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6D9EEB"/>
          <bgColor rgb="FF6D9EEB"/>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6D9EEB"/>
          <bgColor rgb="FF6D9EEB"/>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6D9EEB"/>
          <bgColor rgb="FF6D9EEB"/>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6D9EEB"/>
          <bgColor rgb="FF6D9EEB"/>
        </patternFill>
      </fill>
    </dxf>
    <dxf>
      <fill>
        <patternFill patternType="solid">
          <fgColor rgb="FFE06666"/>
          <bgColor rgb="FFE06666"/>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F1C232"/>
          <bgColor rgb="FFF1C232"/>
        </patternFill>
      </fill>
    </dxf>
    <dxf>
      <fill>
        <patternFill patternType="solid">
          <fgColor rgb="FF93C47D"/>
          <bgColor rgb="FF93C47D"/>
        </patternFill>
      </fill>
    </dxf>
    <dxf>
      <fill>
        <patternFill patternType="solid">
          <fgColor rgb="FFE06666"/>
          <bgColor rgb="FFE06666"/>
        </patternFill>
      </fill>
    </dxf>
    <dxf>
      <fill>
        <patternFill patternType="solid">
          <fgColor rgb="FF6D9EEB"/>
          <bgColor rgb="FF6D9EEB"/>
        </patternFill>
      </fill>
    </dxf>
    <dxf>
      <fill>
        <patternFill patternType="solid">
          <fgColor rgb="FFE06666"/>
          <bgColor rgb="FFE06666"/>
        </patternFill>
      </fill>
    </dxf>
    <dxf>
      <fill>
        <patternFill patternType="solid">
          <fgColor rgb="FFFFD966"/>
          <bgColor rgb="FFFFD9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93C47D"/>
          <bgColor rgb="FF93C47D"/>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6D9EEB"/>
          <bgColor rgb="FF6D9EEB"/>
        </patternFill>
      </fill>
    </dxf>
    <dxf>
      <fill>
        <patternFill patternType="solid">
          <fgColor rgb="FFFFD966"/>
          <bgColor rgb="FFFFD966"/>
        </patternFill>
      </fill>
    </dxf>
    <dxf>
      <fill>
        <patternFill patternType="solid">
          <fgColor rgb="FFE06666"/>
          <bgColor rgb="FFE06666"/>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6D9EEB"/>
          <bgColor rgb="FF6D9EEB"/>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E06666"/>
          <bgColor rgb="FFE06666"/>
        </patternFill>
      </fill>
    </dxf>
    <dxf>
      <fill>
        <patternFill patternType="solid">
          <fgColor rgb="FFF1C232"/>
          <bgColor rgb="FFF1C232"/>
        </patternFill>
      </fill>
    </dxf>
    <dxf>
      <fill>
        <patternFill patternType="solid">
          <fgColor rgb="FF93C47D"/>
          <bgColor rgb="FF93C47D"/>
        </patternFill>
      </fill>
    </dxf>
    <dxf>
      <fill>
        <patternFill patternType="solid">
          <fgColor rgb="FF93C47D"/>
          <bgColor rgb="FF93C47D"/>
        </patternFill>
      </fill>
    </dxf>
    <dxf>
      <fill>
        <patternFill patternType="solid">
          <fgColor rgb="FFE06666"/>
          <bgColor rgb="FFE06666"/>
        </patternFill>
      </fill>
    </dxf>
    <dxf>
      <fill>
        <patternFill patternType="solid">
          <fgColor rgb="FFF1C232"/>
          <bgColor rgb="FFF1C232"/>
        </patternFill>
      </fill>
    </dxf>
    <dxf>
      <fill>
        <patternFill patternType="solid">
          <fgColor rgb="FF93C47D"/>
          <bgColor rgb="FF93C47D"/>
        </patternFill>
      </fill>
    </dxf>
    <dxf>
      <fill>
        <patternFill patternType="solid">
          <fgColor rgb="FFE06666"/>
          <bgColor rgb="FFE06666"/>
        </patternFill>
      </fill>
    </dxf>
    <dxf>
      <fill>
        <patternFill patternType="solid">
          <fgColor rgb="FFF1C232"/>
          <bgColor rgb="FFF1C232"/>
        </patternFill>
      </fill>
    </dxf>
    <dxf>
      <fill>
        <patternFill patternType="solid">
          <fgColor rgb="FFF1C232"/>
          <bgColor rgb="FFF1C232"/>
        </patternFill>
      </fill>
    </dxf>
    <dxf>
      <fill>
        <patternFill patternType="solid">
          <fgColor rgb="FF93C47D"/>
          <bgColor rgb="FF93C47D"/>
        </patternFill>
      </fill>
    </dxf>
    <dxf>
      <fill>
        <patternFill patternType="solid">
          <fgColor rgb="FFE06666"/>
          <bgColor rgb="FFE06666"/>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6D9EEB"/>
          <bgColor rgb="FF6D9EEB"/>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6D9EEB"/>
          <bgColor rgb="FF6D9EEB"/>
        </patternFill>
      </fill>
    </dxf>
    <dxf>
      <fill>
        <patternFill patternType="solid">
          <fgColor rgb="FFF1C232"/>
          <bgColor rgb="FFF1C232"/>
        </patternFill>
      </fill>
    </dxf>
    <dxf>
      <fill>
        <patternFill patternType="solid">
          <fgColor rgb="FFE06666"/>
          <bgColor rgb="FFE06666"/>
        </patternFill>
      </fill>
    </dxf>
    <dxf>
      <fill>
        <patternFill patternType="solid">
          <fgColor rgb="FF93C47D"/>
          <bgColor rgb="FF93C47D"/>
        </patternFill>
      </fill>
    </dxf>
    <dxf>
      <fill>
        <patternFill patternType="solid">
          <fgColor rgb="FFB7E1CD"/>
          <bgColor rgb="FFB7E1CD"/>
        </patternFill>
      </fill>
    </dxf>
    <dxf>
      <fill>
        <patternFill patternType="solid">
          <fgColor rgb="FF674EA7"/>
          <bgColor rgb="FF674EA7"/>
        </patternFill>
      </fill>
    </dxf>
    <dxf>
      <fill>
        <patternFill patternType="solid">
          <fgColor rgb="FFFF0000"/>
          <bgColor rgb="FFFF0000"/>
        </patternFill>
      </fill>
    </dxf>
    <dxf>
      <fill>
        <patternFill patternType="solid">
          <fgColor rgb="FF0000FF"/>
          <bgColor rgb="FF0000FF"/>
        </patternFill>
      </fill>
    </dxf>
    <dxf>
      <fill>
        <patternFill patternType="solid">
          <fgColor rgb="FF00FF00"/>
          <bgColor rgb="FF00FF00"/>
        </patternFill>
      </fill>
    </dxf>
    <dxf>
      <fill>
        <patternFill patternType="solid">
          <fgColor rgb="FFFF00FF"/>
          <bgColor rgb="FFFF00FF"/>
        </patternFill>
      </fill>
    </dxf>
    <dxf>
      <fill>
        <patternFill patternType="solid">
          <fgColor rgb="FFFFFF00"/>
          <bgColor rgb="FFFFFF00"/>
        </patternFill>
      </fill>
    </dxf>
    <dxf>
      <fill>
        <patternFill patternType="solid">
          <fgColor rgb="FF00FFFF"/>
          <bgColor rgb="FF00FFF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BD52"/>
  <sheetViews>
    <sheetView tabSelected="1" workbookViewId="0">
      <pane ySplit="2" topLeftCell="A3" activePane="bottomLeft" state="frozen"/>
      <selection pane="bottomLeft" activeCell="D54" sqref="D54"/>
    </sheetView>
  </sheetViews>
  <sheetFormatPr defaultColWidth="12.5703125" defaultRowHeight="15.75" customHeight="1"/>
  <cols>
    <col min="6" max="6" width="13.42578125" customWidth="1"/>
    <col min="8" max="8" width="13.7109375" customWidth="1"/>
    <col min="14" max="14" width="13.85546875" customWidth="1"/>
    <col min="16" max="16" width="13.42578125" customWidth="1"/>
  </cols>
  <sheetData>
    <row r="1" spans="1:56" ht="12.75">
      <c r="A1" s="182" t="s">
        <v>0</v>
      </c>
      <c r="B1" s="184" t="s">
        <v>2</v>
      </c>
      <c r="C1" s="181" t="s">
        <v>3</v>
      </c>
      <c r="D1" s="175"/>
      <c r="E1" s="186" t="s">
        <v>4</v>
      </c>
      <c r="F1" s="162"/>
      <c r="G1" s="181" t="s">
        <v>5</v>
      </c>
      <c r="H1" s="162"/>
      <c r="I1" s="181" t="s">
        <v>6</v>
      </c>
      <c r="J1" s="175"/>
      <c r="K1" s="186" t="s">
        <v>7</v>
      </c>
      <c r="L1" s="175"/>
      <c r="M1" s="186" t="s">
        <v>8</v>
      </c>
      <c r="N1" s="175"/>
      <c r="O1" s="186" t="s">
        <v>9</v>
      </c>
      <c r="P1" s="162"/>
      <c r="Q1" s="181" t="s">
        <v>10</v>
      </c>
      <c r="R1" s="175"/>
      <c r="S1" s="186" t="s">
        <v>11</v>
      </c>
      <c r="T1" s="175"/>
      <c r="U1" s="186" t="s">
        <v>12</v>
      </c>
      <c r="V1" s="162"/>
      <c r="W1" s="181" t="s">
        <v>13</v>
      </c>
      <c r="X1" s="175"/>
      <c r="Y1" s="186" t="s">
        <v>14</v>
      </c>
      <c r="Z1" s="175"/>
      <c r="AA1" s="186" t="s">
        <v>15</v>
      </c>
      <c r="AB1" s="176"/>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row>
    <row r="2" spans="1:56" ht="12.75">
      <c r="A2" s="183"/>
      <c r="B2" s="185"/>
      <c r="C2" s="3" t="s">
        <v>16</v>
      </c>
      <c r="D2" s="4" t="s">
        <v>17</v>
      </c>
      <c r="E2" s="5" t="s">
        <v>16</v>
      </c>
      <c r="F2" s="6" t="s">
        <v>17</v>
      </c>
      <c r="G2" s="3" t="s">
        <v>16</v>
      </c>
      <c r="H2" s="6" t="s">
        <v>17</v>
      </c>
      <c r="I2" s="3" t="s">
        <v>16</v>
      </c>
      <c r="J2" s="4" t="s">
        <v>17</v>
      </c>
      <c r="K2" s="5" t="s">
        <v>16</v>
      </c>
      <c r="L2" s="4" t="s">
        <v>17</v>
      </c>
      <c r="M2" s="5" t="s">
        <v>16</v>
      </c>
      <c r="N2" s="4" t="s">
        <v>17</v>
      </c>
      <c r="O2" s="5" t="s">
        <v>16</v>
      </c>
      <c r="P2" s="6" t="s">
        <v>17</v>
      </c>
      <c r="Q2" s="3" t="s">
        <v>16</v>
      </c>
      <c r="R2" s="4" t="s">
        <v>17</v>
      </c>
      <c r="S2" s="5" t="s">
        <v>16</v>
      </c>
      <c r="T2" s="4" t="s">
        <v>17</v>
      </c>
      <c r="U2" s="5" t="s">
        <v>16</v>
      </c>
      <c r="V2" s="6" t="s">
        <v>17</v>
      </c>
      <c r="W2" s="3" t="s">
        <v>16</v>
      </c>
      <c r="X2" s="4" t="s">
        <v>17</v>
      </c>
      <c r="Y2" s="5" t="s">
        <v>16</v>
      </c>
      <c r="Z2" s="4" t="s">
        <v>17</v>
      </c>
      <c r="AA2" s="5" t="s">
        <v>16</v>
      </c>
      <c r="AB2" s="7" t="s">
        <v>17</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row>
    <row r="3" spans="1:56" ht="12.75">
      <c r="A3" s="8">
        <v>107</v>
      </c>
      <c r="B3" s="10" t="s">
        <v>18</v>
      </c>
      <c r="C3" s="9">
        <v>158</v>
      </c>
      <c r="D3" s="11">
        <v>195</v>
      </c>
      <c r="E3" s="12">
        <v>112</v>
      </c>
      <c r="F3" s="10">
        <v>118</v>
      </c>
      <c r="G3" s="13">
        <f ca="1">OFFSET('Game 112-1-A'!D6,MATCH(C3,'Game 112-1-A'!B6:B10)-1,0)</f>
        <v>3</v>
      </c>
      <c r="H3" s="10">
        <f ca="1">OFFSET('Game 118-2-N'!D6,MATCH(D3,'Game 118-2-N'!B6:B10)-1,0)</f>
        <v>0</v>
      </c>
      <c r="I3" s="13">
        <f ca="1">OFFSET('Game 112-1-A'!E6,MATCH(C3,'Game 112-1-A'!B6:B10)-1,0)</f>
        <v>8</v>
      </c>
      <c r="J3" s="11">
        <f ca="1">OFFSET('Game 118-2-N'!E6,MATCH(D3,'Game 118-2-N'!B6:B10)-1,0)</f>
        <v>13</v>
      </c>
      <c r="K3" s="12">
        <f ca="1">OFFSET('Game 112-1-A'!F6,MATCH(C3,'Game 112-1-A'!B6:B10)-1,0)</f>
        <v>0</v>
      </c>
      <c r="L3" s="11">
        <f ca="1">OFFSET('Game 118-2-N'!F6,MATCH(D3,'Game 118-2-N'!B6:B10)-1,0)</f>
        <v>0</v>
      </c>
      <c r="M3" s="12">
        <f ca="1">OFFSET('Game 112-1-A'!G6,MATCH(C3,'Game 112-1-A'!B6:B10)-1,0)</f>
        <v>0</v>
      </c>
      <c r="N3" s="11">
        <f ca="1">OFFSET('Game 118-2-N'!G6,MATCH(D3,'Game 118-2-N'!B6:B10)-1,0)</f>
        <v>0</v>
      </c>
      <c r="O3" s="12">
        <f ca="1">OFFSET('Game 112-1-A'!H6,MATCH(C3,'Game 112-1-A'!B6:B10)-1,0)</f>
        <v>8</v>
      </c>
      <c r="P3" s="10">
        <f ca="1">OFFSET('Game 118-2-N'!H6,MATCH(D3,'Game 118-2-N'!B6:B10)-1,0)</f>
        <v>13</v>
      </c>
      <c r="Q3" s="13">
        <f ca="1">OFFSET('Game 112-1-A'!I6,MATCH(C3,'Game 112-1-A'!B6:B10)-1,0)</f>
        <v>0</v>
      </c>
      <c r="R3" s="11">
        <f ca="1">OFFSET('Game 118-2-N'!I6,MATCH(D3,'Game 118-2-N'!B6:B10)-1,0)</f>
        <v>0</v>
      </c>
      <c r="S3" s="12">
        <f ca="1">OFFSET('Game 112-1-A'!J6,MATCH(C3,'Game 112-1-A'!B6:B10)-1,0)</f>
        <v>0</v>
      </c>
      <c r="T3" s="11">
        <f ca="1">OFFSET('Game 118-2-N'!J6,MATCH(D3,'Game 118-2-N'!B6:B10)-1,0)</f>
        <v>0</v>
      </c>
      <c r="U3" s="12">
        <f ca="1">OFFSET('Game 112-1-A'!K6,MATCH(C3,'Game 112-1-A'!B6:B10)-1,0)</f>
        <v>0</v>
      </c>
      <c r="V3" s="10">
        <f ca="1">OFFSET('Game 118-2-N'!K6,MATCH(D3,'Game 118-2-N'!B6:B10)-1,0)</f>
        <v>0</v>
      </c>
      <c r="W3" s="13">
        <f ca="1">OFFSET('Game 112-1-A'!L6,MATCH(C3,'Game 112-1-A'!B6:B10)-1,0)</f>
        <v>13</v>
      </c>
      <c r="X3" s="11">
        <f ca="1">OFFSET('Game 118-2-N'!L6,MATCH(D3,'Game 118-2-N'!B6:B10)-1,0)</f>
        <v>13</v>
      </c>
      <c r="Y3" s="12">
        <f ca="1">OFFSET('Game 112-1-A'!M6,MATCH(C3,'Game 112-1-A'!B6:B10)-1,0)</f>
        <v>1</v>
      </c>
      <c r="Z3" s="11">
        <f ca="1">OFFSET('Game 118-2-N'!M6,MATCH(D3,'Game 118-2-N'!B6:B10)-1,0)</f>
        <v>1</v>
      </c>
      <c r="AA3" s="12">
        <f ca="1">OFFSET('Game 112-1-A'!N6,MATCH(C3,'Game 112-1-A'!B6:B10)-1,0)</f>
        <v>13</v>
      </c>
      <c r="AB3" s="14">
        <f ca="1">OFFSET('Game 118-2-N'!N6,MATCH(D3,'Game 118-2-N'!B6:B10)-1,0)</f>
        <v>11</v>
      </c>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row>
    <row r="4" spans="1:56" ht="12.75">
      <c r="A4" s="8">
        <v>109</v>
      </c>
      <c r="B4" s="10" t="s">
        <v>18</v>
      </c>
      <c r="C4" s="9">
        <v>151</v>
      </c>
      <c r="D4" s="11">
        <v>211</v>
      </c>
      <c r="E4" s="12">
        <v>111</v>
      </c>
      <c r="F4" s="10">
        <v>120</v>
      </c>
      <c r="G4" s="13">
        <f ca="1">OFFSET('Game 111-1-A'!D6,MATCH(C4,'Game 111-1-A'!B6:B10)-1,0)</f>
        <v>4</v>
      </c>
      <c r="H4" s="10">
        <f ca="1">OFFSET('Game 120-2-N'!D6,MATCH(D4,'Game 120-2-N'!B6:B10)-1,0)</f>
        <v>0</v>
      </c>
      <c r="I4" s="13">
        <f ca="1">OFFSET('Game 111-1-A'!E6,MATCH(C4,'Game 111-1-A'!B6:B10)-1,0)</f>
        <v>0</v>
      </c>
      <c r="J4" s="11">
        <f ca="1">OFFSET('Game 120-2-N'!E6,MATCH(D4,'Game 120-2-N'!B6:B10)-1,0)</f>
        <v>20</v>
      </c>
      <c r="K4" s="12">
        <f ca="1">OFFSET('Game 111-1-A'!F6,MATCH(C4,'Game 111-1-A'!B6:B10)-1,0)</f>
        <v>13</v>
      </c>
      <c r="L4" s="11">
        <f ca="1">OFFSET('Game 120-2-N'!F6,MATCH(D4,'Game 120-2-N'!B6:B10)-1,0)</f>
        <v>16</v>
      </c>
      <c r="M4" s="12">
        <f ca="1">OFFSET('Game 111-1-A'!G6,MATCH(C4,'Game 111-1-A'!B6:B10)-1,0)</f>
        <v>0</v>
      </c>
      <c r="N4" s="11">
        <f ca="1">OFFSET('Game 120-2-N'!G6,MATCH(D4,'Game 120-2-N'!B6:B10)-1,0)</f>
        <v>1</v>
      </c>
      <c r="O4" s="12">
        <f ca="1">OFFSET('Game 111-1-A'!H6,MATCH(C4,'Game 111-1-A'!B6:B10)-1,0)</f>
        <v>13</v>
      </c>
      <c r="P4" s="10">
        <f ca="1">OFFSET('Game 120-2-N'!H6,MATCH(D4,'Game 120-2-N'!B6:B10)-1,0)</f>
        <v>37</v>
      </c>
      <c r="Q4" s="13">
        <f ca="1">OFFSET('Game 111-1-A'!I6,MATCH(C4,'Game 111-1-A'!B6:B10)-1,0)</f>
        <v>7</v>
      </c>
      <c r="R4" s="11">
        <f ca="1">OFFSET('Game 120-2-N'!I6,MATCH(D4,'Game 120-2-N'!B6:B10)-1,0)</f>
        <v>8</v>
      </c>
      <c r="S4" s="12">
        <f ca="1">OFFSET('Game 111-1-A'!J6,MATCH(C4,'Game 111-1-A'!B6:B10)-1,0)</f>
        <v>0</v>
      </c>
      <c r="T4" s="11">
        <f ca="1">OFFSET('Game 120-2-N'!J6,MATCH(D4,'Game 120-2-N'!B6:B10)-1,0)</f>
        <v>0</v>
      </c>
      <c r="U4" s="12">
        <f ca="1">OFFSET('Game 111-1-A'!K6,MATCH(C4,'Game 111-1-A'!B6:B10)-1,0)</f>
        <v>0</v>
      </c>
      <c r="V4" s="10">
        <f ca="1">OFFSET('Game 120-2-N'!K6,MATCH(D4,'Game 120-2-N'!B6:B10)-1,0)</f>
        <v>0</v>
      </c>
      <c r="W4" s="13">
        <f ca="1">OFFSET('Game 111-1-A'!L6,MATCH(C4,'Game 111-1-A'!B6:B10)-1,0)</f>
        <v>2</v>
      </c>
      <c r="X4" s="11">
        <f ca="1">OFFSET('Game 120-2-N'!L6,MATCH(D4,'Game 120-2-N'!B6:B10)-1,0)</f>
        <v>5</v>
      </c>
      <c r="Y4" s="12">
        <f ca="1">OFFSET('Game 111-1-A'!M6,MATCH(C4,'Game 111-1-A'!B6:B10)-1,0)</f>
        <v>0</v>
      </c>
      <c r="Z4" s="11">
        <f ca="1">OFFSET('Game 120-2-N'!M6,MATCH(D4,'Game 120-2-N'!B6:B10)-1,0)</f>
        <v>0</v>
      </c>
      <c r="AA4" s="12">
        <f ca="1">OFFSET('Game 111-1-A'!N6,MATCH(C4,'Game 111-1-A'!B6:B10)-1,0)</f>
        <v>1</v>
      </c>
      <c r="AB4" s="14">
        <f ca="1">OFFSET('Game 120-2-N'!N6,MATCH(D4,'Game 120-2-N'!B6:B10)-1,0)</f>
        <v>1</v>
      </c>
    </row>
    <row r="5" spans="1:56" ht="12.75">
      <c r="A5" s="8">
        <v>112</v>
      </c>
      <c r="B5" s="10" t="s">
        <v>18</v>
      </c>
      <c r="C5" s="9">
        <v>135</v>
      </c>
      <c r="D5" s="11">
        <v>214</v>
      </c>
      <c r="E5" s="12">
        <v>109</v>
      </c>
      <c r="F5" s="10">
        <v>121</v>
      </c>
      <c r="G5" s="13">
        <f ca="1">OFFSET('Game 109-1-A'!D6,MATCH(C5,'Game 109-1-A'!B6:B10)-1,0)</f>
        <v>2</v>
      </c>
      <c r="H5" s="10">
        <f ca="1">OFFSET('Game 121-2-N'!D6,MATCH(D5,'Game 121-2-N'!B6:B10)-1,0)</f>
        <v>0</v>
      </c>
      <c r="I5" s="13">
        <f ca="1">OFFSET('Game 109-1-A'!E6,MATCH(C5,'Game 109-1-A'!B6:B10)-1,0)</f>
        <v>3</v>
      </c>
      <c r="J5" s="11">
        <f ca="1">OFFSET('Game 121-2-N'!E6,MATCH(D5,'Game 121-2-N'!B6:B10)-1,0)</f>
        <v>4</v>
      </c>
      <c r="K5" s="12">
        <f ca="1">OFFSET('Game 109-1-A'!F6,MATCH(C5,'Game 109-1-A'!B6:B10)-1,0)</f>
        <v>0</v>
      </c>
      <c r="L5" s="11">
        <f ca="1">OFFSET('Game 121-2-N'!F6,MATCH(D5,'Game 121-2-N'!B6:B10)-1,0)</f>
        <v>4</v>
      </c>
      <c r="M5" s="12">
        <f ca="1">OFFSET('Game 109-1-A'!G6,MATCH(C5,'Game 109-1-A'!B6:B10)-1,0)</f>
        <v>0</v>
      </c>
      <c r="N5" s="11">
        <f ca="1">OFFSET('Game 121-2-N'!G6,MATCH(D5,'Game 121-2-N'!B6:B10)-1,0)</f>
        <v>0</v>
      </c>
      <c r="O5" s="12">
        <f ca="1">OFFSET('Game 109-1-A'!H6,MATCH(C5,'Game 109-1-A'!B6:B10)-1,0)</f>
        <v>3</v>
      </c>
      <c r="P5" s="10">
        <f ca="1">OFFSET('Game 121-2-N'!H6,MATCH(D5,'Game 121-2-N'!B6:B10)-1,0)</f>
        <v>8</v>
      </c>
      <c r="Q5" s="13">
        <f ca="1">OFFSET('Game 109-1-A'!I6,MATCH(C5,'Game 109-1-A'!B6:B10)-1,0)</f>
        <v>2</v>
      </c>
      <c r="R5" s="11">
        <f ca="1">OFFSET('Game 121-2-N'!I6,MATCH(D5,'Game 121-2-N'!B6:B10)-1,0)</f>
        <v>4</v>
      </c>
      <c r="S5" s="12">
        <f ca="1">OFFSET('Game 109-1-A'!J6,MATCH(C5,'Game 109-1-A'!B6:B10)-1,0)</f>
        <v>4</v>
      </c>
      <c r="T5" s="11">
        <f ca="1">OFFSET('Game 121-2-N'!J6,MATCH(D5,'Game 121-2-N'!B6:B10)-1,0)</f>
        <v>0</v>
      </c>
      <c r="U5" s="12">
        <f ca="1">OFFSET('Game 109-1-A'!K6,MATCH(C5,'Game 109-1-A'!B6:B10)-1,0)</f>
        <v>2</v>
      </c>
      <c r="V5" s="10">
        <f ca="1">OFFSET('Game 121-2-N'!K6,MATCH(D5,'Game 121-2-N'!B6:B10)-1,0)</f>
        <v>4</v>
      </c>
      <c r="W5" s="13">
        <f ca="1">OFFSET('Game 109-1-A'!L6,MATCH(C5,'Game 109-1-A'!B6:B10)-1,0)</f>
        <v>7</v>
      </c>
      <c r="X5" s="11">
        <f ca="1">OFFSET('Game 121-2-N'!L6,MATCH(D5,'Game 121-2-N'!B6:B10)-1,0)</f>
        <v>6</v>
      </c>
      <c r="Y5" s="12">
        <f ca="1">OFFSET('Game 109-1-A'!M6,MATCH(C5,'Game 109-1-A'!B6:B10)-1,0)</f>
        <v>0</v>
      </c>
      <c r="Z5" s="11">
        <f ca="1">OFFSET('Game 121-2-N'!M6,MATCH(D5,'Game 121-2-N'!B6:B10)-1,0)</f>
        <v>0</v>
      </c>
      <c r="AA5" s="12">
        <f ca="1">OFFSET('Game 109-1-A'!N6,MATCH(C5,'Game 109-1-A'!B6:B10)-1,0)</f>
        <v>5</v>
      </c>
      <c r="AB5" s="14">
        <f ca="1">OFFSET('Game 121-2-N'!N6,MATCH(D5,'Game 121-2-N'!B6:B10)-1,0)</f>
        <v>6</v>
      </c>
    </row>
    <row r="6" spans="1:56" ht="12.75">
      <c r="A6" s="8">
        <v>114</v>
      </c>
      <c r="B6" s="10" t="s">
        <v>18</v>
      </c>
      <c r="C6" s="9">
        <v>143</v>
      </c>
      <c r="D6" s="11">
        <v>193</v>
      </c>
      <c r="E6" s="12">
        <v>110</v>
      </c>
      <c r="F6" s="10">
        <v>118</v>
      </c>
      <c r="G6" s="13">
        <f ca="1">OFFSET('Game 110-1-A'!D6,MATCH(C6,'Game 110-1-A'!B6:B10)-1,0)</f>
        <v>3</v>
      </c>
      <c r="H6" s="10">
        <f ca="1">OFFSET('Game 118-2-N'!D6,MATCH(D6,'Game 118-2-N'!B6:B10)-1,0)</f>
        <v>0</v>
      </c>
      <c r="I6" s="13">
        <f ca="1">OFFSET('Game 110-1-A'!E6,MATCH(C6,'Game 110-1-A'!B6:B10)-1,0)</f>
        <v>4</v>
      </c>
      <c r="J6" s="11">
        <f ca="1">OFFSET('Game 118-2-N'!E6,MATCH(D6,'Game 118-2-N'!B6:B10)-1,0)</f>
        <v>2</v>
      </c>
      <c r="K6" s="12">
        <f ca="1">OFFSET('Game 110-1-A'!F6,MATCH(C6,'Game 110-1-A'!B6:B10)-1,0)</f>
        <v>6</v>
      </c>
      <c r="L6" s="11">
        <f ca="1">OFFSET('Game 118-2-N'!F6,MATCH(D6,'Game 118-2-N'!B6:B10)-1,0)</f>
        <v>4</v>
      </c>
      <c r="M6" s="12">
        <f ca="1">OFFSET('Game 110-1-A'!G6,MATCH(C6,'Game 110-1-A'!B6:B10)-1,0)</f>
        <v>0</v>
      </c>
      <c r="N6" s="11">
        <f ca="1">OFFSET('Game 118-2-N'!G6,MATCH(D6,'Game 118-2-N'!B6:B10)-1,0)</f>
        <v>0</v>
      </c>
      <c r="O6" s="12">
        <f ca="1">OFFSET('Game 110-1-A'!H6,MATCH(C6,'Game 110-1-A'!B6:B10)-1,0)</f>
        <v>10</v>
      </c>
      <c r="P6" s="10">
        <f ca="1">OFFSET('Game 118-2-N'!H6,MATCH(D6,'Game 118-2-N'!B6:B10)-1,0)</f>
        <v>6</v>
      </c>
      <c r="Q6" s="13">
        <f ca="1">OFFSET('Game 110-1-A'!I6,MATCH(C6,'Game 110-1-A'!B6:B10)-1,0)</f>
        <v>7</v>
      </c>
      <c r="R6" s="11">
        <f ca="1">OFFSET('Game 118-2-N'!I6,MATCH(D6,'Game 118-2-N'!B6:B10)-1,0)</f>
        <v>16</v>
      </c>
      <c r="S6" s="12">
        <f ca="1">OFFSET('Game 110-1-A'!J6,MATCH(C6,'Game 110-1-A'!B6:B10)-1,0)</f>
        <v>6</v>
      </c>
      <c r="T6" s="11">
        <f ca="1">OFFSET('Game 118-2-N'!J6,MATCH(D6,'Game 118-2-N'!B6:B10)-1,0)</f>
        <v>1</v>
      </c>
      <c r="U6" s="12">
        <f ca="1">OFFSET('Game 110-1-A'!K6,MATCH(C6,'Game 110-1-A'!B6:B10)-1,0)</f>
        <v>1</v>
      </c>
      <c r="V6" s="10">
        <f ca="1">OFFSET('Game 118-2-N'!K6,MATCH(D6,'Game 118-2-N'!B6:B10)-1,0)</f>
        <v>2</v>
      </c>
      <c r="W6" s="13">
        <f ca="1">OFFSET('Game 110-1-A'!L6,MATCH(C6,'Game 110-1-A'!B6:B10)-1,0)</f>
        <v>7</v>
      </c>
      <c r="X6" s="11">
        <f ca="1">OFFSET('Game 118-2-N'!L6,MATCH(D6,'Game 118-2-N'!B6:B10)-1,0)</f>
        <v>10</v>
      </c>
      <c r="Y6" s="12">
        <f ca="1">OFFSET('Game 110-1-A'!M6,MATCH(C6,'Game 110-1-A'!B6:B10)-1,0)</f>
        <v>0</v>
      </c>
      <c r="Z6" s="11">
        <f ca="1">OFFSET('Game 118-2-N'!M6,MATCH(D6,'Game 118-2-N'!B6:B10)-1,0)</f>
        <v>4</v>
      </c>
      <c r="AA6" s="12">
        <f ca="1">OFFSET('Game 110-1-A'!N6,MATCH(C6,'Game 110-1-A'!B6:B10)-1,0)</f>
        <v>6</v>
      </c>
      <c r="AB6" s="14">
        <f ca="1">OFFSET('Game 118-2-N'!N6,MATCH(D6,'Game 118-2-N'!B6:B10)-1,0)</f>
        <v>9</v>
      </c>
    </row>
    <row r="7" spans="1:56" ht="12.75">
      <c r="A7" s="8">
        <v>115</v>
      </c>
      <c r="B7" s="10" t="s">
        <v>18</v>
      </c>
      <c r="C7" s="9">
        <v>144</v>
      </c>
      <c r="D7" s="11">
        <v>215</v>
      </c>
      <c r="E7" s="12">
        <v>110</v>
      </c>
      <c r="F7" s="10">
        <v>121</v>
      </c>
      <c r="G7" s="13">
        <f ca="1">OFFSET('Game 110-1-A'!D6,MATCH(C7,'Game 110-1-A'!B6:B10)-1,0)</f>
        <v>5</v>
      </c>
      <c r="H7" s="10">
        <f ca="1">OFFSET('Game 121-2-N'!D6,MATCH(D7,'Game 121-2-N'!B6:B10)-1,0)</f>
        <v>0</v>
      </c>
      <c r="I7" s="13">
        <f ca="1">OFFSET('Game 110-1-A'!E6,MATCH(C7,'Game 110-1-A'!B6:B10)-1,0)</f>
        <v>9</v>
      </c>
      <c r="J7" s="11">
        <f ca="1">OFFSET('Game 121-2-N'!E6,MATCH(D7,'Game 121-2-N'!B6:B10)-1,0)</f>
        <v>2</v>
      </c>
      <c r="K7" s="12">
        <f ca="1">OFFSET('Game 110-1-A'!F6,MATCH(C7,'Game 110-1-A'!B6:B10)-1,0)</f>
        <v>12</v>
      </c>
      <c r="L7" s="11">
        <f ca="1">OFFSET('Game 121-2-N'!F6,MATCH(D7,'Game 121-2-N'!B6:B10)-1,0)</f>
        <v>20</v>
      </c>
      <c r="M7" s="12">
        <f ca="1">OFFSET('Game 110-1-A'!G6,MATCH(C7,'Game 110-1-A'!B6:B10)-1,0)</f>
        <v>1</v>
      </c>
      <c r="N7" s="11">
        <f ca="1">OFFSET('Game 121-2-N'!G6,MATCH(D7,'Game 121-2-N'!B6:B10)-1,0)</f>
        <v>0</v>
      </c>
      <c r="O7" s="12">
        <f ca="1">OFFSET('Game 110-1-A'!H6,MATCH(C7,'Game 110-1-A'!B6:B10)-1,0)</f>
        <v>22</v>
      </c>
      <c r="P7" s="10">
        <f ca="1">OFFSET('Game 121-2-N'!H6,MATCH(D7,'Game 121-2-N'!B6:B10)-1,0)</f>
        <v>22</v>
      </c>
      <c r="Q7" s="13">
        <f ca="1">OFFSET('Game 110-1-A'!I6,MATCH(C7,'Game 110-1-A'!B6:B10)-1,0)</f>
        <v>7</v>
      </c>
      <c r="R7" s="11">
        <f ca="1">OFFSET('Game 121-2-N'!I6,MATCH(D7,'Game 121-2-N'!B6:B10)-1,0)</f>
        <v>17</v>
      </c>
      <c r="S7" s="12">
        <f ca="1">OFFSET('Game 110-1-A'!J6,MATCH(C7,'Game 110-1-A'!B6:B10)-1,0)</f>
        <v>2</v>
      </c>
      <c r="T7" s="11">
        <f ca="1">OFFSET('Game 121-2-N'!J6,MATCH(D7,'Game 121-2-N'!B6:B10)-1,0)</f>
        <v>0</v>
      </c>
      <c r="U7" s="12">
        <f ca="1">OFFSET('Game 110-1-A'!K6,MATCH(C7,'Game 110-1-A'!B6:B10)-1,0)</f>
        <v>0</v>
      </c>
      <c r="V7" s="10">
        <f ca="1">OFFSET('Game 121-2-N'!K6,MATCH(D7,'Game 121-2-N'!B6:B10)-1,0)</f>
        <v>0</v>
      </c>
      <c r="W7" s="13">
        <f ca="1">OFFSET('Game 110-1-A'!L6,MATCH(C7,'Game 110-1-A'!B6:B10)-1,0)</f>
        <v>14</v>
      </c>
      <c r="X7" s="11">
        <f ca="1">OFFSET('Game 121-2-N'!L6,MATCH(D7,'Game 121-2-N'!B6:B10)-1,0)</f>
        <v>6</v>
      </c>
      <c r="Y7" s="12">
        <f ca="1">OFFSET('Game 110-1-A'!M6,MATCH(C7,'Game 110-1-A'!B6:B10)-1,0)</f>
        <v>4</v>
      </c>
      <c r="Z7" s="11">
        <f ca="1">OFFSET('Game 121-2-N'!M6,MATCH(D7,'Game 121-2-N'!B6:B10)-1,0)</f>
        <v>1</v>
      </c>
      <c r="AA7" s="12">
        <f ca="1">OFFSET('Game 110-1-A'!N6,MATCH(C7,'Game 110-1-A'!B6:B10)-1,0)</f>
        <v>8</v>
      </c>
      <c r="AB7" s="14">
        <f ca="1">OFFSET('Game 121-2-N'!N6,MATCH(D7,'Game 121-2-N'!B6:B10)-1,0)</f>
        <v>5</v>
      </c>
    </row>
    <row r="8" spans="1:56" ht="12.75">
      <c r="A8" s="8">
        <v>119</v>
      </c>
      <c r="B8" s="10" t="s">
        <v>18</v>
      </c>
      <c r="C8" s="9">
        <v>156</v>
      </c>
      <c r="D8" s="11">
        <v>203</v>
      </c>
      <c r="E8" s="12">
        <v>112</v>
      </c>
      <c r="F8" s="10">
        <v>119</v>
      </c>
      <c r="G8" s="15">
        <f ca="1">OFFSET('Game 112-1-A'!D6,MATCH(C8,'Game 112-1-A'!B6:B10)-1,0)</f>
        <v>7</v>
      </c>
      <c r="H8" s="10">
        <f ca="1">OFFSET('Game 119-2-N'!D6,MATCH(D8,'Game 119-2-N'!B6:B10)-1,0)</f>
        <v>0</v>
      </c>
      <c r="I8" s="13">
        <f ca="1">OFFSET('Game 112-1-A'!E6,MATCH(C8,'Game 112-1-A'!B6:B10)-1,0)</f>
        <v>0</v>
      </c>
      <c r="J8" s="11">
        <f ca="1">OFFSET('Game 119-2-N'!E6,MATCH(D8,'Game 119-2-N'!B6:B10)-1,0)</f>
        <v>17</v>
      </c>
      <c r="K8" s="12">
        <f ca="1">OFFSET('Game 112-1-A'!F6,MATCH(C8,'Game 112-1-A'!B6:B10)-1,0)</f>
        <v>17</v>
      </c>
      <c r="L8" s="11">
        <f ca="1">OFFSET('Game 119-2-N'!F6,MATCH(D8,'Game 119-2-N'!B6:B10)-1,0)</f>
        <v>3</v>
      </c>
      <c r="M8" s="12">
        <f ca="1">OFFSET('Game 112-1-A'!G6,MATCH(C8,'Game 112-1-A'!B6:B10)-1,0)</f>
        <v>2</v>
      </c>
      <c r="N8" s="11">
        <f ca="1">OFFSET('Game 119-2-N'!G6,MATCH(D8,'Game 119-2-N'!B6:B10)-1,0)</f>
        <v>5</v>
      </c>
      <c r="O8" s="12">
        <f ca="1">OFFSET('Game 112-1-A'!H6,MATCH(C8,'Game 112-1-A'!B6:B10)-1,0)</f>
        <v>19</v>
      </c>
      <c r="P8" s="10">
        <f ca="1">OFFSET('Game 119-2-N'!H6,MATCH(D8,'Game 119-2-N'!B6:B10)-1,0)</f>
        <v>25</v>
      </c>
      <c r="Q8" s="13">
        <f ca="1">OFFSET('Game 112-1-A'!I6,MATCH(C8,'Game 112-1-A'!B6:B10)-1,0)</f>
        <v>10</v>
      </c>
      <c r="R8" s="11">
        <f ca="1">OFFSET('Game 119-2-N'!I6,MATCH(D8,'Game 119-2-N'!B6:B10)-1,0)</f>
        <v>13</v>
      </c>
      <c r="S8" s="12">
        <f ca="1">OFFSET('Game 112-1-A'!J6,MATCH(C8,'Game 112-1-A'!B6:B10)-1,0)</f>
        <v>5</v>
      </c>
      <c r="T8" s="11">
        <f ca="1">OFFSET('Game 119-2-N'!J6,MATCH(D8,'Game 119-2-N'!B6:B10)-1,0)</f>
        <v>5</v>
      </c>
      <c r="U8" s="12">
        <f ca="1">OFFSET('Game 112-1-A'!K6,MATCH(C8,'Game 112-1-A'!B6:B10)-1,0)</f>
        <v>7</v>
      </c>
      <c r="V8" s="10">
        <f ca="1">OFFSET('Game 119-2-N'!K6,MATCH(D8,'Game 119-2-N'!B6:B10)-1,0)</f>
        <v>8</v>
      </c>
      <c r="W8" s="13">
        <f ca="1">OFFSET('Game 112-1-A'!L6,MATCH(C8,'Game 112-1-A'!B6:B10)-1,0)</f>
        <v>2</v>
      </c>
      <c r="X8" s="11">
        <f ca="1">OFFSET('Game 119-2-N'!L6,MATCH(D8,'Game 119-2-N'!B6:B10)-1,0)</f>
        <v>4</v>
      </c>
      <c r="Y8" s="12">
        <f ca="1">OFFSET('Game 112-1-A'!M6,MATCH(C8,'Game 112-1-A'!B6:B10)-1,0)</f>
        <v>0</v>
      </c>
      <c r="Z8" s="11">
        <f ca="1">OFFSET('Game 119-2-N'!M6,MATCH(D8,'Game 119-2-N'!B6:B10)-1,0)</f>
        <v>1</v>
      </c>
      <c r="AA8" s="12">
        <f ca="1">OFFSET('Game 112-1-A'!N6,MATCH(C8,'Game 112-1-A'!B6:B10)-1,0)</f>
        <v>2</v>
      </c>
      <c r="AB8" s="14">
        <f ca="1">OFFSET('Game 119-2-N'!N6,MATCH(D8,'Game 119-2-N'!B6:B10)-1,0)</f>
        <v>4</v>
      </c>
    </row>
    <row r="9" spans="1:56" ht="12.75">
      <c r="A9" s="8">
        <v>120</v>
      </c>
      <c r="B9" s="10" t="s">
        <v>18</v>
      </c>
      <c r="C9" s="9">
        <v>157</v>
      </c>
      <c r="D9" s="11">
        <v>208</v>
      </c>
      <c r="E9" s="12">
        <v>112</v>
      </c>
      <c r="F9" s="10">
        <v>120</v>
      </c>
      <c r="G9" s="13">
        <f ca="1">OFFSET('Game 112-1-A'!D6,MATCH(C9,'Game 112-1-A'!B6:B10)-1,0)</f>
        <v>9</v>
      </c>
      <c r="H9" s="10">
        <f ca="1">OFFSET('Game 120-2-N'!D6,MATCH(D9,'Game 120-2-N'!B6:B10)-1,0)</f>
        <v>0</v>
      </c>
      <c r="I9" s="13">
        <f ca="1">OFFSET('Game 112-1-A'!E6,MATCH(C9,'Game 112-1-A'!B6:B10)-1,0)</f>
        <v>35</v>
      </c>
      <c r="J9" s="11">
        <f ca="1">OFFSET('Game 120-2-N'!E6,MATCH(D9,'Game 120-2-N'!B6:B10)-1,0)</f>
        <v>14</v>
      </c>
      <c r="K9" s="12">
        <f ca="1">OFFSET('Game 112-1-A'!F6,MATCH(C9,'Game 112-1-A'!B6:B10)-1,0)</f>
        <v>1</v>
      </c>
      <c r="L9" s="11">
        <f ca="1">OFFSET('Game 120-2-N'!F6,MATCH(D9,'Game 120-2-N'!B6:B10)-1,0)</f>
        <v>0</v>
      </c>
      <c r="M9" s="12">
        <f ca="1">OFFSET('Game 112-1-A'!G6,MATCH(C9,'Game 112-1-A'!B6:B10)-1,0)</f>
        <v>0</v>
      </c>
      <c r="N9" s="11">
        <f ca="1">OFFSET('Game 120-2-N'!G6,MATCH(D9,'Game 120-2-N'!B6:B10)-1,0)</f>
        <v>1</v>
      </c>
      <c r="O9" s="12">
        <f ca="1">OFFSET('Game 112-1-A'!H6,MATCH(C9,'Game 112-1-A'!B6:B10)-1,0)</f>
        <v>36</v>
      </c>
      <c r="P9" s="10">
        <f ca="1">OFFSET('Game 120-2-N'!H6,MATCH(D9,'Game 120-2-N'!B6:B10)-1,0)</f>
        <v>15</v>
      </c>
      <c r="Q9" s="13">
        <f ca="1">OFFSET('Game 112-1-A'!I6,MATCH(C9,'Game 112-1-A'!B6:B10)-1,0)</f>
        <v>2</v>
      </c>
      <c r="R9" s="11">
        <f ca="1">OFFSET('Game 120-2-N'!I6,MATCH(D9,'Game 120-2-N'!B6:B10)-1,0)</f>
        <v>5</v>
      </c>
      <c r="S9" s="12">
        <f ca="1">OFFSET('Game 112-1-A'!J6,MATCH(C9,'Game 112-1-A'!B6:B10)-1,0)</f>
        <v>8</v>
      </c>
      <c r="T9" s="11">
        <f ca="1">OFFSET('Game 120-2-N'!J6,MATCH(D9,'Game 120-2-N'!B6:B10)-1,0)</f>
        <v>4</v>
      </c>
      <c r="U9" s="12">
        <f ca="1">OFFSET('Game 112-1-A'!K6,MATCH(C9,'Game 112-1-A'!B6:B10)-1,0)</f>
        <v>1</v>
      </c>
      <c r="V9" s="10">
        <f ca="1">OFFSET('Game 120-2-N'!K6,MATCH(D9,'Game 120-2-N'!B6:B10)-1,0)</f>
        <v>3</v>
      </c>
      <c r="W9" s="13">
        <f ca="1">OFFSET('Game 112-1-A'!L6,MATCH(C9,'Game 112-1-A'!B6:B10)-1,0)</f>
        <v>10</v>
      </c>
      <c r="X9" s="11">
        <f ca="1">OFFSET('Game 120-2-N'!L6,MATCH(D9,'Game 120-2-N'!B6:B10)-1,0)</f>
        <v>18</v>
      </c>
      <c r="Y9" s="12">
        <f ca="1">OFFSET('Game 112-1-A'!M6,MATCH(C9,'Game 112-1-A'!B6:B10)-1,0)</f>
        <v>0</v>
      </c>
      <c r="Z9" s="11">
        <f ca="1">OFFSET('Game 120-2-N'!M6,MATCH(D9,'Game 120-2-N'!B6:B10)-1,0)</f>
        <v>1</v>
      </c>
      <c r="AA9" s="12">
        <f ca="1">OFFSET('Game 112-1-A'!N6,MATCH(C9,'Game 112-1-A'!B6:B10)-1,0)</f>
        <v>6</v>
      </c>
      <c r="AB9" s="14">
        <f ca="1">OFFSET('Game 120-2-N'!N6,MATCH(D9,'Game 120-2-N'!B6:B10)-1,0)</f>
        <v>16</v>
      </c>
    </row>
    <row r="10" spans="1:56" ht="12.75">
      <c r="A10" s="8">
        <v>123</v>
      </c>
      <c r="B10" s="10" t="s">
        <v>18</v>
      </c>
      <c r="C10" s="9">
        <v>145</v>
      </c>
      <c r="D10" s="11">
        <v>216</v>
      </c>
      <c r="E10" s="12">
        <v>110</v>
      </c>
      <c r="F10" s="10">
        <v>121</v>
      </c>
      <c r="G10" s="13">
        <f ca="1">OFFSET('Game 110-1-A'!D6,MATCH(C10,'Game 110-1-A'!B6:B10)-1,0)</f>
        <v>6</v>
      </c>
      <c r="H10" s="10">
        <f ca="1">OFFSET('Game 121-2-N'!D6,MATCH(D10,'Game 121-2-N'!B6:B10)-1,0)</f>
        <v>0</v>
      </c>
      <c r="I10" s="13">
        <f ca="1">OFFSET('Game 110-1-A'!E6,MATCH(C10,'Game 110-1-A'!B6:B10)-1,0)</f>
        <v>1</v>
      </c>
      <c r="J10" s="11">
        <f ca="1">OFFSET('Game 121-2-N'!E6,MATCH(D10,'Game 121-2-N'!B6:B10)-1,0)</f>
        <v>8</v>
      </c>
      <c r="K10" s="12">
        <f ca="1">OFFSET('Game 110-1-A'!F6,MATCH(C10,'Game 110-1-A'!B6:B10)-1,0)</f>
        <v>0</v>
      </c>
      <c r="L10" s="11">
        <f ca="1">OFFSET('Game 121-2-N'!F6,MATCH(D10,'Game 121-2-N'!B6:B10)-1,0)</f>
        <v>5</v>
      </c>
      <c r="M10" s="12">
        <f ca="1">OFFSET('Game 110-1-A'!G6,MATCH(C10,'Game 110-1-A'!B6:B10)-1,0)</f>
        <v>0</v>
      </c>
      <c r="N10" s="11">
        <f ca="1">OFFSET('Game 121-2-N'!G6,MATCH(D10,'Game 121-2-N'!B6:B10)-1,0)</f>
        <v>0</v>
      </c>
      <c r="O10" s="12">
        <f ca="1">OFFSET('Game 110-1-A'!H6,MATCH(C10,'Game 110-1-A'!B6:B10)-1,0)</f>
        <v>1</v>
      </c>
      <c r="P10" s="10">
        <f ca="1">OFFSET('Game 121-2-N'!H6,MATCH(D10,'Game 121-2-N'!B6:B10)-1,0)</f>
        <v>13</v>
      </c>
      <c r="Q10" s="13">
        <f ca="1">OFFSET('Game 110-1-A'!I6,MATCH(C10,'Game 110-1-A'!B6:B10)-1,0)</f>
        <v>4</v>
      </c>
      <c r="R10" s="11">
        <f ca="1">OFFSET('Game 121-2-N'!I6,MATCH(D10,'Game 121-2-N'!B6:B10)-1,0)</f>
        <v>7</v>
      </c>
      <c r="S10" s="12">
        <f ca="1">OFFSET('Game 110-1-A'!J6,MATCH(C10,'Game 110-1-A'!B6:B10)-1,0)</f>
        <v>5</v>
      </c>
      <c r="T10" s="11">
        <f ca="1">OFFSET('Game 121-2-N'!J6,MATCH(D10,'Game 121-2-N'!B6:B10)-1,0)</f>
        <v>10</v>
      </c>
      <c r="U10" s="12">
        <f ca="1">OFFSET('Game 110-1-A'!K6,MATCH(C10,'Game 110-1-A'!B6:B10)-1,0)</f>
        <v>1</v>
      </c>
      <c r="V10" s="10">
        <f ca="1">OFFSET('Game 121-2-N'!K6,MATCH(D10,'Game 121-2-N'!B6:B10)-1,0)</f>
        <v>5</v>
      </c>
      <c r="W10" s="13">
        <f ca="1">OFFSET('Game 110-1-A'!L6,MATCH(C10,'Game 110-1-A'!B6:B10)-1,0)</f>
        <v>3</v>
      </c>
      <c r="X10" s="11">
        <f ca="1">OFFSET('Game 121-2-N'!L6,MATCH(D10,'Game 121-2-N'!B6:B10)-1,0)</f>
        <v>6</v>
      </c>
      <c r="Y10" s="12">
        <f ca="1">OFFSET('Game 110-1-A'!M6,MATCH(C10,'Game 110-1-A'!B6:B10)-1,0)</f>
        <v>0</v>
      </c>
      <c r="Z10" s="11">
        <f ca="1">OFFSET('Game 121-2-N'!M6,MATCH(D10,'Game 121-2-N'!B6:B10)-1,0)</f>
        <v>4</v>
      </c>
      <c r="AA10" s="12">
        <f ca="1">OFFSET('Game 110-1-A'!N6,MATCH(C10,'Game 110-1-A'!B6:B10)-1,0)</f>
        <v>1</v>
      </c>
      <c r="AB10" s="14">
        <f ca="1">OFFSET('Game 121-2-N'!N6,MATCH(D10,'Game 121-2-N'!B6:B10)-1,0)</f>
        <v>3</v>
      </c>
    </row>
    <row r="11" spans="1:56" ht="12.75">
      <c r="A11" s="8">
        <v>124</v>
      </c>
      <c r="B11" s="10" t="s">
        <v>19</v>
      </c>
      <c r="C11" s="9">
        <v>138</v>
      </c>
      <c r="D11" s="11" t="s">
        <v>20</v>
      </c>
      <c r="E11" s="12">
        <v>109</v>
      </c>
      <c r="F11" s="10" t="s">
        <v>20</v>
      </c>
      <c r="G11" s="13">
        <f ca="1">OFFSET('Game 109-1-A'!D6,MATCH(C11,'Game 109-1-A'!B6:B10)-1,0)</f>
        <v>0</v>
      </c>
      <c r="H11" s="10" t="s">
        <v>20</v>
      </c>
      <c r="I11" s="13">
        <f ca="1">OFFSET('Game 109-1-A'!E6,MATCH(C11,'Game 109-1-A'!B6:B10)-1,0)</f>
        <v>1</v>
      </c>
      <c r="J11" s="11" t="s">
        <v>20</v>
      </c>
      <c r="K11" s="12">
        <f ca="1">OFFSET('Game 109-1-A'!F6,MATCH(C11,'Game 109-1-A'!B6:B10)-1,0)</f>
        <v>4</v>
      </c>
      <c r="L11" s="11" t="s">
        <v>20</v>
      </c>
      <c r="M11" s="12">
        <f ca="1">OFFSET('Game 109-1-A'!G6,MATCH(C11,'Game 109-1-A'!B6:B10)-1,0)</f>
        <v>0</v>
      </c>
      <c r="N11" s="11" t="s">
        <v>20</v>
      </c>
      <c r="O11" s="12">
        <f ca="1">OFFSET('Game 109-1-A'!H6,MATCH(C11,'Game 109-1-A'!B6:B10)-1,0)</f>
        <v>5</v>
      </c>
      <c r="P11" s="10" t="s">
        <v>20</v>
      </c>
      <c r="Q11" s="13">
        <f ca="1">OFFSET('Game 109-1-A'!I6,MATCH(C11,'Game 109-1-A'!B6:B10)-1,0)</f>
        <v>8</v>
      </c>
      <c r="R11" s="11" t="s">
        <v>20</v>
      </c>
      <c r="S11" s="12">
        <f ca="1">OFFSET('Game 109-1-A'!J6,MATCH(C11,'Game 109-1-A'!B6:B10)-1,0)</f>
        <v>5</v>
      </c>
      <c r="T11" s="11" t="s">
        <v>20</v>
      </c>
      <c r="U11" s="12">
        <f ca="1">OFFSET('Game 109-1-A'!K6,MATCH(C11,'Game 109-1-A'!B6:B10)-1,0)</f>
        <v>4</v>
      </c>
      <c r="V11" s="10" t="s">
        <v>20</v>
      </c>
      <c r="W11" s="13">
        <f ca="1">OFFSET('Game 109-1-A'!L6,MATCH(C11,'Game 109-1-A'!B6:B10)-1,0)</f>
        <v>3</v>
      </c>
      <c r="X11" s="11" t="s">
        <v>20</v>
      </c>
      <c r="Y11" s="12">
        <f ca="1">OFFSET('Game 109-1-A'!M6,MATCH(C11,'Game 109-1-A'!B6:B10)-1,0)</f>
        <v>1</v>
      </c>
      <c r="Z11" s="11" t="s">
        <v>20</v>
      </c>
      <c r="AA11" s="12">
        <f ca="1">OFFSET('Game 109-1-A'!N6,MATCH(C11,'Game 109-1-A'!B6:B10)-1,0)</f>
        <v>1</v>
      </c>
      <c r="AB11" s="14" t="s">
        <v>20</v>
      </c>
    </row>
    <row r="12" spans="1:56" ht="12.75">
      <c r="A12" s="8">
        <v>125</v>
      </c>
      <c r="B12" s="10" t="s">
        <v>18</v>
      </c>
      <c r="C12" s="9">
        <v>139</v>
      </c>
      <c r="D12" s="11">
        <v>217</v>
      </c>
      <c r="E12" s="12">
        <v>109</v>
      </c>
      <c r="F12" s="10">
        <v>121</v>
      </c>
      <c r="G12" s="13">
        <f ca="1">OFFSET('Game 109-1-A'!D6,MATCH(C12,'Game 109-1-A'!B6:B10)-1,0)</f>
        <v>7</v>
      </c>
      <c r="H12" s="10">
        <f ca="1">OFFSET('Game 121-2-N'!D6,MATCH(D12,'Game 121-2-N'!B6:B10)-1,0)</f>
        <v>0</v>
      </c>
      <c r="I12" s="13">
        <f ca="1">OFFSET('Game 109-1-A'!E6,MATCH(C12,'Game 109-1-A'!B6:B10)-1,0)</f>
        <v>25</v>
      </c>
      <c r="J12" s="11">
        <f ca="1">OFFSET('Game 121-2-N'!E6,MATCH(D12,'Game 121-2-N'!B6:B10)-1,0)</f>
        <v>4</v>
      </c>
      <c r="K12" s="12">
        <f ca="1">OFFSET('Game 109-1-A'!F6,MATCH(C12,'Game 109-1-A'!B6:B10)-1,0)</f>
        <v>0</v>
      </c>
      <c r="L12" s="11">
        <f ca="1">OFFSET('Game 121-2-N'!F6,MATCH(D12,'Game 121-2-N'!B6:B10)-1,0)</f>
        <v>0</v>
      </c>
      <c r="M12" s="12">
        <f ca="1">OFFSET('Game 109-1-A'!G6,MATCH(C12,'Game 109-1-A'!B6:B10)-1,0)</f>
        <v>0</v>
      </c>
      <c r="N12" s="11">
        <f ca="1">OFFSET('Game 121-2-N'!G6,MATCH(D12,'Game 121-2-N'!B6:B10)-1,0)</f>
        <v>0</v>
      </c>
      <c r="O12" s="12">
        <f ca="1">OFFSET('Game 109-1-A'!H6,MATCH(C12,'Game 109-1-A'!B6:B10)-1,0)</f>
        <v>25</v>
      </c>
      <c r="P12" s="10">
        <f ca="1">OFFSET('Game 121-2-N'!H6,MATCH(D12,'Game 121-2-N'!B6:B10)-1,0)</f>
        <v>4</v>
      </c>
      <c r="Q12" s="13">
        <f ca="1">OFFSET('Game 109-1-A'!I6,MATCH(C12,'Game 109-1-A'!B6:B10)-1,0)</f>
        <v>0</v>
      </c>
      <c r="R12" s="11">
        <f ca="1">OFFSET('Game 121-2-N'!I6,MATCH(D12,'Game 121-2-N'!B6:B10)-1,0)</f>
        <v>3</v>
      </c>
      <c r="S12" s="12">
        <f ca="1">OFFSET('Game 109-1-A'!J6,MATCH(C12,'Game 109-1-A'!B6:B10)-1,0)</f>
        <v>3</v>
      </c>
      <c r="T12" s="11">
        <f ca="1">OFFSET('Game 121-2-N'!J6,MATCH(D12,'Game 121-2-N'!B6:B10)-1,0)</f>
        <v>1</v>
      </c>
      <c r="U12" s="12">
        <f ca="1">OFFSET('Game 109-1-A'!K6,MATCH(C12,'Game 109-1-A'!B6:B10)-1,0)</f>
        <v>0</v>
      </c>
      <c r="V12" s="10">
        <f ca="1">OFFSET('Game 121-2-N'!K6,MATCH(D12,'Game 121-2-N'!B6:B10)-1,0)</f>
        <v>1</v>
      </c>
      <c r="W12" s="13">
        <f ca="1">OFFSET('Game 109-1-A'!L6,MATCH(C12,'Game 109-1-A'!B6:B10)-1,0)</f>
        <v>5</v>
      </c>
      <c r="X12" s="11">
        <f ca="1">OFFSET('Game 121-2-N'!L6,MATCH(D12,'Game 121-2-N'!B6:B10)-1,0)</f>
        <v>11</v>
      </c>
      <c r="Y12" s="12">
        <f ca="1">OFFSET('Game 109-1-A'!M6,MATCH(C12,'Game 109-1-A'!B6:B10)-1,0)</f>
        <v>0</v>
      </c>
      <c r="Z12" s="11">
        <f ca="1">OFFSET('Game 121-2-N'!M6,MATCH(D12,'Game 121-2-N'!B6:B10)-1,0)</f>
        <v>0</v>
      </c>
      <c r="AA12" s="12">
        <f ca="1">OFFSET('Game 109-1-A'!N6,MATCH(C12,'Game 109-1-A'!B6:B10)-1,0)</f>
        <v>5</v>
      </c>
      <c r="AB12" s="14">
        <f ca="1">OFFSET('Game 121-2-N'!N6,MATCH(D12,'Game 121-2-N'!B6:B10)-1,0)</f>
        <v>6</v>
      </c>
    </row>
    <row r="13" spans="1:56" ht="12.75">
      <c r="A13" s="8">
        <v>127</v>
      </c>
      <c r="B13" s="10" t="s">
        <v>18</v>
      </c>
      <c r="C13" s="9">
        <v>152</v>
      </c>
      <c r="D13" s="11">
        <v>204</v>
      </c>
      <c r="E13" s="12">
        <v>111</v>
      </c>
      <c r="F13" s="10">
        <v>119</v>
      </c>
      <c r="G13" s="13">
        <f ca="1">OFFSET('Game 111-1-A'!D6,MATCH(C13,'Game 111-1-A'!B6:B10)-1,0)</f>
        <v>7</v>
      </c>
      <c r="H13" s="10">
        <f ca="1">OFFSET('Game 119-2-N'!D6,MATCH(D13,'Game 119-2-N'!B6:B10)-1,0)</f>
        <v>0</v>
      </c>
      <c r="I13" s="13">
        <f ca="1">OFFSET('Game 111-1-A'!E6,MATCH(C13,'Game 111-1-A'!B6:B10)-1,0)</f>
        <v>1</v>
      </c>
      <c r="J13" s="11">
        <f ca="1">OFFSET('Game 119-2-N'!E6,MATCH(D13,'Game 119-2-N'!B6:B10)-1,0)</f>
        <v>0</v>
      </c>
      <c r="K13" s="12">
        <f ca="1">OFFSET('Game 111-1-A'!F6,MATCH(C13,'Game 111-1-A'!B6:B10)-1,0)</f>
        <v>0</v>
      </c>
      <c r="L13" s="11">
        <f ca="1">OFFSET('Game 119-2-N'!F6,MATCH(D13,'Game 119-2-N'!B6:B10)-1,0)</f>
        <v>0</v>
      </c>
      <c r="M13" s="12">
        <f ca="1">OFFSET('Game 111-1-A'!G6,MATCH(C13,'Game 111-1-A'!B6:B10)-1,0)</f>
        <v>0</v>
      </c>
      <c r="N13" s="11">
        <f ca="1">OFFSET('Game 119-2-N'!G6,MATCH(D13,'Game 119-2-N'!B6:B10)-1,0)</f>
        <v>1</v>
      </c>
      <c r="O13" s="12">
        <f ca="1">OFFSET('Game 111-1-A'!H6,MATCH(C13,'Game 111-1-A'!B6:B10)-1,0)</f>
        <v>1</v>
      </c>
      <c r="P13" s="10">
        <f ca="1">OFFSET('Game 119-2-N'!H6,MATCH(D13,'Game 119-2-N'!B6:B10)-1,0)</f>
        <v>1</v>
      </c>
      <c r="Q13" s="13">
        <f ca="1">OFFSET('Game 111-1-A'!I6,MATCH(C13,'Game 111-1-A'!B6:B10)-1,0)</f>
        <v>8</v>
      </c>
      <c r="R13" s="11">
        <f ca="1">OFFSET('Game 119-2-N'!I6,MATCH(D13,'Game 119-2-N'!B6:B10)-1,0)</f>
        <v>11</v>
      </c>
      <c r="S13" s="12">
        <f ca="1">OFFSET('Game 111-1-A'!J6,MATCH(C13,'Game 111-1-A'!B6:B10)-1,0)</f>
        <v>7</v>
      </c>
      <c r="T13" s="11">
        <f ca="1">OFFSET('Game 119-2-N'!J6,MATCH(D13,'Game 119-2-N'!B6:B10)-1,0)</f>
        <v>7</v>
      </c>
      <c r="U13" s="12">
        <f ca="1">OFFSET('Game 111-1-A'!K6,MATCH(C13,'Game 111-1-A'!B6:B10)-1,0)</f>
        <v>1</v>
      </c>
      <c r="V13" s="10">
        <f ca="1">OFFSET('Game 119-2-N'!K6,MATCH(D13,'Game 119-2-N'!B6:B10)-1,0)</f>
        <v>4</v>
      </c>
      <c r="W13" s="13">
        <f ca="1">OFFSET('Game 111-1-A'!L6,MATCH(C13,'Game 111-1-A'!B6:B10)-1,0)</f>
        <v>1</v>
      </c>
      <c r="X13" s="11">
        <f ca="1">OFFSET('Game 119-2-N'!L6,MATCH(D13,'Game 119-2-N'!B6:B10)-1,0)</f>
        <v>8</v>
      </c>
      <c r="Y13" s="12">
        <f ca="1">OFFSET('Game 111-1-A'!M6,MATCH(C13,'Game 111-1-A'!B6:B10)-1,0)</f>
        <v>1</v>
      </c>
      <c r="Z13" s="11">
        <f ca="1">OFFSET('Game 119-2-N'!M6,MATCH(D13,'Game 119-2-N'!B6:B10)-1,0)</f>
        <v>4</v>
      </c>
      <c r="AA13" s="12">
        <f ca="1">OFFSET('Game 111-1-A'!N6,MATCH(C13,'Game 111-1-A'!B6:B10)-1,0)</f>
        <v>1</v>
      </c>
      <c r="AB13" s="14">
        <f ca="1">OFFSET('Game 119-2-N'!N6,MATCH(D13,'Game 119-2-N'!B6:B10)-1,0)</f>
        <v>4</v>
      </c>
    </row>
    <row r="14" spans="1:56" ht="12.75">
      <c r="A14" s="8">
        <v>128</v>
      </c>
      <c r="B14" s="10" t="s">
        <v>18</v>
      </c>
      <c r="C14" s="9">
        <v>142</v>
      </c>
      <c r="D14" s="11">
        <v>200</v>
      </c>
      <c r="E14" s="12">
        <v>110</v>
      </c>
      <c r="F14" s="10">
        <v>119</v>
      </c>
      <c r="G14" s="13">
        <f ca="1">OFFSET('Game 110-1-A'!D6,MATCH(C14,'Game 110-1-A'!B6:B10)-1,0)</f>
        <v>5</v>
      </c>
      <c r="H14" s="10">
        <f ca="1">OFFSET('Game 119-2-N'!D6,MATCH(D14,'Game 119-2-N'!B6:B10)-1,0)</f>
        <v>0</v>
      </c>
      <c r="I14" s="13">
        <f ca="1">OFFSET('Game 110-1-A'!E6,MATCH(C14,'Game 110-1-A'!B6:B10)-1,0)</f>
        <v>0</v>
      </c>
      <c r="J14" s="11">
        <f ca="1">OFFSET('Game 119-2-N'!E6,MATCH(D14,'Game 119-2-N'!B6:B10)-1,0)</f>
        <v>0</v>
      </c>
      <c r="K14" s="12">
        <f ca="1">OFFSET('Game 110-1-A'!F6,MATCH(C14,'Game 110-1-A'!B6:B10)-1,0)</f>
        <v>0</v>
      </c>
      <c r="L14" s="11">
        <f ca="1">OFFSET('Game 119-2-N'!F6,MATCH(D14,'Game 119-2-N'!B6:B10)-1,0)</f>
        <v>7</v>
      </c>
      <c r="M14" s="12">
        <f ca="1">OFFSET('Game 110-1-A'!G6,MATCH(C14,'Game 110-1-A'!B6:B10)-1,0)</f>
        <v>0</v>
      </c>
      <c r="N14" s="11">
        <f ca="1">OFFSET('Game 119-2-N'!G6,MATCH(D14,'Game 119-2-N'!B6:B10)-1,0)</f>
        <v>0</v>
      </c>
      <c r="O14" s="12">
        <f ca="1">OFFSET('Game 110-1-A'!H6,MATCH(C14,'Game 110-1-A'!B6:B10)-1,0)</f>
        <v>0</v>
      </c>
      <c r="P14" s="10">
        <f ca="1">OFFSET('Game 119-2-N'!H6,MATCH(D14,'Game 119-2-N'!B6:B10)-1,0)</f>
        <v>7</v>
      </c>
      <c r="Q14" s="13">
        <f ca="1">OFFSET('Game 110-1-A'!I6,MATCH(C14,'Game 110-1-A'!B6:B10)-1,0)</f>
        <v>5</v>
      </c>
      <c r="R14" s="11">
        <f ca="1">OFFSET('Game 119-2-N'!I6,MATCH(D14,'Game 119-2-N'!B6:B10)-1,0)</f>
        <v>13</v>
      </c>
      <c r="S14" s="12">
        <f ca="1">OFFSET('Game 110-1-A'!J6,MATCH(C14,'Game 110-1-A'!B6:B10)-1,0)</f>
        <v>5</v>
      </c>
      <c r="T14" s="11">
        <f ca="1">OFFSET('Game 119-2-N'!J6,MATCH(D14,'Game 119-2-N'!B6:B10)-1,0)</f>
        <v>5</v>
      </c>
      <c r="U14" s="12">
        <f ca="1">OFFSET('Game 110-1-A'!K6,MATCH(C14,'Game 110-1-A'!B6:B10)-1,0)</f>
        <v>0</v>
      </c>
      <c r="V14" s="10">
        <f ca="1">OFFSET('Game 119-2-N'!K6,MATCH(D14,'Game 119-2-N'!B6:B10)-1,0)</f>
        <v>3</v>
      </c>
      <c r="W14" s="13">
        <f ca="1">OFFSET('Game 110-1-A'!L6,MATCH(C14,'Game 110-1-A'!B6:B10)-1,0)</f>
        <v>3</v>
      </c>
      <c r="X14" s="11">
        <f ca="1">OFFSET('Game 119-2-N'!L6,MATCH(D14,'Game 119-2-N'!B6:B10)-1,0)</f>
        <v>1</v>
      </c>
      <c r="Y14" s="12">
        <f ca="1">OFFSET('Game 110-1-A'!M6,MATCH(C14,'Game 110-1-A'!B6:B10)-1,0)</f>
        <v>1</v>
      </c>
      <c r="Z14" s="11">
        <f ca="1">OFFSET('Game 119-2-N'!M6,MATCH(D14,'Game 119-2-N'!B6:B10)-1,0)</f>
        <v>1</v>
      </c>
      <c r="AA14" s="12">
        <f ca="1">OFFSET('Game 110-1-A'!N6,MATCH(C14,'Game 110-1-A'!B6:B10)-1,0)</f>
        <v>1</v>
      </c>
      <c r="AB14" s="14">
        <f ca="1">OFFSET('Game 119-2-N'!N6,MATCH(D14,'Game 119-2-N'!B6:B10)-1,0)</f>
        <v>1</v>
      </c>
    </row>
    <row r="15" spans="1:56" ht="12.75">
      <c r="A15" s="8">
        <v>129</v>
      </c>
      <c r="B15" s="10" t="s">
        <v>18</v>
      </c>
      <c r="C15" s="9">
        <v>136</v>
      </c>
      <c r="D15" s="11">
        <v>207</v>
      </c>
      <c r="E15" s="12">
        <v>109</v>
      </c>
      <c r="F15" s="10">
        <v>120</v>
      </c>
      <c r="G15" s="13">
        <f ca="1">OFFSET('Game 109-1-A'!D6,MATCH(C15,'Game 109-1-A'!B6:B10)-1,0)</f>
        <v>4</v>
      </c>
      <c r="H15" s="10">
        <f ca="1">OFFSET('Game 120-2-N'!D6,MATCH(D15,'Game 120-2-N'!B6:B10)-1,0)</f>
        <v>0</v>
      </c>
      <c r="I15" s="13">
        <f ca="1">OFFSET('Game 109-1-A'!E6,MATCH(C15,'Game 109-1-A'!B6:B10)-1,0)</f>
        <v>0</v>
      </c>
      <c r="J15" s="11">
        <f ca="1">OFFSET('Game 120-2-N'!E6,MATCH(D15,'Game 120-2-N'!B6:B10)-1,0)</f>
        <v>3</v>
      </c>
      <c r="K15" s="12">
        <f ca="1">OFFSET('Game 109-1-A'!F6,MATCH(C15,'Game 109-1-A'!B6:B10)-1,0)</f>
        <v>36</v>
      </c>
      <c r="L15" s="11">
        <f ca="1">OFFSET('Game 120-2-N'!F6,MATCH(D15,'Game 120-2-N'!B6:B10)-1,0)</f>
        <v>28</v>
      </c>
      <c r="M15" s="12">
        <f ca="1">OFFSET('Game 109-1-A'!G6,MATCH(C15,'Game 109-1-A'!B6:B10)-1,0)</f>
        <v>0</v>
      </c>
      <c r="N15" s="11">
        <f ca="1">OFFSET('Game 120-2-N'!G6,MATCH(D15,'Game 120-2-N'!B6:B10)-1,0)</f>
        <v>1</v>
      </c>
      <c r="O15" s="12">
        <f ca="1">OFFSET('Game 109-1-A'!H6,MATCH(C15,'Game 109-1-A'!B6:B10)-1,0)</f>
        <v>36</v>
      </c>
      <c r="P15" s="10">
        <f ca="1">OFFSET('Game 120-2-N'!H6,MATCH(D15,'Game 120-2-N'!B6:B10)-1,0)</f>
        <v>32</v>
      </c>
      <c r="Q15" s="13">
        <f ca="1">OFFSET('Game 109-1-A'!I6,MATCH(C15,'Game 109-1-A'!B6:B10)-1,0)</f>
        <v>12</v>
      </c>
      <c r="R15" s="11">
        <f ca="1">OFFSET('Game 120-2-N'!I6,MATCH(D15,'Game 120-2-N'!B6:B10)-1,0)</f>
        <v>18</v>
      </c>
      <c r="S15" s="12">
        <f ca="1">OFFSET('Game 109-1-A'!J6,MATCH(C15,'Game 109-1-A'!B6:B10)-1,0)</f>
        <v>7</v>
      </c>
      <c r="T15" s="11">
        <f ca="1">OFFSET('Game 120-2-N'!J6,MATCH(D15,'Game 120-2-N'!B6:B10)-1,0)</f>
        <v>3</v>
      </c>
      <c r="U15" s="12">
        <f ca="1">OFFSET('Game 109-1-A'!K6,MATCH(C15,'Game 109-1-A'!B6:B10)-1,0)</f>
        <v>9</v>
      </c>
      <c r="V15" s="10">
        <f ca="1">OFFSET('Game 120-2-N'!K6,MATCH(D15,'Game 120-2-N'!B6:B10)-1,0)</f>
        <v>13</v>
      </c>
      <c r="W15" s="13">
        <f ca="1">OFFSET('Game 109-1-A'!L6,MATCH(C15,'Game 109-1-A'!B6:B10)-1,0)</f>
        <v>2</v>
      </c>
      <c r="X15" s="11">
        <f ca="1">OFFSET('Game 120-2-N'!L6,MATCH(D15,'Game 120-2-N'!B6:B10)-1,0)</f>
        <v>4</v>
      </c>
      <c r="Y15" s="12">
        <f ca="1">OFFSET('Game 109-1-A'!M6,MATCH(C15,'Game 109-1-A'!B6:B10)-1,0)</f>
        <v>0</v>
      </c>
      <c r="Z15" s="11">
        <f ca="1">OFFSET('Game 120-2-N'!M6,MATCH(D15,'Game 120-2-N'!B6:B10)-1,0)</f>
        <v>3</v>
      </c>
      <c r="AA15" s="12">
        <f ca="1">OFFSET('Game 109-1-A'!N6,MATCH(C15,'Game 109-1-A'!B6:B10)-1,0)</f>
        <v>1</v>
      </c>
      <c r="AB15" s="14">
        <f ca="1">OFFSET('Game 120-2-N'!N6,MATCH(D15,'Game 120-2-N'!B6:B10)-1,0)</f>
        <v>3</v>
      </c>
    </row>
    <row r="16" spans="1:56" ht="12.75">
      <c r="A16" s="8">
        <v>130</v>
      </c>
      <c r="B16" s="10" t="s">
        <v>18</v>
      </c>
      <c r="C16" s="9">
        <v>155</v>
      </c>
      <c r="D16" s="11">
        <v>201</v>
      </c>
      <c r="E16" s="12">
        <v>112</v>
      </c>
      <c r="F16" s="10">
        <v>119</v>
      </c>
      <c r="G16" s="13">
        <f ca="1">OFFSET('Game 112-1-A'!D6,MATCH(C16,'Game 112-1-A'!B6:B10)-1,0)</f>
        <v>3</v>
      </c>
      <c r="H16" s="10">
        <f ca="1">OFFSET('Game 119-2-N'!D6,MATCH(D16,'Game 119-2-N'!B6:B10)-1,0)</f>
        <v>0</v>
      </c>
      <c r="I16" s="13">
        <f ca="1">OFFSET('Game 112-1-A'!E6,MATCH(C16,'Game 112-1-A'!B6:B10)-1,0)</f>
        <v>7</v>
      </c>
      <c r="J16" s="11">
        <f ca="1">OFFSET('Game 119-2-N'!E6,MATCH(D16,'Game 119-2-N'!B6:B10)-1,0)</f>
        <v>5</v>
      </c>
      <c r="K16" s="12">
        <f ca="1">OFFSET('Game 112-1-A'!F6,MATCH(C16,'Game 112-1-A'!B6:B10)-1,0)</f>
        <v>22</v>
      </c>
      <c r="L16" s="11">
        <f ca="1">OFFSET('Game 119-2-N'!F6,MATCH(D16,'Game 119-2-N'!B6:B10)-1,0)</f>
        <v>7</v>
      </c>
      <c r="M16" s="12">
        <f ca="1">OFFSET('Game 112-1-A'!G6,MATCH(C16,'Game 112-1-A'!B6:B10)-1,0)</f>
        <v>0</v>
      </c>
      <c r="N16" s="11">
        <f ca="1">OFFSET('Game 119-2-N'!G6,MATCH(D16,'Game 119-2-N'!B6:B10)-1,0)</f>
        <v>2</v>
      </c>
      <c r="O16" s="12">
        <f ca="1">OFFSET('Game 112-1-A'!H6,MATCH(C16,'Game 112-1-A'!B6:B10)-1,0)</f>
        <v>29</v>
      </c>
      <c r="P16" s="10">
        <f ca="1">OFFSET('Game 119-2-N'!H6,MATCH(D16,'Game 119-2-N'!B6:B10)-1,0)</f>
        <v>14</v>
      </c>
      <c r="Q16" s="13">
        <f ca="1">OFFSET('Game 112-1-A'!I6,MATCH(C16,'Game 112-1-A'!B6:B10)-1,0)</f>
        <v>10</v>
      </c>
      <c r="R16" s="11">
        <f ca="1">OFFSET('Game 119-2-N'!I6,MATCH(D16,'Game 119-2-N'!B6:B10)-1,0)</f>
        <v>18</v>
      </c>
      <c r="S16" s="12">
        <f ca="1">OFFSET('Game 112-1-A'!J6,MATCH(C16,'Game 112-1-A'!B6:B10)-1,0)</f>
        <v>7</v>
      </c>
      <c r="T16" s="11">
        <f ca="1">OFFSET('Game 119-2-N'!J6,MATCH(D16,'Game 119-2-N'!B6:B10)-1,0)</f>
        <v>9</v>
      </c>
      <c r="U16" s="12">
        <f ca="1">OFFSET('Game 112-1-A'!K6,MATCH(C16,'Game 112-1-A'!B6:B10)-1,0)</f>
        <v>7</v>
      </c>
      <c r="V16" s="10">
        <f ca="1">OFFSET('Game 119-2-N'!K6,MATCH(D16,'Game 119-2-N'!B6:B10)-1,0)</f>
        <v>15</v>
      </c>
      <c r="W16" s="13">
        <f ca="1">OFFSET('Game 112-1-A'!L6,MATCH(C16,'Game 112-1-A'!B6:B10)-1,0)</f>
        <v>15</v>
      </c>
      <c r="X16" s="11">
        <f ca="1">OFFSET('Game 119-2-N'!L6,MATCH(D16,'Game 119-2-N'!B6:B10)-1,0)</f>
        <v>13</v>
      </c>
      <c r="Y16" s="12">
        <f ca="1">OFFSET('Game 112-1-A'!M6,MATCH(C16,'Game 112-1-A'!B6:B10)-1,0)</f>
        <v>0</v>
      </c>
      <c r="Z16" s="11">
        <f ca="1">OFFSET('Game 119-2-N'!M6,MATCH(D16,'Game 119-2-N'!B6:B10)-1,0)</f>
        <v>1</v>
      </c>
      <c r="AA16" s="12">
        <f ca="1">OFFSET('Game 112-1-A'!N6,MATCH(C16,'Game 112-1-A'!B6:B10)-1,0)</f>
        <v>10</v>
      </c>
      <c r="AB16" s="14">
        <f ca="1">OFFSET('Game 119-2-N'!N6,MATCH(D16,'Game 119-2-N'!B6:B10)-1,0)</f>
        <v>9</v>
      </c>
    </row>
    <row r="17" spans="1:28" ht="12.75">
      <c r="A17" s="8">
        <v>133</v>
      </c>
      <c r="B17" s="10" t="s">
        <v>18</v>
      </c>
      <c r="C17" s="9">
        <v>189</v>
      </c>
      <c r="D17" s="11">
        <v>202</v>
      </c>
      <c r="E17" s="12">
        <v>111</v>
      </c>
      <c r="F17" s="10">
        <v>119</v>
      </c>
      <c r="G17" s="13">
        <f ca="1">OFFSET('Game 111-1-A'!D6,MATCH(C17,'Game 111-1-A'!B6:B10)-1,0)</f>
        <v>2</v>
      </c>
      <c r="H17" s="10">
        <f ca="1">OFFSET('Game 119-2-N'!D6,MATCH(D17,'Game 119-2-N'!B6:B10)-1,0)</f>
        <v>0</v>
      </c>
      <c r="I17" s="13">
        <f ca="1">OFFSET('Game 111-1-A'!E6,MATCH(C17,'Game 111-1-A'!B6:B10)-1,0)</f>
        <v>3</v>
      </c>
      <c r="J17" s="11">
        <f ca="1">OFFSET('Game 119-2-N'!E6,MATCH(D17,'Game 119-2-N'!B6:B10)-1,0)</f>
        <v>0</v>
      </c>
      <c r="K17" s="12">
        <f ca="1">OFFSET('Game 111-1-A'!F6,MATCH(C17,'Game 111-1-A'!B6:B10)-1,0)</f>
        <v>0</v>
      </c>
      <c r="L17" s="11">
        <f ca="1">OFFSET('Game 119-2-N'!F6,MATCH(D17,'Game 119-2-N'!B6:B10)-1,0)</f>
        <v>5</v>
      </c>
      <c r="M17" s="12">
        <f ca="1">OFFSET('Game 111-1-A'!G6,MATCH(C17,'Game 111-1-A'!B6:B10)-1,0)</f>
        <v>0</v>
      </c>
      <c r="N17" s="11">
        <f ca="1">OFFSET('Game 119-2-N'!G6,MATCH(D17,'Game 119-2-N'!B6:B10)-1,0)</f>
        <v>0</v>
      </c>
      <c r="O17" s="12">
        <f ca="1">OFFSET('Game 111-1-A'!H6,MATCH(C17,'Game 111-1-A'!B6:B10)-1,0)</f>
        <v>3</v>
      </c>
      <c r="P17" s="10">
        <f ca="1">OFFSET('Game 119-2-N'!H6,MATCH(D17,'Game 119-2-N'!B6:B10)-1,0)</f>
        <v>5</v>
      </c>
      <c r="Q17" s="13">
        <f ca="1">OFFSET('Game 111-1-A'!I6,MATCH(C17,'Game 111-1-A'!B6:B10)-1,0)</f>
        <v>2</v>
      </c>
      <c r="R17" s="11">
        <f ca="1">OFFSET('Game 119-2-N'!I6,MATCH(D17,'Game 119-2-N'!B6:B10)-1,0)</f>
        <v>7</v>
      </c>
      <c r="S17" s="12">
        <f ca="1">OFFSET('Game 111-1-A'!J6,MATCH(C17,'Game 111-1-A'!B6:B10)-1,0)</f>
        <v>2</v>
      </c>
      <c r="T17" s="11">
        <f ca="1">OFFSET('Game 119-2-N'!J6,MATCH(D17,'Game 119-2-N'!B6:B10)-1,0)</f>
        <v>0</v>
      </c>
      <c r="U17" s="12">
        <f ca="1">OFFSET('Game 111-1-A'!K6,MATCH(C17,'Game 111-1-A'!B6:B10)-1,0)</f>
        <v>1</v>
      </c>
      <c r="V17" s="10">
        <f ca="1">OFFSET('Game 119-2-N'!K6,MATCH(D17,'Game 119-2-N'!B6:B10)-1,0)</f>
        <v>6</v>
      </c>
      <c r="W17" s="13">
        <f ca="1">OFFSET('Game 111-1-A'!L6,MATCH(C17,'Game 111-1-A'!B6:B10)-1,0)</f>
        <v>2</v>
      </c>
      <c r="X17" s="11">
        <f ca="1">OFFSET('Game 119-2-N'!L6,MATCH(D17,'Game 119-2-N'!B6:B10)-1,0)</f>
        <v>0</v>
      </c>
      <c r="Y17" s="12">
        <f ca="1">OFFSET('Game 111-1-A'!M6,MATCH(C17,'Game 111-1-A'!B6:B10)-1,0)</f>
        <v>1</v>
      </c>
      <c r="Z17" s="11">
        <f ca="1">OFFSET('Game 119-2-N'!M6,MATCH(D17,'Game 119-2-N'!B6:B10)-1,0)</f>
        <v>0</v>
      </c>
      <c r="AA17" s="12">
        <f ca="1">OFFSET('Game 111-1-A'!N6,MATCH(C17,'Game 111-1-A'!B6:B10)-1,0)</f>
        <v>2</v>
      </c>
      <c r="AB17" s="14">
        <f ca="1">OFFSET('Game 119-2-N'!N6,MATCH(D17,'Game 119-2-N'!B6:B10)-1,0)</f>
        <v>0</v>
      </c>
    </row>
    <row r="18" spans="1:28" ht="12.75">
      <c r="A18" s="8">
        <v>136</v>
      </c>
      <c r="B18" s="10" t="s">
        <v>18</v>
      </c>
      <c r="C18" s="9">
        <v>137</v>
      </c>
      <c r="D18" s="11">
        <v>194</v>
      </c>
      <c r="E18" s="12">
        <v>109</v>
      </c>
      <c r="F18" s="10">
        <v>118</v>
      </c>
      <c r="G18" s="13">
        <f ca="1">OFFSET('Game 109-1-A'!D6,MATCH(C18,'Game 109-1-A'!B6:B10)-1,0)</f>
        <v>1</v>
      </c>
      <c r="H18" s="10">
        <f ca="1">OFFSET('Game 118-2-N'!D6,MATCH(D18,'Game 118-2-N'!B6:B10)-1,0)</f>
        <v>0</v>
      </c>
      <c r="I18" s="13">
        <f ca="1">OFFSET('Game 109-1-A'!E6,MATCH(C18,'Game 109-1-A'!B6:B10)-1,0)</f>
        <v>4</v>
      </c>
      <c r="J18" s="11">
        <f ca="1">OFFSET('Game 118-2-N'!E6,MATCH(D18,'Game 118-2-N'!B6:B10)-1,0)</f>
        <v>7</v>
      </c>
      <c r="K18" s="12">
        <f ca="1">OFFSET('Game 109-1-A'!F6,MATCH(C18,'Game 109-1-A'!B6:B10)-1,0)</f>
        <v>0</v>
      </c>
      <c r="L18" s="11">
        <f ca="1">OFFSET('Game 118-2-N'!F6,MATCH(D18,'Game 118-2-N'!B6:B10)-1,0)</f>
        <v>16</v>
      </c>
      <c r="M18" s="12">
        <f ca="1">OFFSET('Game 109-1-A'!G6,MATCH(C18,'Game 109-1-A'!B6:B10)-1,0)</f>
        <v>0</v>
      </c>
      <c r="N18" s="11">
        <f ca="1">OFFSET('Game 118-2-N'!G6,MATCH(D18,'Game 118-2-N'!B6:B10)-1,0)</f>
        <v>0</v>
      </c>
      <c r="O18" s="12">
        <f ca="1">OFFSET('Game 109-1-A'!H6,MATCH(C18,'Game 109-1-A'!B6:B10)-1,0)</f>
        <v>4</v>
      </c>
      <c r="P18" s="10">
        <f ca="1">OFFSET('Game 118-2-N'!H6,MATCH(D18,'Game 118-2-N'!B6:B10)-1,0)</f>
        <v>23</v>
      </c>
      <c r="Q18" s="13">
        <f ca="1">OFFSET('Game 109-1-A'!I6,MATCH(C18,'Game 109-1-A'!B6:B10)-1,0)</f>
        <v>3</v>
      </c>
      <c r="R18" s="11">
        <f ca="1">OFFSET('Game 118-2-N'!I6,MATCH(D18,'Game 118-2-N'!B6:B10)-1,0)</f>
        <v>8</v>
      </c>
      <c r="S18" s="12">
        <f ca="1">OFFSET('Game 109-1-A'!J6,MATCH(C18,'Game 109-1-A'!B6:B10)-1,0)</f>
        <v>4</v>
      </c>
      <c r="T18" s="11">
        <f ca="1">OFFSET('Game 118-2-N'!J6,MATCH(D18,'Game 118-2-N'!B6:B10)-1,0)</f>
        <v>2</v>
      </c>
      <c r="U18" s="12">
        <f ca="1">OFFSET('Game 109-1-A'!K6,MATCH(C18,'Game 109-1-A'!B6:B10)-1,0)</f>
        <v>0</v>
      </c>
      <c r="V18" s="10">
        <f ca="1">OFFSET('Game 118-2-N'!K6,MATCH(D18,'Game 118-2-N'!B6:B10)-1,0)</f>
        <v>5</v>
      </c>
      <c r="W18" s="13">
        <f ca="1">OFFSET('Game 109-1-A'!L6,MATCH(C18,'Game 109-1-A'!B6:B10)-1,0)</f>
        <v>2</v>
      </c>
      <c r="X18" s="11">
        <f ca="1">OFFSET('Game 118-2-N'!L6,MATCH(D18,'Game 118-2-N'!B6:B10)-1,0)</f>
        <v>4</v>
      </c>
      <c r="Y18" s="12">
        <f ca="1">OFFSET('Game 109-1-A'!M6,MATCH(C18,'Game 109-1-A'!B6:B10)-1,0)</f>
        <v>0</v>
      </c>
      <c r="Z18" s="11">
        <f ca="1">OFFSET('Game 118-2-N'!M6,MATCH(D18,'Game 118-2-N'!B6:B10)-1,0)</f>
        <v>0</v>
      </c>
      <c r="AA18" s="12">
        <f ca="1">OFFSET('Game 109-1-A'!N6,MATCH(C18,'Game 109-1-A'!B6:B10)-1,0)</f>
        <v>1</v>
      </c>
      <c r="AB18" s="14">
        <f ca="1">OFFSET('Game 118-2-N'!N6,MATCH(D18,'Game 118-2-N'!B6:B10)-1,0)</f>
        <v>4</v>
      </c>
    </row>
    <row r="19" spans="1:28" ht="12.75">
      <c r="A19" s="8">
        <v>137</v>
      </c>
      <c r="B19" s="10" t="s">
        <v>18</v>
      </c>
      <c r="C19" s="9">
        <v>149</v>
      </c>
      <c r="D19" s="11">
        <v>209</v>
      </c>
      <c r="E19" s="12">
        <v>111</v>
      </c>
      <c r="F19" s="10">
        <v>120</v>
      </c>
      <c r="G19" s="13">
        <f ca="1">OFFSET('Game 111-1-A'!D6,MATCH(C19,'Game 111-1-A'!B6:B10)-1,0)</f>
        <v>2</v>
      </c>
      <c r="H19" s="10">
        <f ca="1">OFFSET('Game 120-2-N'!D6,MATCH(D19,'Game 120-2-N'!B6:B10)-1,0)</f>
        <v>0</v>
      </c>
      <c r="I19" s="13">
        <f ca="1">OFFSET('Game 111-1-A'!E6,MATCH(C19,'Game 111-1-A'!B6:B10)-1,0)</f>
        <v>0</v>
      </c>
      <c r="J19" s="11">
        <f ca="1">OFFSET('Game 120-2-N'!E6,MATCH(D19,'Game 120-2-N'!B6:B10)-1,0)</f>
        <v>1</v>
      </c>
      <c r="K19" s="12">
        <f ca="1">OFFSET('Game 111-1-A'!F6,MATCH(C19,'Game 111-1-A'!B6:B10)-1,0)</f>
        <v>0</v>
      </c>
      <c r="L19" s="11">
        <f ca="1">OFFSET('Game 120-2-N'!F6,MATCH(D19,'Game 120-2-N'!B6:B10)-1,0)</f>
        <v>2</v>
      </c>
      <c r="M19" s="12">
        <f ca="1">OFFSET('Game 111-1-A'!G6,MATCH(C19,'Game 111-1-A'!B6:B10)-1,0)</f>
        <v>0</v>
      </c>
      <c r="N19" s="11">
        <f ca="1">OFFSET('Game 120-2-N'!G6,MATCH(D19,'Game 120-2-N'!B6:B10)-1,0)</f>
        <v>0</v>
      </c>
      <c r="O19" s="12">
        <f ca="1">OFFSET('Game 111-1-A'!H6,MATCH(C19,'Game 111-1-A'!B6:B10)-1,0)</f>
        <v>0</v>
      </c>
      <c r="P19" s="10">
        <f ca="1">OFFSET('Game 120-2-N'!H6,MATCH(D19,'Game 120-2-N'!B6:B10)-1,0)</f>
        <v>3</v>
      </c>
      <c r="Q19" s="13">
        <f ca="1">OFFSET('Game 111-1-A'!I6,MATCH(C19,'Game 111-1-A'!B6:B10)-1,0)</f>
        <v>9</v>
      </c>
      <c r="R19" s="11">
        <f ca="1">OFFSET('Game 120-2-N'!I6,MATCH(D19,'Game 120-2-N'!B6:B10)-1,0)</f>
        <v>16</v>
      </c>
      <c r="S19" s="12">
        <f ca="1">OFFSET('Game 111-1-A'!J6,MATCH(C19,'Game 111-1-A'!B6:B10)-1,0)</f>
        <v>9</v>
      </c>
      <c r="T19" s="11">
        <f ca="1">OFFSET('Game 120-2-N'!J6,MATCH(D19,'Game 120-2-N'!B6:B10)-1,0)</f>
        <v>12</v>
      </c>
      <c r="U19" s="12">
        <f ca="1">OFFSET('Game 111-1-A'!K6,MATCH(C19,'Game 111-1-A'!B6:B10)-1,0)</f>
        <v>1</v>
      </c>
      <c r="V19" s="10">
        <f ca="1">OFFSET('Game 120-2-N'!K6,MATCH(D19,'Game 120-2-N'!B6:B10)-1,0)</f>
        <v>4</v>
      </c>
      <c r="W19" s="13">
        <f ca="1">OFFSET('Game 111-1-A'!L6,MATCH(C19,'Game 111-1-A'!B6:B10)-1,0)</f>
        <v>4</v>
      </c>
      <c r="X19" s="11">
        <f ca="1">OFFSET('Game 120-2-N'!L6,MATCH(D19,'Game 120-2-N'!B6:B10)-1,0)</f>
        <v>5</v>
      </c>
      <c r="Y19" s="12">
        <f ca="1">OFFSET('Game 111-1-A'!M6,MATCH(C19,'Game 111-1-A'!B6:B10)-1,0)</f>
        <v>1</v>
      </c>
      <c r="Z19" s="11">
        <f ca="1">OFFSET('Game 120-2-N'!M6,MATCH(D19,'Game 120-2-N'!B6:B10)-1,0)</f>
        <v>0</v>
      </c>
      <c r="AA19" s="12">
        <f ca="1">OFFSET('Game 111-1-A'!N6,MATCH(C19,'Game 111-1-A'!B6:B10)-1,0)</f>
        <v>1</v>
      </c>
      <c r="AB19" s="14">
        <f ca="1">OFFSET('Game 120-2-N'!N6,MATCH(D19,'Game 120-2-N'!B6:B10)-1,0)</f>
        <v>3</v>
      </c>
    </row>
    <row r="20" spans="1:28" ht="12.75">
      <c r="A20" s="8">
        <v>139</v>
      </c>
      <c r="B20" s="10" t="s">
        <v>18</v>
      </c>
      <c r="C20" s="9">
        <v>150</v>
      </c>
      <c r="D20" s="11">
        <v>210</v>
      </c>
      <c r="E20" s="12">
        <v>111</v>
      </c>
      <c r="F20" s="10">
        <v>120</v>
      </c>
      <c r="G20" s="13">
        <f ca="1">OFFSET('Game 111-1-A'!D6,MATCH(C20,'Game 111-1-A'!B6:B10)-1,0)</f>
        <v>3</v>
      </c>
      <c r="H20" s="10">
        <f ca="1">OFFSET('Game 120-2-N'!D6,MATCH(D20,'Game 120-2-N'!B6:B10)-1,0)</f>
        <v>0</v>
      </c>
      <c r="I20" s="13">
        <f ca="1">OFFSET('Game 111-1-A'!E6,MATCH(C20,'Game 111-1-A'!B6:B10)-1,0)</f>
        <v>1</v>
      </c>
      <c r="J20" s="11">
        <f ca="1">OFFSET('Game 120-2-N'!E6,MATCH(D20,'Game 120-2-N'!B6:B10)-1,0)</f>
        <v>1</v>
      </c>
      <c r="K20" s="12">
        <f ca="1">OFFSET('Game 111-1-A'!F6,MATCH(C20,'Game 111-1-A'!B6:B10)-1,0)</f>
        <v>0</v>
      </c>
      <c r="L20" s="11">
        <f ca="1">OFFSET('Game 120-2-N'!F6,MATCH(D20,'Game 120-2-N'!B6:B10)-1,0)</f>
        <v>1</v>
      </c>
      <c r="M20" s="12">
        <f ca="1">OFFSET('Game 111-1-A'!G6,MATCH(C20,'Game 111-1-A'!B6:B10)-1,0)</f>
        <v>0</v>
      </c>
      <c r="N20" s="11">
        <f ca="1">OFFSET('Game 120-2-N'!G6,MATCH(D20,'Game 120-2-N'!B6:B10)-1,0)</f>
        <v>0</v>
      </c>
      <c r="O20" s="12">
        <f ca="1">OFFSET('Game 111-1-A'!H6,MATCH(C20,'Game 111-1-A'!B6:B10)-1,0)</f>
        <v>1</v>
      </c>
      <c r="P20" s="10">
        <f ca="1">OFFSET('Game 120-2-N'!H6,MATCH(D20,'Game 120-2-N'!B6:B10)-1,0)</f>
        <v>2</v>
      </c>
      <c r="Q20" s="13">
        <f ca="1">OFFSET('Game 111-1-A'!I6,MATCH(C20,'Game 111-1-A'!B6:B10)-1,0)</f>
        <v>0</v>
      </c>
      <c r="R20" s="11">
        <f ca="1">OFFSET('Game 120-2-N'!I6,MATCH(D20,'Game 120-2-N'!B6:B10)-1,0)</f>
        <v>2</v>
      </c>
      <c r="S20" s="12">
        <f ca="1">OFFSET('Game 111-1-A'!J6,MATCH(C20,'Game 111-1-A'!B6:B10)-1,0)</f>
        <v>0</v>
      </c>
      <c r="T20" s="11">
        <f ca="1">OFFSET('Game 120-2-N'!J6,MATCH(D20,'Game 120-2-N'!B6:B10)-1,0)</f>
        <v>2</v>
      </c>
      <c r="U20" s="12">
        <f ca="1">OFFSET('Game 111-1-A'!K6,MATCH(C20,'Game 111-1-A'!B6:B10)-1,0)</f>
        <v>0</v>
      </c>
      <c r="V20" s="10">
        <f ca="1">OFFSET('Game 120-2-N'!K6,MATCH(D20,'Game 120-2-N'!B6:B10)-1,0)</f>
        <v>1</v>
      </c>
      <c r="W20" s="13">
        <f ca="1">OFFSET('Game 111-1-A'!L6,MATCH(C20,'Game 111-1-A'!B6:B10)-1,0)</f>
        <v>2</v>
      </c>
      <c r="X20" s="11">
        <f ca="1">OFFSET('Game 120-2-N'!L6,MATCH(D20,'Game 120-2-N'!B6:B10)-1,0)</f>
        <v>4</v>
      </c>
      <c r="Y20" s="12">
        <f ca="1">OFFSET('Game 111-1-A'!M6,MATCH(C20,'Game 111-1-A'!B6:B10)-1,0)</f>
        <v>0</v>
      </c>
      <c r="Z20" s="11">
        <f ca="1">OFFSET('Game 120-2-N'!M6,MATCH(D20,'Game 120-2-N'!B6:B10)-1,0)</f>
        <v>0</v>
      </c>
      <c r="AA20" s="12">
        <f ca="1">OFFSET('Game 111-1-A'!N6,MATCH(C20,'Game 111-1-A'!B6:B10)-1,0)</f>
        <v>1</v>
      </c>
      <c r="AB20" s="14">
        <f ca="1">OFFSET('Game 120-2-N'!N6,MATCH(D20,'Game 120-2-N'!B6:B10)-1,0)</f>
        <v>2</v>
      </c>
    </row>
    <row r="21" spans="1:28" ht="12.75">
      <c r="A21" s="8">
        <v>140</v>
      </c>
      <c r="B21" s="10" t="s">
        <v>18</v>
      </c>
      <c r="C21" s="9">
        <v>146</v>
      </c>
      <c r="D21" s="11">
        <v>196</v>
      </c>
      <c r="E21" s="12">
        <v>110</v>
      </c>
      <c r="F21" s="10">
        <v>118</v>
      </c>
      <c r="G21" s="13">
        <f ca="1">OFFSET('Game 110-1-A'!D6,MATCH(C21,'Game 110-1-A'!B6:B10)-1,0)</f>
        <v>2</v>
      </c>
      <c r="H21" s="10">
        <f ca="1">OFFSET('Game 118-2-N'!D6,MATCH(D21,'Game 118-2-N'!B6:B10)-1,0)</f>
        <v>0</v>
      </c>
      <c r="I21" s="13">
        <f ca="1">OFFSET('Game 110-1-A'!E6,MATCH(C21,'Game 110-1-A'!B6:B10)-1,0)</f>
        <v>10</v>
      </c>
      <c r="J21" s="11">
        <f ca="1">OFFSET('Game 118-2-N'!E6,MATCH(D21,'Game 118-2-N'!B6:B10)-1,0)</f>
        <v>2</v>
      </c>
      <c r="K21" s="12">
        <f ca="1">OFFSET('Game 110-1-A'!F6,MATCH(C21,'Game 110-1-A'!B6:B10)-1,0)</f>
        <v>3</v>
      </c>
      <c r="L21" s="11">
        <f ca="1">OFFSET('Game 118-2-N'!F6,MATCH(D21,'Game 118-2-N'!B6:B10)-1,0)</f>
        <v>0</v>
      </c>
      <c r="M21" s="12">
        <f ca="1">OFFSET('Game 110-1-A'!G6,MATCH(C21,'Game 110-1-A'!B6:B10)-1,0)</f>
        <v>0</v>
      </c>
      <c r="N21" s="11">
        <f ca="1">OFFSET('Game 118-2-N'!G6,MATCH(D21,'Game 118-2-N'!B6:B10)-1,0)</f>
        <v>0</v>
      </c>
      <c r="O21" s="12">
        <f ca="1">OFFSET('Game 110-1-A'!H6,MATCH(C21,'Game 110-1-A'!B6:B10)-1,0)</f>
        <v>13</v>
      </c>
      <c r="P21" s="10">
        <f ca="1">OFFSET('Game 118-2-N'!H6,MATCH(D21,'Game 118-2-N'!B6:B10)-1,0)</f>
        <v>2</v>
      </c>
      <c r="Q21" s="13">
        <f ca="1">OFFSET('Game 110-1-A'!I6,MATCH(C21,'Game 110-1-A'!B6:B10)-1,0)</f>
        <v>4</v>
      </c>
      <c r="R21" s="11">
        <f ca="1">OFFSET('Game 118-2-N'!I6,MATCH(D21,'Game 118-2-N'!B6:B10)-1,0)</f>
        <v>13</v>
      </c>
      <c r="S21" s="12">
        <f ca="1">OFFSET('Game 110-1-A'!J6,MATCH(C21,'Game 110-1-A'!B6:B10)-1,0)</f>
        <v>6</v>
      </c>
      <c r="T21" s="11">
        <f ca="1">OFFSET('Game 118-2-N'!J6,MATCH(D21,'Game 118-2-N'!B6:B10)-1,0)</f>
        <v>6</v>
      </c>
      <c r="U21" s="12">
        <f ca="1">OFFSET('Game 110-1-A'!K6,MATCH(C21,'Game 110-1-A'!B6:B10)-1,0)</f>
        <v>3</v>
      </c>
      <c r="V21" s="10">
        <f ca="1">OFFSET('Game 118-2-N'!K6,MATCH(D21,'Game 118-2-N'!B6:B10)-1,0)</f>
        <v>1</v>
      </c>
      <c r="W21" s="13">
        <f ca="1">OFFSET('Game 110-1-A'!L6,MATCH(C21,'Game 110-1-A'!B6:B10)-1,0)</f>
        <v>4</v>
      </c>
      <c r="X21" s="11">
        <f ca="1">OFFSET('Game 118-2-N'!L6,MATCH(D21,'Game 118-2-N'!B6:B10)-1,0)</f>
        <v>3</v>
      </c>
      <c r="Y21" s="12">
        <f ca="1">OFFSET('Game 110-1-A'!M6,MATCH(C21,'Game 110-1-A'!B6:B10)-1,0)</f>
        <v>0</v>
      </c>
      <c r="Z21" s="11">
        <f ca="1">OFFSET('Game 118-2-N'!M6,MATCH(D21,'Game 118-2-N'!B6:B10)-1,0)</f>
        <v>0</v>
      </c>
      <c r="AA21" s="12">
        <f ca="1">OFFSET('Game 110-1-A'!N6,MATCH(C21,'Game 110-1-A'!B6:B10)-1,0)</f>
        <v>3</v>
      </c>
      <c r="AB21" s="14">
        <f ca="1">OFFSET('Game 118-2-N'!N6,MATCH(D21,'Game 118-2-N'!B6:B10)-1,0)</f>
        <v>2</v>
      </c>
    </row>
    <row r="22" spans="1:28" ht="12.75">
      <c r="A22" s="8">
        <v>141</v>
      </c>
      <c r="B22" s="10" t="s">
        <v>18</v>
      </c>
      <c r="C22" s="9">
        <v>247</v>
      </c>
      <c r="D22" s="11">
        <v>188</v>
      </c>
      <c r="E22" s="16">
        <v>126</v>
      </c>
      <c r="F22" s="17">
        <v>117</v>
      </c>
      <c r="G22" s="9">
        <f ca="1">OFFSET('Game 126-2-A'!D6,MATCH(C22,'Game 126-2-A'!B6:B10)-1,0)</f>
        <v>3</v>
      </c>
      <c r="H22" s="17">
        <f ca="1">OFFSET('Game 117-1-N'!D6,MATCH(D22,'Game 117-1-N'!B6:B10)-1,0)</f>
        <v>0</v>
      </c>
      <c r="I22" s="9">
        <f ca="1">OFFSET('Game 126-2-A'!E6,MATCH(C22,'Game 126-2-A'!B6:B10)-1,0)</f>
        <v>2</v>
      </c>
      <c r="J22" s="18">
        <f ca="1">OFFSET('Game 117-1-N'!E6,MATCH(D22,'Game 117-1-N'!B6:B10)-1,0)</f>
        <v>18</v>
      </c>
      <c r="K22" s="16">
        <f ca="1">OFFSET('Game 126-2-A'!F6,MATCH(C22,'Game 126-2-A'!B6:B10)-1,0)</f>
        <v>5</v>
      </c>
      <c r="L22" s="18">
        <f ca="1">OFFSET('Game 117-1-N'!F6,MATCH(D22,'Game 117-1-N'!B6:B10)-1,0)</f>
        <v>0</v>
      </c>
      <c r="M22" s="16">
        <f ca="1">OFFSET('Game 126-2-A'!G6,MATCH(C22,'Game 126-2-A'!B6:B10)-1,0)</f>
        <v>0</v>
      </c>
      <c r="N22" s="18">
        <f ca="1">OFFSET('Game 117-1-N'!G6,MATCH(D22,'Game 117-1-N'!B6:B10)-1,0)</f>
        <v>0</v>
      </c>
      <c r="O22" s="16">
        <f ca="1">OFFSET('Game 126-2-A'!H6,MATCH(C22,'Game 126-2-A'!B6:B10)-1,0)</f>
        <v>7</v>
      </c>
      <c r="P22" s="17">
        <f ca="1">OFFSET('Game 117-1-N'!H6,MATCH(D22,'Game 117-1-N'!B6:B10)-1,0)</f>
        <v>18</v>
      </c>
      <c r="Q22" s="9">
        <f ca="1">OFFSET('Game 126-2-A'!I6,MATCH(C22,'Game 126-2-A'!B6:B10)-1,0)</f>
        <v>9</v>
      </c>
      <c r="R22" s="18">
        <f ca="1">OFFSET('Game 117-1-N'!I6,MATCH(D22,'Game 117-1-N'!B6:B10)-1,0)</f>
        <v>4</v>
      </c>
      <c r="S22" s="16">
        <f ca="1">OFFSET('Game 126-2-A'!J6,MATCH(C22,'Game 126-2-A'!B6:B10)-1,0)</f>
        <v>9</v>
      </c>
      <c r="T22" s="18">
        <f ca="1">OFFSET('Game 117-1-N'!J6,MATCH(D22,'Game 117-1-N'!B6:B10)-1,0)</f>
        <v>4</v>
      </c>
      <c r="U22" s="16">
        <f ca="1">OFFSET('Game 126-2-A'!K6,MATCH(C22,'Game 126-2-A'!B6:B10)-1,0)</f>
        <v>4</v>
      </c>
      <c r="V22" s="17">
        <f ca="1">OFFSET('Game 117-1-N'!K6,MATCH(D22,'Game 117-1-N'!B6:B10)-1,0)</f>
        <v>3</v>
      </c>
      <c r="W22" s="9">
        <f ca="1">OFFSET('Game 126-2-A'!L6,MATCH(C22,'Game 126-2-A'!B6:B10)-1,0)</f>
        <v>16</v>
      </c>
      <c r="X22" s="18">
        <f ca="1">OFFSET('Game 117-1-N'!L6,MATCH(D22,'Game 117-1-N'!B6:B10)-1,0)</f>
        <v>29</v>
      </c>
      <c r="Y22" s="16">
        <f ca="1">OFFSET('Game 126-2-A'!M6,MATCH(C22,'Game 126-2-A'!B6:B10)-1,0)</f>
        <v>3</v>
      </c>
      <c r="Z22" s="18">
        <f ca="1">OFFSET('Game 117-1-N'!M6,MATCH(D22,'Game 117-1-N'!B6:B10)-1,0)</f>
        <v>3</v>
      </c>
      <c r="AA22" s="16">
        <f ca="1">OFFSET('Game 126-2-A'!N6,MATCH(C22,'Game 126-2-A'!B6:B10)-1,0)</f>
        <v>10</v>
      </c>
      <c r="AB22" s="19">
        <f ca="1">OFFSET('Game 117-1-N'!N6,MATCH(D22,'Game 117-1-N'!B6:B10)-1,0)</f>
        <v>18</v>
      </c>
    </row>
    <row r="23" spans="1:28" ht="12.75">
      <c r="A23" s="8">
        <v>142</v>
      </c>
      <c r="B23" s="10" t="s">
        <v>18</v>
      </c>
      <c r="C23" s="9">
        <v>235</v>
      </c>
      <c r="D23" s="11">
        <v>164</v>
      </c>
      <c r="E23" s="16">
        <v>124</v>
      </c>
      <c r="F23" s="17">
        <v>113</v>
      </c>
      <c r="G23" s="9">
        <f ca="1">OFFSET('Game 124-2-A'!D6,MATCH(C23,'Game 124-2-A'!B6:B10)-1,0)</f>
        <v>4</v>
      </c>
      <c r="H23" s="17">
        <f ca="1">OFFSET('Game 113-1-N'!D6,MATCH(D23,'Game 113-1-N'!B6:B10)-1,0)</f>
        <v>0</v>
      </c>
      <c r="I23" s="9">
        <f ca="1">OFFSET('Game 124-2-A'!E6,MATCH(C23,'Game 124-2-A'!B6:B10)-1,0)</f>
        <v>0</v>
      </c>
      <c r="J23" s="18">
        <f ca="1">OFFSET('Game 113-1-N'!E6,MATCH(D23,'Game 113-1-N'!B6:B10)-1,0)</f>
        <v>3</v>
      </c>
      <c r="K23" s="16">
        <f ca="1">OFFSET('Game 124-2-A'!F6,MATCH(C23,'Game 124-2-A'!B6:B10)-1,0)</f>
        <v>4</v>
      </c>
      <c r="L23" s="18">
        <f ca="1">OFFSET('Game 113-1-N'!F6,MATCH(D23,'Game 113-1-N'!B6:B10)-1,0)</f>
        <v>6</v>
      </c>
      <c r="M23" s="16">
        <f ca="1">OFFSET('Game 124-2-A'!G6,MATCH(C23,'Game 124-2-A'!B6:B10)-1,0)</f>
        <v>0</v>
      </c>
      <c r="N23" s="18">
        <f ca="1">OFFSET('Game 113-1-N'!G6,MATCH(D23,'Game 113-1-N'!B6:B10)-1,0)</f>
        <v>0</v>
      </c>
      <c r="O23" s="16">
        <f ca="1">OFFSET('Game 124-2-A'!H6,MATCH(C23,'Game 124-2-A'!B6:B10)-1,0)</f>
        <v>4</v>
      </c>
      <c r="P23" s="17">
        <f ca="1">OFFSET('Game 113-1-N'!H6,MATCH(D23,'Game 113-1-N'!B6:B10)-1,0)</f>
        <v>9</v>
      </c>
      <c r="Q23" s="9">
        <f ca="1">OFFSET('Game 124-2-A'!I6,MATCH(C23,'Game 124-2-A'!B6:B10)-1,0)</f>
        <v>13</v>
      </c>
      <c r="R23" s="18">
        <f ca="1">OFFSET('Game 113-1-N'!I6,MATCH(D23,'Game 113-1-N'!B6:B10)-1,0)</f>
        <v>14</v>
      </c>
      <c r="S23" s="16">
        <f ca="1">OFFSET('Game 124-2-A'!J6,MATCH(C23,'Game 124-2-A'!B6:B10)-1,0)</f>
        <v>5</v>
      </c>
      <c r="T23" s="18">
        <f ca="1">OFFSET('Game 113-1-N'!J6,MATCH(D23,'Game 113-1-N'!B6:B10)-1,0)</f>
        <v>7</v>
      </c>
      <c r="U23" s="16">
        <f ca="1">OFFSET('Game 124-2-A'!K6,MATCH(C23,'Game 124-2-A'!B6:B10)-1,0)</f>
        <v>6</v>
      </c>
      <c r="V23" s="17">
        <f ca="1">OFFSET('Game 113-1-N'!K6,MATCH(D23,'Game 113-1-N'!B6:B10)-1,0)</f>
        <v>8</v>
      </c>
      <c r="W23" s="9">
        <f ca="1">OFFSET('Game 124-2-A'!L6,MATCH(C23,'Game 124-2-A'!B6:B10)-1,0)</f>
        <v>1</v>
      </c>
      <c r="X23" s="18">
        <f ca="1">OFFSET('Game 113-1-N'!L6,MATCH(D23,'Game 113-1-N'!B6:B10)-1,0)</f>
        <v>1</v>
      </c>
      <c r="Y23" s="16">
        <f ca="1">OFFSET('Game 124-2-A'!M6,MATCH(C23,'Game 124-2-A'!B6:B10)-1,0)</f>
        <v>2</v>
      </c>
      <c r="Z23" s="18">
        <f ca="1">OFFSET('Game 113-1-N'!M6,MATCH(D23,'Game 113-1-N'!B6:B10)-1,0)</f>
        <v>0</v>
      </c>
      <c r="AA23" s="16">
        <f ca="1">OFFSET('Game 124-2-A'!N6,MATCH(C23,'Game 124-2-A'!B6:B10)-1,0)</f>
        <v>1</v>
      </c>
      <c r="AB23" s="19">
        <f ca="1">OFFSET('Game 113-1-N'!N6,MATCH(D23,'Game 113-1-N'!B6:B10)-1,0)</f>
        <v>1</v>
      </c>
    </row>
    <row r="24" spans="1:28" ht="12.75">
      <c r="A24" s="8">
        <v>143</v>
      </c>
      <c r="B24" s="10" t="s">
        <v>18</v>
      </c>
      <c r="C24" s="9">
        <v>229</v>
      </c>
      <c r="D24" s="11">
        <v>176</v>
      </c>
      <c r="E24" s="16">
        <v>123</v>
      </c>
      <c r="F24" s="17">
        <v>115</v>
      </c>
      <c r="G24" s="9">
        <f ca="1">OFFSET('Game 123-2-A'!D6,MATCH(C24,'Game 123-2-A'!B6:B10)-1,0)</f>
        <v>5</v>
      </c>
      <c r="H24" s="17">
        <f ca="1">OFFSET('Game 115-1-N'!D6,MATCH(D24,'Game 115-1-N'!B6:B10)-1,0)</f>
        <v>0</v>
      </c>
      <c r="I24" s="9">
        <f ca="1">OFFSET('Game 123-2-A'!E6,MATCH(C24,'Game 123-2-A'!B6:B10)-1,0)</f>
        <v>6</v>
      </c>
      <c r="J24" s="18">
        <f ca="1">OFFSET('Game 115-1-N'!E6,MATCH(D24,'Game 115-1-N'!B6:B10)-1,0)</f>
        <v>0</v>
      </c>
      <c r="K24" s="16">
        <f ca="1">OFFSET('Game 123-2-A'!F6,MATCH(C24,'Game 123-2-A'!B6:B10)-1,0)</f>
        <v>4</v>
      </c>
      <c r="L24" s="18">
        <f ca="1">OFFSET('Game 115-1-N'!F6,MATCH(D24,'Game 115-1-N'!B6:B10)-1,0)</f>
        <v>4</v>
      </c>
      <c r="M24" s="16">
        <f ca="1">OFFSET('Game 123-2-A'!G6,MATCH(C24,'Game 123-2-A'!B6:B10)-1,0)</f>
        <v>0</v>
      </c>
      <c r="N24" s="18">
        <f ca="1">OFFSET('Game 115-1-N'!G6,MATCH(D24,'Game 115-1-N'!B6:B10)-1,0)</f>
        <v>0</v>
      </c>
      <c r="O24" s="16">
        <f ca="1">OFFSET('Game 123-2-A'!H6,MATCH(C24,'Game 123-2-A'!B6:B10)-1,0)</f>
        <v>10</v>
      </c>
      <c r="P24" s="17">
        <f ca="1">OFFSET('Game 115-1-N'!H6,MATCH(D24,'Game 115-1-N'!B6:B10)-1,0)</f>
        <v>4</v>
      </c>
      <c r="Q24" s="9">
        <f ca="1">OFFSET('Game 123-2-A'!I6,MATCH(C24,'Game 123-2-A'!B6:B10)-1,0)</f>
        <v>4</v>
      </c>
      <c r="R24" s="18">
        <f ca="1">OFFSET('Game 115-1-N'!I6,MATCH(D24,'Game 115-1-N'!B6:B10)-1,0)</f>
        <v>2</v>
      </c>
      <c r="S24" s="16">
        <f ca="1">OFFSET('Game 123-2-A'!J6,MATCH(C24,'Game 123-2-A'!B6:B10)-1,0)</f>
        <v>5</v>
      </c>
      <c r="T24" s="18">
        <f ca="1">OFFSET('Game 115-1-N'!J6,MATCH(D24,'Game 115-1-N'!B6:B10)-1,0)</f>
        <v>3</v>
      </c>
      <c r="U24" s="16">
        <f ca="1">OFFSET('Game 123-2-A'!K6,MATCH(C24,'Game 123-2-A'!B6:B10)-1,0)</f>
        <v>3</v>
      </c>
      <c r="V24" s="17">
        <f ca="1">OFFSET('Game 115-1-N'!K6,MATCH(D24,'Game 115-1-N'!B6:B10)-1,0)</f>
        <v>2</v>
      </c>
      <c r="W24" s="9">
        <f ca="1">OFFSET('Game 123-2-A'!L6,MATCH(C24,'Game 123-2-A'!B6:B10)-1,0)</f>
        <v>5</v>
      </c>
      <c r="X24" s="18">
        <f ca="1">OFFSET('Game 115-1-N'!L6,MATCH(D24,'Game 115-1-N'!B6:B10)-1,0)</f>
        <v>6</v>
      </c>
      <c r="Y24" s="16">
        <f ca="1">OFFSET('Game 123-2-A'!M6,MATCH(C24,'Game 123-2-A'!B6:B10)-1,0)</f>
        <v>1</v>
      </c>
      <c r="Z24" s="18">
        <f ca="1">OFFSET('Game 115-1-N'!M6,MATCH(D24,'Game 115-1-N'!B6:B10)-1,0)</f>
        <v>0</v>
      </c>
      <c r="AA24" s="16">
        <f ca="1">OFFSET('Game 123-2-A'!N6,MATCH(C24,'Game 123-2-A'!B6:B10)-1,0)</f>
        <v>5</v>
      </c>
      <c r="AB24" s="19">
        <f ca="1">OFFSET('Game 115-1-N'!N6,MATCH(D24,'Game 115-1-N'!B6:B10)-1,0)</f>
        <v>4</v>
      </c>
    </row>
    <row r="25" spans="1:28" ht="12.75">
      <c r="A25" s="8">
        <v>144</v>
      </c>
      <c r="B25" s="10" t="s">
        <v>18</v>
      </c>
      <c r="C25" s="9">
        <v>232</v>
      </c>
      <c r="D25" s="11">
        <v>179</v>
      </c>
      <c r="E25" s="16">
        <v>124</v>
      </c>
      <c r="F25" s="17">
        <v>116</v>
      </c>
      <c r="G25" s="9">
        <f ca="1">OFFSET('Game 124-2-A'!D6,MATCH(C25,'Game 124-2-A'!B6:B10)-1,0)</f>
        <v>3</v>
      </c>
      <c r="H25" s="17">
        <f ca="1">OFFSET('Game 116-1-N'!D6,MATCH(D25,'Game 116-1-N'!B6:B10)-1,0)</f>
        <v>0</v>
      </c>
      <c r="I25" s="9">
        <f ca="1">OFFSET('Game 124-2-A'!E6,MATCH(C25,'Game 124-2-A'!B6:B10)-1,0)</f>
        <v>0</v>
      </c>
      <c r="J25" s="18">
        <f ca="1">OFFSET('Game 116-1-N'!E6,MATCH(D25,'Game 116-1-N'!B6:B10)-1,0)</f>
        <v>3</v>
      </c>
      <c r="K25" s="16">
        <f ca="1">OFFSET('Game 124-2-A'!F6,MATCH(C25,'Game 124-2-A'!B6:B10)-1,0)</f>
        <v>2</v>
      </c>
      <c r="L25" s="18">
        <f ca="1">OFFSET('Game 116-1-N'!F6,MATCH(D25,'Game 116-1-N'!B6:B10)-1,0)</f>
        <v>0</v>
      </c>
      <c r="M25" s="16">
        <f ca="1">OFFSET('Game 124-2-A'!G6,MATCH(C25,'Game 124-2-A'!B6:B10)-1,0)</f>
        <v>0</v>
      </c>
      <c r="N25" s="18">
        <f ca="1">OFFSET('Game 116-1-N'!G6,MATCH(D25,'Game 116-1-N'!B6:B10)-1,0)</f>
        <v>0</v>
      </c>
      <c r="O25" s="16">
        <f ca="1">OFFSET('Game 124-2-A'!H6,MATCH(C25,'Game 124-2-A'!B6:B10)-1,0)</f>
        <v>2</v>
      </c>
      <c r="P25" s="17">
        <f ca="1">OFFSET('Game 116-1-N'!H6,MATCH(D25,'Game 116-1-N'!B6:B10)-1,0)</f>
        <v>3</v>
      </c>
      <c r="Q25" s="9">
        <f ca="1">OFFSET('Game 124-2-A'!I6,MATCH(C25,'Game 124-2-A'!B6:B10)-1,0)</f>
        <v>3</v>
      </c>
      <c r="R25" s="18">
        <f ca="1">OFFSET('Game 116-1-N'!I6,MATCH(D25,'Game 116-1-N'!B6:B10)-1,0)</f>
        <v>1</v>
      </c>
      <c r="S25" s="16">
        <f ca="1">OFFSET('Game 124-2-A'!J6,MATCH(C25,'Game 124-2-A'!B6:B10)-1,0)</f>
        <v>2</v>
      </c>
      <c r="T25" s="18">
        <f ca="1">OFFSET('Game 116-1-N'!J6,MATCH(D25,'Game 116-1-N'!B6:B10)-1,0)</f>
        <v>1</v>
      </c>
      <c r="U25" s="16">
        <f ca="1">OFFSET('Game 124-2-A'!K6,MATCH(C25,'Game 124-2-A'!B6:B10)-1,0)</f>
        <v>3</v>
      </c>
      <c r="V25" s="17">
        <f ca="1">OFFSET('Game 116-1-N'!K6,MATCH(D25,'Game 116-1-N'!B6:B10)-1,0)</f>
        <v>0</v>
      </c>
      <c r="W25" s="9">
        <f ca="1">OFFSET('Game 124-2-A'!L6,MATCH(C25,'Game 124-2-A'!B6:B10)-1,0)</f>
        <v>4</v>
      </c>
      <c r="X25" s="18">
        <f ca="1">OFFSET('Game 116-1-N'!L6,MATCH(D25,'Game 116-1-N'!B6:B10)-1,0)</f>
        <v>5</v>
      </c>
      <c r="Y25" s="16">
        <f ca="1">OFFSET('Game 124-2-A'!M6,MATCH(C25,'Game 124-2-A'!B6:B10)-1,0)</f>
        <v>0</v>
      </c>
      <c r="Z25" s="18">
        <f ca="1">OFFSET('Game 116-1-N'!M6,MATCH(D25,'Game 116-1-N'!B6:B10)-1,0)</f>
        <v>0</v>
      </c>
      <c r="AA25" s="16">
        <f ca="1">OFFSET('Game 124-2-A'!N6,MATCH(C25,'Game 124-2-A'!B6:B10)-1,0)</f>
        <v>3</v>
      </c>
      <c r="AB25" s="19">
        <f ca="1">OFFSET('Game 116-1-N'!N6,MATCH(D25,'Game 116-1-N'!B6:B10)-1,0)</f>
        <v>2</v>
      </c>
    </row>
    <row r="26" spans="1:28" ht="12.75">
      <c r="A26" s="8">
        <v>146</v>
      </c>
      <c r="B26" s="10" t="s">
        <v>18</v>
      </c>
      <c r="C26" s="9">
        <v>226</v>
      </c>
      <c r="D26" s="11">
        <v>185</v>
      </c>
      <c r="E26" s="16">
        <v>123</v>
      </c>
      <c r="F26" s="17">
        <v>117</v>
      </c>
      <c r="G26" s="9">
        <f ca="1">OFFSET('Game 123-2-A'!D6,MATCH(C26,'Game 123-2-A'!B6:B10)-1,0)</f>
        <v>9</v>
      </c>
      <c r="H26" s="17">
        <f ca="1">OFFSET('Game 117-1-N'!D6,MATCH(D26,'Game 117-1-N'!B6:B10)-1,0)</f>
        <v>0</v>
      </c>
      <c r="I26" s="9">
        <f ca="1">OFFSET('Game 123-2-A'!E6,MATCH(C26,'Game 123-2-A'!B6:B10)-1,0)</f>
        <v>0</v>
      </c>
      <c r="J26" s="18">
        <f ca="1">OFFSET('Game 117-1-N'!E6,MATCH(D26,'Game 117-1-N'!B6:B10)-1,0)</f>
        <v>1</v>
      </c>
      <c r="K26" s="16">
        <f ca="1">OFFSET('Game 123-2-A'!F6,MATCH(C26,'Game 123-2-A'!B6:B10)-1,0)</f>
        <v>1</v>
      </c>
      <c r="L26" s="18">
        <f ca="1">OFFSET('Game 117-1-N'!F6,MATCH(D26,'Game 117-1-N'!B6:B10)-1,0)</f>
        <v>7</v>
      </c>
      <c r="M26" s="16">
        <f ca="1">OFFSET('Game 123-2-A'!G6,MATCH(C26,'Game 123-2-A'!B6:B10)-1,0)</f>
        <v>0</v>
      </c>
      <c r="N26" s="18">
        <f ca="1">OFFSET('Game 117-1-N'!G6,MATCH(D26,'Game 117-1-N'!B6:B10)-1,0)</f>
        <v>0</v>
      </c>
      <c r="O26" s="16">
        <f ca="1">OFFSET('Game 123-2-A'!H6,MATCH(C26,'Game 123-2-A'!B6:B10)-1,0)</f>
        <v>1</v>
      </c>
      <c r="P26" s="17">
        <f ca="1">OFFSET('Game 117-1-N'!H6,MATCH(D26,'Game 117-1-N'!B6:B10)-1,0)</f>
        <v>8</v>
      </c>
      <c r="Q26" s="9">
        <f ca="1">OFFSET('Game 123-2-A'!I6,MATCH(C26,'Game 123-2-A'!B6:B10)-1,0)</f>
        <v>4</v>
      </c>
      <c r="R26" s="18">
        <f ca="1">OFFSET('Game 117-1-N'!I6,MATCH(D26,'Game 117-1-N'!B6:B10)-1,0)</f>
        <v>15</v>
      </c>
      <c r="S26" s="16">
        <f ca="1">OFFSET('Game 123-2-A'!J6,MATCH(C26,'Game 123-2-A'!B6:B10)-1,0)</f>
        <v>9</v>
      </c>
      <c r="T26" s="18">
        <f ca="1">OFFSET('Game 117-1-N'!J6,MATCH(D26,'Game 117-1-N'!B6:B10)-1,0)</f>
        <v>7</v>
      </c>
      <c r="U26" s="16">
        <f ca="1">OFFSET('Game 123-2-A'!K6,MATCH(C26,'Game 123-2-A'!B6:B10)-1,0)</f>
        <v>1</v>
      </c>
      <c r="V26" s="17">
        <f ca="1">OFFSET('Game 117-1-N'!K6,MATCH(D26,'Game 117-1-N'!B6:B10)-1,0)</f>
        <v>2</v>
      </c>
      <c r="W26" s="9">
        <f ca="1">OFFSET('Game 123-2-A'!L6,MATCH(C26,'Game 123-2-A'!B6:B10)-1,0)</f>
        <v>4</v>
      </c>
      <c r="X26" s="18">
        <f ca="1">OFFSET('Game 117-1-N'!L6,MATCH(D26,'Game 117-1-N'!B6:B10)-1,0)</f>
        <v>3</v>
      </c>
      <c r="Y26" s="16">
        <f ca="1">OFFSET('Game 123-2-A'!M6,MATCH(C26,'Game 123-2-A'!B6:B10)-1,0)</f>
        <v>4</v>
      </c>
      <c r="Z26" s="18">
        <f ca="1">OFFSET('Game 117-1-N'!M6,MATCH(D26,'Game 117-1-N'!B6:B10)-1,0)</f>
        <v>0</v>
      </c>
      <c r="AA26" s="16">
        <f ca="1">OFFSET('Game 123-2-A'!N6,MATCH(C26,'Game 123-2-A'!B6:B10)-1,0)</f>
        <v>4</v>
      </c>
      <c r="AB26" s="19">
        <f ca="1">OFFSET('Game 117-1-N'!N6,MATCH(D26,'Game 117-1-N'!B6:B10)-1,0)</f>
        <v>2</v>
      </c>
    </row>
    <row r="27" spans="1:28" ht="12.75">
      <c r="A27" s="8">
        <v>147</v>
      </c>
      <c r="B27" s="10" t="s">
        <v>18</v>
      </c>
      <c r="C27" s="9">
        <v>244</v>
      </c>
      <c r="D27" s="11">
        <v>180</v>
      </c>
      <c r="E27" s="16">
        <v>126</v>
      </c>
      <c r="F27" s="17">
        <v>116</v>
      </c>
      <c r="G27" s="9">
        <f ca="1">OFFSET('Game 126-2-A'!D6,MATCH(C27,'Game 126-2-A'!B6:B10)-1,0)</f>
        <v>12</v>
      </c>
      <c r="H27" s="17">
        <f ca="1">OFFSET('Game 116-1-N'!D6,MATCH(D27,'Game 116-1-N'!B6:B10)-1,0)</f>
        <v>0</v>
      </c>
      <c r="I27" s="9">
        <f ca="1">OFFSET('Game 126-2-A'!E6,MATCH(C27,'Game 126-2-A'!B6:B10)-1,0)</f>
        <v>0</v>
      </c>
      <c r="J27" s="18">
        <f ca="1">OFFSET('Game 116-1-N'!E6,MATCH(D27,'Game 116-1-N'!B6:B10)-1,0)</f>
        <v>1</v>
      </c>
      <c r="K27" s="16">
        <f ca="1">OFFSET('Game 126-2-A'!F6,MATCH(C27,'Game 126-2-A'!B6:B10)-1,0)</f>
        <v>8</v>
      </c>
      <c r="L27" s="18">
        <f ca="1">OFFSET('Game 116-1-N'!F6,MATCH(D27,'Game 116-1-N'!B6:B10)-1,0)</f>
        <v>8</v>
      </c>
      <c r="M27" s="16">
        <f ca="1">OFFSET('Game 126-2-A'!G6,MATCH(C27,'Game 126-2-A'!B6:B10)-1,0)</f>
        <v>0</v>
      </c>
      <c r="N27" s="18">
        <f ca="1">OFFSET('Game 116-1-N'!G6,MATCH(D27,'Game 116-1-N'!B6:B10)-1,0)</f>
        <v>0</v>
      </c>
      <c r="O27" s="16">
        <f ca="1">OFFSET('Game 126-2-A'!H6,MATCH(C27,'Game 126-2-A'!B6:B10)-1,0)</f>
        <v>8</v>
      </c>
      <c r="P27" s="17">
        <f ca="1">OFFSET('Game 116-1-N'!H6,MATCH(D27,'Game 116-1-N'!B6:B10)-1,0)</f>
        <v>9</v>
      </c>
      <c r="Q27" s="9">
        <f ca="1">OFFSET('Game 126-2-A'!I6,MATCH(C27,'Game 126-2-A'!B6:B10)-1,0)</f>
        <v>8</v>
      </c>
      <c r="R27" s="18">
        <f ca="1">OFFSET('Game 116-1-N'!I6,MATCH(D27,'Game 116-1-N'!B6:B10)-1,0)</f>
        <v>5</v>
      </c>
      <c r="S27" s="16">
        <f ca="1">OFFSET('Game 126-2-A'!J6,MATCH(C27,'Game 126-2-A'!B6:B10)-1,0)</f>
        <v>3</v>
      </c>
      <c r="T27" s="18">
        <f ca="1">OFFSET('Game 116-1-N'!J6,MATCH(D27,'Game 116-1-N'!B6:B10)-1,0)</f>
        <v>1</v>
      </c>
      <c r="U27" s="16">
        <f ca="1">OFFSET('Game 126-2-A'!K6,MATCH(C27,'Game 126-2-A'!B6:B10)-1,0)</f>
        <v>4</v>
      </c>
      <c r="V27" s="17">
        <f ca="1">OFFSET('Game 116-1-N'!K6,MATCH(D27,'Game 116-1-N'!B6:B10)-1,0)</f>
        <v>4</v>
      </c>
      <c r="W27" s="9">
        <f ca="1">OFFSET('Game 126-2-A'!L6,MATCH(C27,'Game 126-2-A'!B6:B10)-1,0)</f>
        <v>2</v>
      </c>
      <c r="X27" s="18">
        <f ca="1">OFFSET('Game 116-1-N'!L6,MATCH(D27,'Game 116-1-N'!B6:B10)-1,0)</f>
        <v>11</v>
      </c>
      <c r="Y27" s="16">
        <f ca="1">OFFSET('Game 126-2-A'!M6,MATCH(C27,'Game 126-2-A'!B6:B10)-1,0)</f>
        <v>0</v>
      </c>
      <c r="Z27" s="18">
        <f ca="1">OFFSET('Game 116-1-N'!M6,MATCH(D27,'Game 116-1-N'!B6:B10)-1,0)</f>
        <v>0</v>
      </c>
      <c r="AA27" s="16">
        <f ca="1">OFFSET('Game 126-2-A'!N6,MATCH(C27,'Game 126-2-A'!B6:B10)-1,0)</f>
        <v>1</v>
      </c>
      <c r="AB27" s="19">
        <f ca="1">OFFSET('Game 116-1-N'!N6,MATCH(D27,'Game 116-1-N'!B6:B10)-1,0)</f>
        <v>7</v>
      </c>
    </row>
    <row r="28" spans="1:28" ht="12.75">
      <c r="A28" s="8">
        <v>148</v>
      </c>
      <c r="B28" s="10" t="s">
        <v>18</v>
      </c>
      <c r="C28" s="9">
        <v>227</v>
      </c>
      <c r="D28" s="11">
        <v>173</v>
      </c>
      <c r="E28" s="16">
        <v>123</v>
      </c>
      <c r="F28" s="17">
        <v>115</v>
      </c>
      <c r="G28" s="9">
        <f ca="1">OFFSET('Game 123-2-A'!D6,MATCH(C28,'Game 123-2-A'!B6:B10)-1,0)</f>
        <v>12</v>
      </c>
      <c r="H28" s="17">
        <f ca="1">OFFSET('Game 115-1-N'!D6,MATCH(D28,'Game 115-1-N'!B6:B10)-1,0)</f>
        <v>0</v>
      </c>
      <c r="I28" s="9">
        <f ca="1">OFFSET('Game 123-2-A'!E6,MATCH(C28,'Game 123-2-A'!B6:B10)-1,0)</f>
        <v>0</v>
      </c>
      <c r="J28" s="18">
        <f ca="1">OFFSET('Game 115-1-N'!E6,MATCH(D28,'Game 115-1-N'!B6:B10)-1,0)</f>
        <v>1</v>
      </c>
      <c r="K28" s="16">
        <f ca="1">OFFSET('Game 123-2-A'!F6,MATCH(C28,'Game 123-2-A'!B6:B10)-1,0)</f>
        <v>0</v>
      </c>
      <c r="L28" s="18">
        <f ca="1">OFFSET('Game 115-1-N'!F6,MATCH(D28,'Game 115-1-N'!B6:B10)-1,0)</f>
        <v>0</v>
      </c>
      <c r="M28" s="16">
        <f ca="1">OFFSET('Game 123-2-A'!G6,MATCH(C28,'Game 123-2-A'!B6:B10)-1,0)</f>
        <v>0</v>
      </c>
      <c r="N28" s="18">
        <f ca="1">OFFSET('Game 115-1-N'!G6,MATCH(D28,'Game 115-1-N'!B6:B10)-1,0)</f>
        <v>0</v>
      </c>
      <c r="O28" s="16">
        <f ca="1">OFFSET('Game 123-2-A'!H6,MATCH(C28,'Game 123-2-A'!B6:B10)-1,0)</f>
        <v>0</v>
      </c>
      <c r="P28" s="17">
        <f ca="1">OFFSET('Game 115-1-N'!H6,MATCH(D28,'Game 115-1-N'!B6:B10)-1,0)</f>
        <v>1</v>
      </c>
      <c r="Q28" s="9">
        <f ca="1">OFFSET('Game 123-2-A'!I6,MATCH(C28,'Game 123-2-A'!B6:B10)-1,0)</f>
        <v>0</v>
      </c>
      <c r="R28" s="18">
        <f ca="1">OFFSET('Game 115-1-N'!I6,MATCH(D28,'Game 115-1-N'!B6:B10)-1,0)</f>
        <v>0</v>
      </c>
      <c r="S28" s="16">
        <f ca="1">OFFSET('Game 123-2-A'!J6,MATCH(C28,'Game 123-2-A'!B6:B10)-1,0)</f>
        <v>8</v>
      </c>
      <c r="T28" s="18">
        <f ca="1">OFFSET('Game 115-1-N'!J6,MATCH(D28,'Game 115-1-N'!B6:B10)-1,0)</f>
        <v>2</v>
      </c>
      <c r="U28" s="16">
        <f ca="1">OFFSET('Game 123-2-A'!K6,MATCH(C28,'Game 123-2-A'!B6:B10)-1,0)</f>
        <v>0</v>
      </c>
      <c r="V28" s="17">
        <f ca="1">OFFSET('Game 115-1-N'!K6,MATCH(D28,'Game 115-1-N'!B6:B10)-1,0)</f>
        <v>0</v>
      </c>
      <c r="W28" s="9">
        <f ca="1">OFFSET('Game 123-2-A'!L6,MATCH(C28,'Game 123-2-A'!B6:B10)-1,0)</f>
        <v>5</v>
      </c>
      <c r="X28" s="18">
        <f ca="1">OFFSET('Game 115-1-N'!L6,MATCH(D28,'Game 115-1-N'!B6:B10)-1,0)</f>
        <v>2</v>
      </c>
      <c r="Y28" s="16">
        <f ca="1">OFFSET('Game 123-2-A'!M6,MATCH(C28,'Game 123-2-A'!B6:B10)-1,0)</f>
        <v>1</v>
      </c>
      <c r="Z28" s="18">
        <f ca="1">OFFSET('Game 115-1-N'!M6,MATCH(D28,'Game 115-1-N'!B6:B10)-1,0)</f>
        <v>0</v>
      </c>
      <c r="AA28" s="16">
        <f ca="1">OFFSET('Game 123-2-A'!N6,MATCH(C28,'Game 123-2-A'!B6:B10)-1,0)</f>
        <v>2</v>
      </c>
      <c r="AB28" s="19">
        <f ca="1">OFFSET('Game 115-1-N'!N6,MATCH(D28,'Game 115-1-N'!B6:B10)-1,0)</f>
        <v>1</v>
      </c>
    </row>
    <row r="29" spans="1:28" ht="12.75">
      <c r="A29" s="8">
        <v>149</v>
      </c>
      <c r="B29" s="10" t="s">
        <v>18</v>
      </c>
      <c r="C29" s="9">
        <v>245</v>
      </c>
      <c r="D29" s="11">
        <v>168</v>
      </c>
      <c r="E29" s="16">
        <v>126</v>
      </c>
      <c r="F29" s="17">
        <v>114</v>
      </c>
      <c r="G29" s="9">
        <f ca="1">OFFSET('Game 126-2-A'!D6,MATCH(C29,'Game 126-2-A'!B6:B10)-1,0)</f>
        <v>4</v>
      </c>
      <c r="H29" s="17">
        <f ca="1">OFFSET('Game 114-1-N'!D6,MATCH(D29,'Game 114-1-N'!B6:B10)-1,0)</f>
        <v>0</v>
      </c>
      <c r="I29" s="9">
        <f ca="1">OFFSET('Game 126-2-A'!E6,MATCH(C29,'Game 126-2-A'!B6:B10)-1,0)</f>
        <v>1</v>
      </c>
      <c r="J29" s="18">
        <f ca="1">OFFSET('Game 114-1-N'!E6,MATCH(D29,'Game 114-1-N'!B6:B10)-1,0)</f>
        <v>5</v>
      </c>
      <c r="K29" s="16">
        <f ca="1">OFFSET('Game 126-2-A'!F6,MATCH(C29,'Game 126-2-A'!B6:B10)-1,0)</f>
        <v>4</v>
      </c>
      <c r="L29" s="18">
        <f ca="1">OFFSET('Game 114-1-N'!F6,MATCH(D29,'Game 114-1-N'!B6:B10)-1,0)</f>
        <v>0</v>
      </c>
      <c r="M29" s="16">
        <f ca="1">OFFSET('Game 126-2-A'!G6,MATCH(C29,'Game 126-2-A'!B6:B10)-1,0)</f>
        <v>0</v>
      </c>
      <c r="N29" s="18">
        <f ca="1">OFFSET('Game 114-1-N'!G6,MATCH(D29,'Game 114-1-N'!B6:B10)-1,0)</f>
        <v>0</v>
      </c>
      <c r="O29" s="16">
        <f ca="1">OFFSET('Game 126-2-A'!H6,MATCH(C29,'Game 126-2-A'!B6:B10)-1,0)</f>
        <v>5</v>
      </c>
      <c r="P29" s="17">
        <f ca="1">OFFSET('Game 114-1-N'!H6,MATCH(D29,'Game 114-1-N'!B6:B10)-1,0)</f>
        <v>5</v>
      </c>
      <c r="Q29" s="9">
        <f ca="1">OFFSET('Game 126-2-A'!I6,MATCH(C29,'Game 126-2-A'!B6:B10)-1,0)</f>
        <v>2</v>
      </c>
      <c r="R29" s="18">
        <f ca="1">OFFSET('Game 114-1-N'!I6,MATCH(D29,'Game 114-1-N'!B6:B10)-1,0)</f>
        <v>0</v>
      </c>
      <c r="S29" s="16">
        <f ca="1">OFFSET('Game 126-2-A'!J6,MATCH(C29,'Game 126-2-A'!B6:B10)-1,0)</f>
        <v>2</v>
      </c>
      <c r="T29" s="18">
        <f ca="1">OFFSET('Game 114-1-N'!J6,MATCH(D29,'Game 114-1-N'!B6:B10)-1,0)</f>
        <v>0</v>
      </c>
      <c r="U29" s="16">
        <f ca="1">OFFSET('Game 126-2-A'!K6,MATCH(C29,'Game 126-2-A'!B6:B10)-1,0)</f>
        <v>2</v>
      </c>
      <c r="V29" s="17">
        <f ca="1">OFFSET('Game 114-1-N'!K6,MATCH(D29,'Game 114-1-N'!B6:B10)-1,0)</f>
        <v>0</v>
      </c>
      <c r="W29" s="9">
        <f ca="1">OFFSET('Game 126-2-A'!L6,MATCH(C29,'Game 126-2-A'!B6:B10)-1,0)</f>
        <v>10</v>
      </c>
      <c r="X29" s="18">
        <f ca="1">OFFSET('Game 114-1-N'!L6,MATCH(D29,'Game 114-1-N'!B6:B10)-1,0)</f>
        <v>11</v>
      </c>
      <c r="Y29" s="16">
        <f ca="1">OFFSET('Game 126-2-A'!M6,MATCH(C29,'Game 126-2-A'!B6:B10)-1,0)</f>
        <v>0</v>
      </c>
      <c r="Z29" s="18">
        <f ca="1">OFFSET('Game 114-1-N'!M6,MATCH(D29,'Game 114-1-N'!B6:B10)-1,0)</f>
        <v>0</v>
      </c>
      <c r="AA29" s="16">
        <f ca="1">OFFSET('Game 126-2-A'!N6,MATCH(C29,'Game 126-2-A'!B6:B10)-1,0)</f>
        <v>9</v>
      </c>
      <c r="AB29" s="19">
        <f ca="1">OFFSET('Game 114-1-N'!N6,MATCH(D29,'Game 114-1-N'!B6:B10)-1,0)</f>
        <v>9</v>
      </c>
    </row>
    <row r="30" spans="1:28" ht="12.75">
      <c r="A30" s="8">
        <v>151</v>
      </c>
      <c r="B30" s="10" t="s">
        <v>18</v>
      </c>
      <c r="C30" s="9">
        <v>221</v>
      </c>
      <c r="D30" s="11">
        <v>175</v>
      </c>
      <c r="E30" s="16">
        <v>122</v>
      </c>
      <c r="F30" s="17">
        <v>115</v>
      </c>
      <c r="G30" s="9">
        <f ca="1">OFFSET('Game 122-2-A'!D6,MATCH(C30,'Game 122-2-A'!B6:B10)-1,0)</f>
        <v>1</v>
      </c>
      <c r="H30" s="17">
        <f ca="1">OFFSET('Game 115-1-N'!D6,MATCH(D30,'Game 115-1-N'!B6:B10)-1,0)</f>
        <v>0</v>
      </c>
      <c r="I30" s="9">
        <f ca="1">OFFSET('Game 122-2-A'!E6,MATCH(C30,'Game 122-2-A'!B6:B10)-1,0)</f>
        <v>7</v>
      </c>
      <c r="J30" s="18">
        <f ca="1">OFFSET('Game 115-1-N'!E6,MATCH(D30,'Game 115-1-N'!B6:B10)-1,0)</f>
        <v>3</v>
      </c>
      <c r="K30" s="16">
        <f ca="1">OFFSET('Game 122-2-A'!F6,MATCH(C30,'Game 122-2-A'!B6:B10)-1,0)</f>
        <v>0</v>
      </c>
      <c r="L30" s="18">
        <f ca="1">OFFSET('Game 115-1-N'!F6,MATCH(D30,'Game 115-1-N'!B6:B10)-1,0)</f>
        <v>0</v>
      </c>
      <c r="M30" s="16">
        <f ca="1">OFFSET('Game 122-2-A'!G6,MATCH(C30,'Game 122-2-A'!B6:B10)-1,0)</f>
        <v>0</v>
      </c>
      <c r="N30" s="18">
        <f ca="1">OFFSET('Game 115-1-N'!G6,MATCH(D30,'Game 115-1-N'!B6:B10)-1,0)</f>
        <v>0</v>
      </c>
      <c r="O30" s="16">
        <f ca="1">OFFSET('Game 122-2-A'!H6,MATCH(C30,'Game 122-2-A'!B6:B10)-1,0)</f>
        <v>7</v>
      </c>
      <c r="P30" s="17">
        <f ca="1">OFFSET('Game 115-1-N'!H6,MATCH(D30,'Game 115-1-N'!B6:B10)-1,0)</f>
        <v>3</v>
      </c>
      <c r="Q30" s="9">
        <f ca="1">OFFSET('Game 122-2-A'!I6,MATCH(C30,'Game 122-2-A'!B6:B10)-1,0)</f>
        <v>7</v>
      </c>
      <c r="R30" s="18">
        <f ca="1">OFFSET('Game 115-1-N'!I6,MATCH(D30,'Game 115-1-N'!B6:B10)-1,0)</f>
        <v>1</v>
      </c>
      <c r="S30" s="16">
        <f ca="1">OFFSET('Game 122-2-A'!J6,MATCH(C30,'Game 122-2-A'!B6:B10)-1,0)</f>
        <v>1</v>
      </c>
      <c r="T30" s="18">
        <f ca="1">OFFSET('Game 115-1-N'!J6,MATCH(D30,'Game 115-1-N'!B6:B10)-1,0)</f>
        <v>8</v>
      </c>
      <c r="U30" s="16">
        <f ca="1">OFFSET('Game 122-2-A'!K6,MATCH(C30,'Game 122-2-A'!B6:B10)-1,0)</f>
        <v>0</v>
      </c>
      <c r="V30" s="17">
        <f ca="1">OFFSET('Game 115-1-N'!K6,MATCH(D30,'Game 115-1-N'!B6:B10)-1,0)</f>
        <v>0</v>
      </c>
      <c r="W30" s="9">
        <f ca="1">OFFSET('Game 122-2-A'!L6,MATCH(C30,'Game 122-2-A'!B6:B10)-1,0)</f>
        <v>8</v>
      </c>
      <c r="X30" s="18">
        <f ca="1">OFFSET('Game 115-1-N'!L6,MATCH(D30,'Game 115-1-N'!B6:B10)-1,0)</f>
        <v>4</v>
      </c>
      <c r="Y30" s="16">
        <f ca="1">OFFSET('Game 122-2-A'!M6,MATCH(C30,'Game 122-2-A'!B6:B10)-1,0)</f>
        <v>0</v>
      </c>
      <c r="Z30" s="18">
        <f ca="1">OFFSET('Game 115-1-N'!M6,MATCH(D30,'Game 115-1-N'!B6:B10)-1,0)</f>
        <v>0</v>
      </c>
      <c r="AA30" s="16">
        <f ca="1">OFFSET('Game 122-2-A'!N6,MATCH(C30,'Game 122-2-A'!B6:B10)-1,0)</f>
        <v>7</v>
      </c>
      <c r="AB30" s="19">
        <f ca="1">OFFSET('Game 115-1-N'!N6,MATCH(D30,'Game 115-1-N'!B6:B10)-1,0)</f>
        <v>2</v>
      </c>
    </row>
    <row r="31" spans="1:28" ht="12.75">
      <c r="A31" s="8">
        <v>152</v>
      </c>
      <c r="B31" s="10" t="s">
        <v>18</v>
      </c>
      <c r="C31" s="9">
        <v>223</v>
      </c>
      <c r="D31" s="11">
        <v>169</v>
      </c>
      <c r="E31" s="16">
        <v>122</v>
      </c>
      <c r="F31" s="17">
        <v>114</v>
      </c>
      <c r="G31" s="9">
        <f ca="1">OFFSET('Game 122-2-A'!D6,MATCH(C31,'Game 122-2-A'!B6:B10)-1,0)</f>
        <v>8</v>
      </c>
      <c r="H31" s="17">
        <f ca="1">OFFSET('Game 114-1-N'!D6,MATCH(D31,'Game 114-1-N'!B6:B10)-1,0)</f>
        <v>0</v>
      </c>
      <c r="I31" s="9">
        <f ca="1">OFFSET('Game 122-2-A'!E6,MATCH(C31,'Game 122-2-A'!B6:B10)-1,0)</f>
        <v>3</v>
      </c>
      <c r="J31" s="18">
        <f ca="1">OFFSET('Game 114-1-N'!E6,MATCH(D31,'Game 114-1-N'!B6:B10)-1,0)</f>
        <v>23</v>
      </c>
      <c r="K31" s="16">
        <f ca="1">OFFSET('Game 122-2-A'!F6,MATCH(C31,'Game 122-2-A'!B6:B10)-1,0)</f>
        <v>0</v>
      </c>
      <c r="L31" s="18">
        <f ca="1">OFFSET('Game 114-1-N'!F6,MATCH(D31,'Game 114-1-N'!B6:B10)-1,0)</f>
        <v>0</v>
      </c>
      <c r="M31" s="16">
        <f ca="1">OFFSET('Game 122-2-A'!G6,MATCH(C31,'Game 122-2-A'!B6:B10)-1,0)</f>
        <v>0</v>
      </c>
      <c r="N31" s="18">
        <f ca="1">OFFSET('Game 114-1-N'!G6,MATCH(D31,'Game 114-1-N'!B6:B10)-1,0)</f>
        <v>0</v>
      </c>
      <c r="O31" s="16">
        <f ca="1">OFFSET('Game 122-2-A'!H6,MATCH(C31,'Game 122-2-A'!B6:B10)-1,0)</f>
        <v>3</v>
      </c>
      <c r="P31" s="17">
        <f ca="1">OFFSET('Game 114-1-N'!H6,MATCH(D31,'Game 114-1-N'!B6:B10)-1,0)</f>
        <v>23</v>
      </c>
      <c r="Q31" s="9">
        <f ca="1">OFFSET('Game 122-2-A'!I6,MATCH(C31,'Game 122-2-A'!B6:B10)-1,0)</f>
        <v>1</v>
      </c>
      <c r="R31" s="18">
        <f ca="1">OFFSET('Game 114-1-N'!I6,MATCH(D31,'Game 114-1-N'!B6:B10)-1,0)</f>
        <v>0</v>
      </c>
      <c r="S31" s="16">
        <f ca="1">OFFSET('Game 122-2-A'!J6,MATCH(C31,'Game 122-2-A'!B6:B10)-1,0)</f>
        <v>5</v>
      </c>
      <c r="T31" s="18">
        <f ca="1">OFFSET('Game 114-1-N'!J6,MATCH(D31,'Game 114-1-N'!B6:B10)-1,0)</f>
        <v>0</v>
      </c>
      <c r="U31" s="16">
        <f ca="1">OFFSET('Game 122-2-A'!K6,MATCH(C31,'Game 122-2-A'!B6:B10)-1,0)</f>
        <v>1</v>
      </c>
      <c r="V31" s="17">
        <f ca="1">OFFSET('Game 114-1-N'!K6,MATCH(D31,'Game 114-1-N'!B6:B10)-1,0)</f>
        <v>0</v>
      </c>
      <c r="W31" s="9">
        <f ca="1">OFFSET('Game 122-2-A'!L6,MATCH(C31,'Game 122-2-A'!B6:B10)-1,0)</f>
        <v>12</v>
      </c>
      <c r="X31" s="18">
        <f ca="1">OFFSET('Game 114-1-N'!L6,MATCH(D31,'Game 114-1-N'!B6:B10)-1,0)</f>
        <v>18</v>
      </c>
      <c r="Y31" s="16">
        <f ca="1">OFFSET('Game 122-2-A'!M6,MATCH(C31,'Game 122-2-A'!B6:B10)-1,0)</f>
        <v>0</v>
      </c>
      <c r="Z31" s="18">
        <f ca="1">OFFSET('Game 114-1-N'!M6,MATCH(D31,'Game 114-1-N'!B6:B10)-1,0)</f>
        <v>2</v>
      </c>
      <c r="AA31" s="16">
        <f ca="1">OFFSET('Game 122-2-A'!N6,MATCH(C31,'Game 122-2-A'!B6:B10)-1,0)</f>
        <v>9</v>
      </c>
      <c r="AB31" s="19">
        <f ca="1">OFFSET('Game 114-1-N'!N6,MATCH(D31,'Game 114-1-N'!B6:B10)-1,0)</f>
        <v>6</v>
      </c>
    </row>
    <row r="32" spans="1:28" ht="12.75">
      <c r="A32" s="8">
        <v>153</v>
      </c>
      <c r="B32" s="10" t="s">
        <v>18</v>
      </c>
      <c r="C32" s="9">
        <v>240</v>
      </c>
      <c r="D32" s="11">
        <v>182</v>
      </c>
      <c r="E32" s="16">
        <v>125</v>
      </c>
      <c r="F32" s="17">
        <v>116</v>
      </c>
      <c r="G32" s="9">
        <f ca="1">OFFSET('Game 125-2-A'!D6,MATCH(C32,'Game 125-2-A'!B6:B10)-1,0)</f>
        <v>0</v>
      </c>
      <c r="H32" s="17">
        <f ca="1">OFFSET('Game 116-1-N'!D6,MATCH(D32,'Game 116-1-N'!B6:B10)-1,0)</f>
        <v>0</v>
      </c>
      <c r="I32" s="9">
        <f ca="1">OFFSET('Game 125-2-A'!E6,MATCH(C32,'Game 125-2-A'!B6:B10)-1,0)</f>
        <v>6</v>
      </c>
      <c r="J32" s="18">
        <f ca="1">OFFSET('Game 116-1-N'!E6,MATCH(D32,'Game 116-1-N'!B6:B10)-1,0)</f>
        <v>6</v>
      </c>
      <c r="K32" s="16">
        <f ca="1">OFFSET('Game 125-2-A'!F6,MATCH(C32,'Game 125-2-A'!B6:B10)-1,0)</f>
        <v>1</v>
      </c>
      <c r="L32" s="18">
        <f ca="1">OFFSET('Game 116-1-N'!F6,MATCH(D32,'Game 116-1-N'!B6:B10)-1,0)</f>
        <v>3</v>
      </c>
      <c r="M32" s="16">
        <f ca="1">OFFSET('Game 125-2-A'!G6,MATCH(C32,'Game 125-2-A'!B6:B10)-1,0)</f>
        <v>0</v>
      </c>
      <c r="N32" s="18">
        <f ca="1">OFFSET('Game 116-1-N'!G6,MATCH(D32,'Game 116-1-N'!B6:B10)-1,0)</f>
        <v>0</v>
      </c>
      <c r="O32" s="16">
        <f ca="1">OFFSET('Game 125-2-A'!H6,MATCH(C32,'Game 125-2-A'!B6:B10)-1,0)</f>
        <v>7</v>
      </c>
      <c r="P32" s="17">
        <f ca="1">OFFSET('Game 116-1-N'!H6,MATCH(D32,'Game 116-1-N'!B6:B10)-1,0)</f>
        <v>9</v>
      </c>
      <c r="Q32" s="9">
        <f ca="1">OFFSET('Game 125-2-A'!I6,MATCH(C32,'Game 125-2-A'!B6:B10)-1,0)</f>
        <v>3</v>
      </c>
      <c r="R32" s="18">
        <f ca="1">OFFSET('Game 116-1-N'!I6,MATCH(D32,'Game 116-1-N'!B6:B10)-1,0)</f>
        <v>1</v>
      </c>
      <c r="S32" s="16">
        <f ca="1">OFFSET('Game 125-2-A'!J6,MATCH(C32,'Game 125-2-A'!B6:B10)-1,0)</f>
        <v>5</v>
      </c>
      <c r="T32" s="18">
        <f ca="1">OFFSET('Game 116-1-N'!J6,MATCH(D32,'Game 116-1-N'!B6:B10)-1,0)</f>
        <v>0</v>
      </c>
      <c r="U32" s="16">
        <f ca="1">OFFSET('Game 125-2-A'!K6,MATCH(C32,'Game 125-2-A'!B6:B10)-1,0)</f>
        <v>3</v>
      </c>
      <c r="V32" s="17">
        <f ca="1">OFFSET('Game 116-1-N'!K6,MATCH(D32,'Game 116-1-N'!B6:B10)-1,0)</f>
        <v>1</v>
      </c>
      <c r="W32" s="9">
        <f ca="1">OFFSET('Game 125-2-A'!L6,MATCH(C32,'Game 125-2-A'!B6:B10)-1,0)</f>
        <v>11</v>
      </c>
      <c r="X32" s="18">
        <f ca="1">OFFSET('Game 116-1-N'!L6,MATCH(D32,'Game 116-1-N'!B6:B10)-1,0)</f>
        <v>15</v>
      </c>
      <c r="Y32" s="16">
        <f ca="1">OFFSET('Game 125-2-A'!M6,MATCH(C32,'Game 125-2-A'!B6:B10)-1,0)</f>
        <v>1</v>
      </c>
      <c r="Z32" s="18">
        <f ca="1">OFFSET('Game 116-1-N'!M6,MATCH(D32,'Game 116-1-N'!B6:B10)-1,0)</f>
        <v>0</v>
      </c>
      <c r="AA32" s="16">
        <f ca="1">OFFSET('Game 125-2-A'!N6,MATCH(C32,'Game 125-2-A'!B6:B10)-1,0)</f>
        <v>6</v>
      </c>
      <c r="AB32" s="19">
        <f ca="1">OFFSET('Game 116-1-N'!N6,MATCH(D32,'Game 116-1-N'!B6:B10)-1,0)</f>
        <v>8</v>
      </c>
    </row>
    <row r="33" spans="1:28" ht="12.75">
      <c r="A33" s="8">
        <v>154</v>
      </c>
      <c r="B33" s="10" t="s">
        <v>18</v>
      </c>
      <c r="C33" s="9">
        <v>241</v>
      </c>
      <c r="D33" s="11">
        <v>170</v>
      </c>
      <c r="E33" s="16">
        <v>125</v>
      </c>
      <c r="F33" s="17">
        <v>114</v>
      </c>
      <c r="G33" s="9">
        <f ca="1">OFFSET('Game 125-2-A'!D6,MATCH(C33,'Game 125-2-A'!B6:B10)-1,0)</f>
        <v>5</v>
      </c>
      <c r="H33" s="17">
        <f ca="1">OFFSET('Game 114-1-N'!D6,MATCH(D33,'Game 114-1-N'!B6:B10)-1,0)</f>
        <v>0</v>
      </c>
      <c r="I33" s="9">
        <f ca="1">OFFSET('Game 125-2-A'!E6,MATCH(C33,'Game 125-2-A'!B6:B10)-1,0)</f>
        <v>1</v>
      </c>
      <c r="J33" s="18">
        <f ca="1">OFFSET('Game 114-1-N'!E6,MATCH(D33,'Game 114-1-N'!B6:B10)-1,0)</f>
        <v>0</v>
      </c>
      <c r="K33" s="16">
        <f ca="1">OFFSET('Game 125-2-A'!F6,MATCH(C33,'Game 125-2-A'!B6:B10)-1,0)</f>
        <v>11</v>
      </c>
      <c r="L33" s="18">
        <f ca="1">OFFSET('Game 114-1-N'!F6,MATCH(D33,'Game 114-1-N'!B6:B10)-1,0)</f>
        <v>23</v>
      </c>
      <c r="M33" s="16">
        <f ca="1">OFFSET('Game 125-2-A'!G6,MATCH(C33,'Game 125-2-A'!B6:B10)-1,0)</f>
        <v>0</v>
      </c>
      <c r="N33" s="18">
        <f ca="1">OFFSET('Game 114-1-N'!G6,MATCH(D33,'Game 114-1-N'!B6:B10)-1,0)</f>
        <v>0</v>
      </c>
      <c r="O33" s="16">
        <f ca="1">OFFSET('Game 125-2-A'!H6,MATCH(C33,'Game 125-2-A'!B6:B10)-1,0)</f>
        <v>12</v>
      </c>
      <c r="P33" s="17">
        <f ca="1">OFFSET('Game 114-1-N'!H6,MATCH(D33,'Game 114-1-N'!B6:B10)-1,0)</f>
        <v>23</v>
      </c>
      <c r="Q33" s="9">
        <f ca="1">OFFSET('Game 125-2-A'!I6,MATCH(C33,'Game 125-2-A'!B6:B10)-1,0)</f>
        <v>19</v>
      </c>
      <c r="R33" s="18">
        <f ca="1">OFFSET('Game 114-1-N'!I6,MATCH(D33,'Game 114-1-N'!B6:B10)-1,0)</f>
        <v>11</v>
      </c>
      <c r="S33" s="16">
        <f ca="1">OFFSET('Game 125-2-A'!J6,MATCH(C33,'Game 125-2-A'!B6:B10)-1,0)</f>
        <v>6</v>
      </c>
      <c r="T33" s="18">
        <f ca="1">OFFSET('Game 114-1-N'!J6,MATCH(D33,'Game 114-1-N'!B6:B10)-1,0)</f>
        <v>8</v>
      </c>
      <c r="U33" s="16">
        <f ca="1">OFFSET('Game 125-2-A'!K6,MATCH(C33,'Game 125-2-A'!B6:B10)-1,0)</f>
        <v>5</v>
      </c>
      <c r="V33" s="17">
        <f ca="1">OFFSET('Game 114-1-N'!K6,MATCH(D33,'Game 114-1-N'!B6:B10)-1,0)</f>
        <v>9</v>
      </c>
      <c r="W33" s="9">
        <f ca="1">OFFSET('Game 125-2-A'!L6,MATCH(C33,'Game 125-2-A'!B6:B10)-1,0)</f>
        <v>5</v>
      </c>
      <c r="X33" s="18">
        <f ca="1">OFFSET('Game 114-1-N'!L6,MATCH(D33,'Game 114-1-N'!B6:B10)-1,0)</f>
        <v>1</v>
      </c>
      <c r="Y33" s="16">
        <f ca="1">OFFSET('Game 125-2-A'!M6,MATCH(C33,'Game 125-2-A'!B6:B10)-1,0)</f>
        <v>0</v>
      </c>
      <c r="Z33" s="18">
        <f ca="1">OFFSET('Game 114-1-N'!M6,MATCH(D33,'Game 114-1-N'!B6:B10)-1,0)</f>
        <v>0</v>
      </c>
      <c r="AA33" s="16">
        <f ca="1">OFFSET('Game 125-2-A'!N6,MATCH(C33,'Game 125-2-A'!B6:B10)-1,0)</f>
        <v>4</v>
      </c>
      <c r="AB33" s="19">
        <f ca="1">OFFSET('Game 114-1-N'!N6,MATCH(D33,'Game 114-1-N'!B6:B10)-1,0)</f>
        <v>1</v>
      </c>
    </row>
    <row r="34" spans="1:28" ht="12.75">
      <c r="A34" s="8">
        <v>157</v>
      </c>
      <c r="B34" s="10" t="s">
        <v>18</v>
      </c>
      <c r="C34" s="9">
        <v>228</v>
      </c>
      <c r="D34" s="11">
        <v>163</v>
      </c>
      <c r="E34" s="16">
        <v>123</v>
      </c>
      <c r="F34" s="17">
        <v>113</v>
      </c>
      <c r="G34" s="9">
        <f ca="1">OFFSET('Game 123-2-A'!D6,MATCH(C34,'Game 123-2-A'!B6:B10)-1,0)</f>
        <v>2</v>
      </c>
      <c r="H34" s="17">
        <f ca="1">OFFSET('Game 113-1-N'!D6,MATCH(D34,'Game 113-1-N'!B6:B10)-1,0)</f>
        <v>0</v>
      </c>
      <c r="I34" s="9">
        <f ca="1">OFFSET('Game 123-2-A'!E6,MATCH(C34,'Game 123-2-A'!B6:B10)-1,0)</f>
        <v>11</v>
      </c>
      <c r="J34" s="18">
        <f ca="1">OFFSET('Game 113-1-N'!E6,MATCH(D34,'Game 113-1-N'!B6:B10)-1,0)</f>
        <v>7</v>
      </c>
      <c r="K34" s="16">
        <f ca="1">OFFSET('Game 123-2-A'!F6,MATCH(C34,'Game 123-2-A'!B6:B10)-1,0)</f>
        <v>0</v>
      </c>
      <c r="L34" s="18">
        <f ca="1">OFFSET('Game 113-1-N'!F6,MATCH(D34,'Game 113-1-N'!B6:B10)-1,0)</f>
        <v>0</v>
      </c>
      <c r="M34" s="16">
        <f ca="1">OFFSET('Game 123-2-A'!G6,MATCH(C34,'Game 123-2-A'!B6:B10)-1,0)</f>
        <v>0</v>
      </c>
      <c r="N34" s="18">
        <f ca="1">OFFSET('Game 113-1-N'!G6,MATCH(D34,'Game 113-1-N'!B6:B10)-1,0)</f>
        <v>0</v>
      </c>
      <c r="O34" s="16">
        <f ca="1">OFFSET('Game 123-2-A'!H6,MATCH(C34,'Game 123-2-A'!B6:B10)-1,0)</f>
        <v>11</v>
      </c>
      <c r="P34" s="17">
        <f ca="1">OFFSET('Game 113-1-N'!H6,MATCH(D34,'Game 113-1-N'!B6:B10)-1,0)</f>
        <v>7</v>
      </c>
      <c r="Q34" s="9">
        <f ca="1">OFFSET('Game 123-2-A'!I6,MATCH(C34,'Game 123-2-A'!B6:B10)-1,0)</f>
        <v>9</v>
      </c>
      <c r="R34" s="18">
        <f ca="1">OFFSET('Game 113-1-N'!I6,MATCH(D34,'Game 113-1-N'!B6:B10)-1,0)</f>
        <v>16</v>
      </c>
      <c r="S34" s="16">
        <f ca="1">OFFSET('Game 123-2-A'!J6,MATCH(C34,'Game 123-2-A'!B6:B10)-1,0)</f>
        <v>13</v>
      </c>
      <c r="T34" s="18">
        <f ca="1">OFFSET('Game 113-1-N'!J6,MATCH(D34,'Game 113-1-N'!B6:B10)-1,0)</f>
        <v>13</v>
      </c>
      <c r="U34" s="16">
        <f ca="1">OFFSET('Game 123-2-A'!K6,MATCH(C34,'Game 123-2-A'!B6:B10)-1,0)</f>
        <v>2</v>
      </c>
      <c r="V34" s="17">
        <f ca="1">OFFSET('Game 113-1-N'!K6,MATCH(D34,'Game 113-1-N'!B6:B10)-1,0)</f>
        <v>1</v>
      </c>
      <c r="W34" s="9">
        <f ca="1">OFFSET('Game 123-2-A'!L6,MATCH(C34,'Game 123-2-A'!B6:B10)-1,0)</f>
        <v>7</v>
      </c>
      <c r="X34" s="18">
        <f ca="1">OFFSET('Game 113-1-N'!L6,MATCH(D34,'Game 113-1-N'!B6:B10)-1,0)</f>
        <v>1</v>
      </c>
      <c r="Y34" s="16">
        <f ca="1">OFFSET('Game 123-2-A'!M6,MATCH(C34,'Game 123-2-A'!B6:B10)-1,0)</f>
        <v>5</v>
      </c>
      <c r="Z34" s="18">
        <f ca="1">OFFSET('Game 113-1-N'!M6,MATCH(D34,'Game 113-1-N'!B6:B10)-1,0)</f>
        <v>0</v>
      </c>
      <c r="AA34" s="16">
        <f ca="1">OFFSET('Game 123-2-A'!N6,MATCH(C34,'Game 123-2-A'!B6:B10)-1,0)</f>
        <v>2</v>
      </c>
      <c r="AB34" s="19">
        <f ca="1">OFFSET('Game 113-1-N'!N6,MATCH(D34,'Game 113-1-N'!B6:B10)-1,0)</f>
        <v>1</v>
      </c>
    </row>
    <row r="35" spans="1:28" ht="12.75">
      <c r="A35" s="8">
        <v>160</v>
      </c>
      <c r="B35" s="10" t="s">
        <v>18</v>
      </c>
      <c r="C35" s="9">
        <v>238</v>
      </c>
      <c r="D35" s="11">
        <v>161</v>
      </c>
      <c r="E35" s="16">
        <v>125</v>
      </c>
      <c r="F35" s="17">
        <v>113</v>
      </c>
      <c r="G35" s="9">
        <f ca="1">OFFSET('Game 125-2-A'!D6,MATCH(C35,'Game 125-2-A'!B6:B10)-1,0)</f>
        <v>5</v>
      </c>
      <c r="H35" s="17">
        <f ca="1">OFFSET('Game 113-1-N'!D6,MATCH(D35,'Game 113-1-N'!B6:B10)-1,0)</f>
        <v>0</v>
      </c>
      <c r="I35" s="9">
        <f ca="1">OFFSET('Game 125-2-A'!E6,MATCH(C35,'Game 125-2-A'!B6:B10)-1,0)</f>
        <v>0</v>
      </c>
      <c r="J35" s="18">
        <f ca="1">OFFSET('Game 113-1-N'!E6,MATCH(D35,'Game 113-1-N'!B6:B10)-1,0)</f>
        <v>13</v>
      </c>
      <c r="K35" s="16">
        <f ca="1">OFFSET('Game 125-2-A'!F6,MATCH(C35,'Game 125-2-A'!B6:B10)-1,0)</f>
        <v>2</v>
      </c>
      <c r="L35" s="18">
        <f ca="1">OFFSET('Game 113-1-N'!F6,MATCH(D35,'Game 113-1-N'!B6:B10)-1,0)</f>
        <v>0</v>
      </c>
      <c r="M35" s="16">
        <f ca="1">OFFSET('Game 125-2-A'!G6,MATCH(C35,'Game 125-2-A'!B6:B10)-1,0)</f>
        <v>0</v>
      </c>
      <c r="N35" s="18">
        <f ca="1">OFFSET('Game 113-1-N'!G6,MATCH(D35,'Game 113-1-N'!B6:B10)-1,0)</f>
        <v>0</v>
      </c>
      <c r="O35" s="16">
        <f ca="1">OFFSET('Game 125-2-A'!H6,MATCH(C35,'Game 125-2-A'!B6:B10)-1,0)</f>
        <v>2</v>
      </c>
      <c r="P35" s="17">
        <f ca="1">OFFSET('Game 113-1-N'!H6,MATCH(D35,'Game 113-1-N'!B6:B10)-1,0)</f>
        <v>13</v>
      </c>
      <c r="Q35" s="9">
        <f ca="1">OFFSET('Game 125-2-A'!I6,MATCH(C35,'Game 125-2-A'!B6:B10)-1,0)</f>
        <v>5</v>
      </c>
      <c r="R35" s="18">
        <f ca="1">OFFSET('Game 113-1-N'!I6,MATCH(D35,'Game 113-1-N'!B6:B10)-1,0)</f>
        <v>5</v>
      </c>
      <c r="S35" s="16">
        <f ca="1">OFFSET('Game 125-2-A'!J6,MATCH(C35,'Game 125-2-A'!B6:B10)-1,0)</f>
        <v>5</v>
      </c>
      <c r="T35" s="18">
        <f ca="1">OFFSET('Game 113-1-N'!J6,MATCH(D35,'Game 113-1-N'!B6:B10)-1,0)</f>
        <v>6</v>
      </c>
      <c r="U35" s="16">
        <f ca="1">OFFSET('Game 125-2-A'!K6,MATCH(C35,'Game 125-2-A'!B6:B10)-1,0)</f>
        <v>4</v>
      </c>
      <c r="V35" s="17">
        <f ca="1">OFFSET('Game 113-1-N'!K6,MATCH(D35,'Game 113-1-N'!B6:B10)-1,0)</f>
        <v>0</v>
      </c>
      <c r="W35" s="9">
        <f ca="1">OFFSET('Game 125-2-A'!L6,MATCH(C35,'Game 125-2-A'!B6:B10)-1,0)</f>
        <v>3</v>
      </c>
      <c r="X35" s="18">
        <f ca="1">OFFSET('Game 113-1-N'!L6,MATCH(D35,'Game 113-1-N'!B6:B10)-1,0)</f>
        <v>6</v>
      </c>
      <c r="Y35" s="16">
        <f ca="1">OFFSET('Game 125-2-A'!M6,MATCH(C35,'Game 125-2-A'!B6:B10)-1,0)</f>
        <v>2</v>
      </c>
      <c r="Z35" s="18">
        <f ca="1">OFFSET('Game 113-1-N'!M6,MATCH(D35,'Game 113-1-N'!B6:B10)-1,0)</f>
        <v>0</v>
      </c>
      <c r="AA35" s="16">
        <f ca="1">OFFSET('Game 125-2-A'!N6,MATCH(C35,'Game 125-2-A'!B6:B10)-1,0)</f>
        <v>3</v>
      </c>
      <c r="AB35" s="19">
        <f ca="1">OFFSET('Game 113-1-N'!N6,MATCH(D35,'Game 113-1-N'!B6:B10)-1,0)</f>
        <v>4</v>
      </c>
    </row>
    <row r="36" spans="1:28" ht="12.75">
      <c r="A36" s="8">
        <v>163</v>
      </c>
      <c r="B36" s="10" t="s">
        <v>18</v>
      </c>
      <c r="C36" s="9">
        <v>239</v>
      </c>
      <c r="D36" s="11">
        <v>186</v>
      </c>
      <c r="E36" s="16">
        <v>125</v>
      </c>
      <c r="F36" s="17">
        <v>117</v>
      </c>
      <c r="G36" s="9">
        <f ca="1">OFFSET('Game 125-2-A'!D6,MATCH(C36,'Game 125-2-A'!B6:B10)-1,0)</f>
        <v>5</v>
      </c>
      <c r="H36" s="17">
        <f ca="1">OFFSET('Game 117-1-N'!D6,MATCH(D36,'Game 117-1-N'!B6:B10)-1,0)</f>
        <v>0</v>
      </c>
      <c r="I36" s="9">
        <f ca="1">OFFSET('Game 125-2-A'!E6,MATCH(C36,'Game 125-2-A'!B6:B10)-1,0)</f>
        <v>0</v>
      </c>
      <c r="J36" s="18">
        <f ca="1">OFFSET('Game 117-1-N'!E6,MATCH(D36,'Game 117-1-N'!B6:B10)-1,0)</f>
        <v>2</v>
      </c>
      <c r="K36" s="16">
        <f ca="1">OFFSET('Game 125-2-A'!F6,MATCH(C36,'Game 125-2-A'!B6:B10)-1,0)</f>
        <v>2</v>
      </c>
      <c r="L36" s="18">
        <f ca="1">OFFSET('Game 117-1-N'!F6,MATCH(D36,'Game 117-1-N'!B6:B10)-1,0)</f>
        <v>0</v>
      </c>
      <c r="M36" s="16">
        <f ca="1">OFFSET('Game 125-2-A'!G6,MATCH(C36,'Game 125-2-A'!B6:B10)-1,0)</f>
        <v>0</v>
      </c>
      <c r="N36" s="18">
        <f ca="1">OFFSET('Game 117-1-N'!G6,MATCH(D36,'Game 117-1-N'!B6:B10)-1,0)</f>
        <v>0</v>
      </c>
      <c r="O36" s="16">
        <f ca="1">OFFSET('Game 125-2-A'!H6,MATCH(C36,'Game 125-2-A'!B6:B10)-1,0)</f>
        <v>2</v>
      </c>
      <c r="P36" s="17">
        <f ca="1">OFFSET('Game 117-1-N'!H6,MATCH(D36,'Game 117-1-N'!B6:B10)-1,0)</f>
        <v>2</v>
      </c>
      <c r="Q36" s="9">
        <f ca="1">OFFSET('Game 125-2-A'!I6,MATCH(C36,'Game 125-2-A'!B6:B10)-1,0)</f>
        <v>9</v>
      </c>
      <c r="R36" s="18">
        <f ca="1">OFFSET('Game 117-1-N'!I6,MATCH(D36,'Game 117-1-N'!B6:B10)-1,0)</f>
        <v>1</v>
      </c>
      <c r="S36" s="16">
        <f ca="1">OFFSET('Game 125-2-A'!J6,MATCH(C36,'Game 125-2-A'!B6:B10)-1,0)</f>
        <v>11</v>
      </c>
      <c r="T36" s="18">
        <f ca="1">OFFSET('Game 117-1-N'!J6,MATCH(D36,'Game 117-1-N'!B6:B10)-1,0)</f>
        <v>12</v>
      </c>
      <c r="U36" s="16">
        <f ca="1">OFFSET('Game 125-2-A'!K6,MATCH(C36,'Game 125-2-A'!B6:B10)-1,0)</f>
        <v>2</v>
      </c>
      <c r="V36" s="17">
        <f ca="1">OFFSET('Game 117-1-N'!K6,MATCH(D36,'Game 117-1-N'!B6:B10)-1,0)</f>
        <v>0</v>
      </c>
      <c r="W36" s="9">
        <f ca="1">OFFSET('Game 125-2-A'!L6,MATCH(C36,'Game 125-2-A'!B6:B10)-1,0)</f>
        <v>1</v>
      </c>
      <c r="X36" s="18">
        <f ca="1">OFFSET('Game 117-1-N'!L6,MATCH(D36,'Game 117-1-N'!B6:B10)-1,0)</f>
        <v>2</v>
      </c>
      <c r="Y36" s="16">
        <f ca="1">OFFSET('Game 125-2-A'!M6,MATCH(C36,'Game 125-2-A'!B6:B10)-1,0)</f>
        <v>0</v>
      </c>
      <c r="Z36" s="18">
        <f ca="1">OFFSET('Game 117-1-N'!M6,MATCH(D36,'Game 117-1-N'!B6:B10)-1,0)</f>
        <v>0</v>
      </c>
      <c r="AA36" s="16">
        <f ca="1">OFFSET('Game 125-2-A'!N6,MATCH(C36,'Game 125-2-A'!B6:B10)-1,0)</f>
        <v>1</v>
      </c>
      <c r="AB36" s="19">
        <f ca="1">OFFSET('Game 117-1-N'!N6,MATCH(D36,'Game 117-1-N'!B6:B10)-1,0)</f>
        <v>2</v>
      </c>
    </row>
    <row r="37" spans="1:28" ht="12.75">
      <c r="A37" s="8">
        <v>164</v>
      </c>
      <c r="B37" s="10" t="s">
        <v>18</v>
      </c>
      <c r="C37" s="9">
        <v>220</v>
      </c>
      <c r="D37" s="11">
        <v>167</v>
      </c>
      <c r="E37" s="16">
        <v>122</v>
      </c>
      <c r="F37" s="17">
        <v>114</v>
      </c>
      <c r="G37" s="9">
        <f ca="1">OFFSET('Game 122-2-A'!D6,MATCH(C37,'Game 122-2-A'!B6:B10)-1,0)</f>
        <v>2</v>
      </c>
      <c r="H37" s="17">
        <f ca="1">OFFSET('Game 114-1-N'!D6,MATCH(D37,'Game 114-1-N'!B6:B10)-1,0)</f>
        <v>0</v>
      </c>
      <c r="I37" s="9">
        <f ca="1">OFFSET('Game 122-2-A'!E6,MATCH(C37,'Game 122-2-A'!B6:B10)-1,0)</f>
        <v>0</v>
      </c>
      <c r="J37" s="18">
        <f ca="1">OFFSET('Game 114-1-N'!E6,MATCH(D37,'Game 114-1-N'!B6:B10)-1,0)</f>
        <v>4</v>
      </c>
      <c r="K37" s="16">
        <f ca="1">OFFSET('Game 122-2-A'!F6,MATCH(C37,'Game 122-2-A'!B6:B10)-1,0)</f>
        <v>1</v>
      </c>
      <c r="L37" s="18">
        <f ca="1">OFFSET('Game 114-1-N'!F6,MATCH(D37,'Game 114-1-N'!B6:B10)-1,0)</f>
        <v>1</v>
      </c>
      <c r="M37" s="16">
        <f ca="1">OFFSET('Game 122-2-A'!G6,MATCH(C37,'Game 122-2-A'!B6:B10)-1,0)</f>
        <v>0</v>
      </c>
      <c r="N37" s="18">
        <f ca="1">OFFSET('Game 114-1-N'!G6,MATCH(D37,'Game 114-1-N'!B6:B10)-1,0)</f>
        <v>0</v>
      </c>
      <c r="O37" s="16">
        <f ca="1">OFFSET('Game 122-2-A'!H6,MATCH(C37,'Game 122-2-A'!B6:B10)-1,0)</f>
        <v>1</v>
      </c>
      <c r="P37" s="17">
        <f ca="1">OFFSET('Game 114-1-N'!H6,MATCH(D37,'Game 114-1-N'!B6:B10)-1,0)</f>
        <v>5</v>
      </c>
      <c r="Q37" s="9">
        <f ca="1">OFFSET('Game 122-2-A'!I6,MATCH(C37,'Game 122-2-A'!B6:B10)-1,0)</f>
        <v>2</v>
      </c>
      <c r="R37" s="18">
        <f ca="1">OFFSET('Game 114-1-N'!I6,MATCH(D37,'Game 114-1-N'!B6:B10)-1,0)</f>
        <v>3</v>
      </c>
      <c r="S37" s="16">
        <f ca="1">OFFSET('Game 122-2-A'!J6,MATCH(C37,'Game 122-2-A'!B6:B10)-1,0)</f>
        <v>3</v>
      </c>
      <c r="T37" s="18">
        <f ca="1">OFFSET('Game 114-1-N'!J6,MATCH(D37,'Game 114-1-N'!B6:B10)-1,0)</f>
        <v>7</v>
      </c>
      <c r="U37" s="16">
        <f ca="1">OFFSET('Game 122-2-A'!K6,MATCH(C37,'Game 122-2-A'!B6:B10)-1,0)</f>
        <v>1</v>
      </c>
      <c r="V37" s="17">
        <f ca="1">OFFSET('Game 114-1-N'!K6,MATCH(D37,'Game 114-1-N'!B6:B10)-1,0)</f>
        <v>1</v>
      </c>
      <c r="W37" s="9">
        <f ca="1">OFFSET('Game 122-2-A'!L6,MATCH(C37,'Game 122-2-A'!B6:B10)-1,0)</f>
        <v>6</v>
      </c>
      <c r="X37" s="18">
        <f ca="1">OFFSET('Game 114-1-N'!L6,MATCH(D37,'Game 114-1-N'!B6:B10)-1,0)</f>
        <v>3</v>
      </c>
      <c r="Y37" s="16">
        <f ca="1">OFFSET('Game 122-2-A'!M6,MATCH(C37,'Game 122-2-A'!B6:B10)-1,0)</f>
        <v>1</v>
      </c>
      <c r="Z37" s="18">
        <f ca="1">OFFSET('Game 114-1-N'!M6,MATCH(D37,'Game 114-1-N'!B6:B10)-1,0)</f>
        <v>0</v>
      </c>
      <c r="AA37" s="16">
        <f ca="1">OFFSET('Game 122-2-A'!N6,MATCH(C37,'Game 122-2-A'!B6:B10)-1,0)</f>
        <v>5</v>
      </c>
      <c r="AB37" s="19">
        <f ca="1">OFFSET('Game 114-1-N'!N6,MATCH(D37,'Game 114-1-N'!B6:B10)-1,0)</f>
        <v>2</v>
      </c>
    </row>
    <row r="38" spans="1:28" ht="12.75">
      <c r="A38" s="8">
        <v>165</v>
      </c>
      <c r="B38" s="10" t="s">
        <v>19</v>
      </c>
      <c r="C38" s="9" t="s">
        <v>20</v>
      </c>
      <c r="D38" s="11">
        <v>181</v>
      </c>
      <c r="E38" s="16" t="s">
        <v>20</v>
      </c>
      <c r="F38" s="17">
        <v>116</v>
      </c>
      <c r="G38" s="9" t="s">
        <v>20</v>
      </c>
      <c r="H38" s="17">
        <f ca="1">OFFSET('Game 116-1-N'!D6,MATCH(D38,'Game 116-1-N'!B6:B10)-1,0)</f>
        <v>0</v>
      </c>
      <c r="I38" s="9" t="s">
        <v>20</v>
      </c>
      <c r="J38" s="18">
        <f ca="1">OFFSET('Game 116-1-N'!E6,MATCH(D38,'Game 116-1-N'!B6:B10)-1,0)</f>
        <v>0</v>
      </c>
      <c r="K38" s="16" t="s">
        <v>20</v>
      </c>
      <c r="L38" s="18">
        <f ca="1">OFFSET('Game 116-1-N'!F6,MATCH(D38,'Game 116-1-N'!B6:B10)-1,0)</f>
        <v>0</v>
      </c>
      <c r="M38" s="16" t="s">
        <v>20</v>
      </c>
      <c r="N38" s="18">
        <f ca="1">OFFSET('Game 116-1-N'!G6,MATCH(D38,'Game 116-1-N'!B6:B10)-1,0)</f>
        <v>0</v>
      </c>
      <c r="O38" s="16" t="s">
        <v>20</v>
      </c>
      <c r="P38" s="17">
        <f ca="1">OFFSET('Game 116-1-N'!H6,MATCH(D38,'Game 116-1-N'!B6:B10)-1,0)</f>
        <v>0</v>
      </c>
      <c r="Q38" s="9" t="s">
        <v>20</v>
      </c>
      <c r="R38" s="18">
        <f ca="1">OFFSET('Game 116-1-N'!I6,MATCH(D38,'Game 116-1-N'!B6:B10)-1,0)</f>
        <v>0</v>
      </c>
      <c r="S38" s="16" t="s">
        <v>20</v>
      </c>
      <c r="T38" s="18">
        <f ca="1">OFFSET('Game 116-1-N'!J6,MATCH(D38,'Game 116-1-N'!B6:B10)-1,0)</f>
        <v>0</v>
      </c>
      <c r="U38" s="16" t="s">
        <v>20</v>
      </c>
      <c r="V38" s="17">
        <f ca="1">OFFSET('Game 116-1-N'!K6,MATCH(D38,'Game 116-1-N'!B6:B10)-1,0)</f>
        <v>0</v>
      </c>
      <c r="W38" s="9" t="s">
        <v>20</v>
      </c>
      <c r="X38" s="18">
        <f ca="1">OFFSET('Game 116-1-N'!L6,MATCH(D38,'Game 116-1-N'!B6:B10)-1,0)</f>
        <v>0</v>
      </c>
      <c r="Y38" s="16" t="s">
        <v>20</v>
      </c>
      <c r="Z38" s="18">
        <f ca="1">OFFSET('Game 116-1-N'!M6,MATCH(D38,'Game 116-1-N'!B6:B10)-1,0)</f>
        <v>1</v>
      </c>
      <c r="AA38" s="16" t="s">
        <v>20</v>
      </c>
      <c r="AB38" s="19">
        <f ca="1">OFFSET('Game 116-1-N'!N6,MATCH(D38,'Game 116-1-N'!B6:B10)-1,0)</f>
        <v>0</v>
      </c>
    </row>
    <row r="39" spans="1:28" ht="12.75">
      <c r="A39" s="8">
        <v>166</v>
      </c>
      <c r="B39" s="10" t="s">
        <v>18</v>
      </c>
      <c r="C39" s="9">
        <v>234</v>
      </c>
      <c r="D39" s="11">
        <v>162</v>
      </c>
      <c r="E39" s="16">
        <v>124</v>
      </c>
      <c r="F39" s="17">
        <v>113</v>
      </c>
      <c r="G39" s="9">
        <f ca="1">OFFSET('Game 124-2-A'!D6,MATCH(C39,'Game 124-2-A'!B6:B10)-1,0)</f>
        <v>0</v>
      </c>
      <c r="H39" s="17">
        <f ca="1">OFFSET('Game 113-1-N'!D6,MATCH(D39,'Game 113-1-N'!B6:B10)-1,0)</f>
        <v>0</v>
      </c>
      <c r="I39" s="9">
        <f ca="1">OFFSET('Game 124-2-A'!E6,MATCH(C39,'Game 124-2-A'!B6:B10)-1,0)</f>
        <v>4</v>
      </c>
      <c r="J39" s="18">
        <f ca="1">OFFSET('Game 113-1-N'!E6,MATCH(D39,'Game 113-1-N'!B6:B10)-1,0)</f>
        <v>1</v>
      </c>
      <c r="K39" s="16">
        <f ca="1">OFFSET('Game 124-2-A'!F6,MATCH(C39,'Game 124-2-A'!B6:B10)-1,0)</f>
        <v>2</v>
      </c>
      <c r="L39" s="18">
        <f ca="1">OFFSET('Game 113-1-N'!F6,MATCH(D39,'Game 113-1-N'!B6:B10)-1,0)</f>
        <v>14</v>
      </c>
      <c r="M39" s="16">
        <f ca="1">OFFSET('Game 124-2-A'!G6,MATCH(C39,'Game 124-2-A'!B6:B10)-1,0)</f>
        <v>0</v>
      </c>
      <c r="N39" s="18">
        <f ca="1">OFFSET('Game 113-1-N'!G6,MATCH(D39,'Game 113-1-N'!B6:B10)-1,0)</f>
        <v>0</v>
      </c>
      <c r="O39" s="16">
        <f ca="1">OFFSET('Game 124-2-A'!H6,MATCH(C39,'Game 124-2-A'!B6:B10)-1,0)</f>
        <v>6</v>
      </c>
      <c r="P39" s="17">
        <f ca="1">OFFSET('Game 113-1-N'!H6,MATCH(D39,'Game 113-1-N'!B6:B10)-1,0)</f>
        <v>15</v>
      </c>
      <c r="Q39" s="9">
        <f ca="1">OFFSET('Game 124-2-A'!I6,MATCH(C39,'Game 124-2-A'!B6:B10)-1,0)</f>
        <v>11</v>
      </c>
      <c r="R39" s="18">
        <f ca="1">OFFSET('Game 113-1-N'!I6,MATCH(D39,'Game 113-1-N'!B6:B10)-1,0)</f>
        <v>14</v>
      </c>
      <c r="S39" s="16">
        <f ca="1">OFFSET('Game 124-2-A'!J6,MATCH(C39,'Game 124-2-A'!B6:B10)-1,0)</f>
        <v>7</v>
      </c>
      <c r="T39" s="18">
        <f ca="1">OFFSET('Game 113-1-N'!J6,MATCH(D39,'Game 113-1-N'!B6:B10)-1,0)</f>
        <v>7</v>
      </c>
      <c r="U39" s="16">
        <f ca="1">OFFSET('Game 124-2-A'!K6,MATCH(C39,'Game 124-2-A'!B6:B10)-1,0)</f>
        <v>8</v>
      </c>
      <c r="V39" s="17">
        <f ca="1">OFFSET('Game 113-1-N'!K6,MATCH(D39,'Game 113-1-N'!B6:B10)-1,0)</f>
        <v>7</v>
      </c>
      <c r="W39" s="9">
        <f ca="1">OFFSET('Game 124-2-A'!L6,MATCH(C39,'Game 124-2-A'!B6:B10)-1,0)</f>
        <v>9</v>
      </c>
      <c r="X39" s="18">
        <f ca="1">OFFSET('Game 113-1-N'!L6,MATCH(D39,'Game 113-1-N'!B6:B10)-1,0)</f>
        <v>6</v>
      </c>
      <c r="Y39" s="16">
        <f ca="1">OFFSET('Game 124-2-A'!M6,MATCH(C39,'Game 124-2-A'!B6:B10)-1,0)</f>
        <v>2</v>
      </c>
      <c r="Z39" s="18">
        <f ca="1">OFFSET('Game 113-1-N'!M6,MATCH(D39,'Game 113-1-N'!B6:B10)-1,0)</f>
        <v>0</v>
      </c>
      <c r="AA39" s="16">
        <f ca="1">OFFSET('Game 124-2-A'!N6,MATCH(C39,'Game 124-2-A'!B6:B10)-1,0)</f>
        <v>6</v>
      </c>
      <c r="AB39" s="19">
        <f ca="1">OFFSET('Game 113-1-N'!N6,MATCH(D39,'Game 113-1-N'!B6:B10)-1,0)</f>
        <v>5</v>
      </c>
    </row>
    <row r="40" spans="1:28" ht="12.75">
      <c r="A40" s="8">
        <v>167</v>
      </c>
      <c r="B40" s="10" t="s">
        <v>18</v>
      </c>
      <c r="C40" s="9">
        <v>246</v>
      </c>
      <c r="D40" s="11">
        <v>174</v>
      </c>
      <c r="E40" s="16">
        <v>126</v>
      </c>
      <c r="F40" s="17">
        <v>115</v>
      </c>
      <c r="G40" s="9">
        <f ca="1">OFFSET('Game 126-2-A'!D6,MATCH(C40,'Game 126-2-A'!B6:B10)-1,0)</f>
        <v>5</v>
      </c>
      <c r="H40" s="17">
        <f ca="1">OFFSET('Game 115-1-N'!D6,MATCH(D40,'Game 115-1-N'!B6:B10)-1,0)</f>
        <v>0</v>
      </c>
      <c r="I40" s="9">
        <f ca="1">OFFSET('Game 126-2-A'!E6,MATCH(C40,'Game 126-2-A'!B6:B10)-1,0)</f>
        <v>1</v>
      </c>
      <c r="J40" s="18">
        <f ca="1">OFFSET('Game 115-1-N'!E6,MATCH(D40,'Game 115-1-N'!B6:B10)-1,0)</f>
        <v>4</v>
      </c>
      <c r="K40" s="16">
        <f ca="1">OFFSET('Game 126-2-A'!F6,MATCH(C40,'Game 126-2-A'!B6:B10)-1,0)</f>
        <v>0</v>
      </c>
      <c r="L40" s="18">
        <f ca="1">OFFSET('Game 115-1-N'!F6,MATCH(D40,'Game 115-1-N'!B6:B10)-1,0)</f>
        <v>0</v>
      </c>
      <c r="M40" s="16">
        <f ca="1">OFFSET('Game 126-2-A'!G6,MATCH(C40,'Game 126-2-A'!B6:B10)-1,0)</f>
        <v>0</v>
      </c>
      <c r="N40" s="18">
        <f ca="1">OFFSET('Game 115-1-N'!G6,MATCH(D40,'Game 115-1-N'!B6:B10)-1,0)</f>
        <v>0</v>
      </c>
      <c r="O40" s="16">
        <f ca="1">OFFSET('Game 126-2-A'!H6,MATCH(C40,'Game 126-2-A'!B6:B10)-1,0)</f>
        <v>1</v>
      </c>
      <c r="P40" s="17">
        <f ca="1">OFFSET('Game 115-1-N'!H6,MATCH(D40,'Game 115-1-N'!B6:B10)-1,0)</f>
        <v>4</v>
      </c>
      <c r="Q40" s="9">
        <f ca="1">OFFSET('Game 126-2-A'!I6,MATCH(C40,'Game 126-2-A'!B6:B10)-1,0)</f>
        <v>0</v>
      </c>
      <c r="R40" s="18">
        <f ca="1">OFFSET('Game 115-1-N'!I6,MATCH(D40,'Game 115-1-N'!B6:B10)-1,0)</f>
        <v>1</v>
      </c>
      <c r="S40" s="16">
        <f ca="1">OFFSET('Game 126-2-A'!J6,MATCH(C40,'Game 126-2-A'!B6:B10)-1,0)</f>
        <v>5</v>
      </c>
      <c r="T40" s="18">
        <f ca="1">OFFSET('Game 115-1-N'!J6,MATCH(D40,'Game 115-1-N'!B6:B10)-1,0)</f>
        <v>3</v>
      </c>
      <c r="U40" s="16">
        <f ca="1">OFFSET('Game 126-2-A'!K6,MATCH(C40,'Game 126-2-A'!B6:B10)-1,0)</f>
        <v>0</v>
      </c>
      <c r="V40" s="17">
        <f ca="1">OFFSET('Game 115-1-N'!K6,MATCH(D40,'Game 115-1-N'!B6:B10)-1,0)</f>
        <v>1</v>
      </c>
      <c r="W40" s="9">
        <f ca="1">OFFSET('Game 126-2-A'!L6,MATCH(C40,'Game 126-2-A'!B6:B10)-1,0)</f>
        <v>15</v>
      </c>
      <c r="X40" s="18">
        <f ca="1">OFFSET('Game 115-1-N'!L6,MATCH(D40,'Game 115-1-N'!B6:B10)-1,0)</f>
        <v>12</v>
      </c>
      <c r="Y40" s="16">
        <f ca="1">OFFSET('Game 126-2-A'!M6,MATCH(C40,'Game 126-2-A'!B6:B10)-1,0)</f>
        <v>1</v>
      </c>
      <c r="Z40" s="18">
        <f ca="1">OFFSET('Game 115-1-N'!M6,MATCH(D40,'Game 115-1-N'!B6:B10)-1,0)</f>
        <v>3</v>
      </c>
      <c r="AA40" s="16">
        <f ca="1">OFFSET('Game 126-2-A'!N6,MATCH(C40,'Game 126-2-A'!B6:B10)-1,0)</f>
        <v>11</v>
      </c>
      <c r="AB40" s="19">
        <f ca="1">OFFSET('Game 115-1-N'!N6,MATCH(D40,'Game 115-1-N'!B6:B10)-1,0)</f>
        <v>8</v>
      </c>
    </row>
    <row r="41" spans="1:28" ht="12.75">
      <c r="A41" s="20">
        <v>168</v>
      </c>
      <c r="B41" s="22" t="s">
        <v>18</v>
      </c>
      <c r="C41" s="21">
        <v>222</v>
      </c>
      <c r="D41" s="23">
        <v>187</v>
      </c>
      <c r="E41" s="24">
        <v>122</v>
      </c>
      <c r="F41" s="25">
        <v>117</v>
      </c>
      <c r="G41" s="21">
        <f ca="1">OFFSET('Game 122-2-A'!D6,MATCH(C41,'Game 122-2-A'!B6:B10)-1,0)</f>
        <v>12</v>
      </c>
      <c r="H41" s="25">
        <f ca="1">OFFSET('Game 117-1-N'!D6,MATCH(D41,'Game 117-1-N'!B6:B10)-1,0)</f>
        <v>0</v>
      </c>
      <c r="I41" s="21">
        <f ca="1">OFFSET('Game 122-2-A'!E6,MATCH(C41,'Game 122-2-A'!B6:B10)-1,0)</f>
        <v>3</v>
      </c>
      <c r="J41" s="26">
        <f ca="1">OFFSET('Game 117-1-N'!E6,MATCH(D41,'Game 117-1-N'!B6:B10)-1,0)</f>
        <v>1</v>
      </c>
      <c r="K41" s="24">
        <f ca="1">OFFSET('Game 122-2-A'!F6,MATCH(C41,'Game 122-2-A'!B6:B10)-1,0)</f>
        <v>10</v>
      </c>
      <c r="L41" s="26">
        <f ca="1">OFFSET('Game 117-1-N'!F6,MATCH(D41,'Game 117-1-N'!B6:B10)-1,0)</f>
        <v>0</v>
      </c>
      <c r="M41" s="24">
        <f ca="1">OFFSET('Game 122-2-A'!G6,MATCH(C41,'Game 122-2-A'!B6:B10)-1,0)</f>
        <v>0</v>
      </c>
      <c r="N41" s="26">
        <f ca="1">OFFSET('Game 117-1-N'!G6,MATCH(D41,'Game 117-1-N'!B6:B10)-1,0)</f>
        <v>0</v>
      </c>
      <c r="O41" s="24">
        <f ca="1">OFFSET('Game 122-2-A'!H6,MATCH(C41,'Game 122-2-A'!B6:B10)-1,0)</f>
        <v>13</v>
      </c>
      <c r="P41" s="25">
        <f ca="1">OFFSET('Game 117-1-N'!H6,MATCH(D41,'Game 117-1-N'!B6:B10)-1,0)</f>
        <v>1</v>
      </c>
      <c r="Q41" s="21">
        <f ca="1">OFFSET('Game 122-2-A'!I6,MATCH(C41,'Game 122-2-A'!B6:B10)-1,0)</f>
        <v>4</v>
      </c>
      <c r="R41" s="26">
        <f ca="1">OFFSET('Game 117-1-N'!I6,MATCH(D41,'Game 117-1-N'!B6:B10)-1,0)</f>
        <v>3</v>
      </c>
      <c r="S41" s="24">
        <f ca="1">OFFSET('Game 122-2-A'!J6,MATCH(C41,'Game 122-2-A'!B6:B10)-1,0)</f>
        <v>6</v>
      </c>
      <c r="T41" s="26">
        <f ca="1">OFFSET('Game 117-1-N'!J6,MATCH(D41,'Game 117-1-N'!B6:B10)-1,0)</f>
        <v>0</v>
      </c>
      <c r="U41" s="24">
        <f ca="1">OFFSET('Game 122-2-A'!K6,MATCH(C41,'Game 122-2-A'!B6:B10)-1,0)</f>
        <v>4</v>
      </c>
      <c r="V41" s="25">
        <f ca="1">OFFSET('Game 117-1-N'!K6,MATCH(D41,'Game 117-1-N'!B6:B10)-1,0)</f>
        <v>0</v>
      </c>
      <c r="W41" s="21">
        <f ca="1">OFFSET('Game 122-2-A'!L6,MATCH(C41,'Game 122-2-A'!B6:B10)-1,0)</f>
        <v>6</v>
      </c>
      <c r="X41" s="26">
        <f ca="1">OFFSET('Game 117-1-N'!L6,MATCH(D41,'Game 117-1-N'!B6:B10)-1,0)</f>
        <v>5</v>
      </c>
      <c r="Y41" s="24">
        <f ca="1">OFFSET('Game 122-2-A'!M6,MATCH(C41,'Game 122-2-A'!B6:B10)-1,0)</f>
        <v>1</v>
      </c>
      <c r="Z41" s="26">
        <f ca="1">OFFSET('Game 117-1-N'!M6,MATCH(D41,'Game 117-1-N'!B6:B10)-1,0)</f>
        <v>2</v>
      </c>
      <c r="AA41" s="24">
        <f ca="1">OFFSET('Game 122-2-A'!N6,MATCH(C41,'Game 122-2-A'!B6:B10)-1,0)</f>
        <v>5</v>
      </c>
      <c r="AB41" s="27">
        <f ca="1">OFFSET('Game 117-1-N'!N6,MATCH(D41,'Game 117-1-N'!B6:B10)-1,0)</f>
        <v>2</v>
      </c>
    </row>
    <row r="44" spans="1:28" ht="25.5">
      <c r="B44" s="83" t="s">
        <v>25</v>
      </c>
      <c r="C44" s="177" t="s">
        <v>26</v>
      </c>
      <c r="D44" s="173"/>
      <c r="F44" s="85" t="s">
        <v>27</v>
      </c>
      <c r="G44" s="161" t="s">
        <v>28</v>
      </c>
      <c r="H44" s="162"/>
      <c r="I44" s="178" t="s">
        <v>29</v>
      </c>
      <c r="J44" s="175"/>
      <c r="K44" s="179" t="s">
        <v>30</v>
      </c>
      <c r="L44" s="175"/>
      <c r="M44" s="179" t="s">
        <v>31</v>
      </c>
      <c r="N44" s="175"/>
      <c r="O44" s="179" t="s">
        <v>32</v>
      </c>
      <c r="P44" s="162"/>
      <c r="Q44" s="180" t="s">
        <v>33</v>
      </c>
      <c r="R44" s="175"/>
      <c r="S44" s="174" t="s">
        <v>34</v>
      </c>
      <c r="T44" s="175"/>
      <c r="U44" s="174" t="s">
        <v>35</v>
      </c>
      <c r="V44" s="162"/>
      <c r="W44" s="180" t="s">
        <v>36</v>
      </c>
      <c r="X44" s="175"/>
      <c r="Y44" s="174" t="s">
        <v>37</v>
      </c>
      <c r="Z44" s="175"/>
      <c r="AA44" s="174" t="s">
        <v>38</v>
      </c>
      <c r="AB44" s="176"/>
    </row>
    <row r="45" spans="1:28" ht="12.75">
      <c r="B45" s="29">
        <f>COUNT(A3:A41)</f>
        <v>39</v>
      </c>
      <c r="C45" s="172">
        <f ca="1">COUNT(Valid_players!A3:A41)</f>
        <v>37</v>
      </c>
      <c r="D45" s="173"/>
      <c r="G45" s="31" t="s">
        <v>16</v>
      </c>
      <c r="H45" s="32" t="s">
        <v>17</v>
      </c>
      <c r="I45" s="33" t="s">
        <v>16</v>
      </c>
      <c r="J45" s="34" t="s">
        <v>17</v>
      </c>
      <c r="K45" s="35" t="s">
        <v>16</v>
      </c>
      <c r="L45" s="34" t="s">
        <v>17</v>
      </c>
      <c r="M45" s="35" t="s">
        <v>16</v>
      </c>
      <c r="N45" s="34" t="s">
        <v>17</v>
      </c>
      <c r="O45" s="35" t="s">
        <v>16</v>
      </c>
      <c r="P45" s="32" t="s">
        <v>17</v>
      </c>
      <c r="Q45" s="33" t="s">
        <v>16</v>
      </c>
      <c r="R45" s="34" t="s">
        <v>17</v>
      </c>
      <c r="S45" s="35" t="s">
        <v>16</v>
      </c>
      <c r="T45" s="34" t="s">
        <v>17</v>
      </c>
      <c r="U45" s="35" t="s">
        <v>16</v>
      </c>
      <c r="V45" s="32" t="s">
        <v>17</v>
      </c>
      <c r="W45" s="33" t="s">
        <v>16</v>
      </c>
      <c r="X45" s="34" t="s">
        <v>17</v>
      </c>
      <c r="Y45" s="35" t="s">
        <v>16</v>
      </c>
      <c r="Z45" s="34" t="s">
        <v>17</v>
      </c>
      <c r="AA45" s="35" t="s">
        <v>16</v>
      </c>
      <c r="AB45" s="36" t="s">
        <v>17</v>
      </c>
    </row>
    <row r="46" spans="1:28" ht="12.75">
      <c r="F46" s="37" t="s">
        <v>39</v>
      </c>
      <c r="G46" s="9">
        <f ca="1">SUM(Valid_players!G3:G41)</f>
        <v>172</v>
      </c>
      <c r="H46" s="10">
        <f ca="1">SUM(Valid_players!H3:H41)</f>
        <v>0</v>
      </c>
      <c r="I46" s="9">
        <f ca="1">SUM(Valid_players!I3:I41)</f>
        <v>156</v>
      </c>
      <c r="J46" s="11">
        <f ca="1">SUM(Valid_players!J3:J41)</f>
        <v>199</v>
      </c>
      <c r="K46" s="9">
        <f ca="1">SUM(Valid_players!K3:K41)</f>
        <v>167</v>
      </c>
      <c r="L46" s="11">
        <f ca="1">SUM(Valid_players!L3:L41)</f>
        <v>184</v>
      </c>
      <c r="M46" s="9">
        <f ca="1">SUM(Valid_players!M3:M41)</f>
        <v>3</v>
      </c>
      <c r="N46" s="11">
        <f ca="1">SUM(Valid_players!N3:N41)</f>
        <v>11</v>
      </c>
      <c r="O46" s="9">
        <f ca="1">SUM(Valid_players!O3:O41)</f>
        <v>326</v>
      </c>
      <c r="P46" s="10">
        <f ca="1">SUM(Valid_players!P3:P41)</f>
        <v>394</v>
      </c>
      <c r="Q46" s="9">
        <f ca="1">SUM(Valid_players!Q3:Q41)</f>
        <v>205</v>
      </c>
      <c r="R46" s="11">
        <f ca="1">SUM(Valid_players!R3:R41)</f>
        <v>276</v>
      </c>
      <c r="S46" s="9">
        <f ca="1">SUM(Valid_players!S3:S41)</f>
        <v>190</v>
      </c>
      <c r="T46" s="11">
        <f ca="1">SUM(Valid_players!T3:T41)</f>
        <v>156</v>
      </c>
      <c r="U46" s="9">
        <f ca="1">SUM(Valid_players!U3:U41)</f>
        <v>87</v>
      </c>
      <c r="V46" s="10">
        <f ca="1">SUM(Valid_players!V3:V41)</f>
        <v>114</v>
      </c>
      <c r="W46" s="9">
        <f ca="1">SUM(Valid_players!W3:W41)</f>
        <v>228</v>
      </c>
      <c r="X46" s="11">
        <f ca="1">SUM(Valid_players!X3:X41)</f>
        <v>262</v>
      </c>
      <c r="Y46" s="9">
        <f ca="1">SUM(Valid_players!Y3:Y41)</f>
        <v>33</v>
      </c>
      <c r="Z46" s="11">
        <f ca="1">SUM(Valid_players!Z3:Z41)</f>
        <v>31</v>
      </c>
      <c r="AA46" s="9">
        <f ca="1">SUM(Valid_players!AA3:AA41)</f>
        <v>162</v>
      </c>
      <c r="AB46" s="14">
        <f ca="1">SUM(Valid_players!AB3:AB41)</f>
        <v>174</v>
      </c>
    </row>
    <row r="47" spans="1:28" ht="12.75">
      <c r="F47" s="90" t="s">
        <v>40</v>
      </c>
      <c r="G47" s="9">
        <f ca="1">AVERAGE(Valid_players!G3:G41)</f>
        <v>4.6486486486486482</v>
      </c>
      <c r="H47" s="10">
        <f ca="1">AVERAGE(Valid_players!H3:H41)</f>
        <v>0</v>
      </c>
      <c r="I47" s="9">
        <f ca="1">AVERAGE(Valid_players!I3:I41)</f>
        <v>4.2162162162162158</v>
      </c>
      <c r="J47" s="11">
        <f ca="1">AVERAGE(Valid_players!J3:J41)</f>
        <v>5.3783783783783781</v>
      </c>
      <c r="K47" s="9">
        <f ca="1">AVERAGE(Valid_players!K3:K41)</f>
        <v>4.5135135135135132</v>
      </c>
      <c r="L47" s="95">
        <f ca="1">AVERAGE(Valid_players!L3:L41)</f>
        <v>4.9729729729729728</v>
      </c>
      <c r="M47" s="9">
        <f ca="1">AVERAGE(Valid_players!M3:M41)</f>
        <v>8.1081081081081086E-2</v>
      </c>
      <c r="N47" s="95">
        <f ca="1">AVERAGE(Valid_players!N3:N41)</f>
        <v>0.29729729729729731</v>
      </c>
      <c r="O47" s="9">
        <f ca="1">AVERAGE(Valid_players!O3:O41)</f>
        <v>8.8108108108108105</v>
      </c>
      <c r="P47" s="10">
        <f ca="1">AVERAGE(Valid_players!P3:P41)</f>
        <v>10.648648648648649</v>
      </c>
      <c r="Q47" s="9">
        <f ca="1">AVERAGE(Valid_players!Q3:Q41)</f>
        <v>5.5405405405405403</v>
      </c>
      <c r="R47" s="11">
        <f ca="1">AVERAGE(Valid_players!R3:R41)</f>
        <v>7.4594594594594597</v>
      </c>
      <c r="S47" s="9">
        <f ca="1">AVERAGE(Valid_players!S3:S41)</f>
        <v>5.1351351351351351</v>
      </c>
      <c r="T47" s="11">
        <f ca="1">AVERAGE(Valid_players!T3:T41)</f>
        <v>4.2162162162162158</v>
      </c>
      <c r="U47" s="9">
        <f ca="1">AVERAGE(Valid_players!U3:U41)</f>
        <v>2.3513513513513513</v>
      </c>
      <c r="V47" s="10">
        <f ca="1">AVERAGE(Valid_players!V3:V41)</f>
        <v>3.0810810810810811</v>
      </c>
      <c r="W47" s="9">
        <f ca="1">AVERAGE(Valid_players!W3:W41)</f>
        <v>6.1621621621621623</v>
      </c>
      <c r="X47" s="11">
        <f ca="1">AVERAGE(Valid_players!X3:X41)</f>
        <v>7.0810810810810807</v>
      </c>
      <c r="Y47" s="9">
        <f ca="1">AVERAGE(Valid_players!Y3:Y41)</f>
        <v>0.89189189189189189</v>
      </c>
      <c r="Z47" s="11">
        <f ca="1">AVERAGE(Valid_players!Z3:Z41)</f>
        <v>0.83783783783783783</v>
      </c>
      <c r="AA47" s="9">
        <f ca="1">AVERAGE(Valid_players!AA3:AA41)</f>
        <v>4.3783783783783781</v>
      </c>
      <c r="AB47" s="14">
        <f ca="1">AVERAGE(Valid_players!AB3:AB41)</f>
        <v>4.7027027027027026</v>
      </c>
    </row>
    <row r="48" spans="1:28" ht="12.75">
      <c r="F48" s="94" t="s">
        <v>4599</v>
      </c>
      <c r="G48" s="156" t="s">
        <v>4598</v>
      </c>
      <c r="H48" s="157"/>
      <c r="I48" s="158">
        <v>0.42547667960480101</v>
      </c>
      <c r="J48" s="159"/>
      <c r="K48" s="160">
        <v>0.56667318418363799</v>
      </c>
      <c r="L48" s="159"/>
      <c r="M48" s="160">
        <v>5.3665391826160702E-2</v>
      </c>
      <c r="N48" s="159"/>
      <c r="O48" s="160">
        <v>0.162990744884075</v>
      </c>
      <c r="P48" s="167"/>
      <c r="Q48" s="154">
        <v>2.0663188897144899E-2</v>
      </c>
      <c r="R48" s="155"/>
      <c r="S48" s="169">
        <v>6.6076404785725906E-2</v>
      </c>
      <c r="T48" s="159"/>
      <c r="U48" s="160">
        <v>0.13541362071311799</v>
      </c>
      <c r="V48" s="171"/>
      <c r="W48" s="170">
        <v>0.319523215898532</v>
      </c>
      <c r="X48" s="159"/>
      <c r="Y48" s="169">
        <v>0.88235137882385895</v>
      </c>
      <c r="Z48" s="159"/>
      <c r="AA48" s="160">
        <v>0.920941179860436</v>
      </c>
      <c r="AB48" s="168"/>
    </row>
    <row r="49" spans="6:28" ht="12.75">
      <c r="F49" s="9" t="s">
        <v>4600</v>
      </c>
      <c r="G49" s="96"/>
      <c r="H49" s="3"/>
      <c r="I49" s="97"/>
      <c r="J49" s="97"/>
      <c r="K49" s="97"/>
      <c r="L49" s="97"/>
      <c r="M49" s="97"/>
      <c r="N49" s="97"/>
      <c r="O49" s="97"/>
      <c r="P49" s="97"/>
      <c r="Q49" s="97"/>
      <c r="R49" s="97"/>
      <c r="S49" s="97"/>
      <c r="T49" s="97"/>
      <c r="U49" s="97"/>
      <c r="V49" s="97"/>
      <c r="W49" s="97"/>
      <c r="X49" s="97"/>
      <c r="Y49" s="97"/>
      <c r="Z49" s="97"/>
      <c r="AA49" s="97"/>
      <c r="AB49" s="97"/>
    </row>
    <row r="50" spans="6:28" ht="12.75">
      <c r="F50" s="9"/>
      <c r="G50" s="96"/>
      <c r="H50" s="3"/>
      <c r="I50" s="97"/>
      <c r="J50" s="97"/>
      <c r="K50" s="97"/>
      <c r="L50" s="97"/>
      <c r="M50" s="97"/>
      <c r="N50" s="97"/>
      <c r="O50" s="97"/>
      <c r="P50" s="97"/>
      <c r="Q50" s="97"/>
      <c r="R50" s="97"/>
      <c r="S50" s="97"/>
      <c r="T50" s="97"/>
      <c r="U50" s="97"/>
      <c r="V50" s="97"/>
      <c r="W50" s="97"/>
      <c r="X50" s="97"/>
      <c r="Y50" s="97"/>
      <c r="Z50" s="97"/>
      <c r="AA50" s="97"/>
      <c r="AB50" s="97"/>
    </row>
    <row r="51" spans="6:28" ht="39.950000000000003" customHeight="1">
      <c r="F51" s="85" t="s">
        <v>41</v>
      </c>
      <c r="G51" s="163" t="s">
        <v>4596</v>
      </c>
      <c r="H51" s="164"/>
      <c r="I51" s="40">
        <f ca="1">COUNTIFS(Valid_players!$B$3:$B$41,"Y",Players_aux!A3:A41,"=1")</f>
        <v>14</v>
      </c>
      <c r="J51" s="88">
        <f t="shared" ref="J51:J52" ca="1" si="0">I51/$C$45</f>
        <v>0.3783783783783784</v>
      </c>
      <c r="K51" s="40">
        <f ca="1">COUNTIFS(Valid_players!$B$3:$B$41,"Y",Players_aux!C3:C41,"=1")</f>
        <v>12</v>
      </c>
      <c r="L51" s="88">
        <f t="shared" ref="L51:L52" ca="1" si="1">K51/$C$45</f>
        <v>0.32432432432432434</v>
      </c>
      <c r="M51" s="40">
        <f ca="1">COUNTIFS(Valid_players!$B$3:$B$41,"Y",Players_aux!E3:E41,"=1")</f>
        <v>1</v>
      </c>
      <c r="N51" s="88">
        <f t="shared" ref="N51:N52" ca="1" si="2">M51/$C$45</f>
        <v>2.7027027027027029E-2</v>
      </c>
      <c r="O51" s="40">
        <f ca="1">COUNTIFS(Valid_players!$B$3:$B$41,"Y",Players_aux!G3:G41,"=1")</f>
        <v>10</v>
      </c>
      <c r="P51" s="86">
        <f t="shared" ref="P51:P52" ca="1" si="3">O51/$C$45</f>
        <v>0.27027027027027029</v>
      </c>
      <c r="Q51" s="40">
        <f ca="1">COUNTIFS(Valid_players!$B$3:$B$41,"Y",Players_aux!I3:I41,"=1")</f>
        <v>11</v>
      </c>
      <c r="R51" s="88">
        <f t="shared" ref="R51:R52" ca="1" si="4">Q51/$C$45</f>
        <v>0.29729729729729731</v>
      </c>
      <c r="S51" s="40">
        <f ca="1">COUNTIFS(Valid_players!$B$3:$B$41,"Y",Players_aux!K3:K41,"=1")</f>
        <v>19</v>
      </c>
      <c r="T51" s="88">
        <f t="shared" ref="T51:T52" ca="1" si="5">S51/$C$45</f>
        <v>0.51351351351351349</v>
      </c>
      <c r="U51" s="40">
        <f ca="1">COUNTIFS(Valid_players!$B$3:$B$41,"Y",Players_aux!M3:M41,"=1")</f>
        <v>12</v>
      </c>
      <c r="V51" s="86">
        <f t="shared" ref="V51:V52" ca="1" si="6">U51/$C$45</f>
        <v>0.32432432432432434</v>
      </c>
      <c r="W51" s="40">
        <f ca="1">COUNTIFS(Valid_players!$B$3:$B$41,"Y",Players_aux!O3:O41,"=1")</f>
        <v>15</v>
      </c>
      <c r="X51" s="88">
        <f t="shared" ref="X51:X52" ca="1" si="7">W51/$C$45</f>
        <v>0.40540540540540543</v>
      </c>
      <c r="Y51" s="40">
        <f ca="1">COUNTIFS(Valid_players!$B$3:$B$41,"Y",Players_aux!Q3:Q41,"=1")</f>
        <v>12</v>
      </c>
      <c r="Z51" s="88">
        <f t="shared" ref="Z51:Z52" ca="1" si="8">Y51/$C$45</f>
        <v>0.32432432432432434</v>
      </c>
      <c r="AA51" s="40">
        <f ca="1">COUNTIFS(Valid_players!$B$3:$B$41,"Y",Players_aux!S3:S41,"=1")</f>
        <v>17</v>
      </c>
      <c r="AB51" s="41">
        <f t="shared" ref="AB51:AB52" ca="1" si="9">AA51/$C$45</f>
        <v>0.45945945945945948</v>
      </c>
    </row>
    <row r="52" spans="6:28" ht="39.950000000000003" customHeight="1">
      <c r="G52" s="165" t="s">
        <v>4597</v>
      </c>
      <c r="H52" s="166"/>
      <c r="I52" s="21">
        <f ca="1">COUNTIFS(Valid_players!$B$3:$B$41,"Y",Players_aux!B3:B41,"=1")</f>
        <v>17</v>
      </c>
      <c r="J52" s="89">
        <f t="shared" ca="1" si="0"/>
        <v>0.45945945945945948</v>
      </c>
      <c r="K52" s="21">
        <f ca="1">COUNTIFS(Valid_players!$B$3:$B$41,"Y",Players_aux!D3:D41,"=1")</f>
        <v>23</v>
      </c>
      <c r="L52" s="89">
        <f t="shared" ca="1" si="1"/>
        <v>0.6216216216216216</v>
      </c>
      <c r="M52" s="21">
        <f ca="1">COUNTIFS(Valid_players!$B$3:$B$41,"Y",Players_aux!F3:F41,"=1")</f>
        <v>31</v>
      </c>
      <c r="N52" s="89">
        <f t="shared" ca="1" si="2"/>
        <v>0.83783783783783783</v>
      </c>
      <c r="O52" s="21">
        <f ca="1">COUNTIFS(Valid_players!$B$3:$B$41,"Y",Players_aux!H3:H41,"=1")</f>
        <v>14</v>
      </c>
      <c r="P52" s="87">
        <f t="shared" ca="1" si="3"/>
        <v>0.3783783783783784</v>
      </c>
      <c r="Q52" s="21">
        <f ca="1">COUNTIFS(Valid_players!$B$3:$B$41,"Y",Players_aux!J3:J41,"=1")</f>
        <v>14</v>
      </c>
      <c r="R52" s="89">
        <f t="shared" ca="1" si="4"/>
        <v>0.3783783783783784</v>
      </c>
      <c r="S52" s="21">
        <f ca="1">COUNTIFS(Valid_players!$B$3:$B$41,"Y",Players_aux!L3:L41,"=1")</f>
        <v>27</v>
      </c>
      <c r="T52" s="89">
        <f t="shared" ca="1" si="5"/>
        <v>0.72972972972972971</v>
      </c>
      <c r="U52" s="21">
        <f ca="1">COUNTIFS(Valid_players!$B$3:$B$41,"Y",Players_aux!N3:N41,"=1")</f>
        <v>19</v>
      </c>
      <c r="V52" s="87">
        <f t="shared" ca="1" si="6"/>
        <v>0.51351351351351349</v>
      </c>
      <c r="W52" s="21">
        <f ca="1">COUNTIFS(Valid_players!$B$3:$B$41,"Y",Players_aux!P3:P41,"=1")</f>
        <v>17</v>
      </c>
      <c r="X52" s="89">
        <f t="shared" ca="1" si="7"/>
        <v>0.45945945945945948</v>
      </c>
      <c r="Y52" s="21">
        <f ca="1">COUNTIFS(Valid_players!$B$3:$B$41,"Y",Players_aux!R3:R41,"=1")</f>
        <v>27</v>
      </c>
      <c r="Z52" s="89">
        <f t="shared" ca="1" si="8"/>
        <v>0.72972972972972971</v>
      </c>
      <c r="AA52" s="21">
        <f ca="1">COUNTIFS(Valid_players!$B$3:$B$41,"Y",Players_aux!T3:T41,"=1")</f>
        <v>21</v>
      </c>
      <c r="AB52" s="42">
        <f t="shared" ca="1" si="9"/>
        <v>0.56756756756756754</v>
      </c>
    </row>
  </sheetData>
  <mergeCells count="41">
    <mergeCell ref="AA1:AB1"/>
    <mergeCell ref="K1:L1"/>
    <mergeCell ref="M1:N1"/>
    <mergeCell ref="O1:P1"/>
    <mergeCell ref="Q1:R1"/>
    <mergeCell ref="S1:T1"/>
    <mergeCell ref="U1:V1"/>
    <mergeCell ref="W1:X1"/>
    <mergeCell ref="A1:A2"/>
    <mergeCell ref="B1:B2"/>
    <mergeCell ref="C1:D1"/>
    <mergeCell ref="E1:F1"/>
    <mergeCell ref="Y1:Z1"/>
    <mergeCell ref="G1:H1"/>
    <mergeCell ref="I1:J1"/>
    <mergeCell ref="S44:T44"/>
    <mergeCell ref="U44:V44"/>
    <mergeCell ref="W44:X44"/>
    <mergeCell ref="C45:D45"/>
    <mergeCell ref="Y44:Z44"/>
    <mergeCell ref="AA44:AB44"/>
    <mergeCell ref="C44:D44"/>
    <mergeCell ref="I44:J44"/>
    <mergeCell ref="K44:L44"/>
    <mergeCell ref="M44:N44"/>
    <mergeCell ref="O44:P44"/>
    <mergeCell ref="Q44:R44"/>
    <mergeCell ref="G44:H44"/>
    <mergeCell ref="G51:H51"/>
    <mergeCell ref="G52:H52"/>
    <mergeCell ref="O48:P48"/>
    <mergeCell ref="AA48:AB48"/>
    <mergeCell ref="Y48:Z48"/>
    <mergeCell ref="W48:X48"/>
    <mergeCell ref="U48:V48"/>
    <mergeCell ref="S48:T48"/>
    <mergeCell ref="Q48:R48"/>
    <mergeCell ref="G48:H48"/>
    <mergeCell ref="I48:J48"/>
    <mergeCell ref="K48:L48"/>
    <mergeCell ref="M48:N4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B2:S142"/>
  <sheetViews>
    <sheetView topLeftCell="A20" workbookViewId="0">
      <selection activeCell="B38" sqref="B38:C38"/>
    </sheetView>
  </sheetViews>
  <sheetFormatPr defaultColWidth="12.5703125" defaultRowHeight="15.75" customHeight="1"/>
  <cols>
    <col min="4" max="4" width="18.140625" bestFit="1" customWidth="1"/>
    <col min="5" max="5" width="13.85546875" customWidth="1"/>
    <col min="6" max="6" width="17.140625" customWidth="1"/>
    <col min="8" max="9" width="16.42578125" customWidth="1"/>
    <col min="13" max="14" width="13.42578125" customWidth="1"/>
  </cols>
  <sheetData>
    <row r="2" spans="2:19" ht="12.75">
      <c r="B2" s="29" t="s">
        <v>4</v>
      </c>
      <c r="C2" s="29" t="s">
        <v>45</v>
      </c>
      <c r="D2" s="29" t="s">
        <v>46</v>
      </c>
    </row>
    <row r="3" spans="2:19" ht="12.75">
      <c r="B3" s="29">
        <v>109</v>
      </c>
      <c r="C3" s="29" t="s">
        <v>59</v>
      </c>
      <c r="D3" s="127" t="s">
        <v>18</v>
      </c>
    </row>
    <row r="5" spans="2:19" ht="12.75">
      <c r="B5" s="221" t="s">
        <v>3</v>
      </c>
      <c r="C5" s="222"/>
      <c r="D5" s="44" t="s">
        <v>5</v>
      </c>
      <c r="E5" s="43" t="s">
        <v>6</v>
      </c>
      <c r="F5" s="43" t="s">
        <v>7</v>
      </c>
      <c r="G5" s="43" t="s">
        <v>8</v>
      </c>
      <c r="H5" s="44" t="s">
        <v>9</v>
      </c>
      <c r="I5" s="43" t="s">
        <v>10</v>
      </c>
      <c r="J5" s="43" t="s">
        <v>11</v>
      </c>
      <c r="K5" s="44" t="s">
        <v>12</v>
      </c>
      <c r="L5" s="43" t="s">
        <v>13</v>
      </c>
      <c r="M5" s="43" t="s">
        <v>14</v>
      </c>
      <c r="N5" s="61" t="s">
        <v>15</v>
      </c>
    </row>
    <row r="6" spans="2:19" ht="12.75">
      <c r="B6" s="223">
        <v>135</v>
      </c>
      <c r="C6" s="224"/>
      <c r="D6" s="47">
        <f ca="1">COUNTIF(Valid_questions!F$1:F1080, B6)</f>
        <v>2</v>
      </c>
      <c r="E6" s="40">
        <v>3</v>
      </c>
      <c r="F6" s="40">
        <v>0</v>
      </c>
      <c r="G6" s="40">
        <v>0</v>
      </c>
      <c r="H6" s="47">
        <v>3</v>
      </c>
      <c r="I6" s="40">
        <f>COUNTIFS(Tests!E$1:E1080,B6,Tests!D$1:D1080,"&lt;&gt;\N")</f>
        <v>2</v>
      </c>
      <c r="J6" s="40">
        <f>COUNTIFS(Tests!E$1:E1080,B6,Tests!D$1:D1080,"=\N")</f>
        <v>4</v>
      </c>
      <c r="K6" s="47">
        <v>2</v>
      </c>
      <c r="L6" s="40">
        <f>COUNTIFS(Mutants!E$1:E1080,B6,Mutants!D$1:D1080,"&lt;&gt;\N")</f>
        <v>7</v>
      </c>
      <c r="M6" s="40">
        <f>COUNTIFS(Mutants!E$1:E1080,B6,Mutants!D$1:D1080,"=\N")</f>
        <v>0</v>
      </c>
      <c r="N6" s="45">
        <v>5</v>
      </c>
    </row>
    <row r="7" spans="2:19" ht="12.75">
      <c r="B7" s="225">
        <v>136</v>
      </c>
      <c r="C7" s="226"/>
      <c r="D7" s="10">
        <f ca="1">COUNTIF(Valid_questions!F$1:F1080, B7)</f>
        <v>4</v>
      </c>
      <c r="E7" s="9">
        <v>0</v>
      </c>
      <c r="F7" s="9">
        <v>36</v>
      </c>
      <c r="G7" s="9">
        <v>0</v>
      </c>
      <c r="H7" s="10">
        <v>36</v>
      </c>
      <c r="I7" s="9">
        <f>COUNTIFS(Tests!E$1:E1080,B7,Tests!D$1:D1080,"&lt;&gt;\N")</f>
        <v>12</v>
      </c>
      <c r="J7" s="9">
        <f>COUNTIFS(Tests!E$1:E1080,B7,Tests!D$1:D1080,"=\N")</f>
        <v>7</v>
      </c>
      <c r="K7" s="10">
        <v>9</v>
      </c>
      <c r="L7" s="9">
        <f>COUNTIFS(Mutants!E$1:E1080,B7,Mutants!D$1:D1080,"&lt;&gt;\N")</f>
        <v>2</v>
      </c>
      <c r="M7" s="9">
        <f>COUNTIFS(Mutants!E$1:E1080,B7,Mutants!D$1:D1080,"=\N")</f>
        <v>0</v>
      </c>
      <c r="N7" s="14">
        <v>1</v>
      </c>
    </row>
    <row r="8" spans="2:19" ht="12.75">
      <c r="B8" s="225">
        <v>137</v>
      </c>
      <c r="C8" s="226"/>
      <c r="D8" s="10">
        <f ca="1">COUNTIF(Valid_questions!F$1:F1080, B8)</f>
        <v>1</v>
      </c>
      <c r="E8" s="9">
        <v>4</v>
      </c>
      <c r="F8" s="9">
        <v>0</v>
      </c>
      <c r="G8" s="9">
        <v>0</v>
      </c>
      <c r="H8" s="10">
        <v>4</v>
      </c>
      <c r="I8" s="9">
        <f>COUNTIFS(Tests!E$1:E1080,B8,Tests!D$1:D1080,"&lt;&gt;\N")</f>
        <v>3</v>
      </c>
      <c r="J8" s="9">
        <f>COUNTIFS(Tests!E$1:E1080,B8,Tests!D$1:D1080,"=\N")</f>
        <v>4</v>
      </c>
      <c r="K8" s="10">
        <v>0</v>
      </c>
      <c r="L8" s="9">
        <f>COUNTIFS(Mutants!E$1:E1080,B8,Mutants!D$1:D1080,"&lt;&gt;\N")</f>
        <v>2</v>
      </c>
      <c r="M8" s="9">
        <f>COUNTIFS(Mutants!E$1:E1080,B8,Mutants!D$1:D1080,"=\N")</f>
        <v>0</v>
      </c>
      <c r="N8" s="14">
        <v>1</v>
      </c>
    </row>
    <row r="9" spans="2:19" ht="12.75">
      <c r="B9" s="225">
        <v>138</v>
      </c>
      <c r="C9" s="226"/>
      <c r="D9" s="10">
        <f ca="1">COUNTIF(Valid_questions!F$1:F1080, B9)</f>
        <v>0</v>
      </c>
      <c r="E9" s="9">
        <v>1</v>
      </c>
      <c r="F9" s="9">
        <v>4</v>
      </c>
      <c r="G9" s="9">
        <v>0</v>
      </c>
      <c r="H9" s="10">
        <v>5</v>
      </c>
      <c r="I9" s="9">
        <f>COUNTIFS(Tests!E$1:E1080,B9,Tests!D$1:D1080,"&lt;&gt;\N")</f>
        <v>8</v>
      </c>
      <c r="J9" s="9">
        <f>COUNTIFS(Tests!E$1:E1080,B9,Tests!D$1:D1080,"=\N")</f>
        <v>5</v>
      </c>
      <c r="K9" s="10">
        <v>4</v>
      </c>
      <c r="L9" s="9">
        <f>COUNTIFS(Mutants!E$1:E1080,B9,Mutants!D$1:D1080,"&lt;&gt;\N")</f>
        <v>3</v>
      </c>
      <c r="M9" s="9">
        <f>COUNTIFS(Mutants!E$1:E1080,B9,Mutants!D$1:D1080,"=\N")</f>
        <v>1</v>
      </c>
      <c r="N9" s="14">
        <v>1</v>
      </c>
    </row>
    <row r="10" spans="2:19" ht="12.75">
      <c r="B10" s="227">
        <v>139</v>
      </c>
      <c r="C10" s="228"/>
      <c r="D10" s="22">
        <f ca="1">COUNTIF(Valid_questions!F$1:F1080, B10)</f>
        <v>7</v>
      </c>
      <c r="E10" s="21">
        <v>25</v>
      </c>
      <c r="F10" s="21">
        <v>0</v>
      </c>
      <c r="G10" s="21">
        <v>0</v>
      </c>
      <c r="H10" s="22">
        <v>25</v>
      </c>
      <c r="I10" s="21">
        <f>COUNTIFS(Tests!E$1:E1080,B10,Tests!D$1:D1080,"&lt;&gt;\N")</f>
        <v>0</v>
      </c>
      <c r="J10" s="21">
        <f>COUNTIFS(Tests!E$1:E1080,B10,Tests!D$1:D1080,"=\N")</f>
        <v>3</v>
      </c>
      <c r="K10" s="22">
        <v>0</v>
      </c>
      <c r="L10" s="21">
        <f>COUNTIFS(Mutants!E$1:E1080,B10,Mutants!D$1:D1080,"&lt;&gt;\N")</f>
        <v>5</v>
      </c>
      <c r="M10" s="21">
        <f>COUNTIFS(Mutants!E$1:E1080,B10,Mutants!D$1:D1080,"=\N")</f>
        <v>0</v>
      </c>
      <c r="N10" s="38">
        <v>5</v>
      </c>
    </row>
    <row r="13" spans="2:19" ht="27" customHeight="1">
      <c r="B13" s="220" t="s">
        <v>4588</v>
      </c>
      <c r="C13" s="173"/>
    </row>
    <row r="15" spans="2:19" ht="12.75">
      <c r="C15" s="29" t="s">
        <v>4589</v>
      </c>
    </row>
    <row r="16" spans="2:19" ht="12.75">
      <c r="B16" s="29" t="s">
        <v>4590</v>
      </c>
      <c r="C16" s="29"/>
      <c r="D16" s="43">
        <v>113</v>
      </c>
      <c r="E16" s="43">
        <v>117</v>
      </c>
      <c r="F16" s="43">
        <v>143</v>
      </c>
      <c r="G16" s="43">
        <v>168</v>
      </c>
      <c r="H16" s="43">
        <v>210</v>
      </c>
      <c r="I16" s="43">
        <v>216</v>
      </c>
      <c r="J16" s="43">
        <v>230</v>
      </c>
      <c r="K16" s="43">
        <v>242</v>
      </c>
      <c r="L16" s="43">
        <v>286</v>
      </c>
      <c r="M16" s="43">
        <v>298</v>
      </c>
      <c r="N16" s="43">
        <v>308</v>
      </c>
      <c r="O16" s="43">
        <v>315</v>
      </c>
      <c r="P16" s="43">
        <v>347</v>
      </c>
      <c r="Q16" s="43">
        <v>374</v>
      </c>
      <c r="R16" s="43">
        <v>383</v>
      </c>
      <c r="S16" s="61">
        <v>410</v>
      </c>
    </row>
    <row r="17" spans="2:19" ht="12.75">
      <c r="B17" s="9"/>
      <c r="C17" s="81">
        <v>115</v>
      </c>
      <c r="D17" s="9" t="s">
        <v>4591</v>
      </c>
      <c r="E17" s="9" t="s">
        <v>4591</v>
      </c>
      <c r="F17" s="9" t="s">
        <v>4591</v>
      </c>
      <c r="G17" s="9" t="s">
        <v>4591</v>
      </c>
      <c r="H17" s="9" t="s">
        <v>4591</v>
      </c>
      <c r="I17" s="9" t="s">
        <v>4591</v>
      </c>
      <c r="J17" s="9" t="s">
        <v>4591</v>
      </c>
      <c r="K17" s="9" t="s">
        <v>4591</v>
      </c>
      <c r="L17" s="9" t="s">
        <v>4591</v>
      </c>
      <c r="M17" s="9" t="s">
        <v>4591</v>
      </c>
      <c r="N17" s="9" t="s">
        <v>4591</v>
      </c>
      <c r="O17" s="9" t="s">
        <v>4591</v>
      </c>
      <c r="P17" s="9" t="s">
        <v>4591</v>
      </c>
      <c r="Q17" s="9" t="s">
        <v>4591</v>
      </c>
      <c r="R17" s="9" t="s">
        <v>4591</v>
      </c>
      <c r="S17" s="14" t="s">
        <v>4592</v>
      </c>
    </row>
    <row r="18" spans="2:19" ht="12.75">
      <c r="B18" s="9"/>
      <c r="C18" s="81">
        <v>139</v>
      </c>
      <c r="D18" s="9" t="s">
        <v>4591</v>
      </c>
      <c r="E18" s="9" t="s">
        <v>4591</v>
      </c>
      <c r="F18" s="9" t="s">
        <v>4591</v>
      </c>
      <c r="G18" s="9" t="s">
        <v>4591</v>
      </c>
      <c r="H18" s="9" t="s">
        <v>4591</v>
      </c>
      <c r="I18" s="9" t="s">
        <v>4591</v>
      </c>
      <c r="J18" s="9" t="s">
        <v>4591</v>
      </c>
      <c r="K18" s="9" t="s">
        <v>4591</v>
      </c>
      <c r="L18" s="9" t="s">
        <v>4591</v>
      </c>
      <c r="M18" s="9" t="s">
        <v>4591</v>
      </c>
      <c r="N18" s="9" t="s">
        <v>4591</v>
      </c>
      <c r="O18" s="9" t="s">
        <v>4591</v>
      </c>
      <c r="P18" s="9" t="s">
        <v>4591</v>
      </c>
      <c r="Q18" s="9" t="s">
        <v>4591</v>
      </c>
      <c r="R18" s="9" t="s">
        <v>4591</v>
      </c>
      <c r="S18" s="14" t="s">
        <v>4591</v>
      </c>
    </row>
    <row r="19" spans="2:19" ht="12.75">
      <c r="B19" s="9"/>
      <c r="C19" s="81">
        <v>150</v>
      </c>
      <c r="D19" s="9" t="s">
        <v>4591</v>
      </c>
      <c r="E19" s="9" t="s">
        <v>4591</v>
      </c>
      <c r="F19" s="9" t="s">
        <v>4591</v>
      </c>
      <c r="G19" s="9" t="s">
        <v>4591</v>
      </c>
      <c r="H19" s="9" t="s">
        <v>4591</v>
      </c>
      <c r="I19" s="9" t="s">
        <v>4591</v>
      </c>
      <c r="J19" s="9" t="s">
        <v>4591</v>
      </c>
      <c r="K19" s="9" t="s">
        <v>4591</v>
      </c>
      <c r="L19" s="9" t="s">
        <v>4591</v>
      </c>
      <c r="M19" s="9" t="s">
        <v>4591</v>
      </c>
      <c r="N19" s="9" t="s">
        <v>4591</v>
      </c>
      <c r="O19" s="9" t="s">
        <v>4591</v>
      </c>
      <c r="P19" s="9" t="s">
        <v>4591</v>
      </c>
      <c r="Q19" s="9" t="s">
        <v>4591</v>
      </c>
      <c r="R19" s="9" t="s">
        <v>4591</v>
      </c>
      <c r="S19" s="14" t="s">
        <v>4591</v>
      </c>
    </row>
    <row r="20" spans="2:19" ht="12.75">
      <c r="B20" s="9"/>
      <c r="C20" s="81">
        <v>159</v>
      </c>
      <c r="D20" s="9" t="s">
        <v>4591</v>
      </c>
      <c r="E20" s="9" t="s">
        <v>4591</v>
      </c>
      <c r="F20" s="9" t="s">
        <v>4591</v>
      </c>
      <c r="G20" s="9" t="s">
        <v>4591</v>
      </c>
      <c r="H20" s="9" t="s">
        <v>4591</v>
      </c>
      <c r="I20" s="9" t="s">
        <v>4591</v>
      </c>
      <c r="J20" s="9" t="s">
        <v>4591</v>
      </c>
      <c r="K20" s="9" t="s">
        <v>4591</v>
      </c>
      <c r="L20" s="9" t="s">
        <v>4591</v>
      </c>
      <c r="M20" s="9" t="s">
        <v>4591</v>
      </c>
      <c r="N20" s="9" t="s">
        <v>4591</v>
      </c>
      <c r="O20" s="9" t="s">
        <v>4591</v>
      </c>
      <c r="P20" s="9" t="s">
        <v>4591</v>
      </c>
      <c r="Q20" s="9" t="s">
        <v>4591</v>
      </c>
      <c r="R20" s="9" t="s">
        <v>4591</v>
      </c>
      <c r="S20" s="14" t="s">
        <v>4591</v>
      </c>
    </row>
    <row r="21" spans="2:19" ht="12.75">
      <c r="B21" s="9"/>
      <c r="C21" s="81">
        <v>161</v>
      </c>
      <c r="D21" s="9" t="s">
        <v>4592</v>
      </c>
      <c r="E21" s="9" t="s">
        <v>4592</v>
      </c>
      <c r="F21" s="9" t="s">
        <v>4592</v>
      </c>
      <c r="G21" s="9" t="s">
        <v>4591</v>
      </c>
      <c r="H21" s="9" t="s">
        <v>4591</v>
      </c>
      <c r="I21" s="9" t="s">
        <v>4591</v>
      </c>
      <c r="J21" s="9" t="s">
        <v>4591</v>
      </c>
      <c r="K21" s="9" t="s">
        <v>4591</v>
      </c>
      <c r="L21" s="9" t="s">
        <v>4591</v>
      </c>
      <c r="M21" s="9" t="s">
        <v>4591</v>
      </c>
      <c r="N21" s="9" t="s">
        <v>4591</v>
      </c>
      <c r="O21" s="9" t="s">
        <v>4592</v>
      </c>
      <c r="P21" s="9" t="s">
        <v>4591</v>
      </c>
      <c r="Q21" s="9" t="s">
        <v>4591</v>
      </c>
      <c r="R21" s="9" t="s">
        <v>4591</v>
      </c>
      <c r="S21" s="14" t="s">
        <v>4591</v>
      </c>
    </row>
    <row r="22" spans="2:19" ht="12.75">
      <c r="B22" s="9"/>
      <c r="C22" s="81">
        <v>180</v>
      </c>
      <c r="D22" s="9" t="s">
        <v>4591</v>
      </c>
      <c r="E22" s="9" t="s">
        <v>4591</v>
      </c>
      <c r="F22" s="9" t="s">
        <v>4591</v>
      </c>
      <c r="G22" s="9" t="s">
        <v>4591</v>
      </c>
      <c r="H22" s="9" t="s">
        <v>4591</v>
      </c>
      <c r="I22" s="9" t="s">
        <v>4591</v>
      </c>
      <c r="J22" s="9" t="s">
        <v>4591</v>
      </c>
      <c r="K22" s="9" t="s">
        <v>4591</v>
      </c>
      <c r="L22" s="9" t="s">
        <v>4591</v>
      </c>
      <c r="M22" s="9" t="s">
        <v>4591</v>
      </c>
      <c r="N22" s="9" t="s">
        <v>4591</v>
      </c>
      <c r="O22" s="9" t="s">
        <v>4591</v>
      </c>
      <c r="P22" s="9" t="s">
        <v>4591</v>
      </c>
      <c r="Q22" s="9" t="s">
        <v>4593</v>
      </c>
      <c r="R22" s="9" t="s">
        <v>4591</v>
      </c>
      <c r="S22" s="14" t="s">
        <v>4591</v>
      </c>
    </row>
    <row r="23" spans="2:19" ht="12.75">
      <c r="B23" s="9"/>
      <c r="C23" s="81">
        <v>184</v>
      </c>
      <c r="D23" s="9" t="s">
        <v>4591</v>
      </c>
      <c r="E23" s="9" t="s">
        <v>4591</v>
      </c>
      <c r="F23" s="9" t="s">
        <v>4591</v>
      </c>
      <c r="G23" s="9" t="s">
        <v>4592</v>
      </c>
      <c r="H23" s="9" t="s">
        <v>4591</v>
      </c>
      <c r="I23" s="9" t="s">
        <v>4591</v>
      </c>
      <c r="J23" s="9" t="s">
        <v>4591</v>
      </c>
      <c r="K23" s="9" t="s">
        <v>4592</v>
      </c>
      <c r="L23" s="9" t="s">
        <v>4591</v>
      </c>
      <c r="M23" s="9" t="s">
        <v>4591</v>
      </c>
      <c r="N23" s="9" t="s">
        <v>4593</v>
      </c>
      <c r="O23" s="9" t="s">
        <v>4591</v>
      </c>
      <c r="P23" s="9" t="s">
        <v>4591</v>
      </c>
      <c r="Q23" s="9" t="s">
        <v>4591</v>
      </c>
      <c r="R23" s="9" t="s">
        <v>4591</v>
      </c>
      <c r="S23" s="14" t="s">
        <v>4591</v>
      </c>
    </row>
    <row r="24" spans="2:19" ht="12.75">
      <c r="B24" s="9"/>
      <c r="C24" s="81">
        <v>185</v>
      </c>
      <c r="D24" s="9" t="s">
        <v>4591</v>
      </c>
      <c r="E24" s="9" t="s">
        <v>4591</v>
      </c>
      <c r="F24" s="9" t="s">
        <v>4591</v>
      </c>
      <c r="G24" s="9" t="s">
        <v>4593</v>
      </c>
      <c r="H24" s="9" t="s">
        <v>4591</v>
      </c>
      <c r="I24" s="9" t="s">
        <v>4591</v>
      </c>
      <c r="J24" s="9" t="s">
        <v>4591</v>
      </c>
      <c r="K24" s="9" t="s">
        <v>4593</v>
      </c>
      <c r="L24" s="9" t="s">
        <v>4591</v>
      </c>
      <c r="M24" s="9" t="s">
        <v>4591</v>
      </c>
      <c r="N24" s="9" t="s">
        <v>4593</v>
      </c>
      <c r="O24" s="9" t="s">
        <v>4591</v>
      </c>
      <c r="P24" s="9" t="s">
        <v>4591</v>
      </c>
      <c r="Q24" s="9" t="s">
        <v>4591</v>
      </c>
      <c r="R24" s="9" t="s">
        <v>4591</v>
      </c>
      <c r="S24" s="14" t="s">
        <v>4591</v>
      </c>
    </row>
    <row r="25" spans="2:19" ht="12.75">
      <c r="B25" s="9"/>
      <c r="C25" s="81">
        <v>213</v>
      </c>
      <c r="D25" s="9" t="s">
        <v>4591</v>
      </c>
      <c r="E25" s="9" t="s">
        <v>4591</v>
      </c>
      <c r="F25" s="9" t="s">
        <v>4591</v>
      </c>
      <c r="G25" s="9" t="s">
        <v>4593</v>
      </c>
      <c r="H25" s="9" t="s">
        <v>4591</v>
      </c>
      <c r="I25" s="9" t="s">
        <v>4591</v>
      </c>
      <c r="J25" s="9" t="s">
        <v>4591</v>
      </c>
      <c r="K25" s="9" t="s">
        <v>4593</v>
      </c>
      <c r="L25" s="9" t="s">
        <v>4591</v>
      </c>
      <c r="M25" s="9" t="s">
        <v>4591</v>
      </c>
      <c r="N25" s="9" t="s">
        <v>4593</v>
      </c>
      <c r="O25" s="9" t="s">
        <v>4591</v>
      </c>
      <c r="P25" s="9" t="s">
        <v>4591</v>
      </c>
      <c r="Q25" s="9" t="s">
        <v>4591</v>
      </c>
      <c r="R25" s="9" t="s">
        <v>4591</v>
      </c>
      <c r="S25" s="14" t="s">
        <v>4591</v>
      </c>
    </row>
    <row r="26" spans="2:19" ht="12.75">
      <c r="B26" s="9"/>
      <c r="C26" s="81">
        <v>214</v>
      </c>
      <c r="D26" s="9" t="s">
        <v>4591</v>
      </c>
      <c r="E26" s="9" t="s">
        <v>4591</v>
      </c>
      <c r="F26" s="9" t="s">
        <v>4591</v>
      </c>
      <c r="G26" s="9" t="s">
        <v>4591</v>
      </c>
      <c r="H26" s="9" t="s">
        <v>4591</v>
      </c>
      <c r="I26" s="9" t="s">
        <v>4591</v>
      </c>
      <c r="J26" s="9" t="s">
        <v>4591</v>
      </c>
      <c r="K26" s="9" t="s">
        <v>4591</v>
      </c>
      <c r="L26" s="9" t="s">
        <v>4591</v>
      </c>
      <c r="M26" s="9" t="s">
        <v>4593</v>
      </c>
      <c r="N26" s="9" t="s">
        <v>4591</v>
      </c>
      <c r="O26" s="9" t="s">
        <v>4591</v>
      </c>
      <c r="P26" s="9" t="s">
        <v>4591</v>
      </c>
      <c r="Q26" s="9" t="s">
        <v>4591</v>
      </c>
      <c r="R26" s="9" t="s">
        <v>4591</v>
      </c>
      <c r="S26" s="14" t="s">
        <v>4591</v>
      </c>
    </row>
    <row r="27" spans="2:19" ht="12.75">
      <c r="B27" s="9"/>
      <c r="C27" s="81">
        <v>278</v>
      </c>
      <c r="D27" s="9" t="s">
        <v>4591</v>
      </c>
      <c r="E27" s="9" t="s">
        <v>4591</v>
      </c>
      <c r="F27" s="9" t="s">
        <v>4591</v>
      </c>
      <c r="G27" s="9" t="s">
        <v>4591</v>
      </c>
      <c r="H27" s="9" t="s">
        <v>4592</v>
      </c>
      <c r="I27" s="9" t="s">
        <v>4591</v>
      </c>
      <c r="J27" s="9" t="s">
        <v>4591</v>
      </c>
      <c r="K27" s="9" t="s">
        <v>4591</v>
      </c>
      <c r="L27" s="9" t="s">
        <v>4591</v>
      </c>
      <c r="M27" s="9" t="s">
        <v>4591</v>
      </c>
      <c r="N27" s="9" t="s">
        <v>4591</v>
      </c>
      <c r="O27" s="9" t="s">
        <v>4591</v>
      </c>
      <c r="P27" s="9" t="s">
        <v>4593</v>
      </c>
      <c r="Q27" s="9" t="s">
        <v>4593</v>
      </c>
      <c r="R27" s="9" t="s">
        <v>4593</v>
      </c>
      <c r="S27" s="14" t="s">
        <v>4592</v>
      </c>
    </row>
    <row r="28" spans="2:19" ht="12.75">
      <c r="B28" s="9"/>
      <c r="C28" s="81">
        <v>281</v>
      </c>
      <c r="D28" s="9" t="s">
        <v>4591</v>
      </c>
      <c r="E28" s="9" t="s">
        <v>4591</v>
      </c>
      <c r="F28" s="9" t="s">
        <v>4591</v>
      </c>
      <c r="G28" s="9" t="s">
        <v>4591</v>
      </c>
      <c r="H28" s="9" t="s">
        <v>4591</v>
      </c>
      <c r="I28" s="9" t="s">
        <v>4591</v>
      </c>
      <c r="J28" s="9" t="s">
        <v>4591</v>
      </c>
      <c r="K28" s="9" t="s">
        <v>4591</v>
      </c>
      <c r="L28" s="9" t="s">
        <v>4593</v>
      </c>
      <c r="M28" s="9" t="s">
        <v>4591</v>
      </c>
      <c r="N28" s="9" t="s">
        <v>4591</v>
      </c>
      <c r="O28" s="9" t="s">
        <v>4591</v>
      </c>
      <c r="P28" s="9" t="s">
        <v>4591</v>
      </c>
      <c r="Q28" s="9" t="s">
        <v>4591</v>
      </c>
      <c r="R28" s="9" t="s">
        <v>4591</v>
      </c>
      <c r="S28" s="14" t="s">
        <v>4591</v>
      </c>
    </row>
    <row r="29" spans="2:19" ht="12.75">
      <c r="B29" s="9"/>
      <c r="C29" s="81">
        <v>289</v>
      </c>
      <c r="D29" s="9" t="s">
        <v>4591</v>
      </c>
      <c r="E29" s="9" t="s">
        <v>4593</v>
      </c>
      <c r="F29" s="9" t="s">
        <v>4592</v>
      </c>
      <c r="G29" s="9" t="s">
        <v>4591</v>
      </c>
      <c r="H29" s="9" t="s">
        <v>4591</v>
      </c>
      <c r="I29" s="9" t="s">
        <v>4592</v>
      </c>
      <c r="J29" s="9" t="s">
        <v>4592</v>
      </c>
      <c r="K29" s="9" t="s">
        <v>4591</v>
      </c>
      <c r="L29" s="9" t="s">
        <v>4591</v>
      </c>
      <c r="M29" s="9" t="s">
        <v>4591</v>
      </c>
      <c r="N29" s="9" t="s">
        <v>4593</v>
      </c>
      <c r="O29" s="9" t="s">
        <v>4591</v>
      </c>
      <c r="P29" s="9" t="s">
        <v>4593</v>
      </c>
      <c r="Q29" s="9" t="s">
        <v>4593</v>
      </c>
      <c r="R29" s="9" t="s">
        <v>4593</v>
      </c>
      <c r="S29" s="14" t="s">
        <v>4592</v>
      </c>
    </row>
    <row r="30" spans="2:19" ht="12.75">
      <c r="B30" s="9"/>
      <c r="C30" s="81">
        <v>294</v>
      </c>
      <c r="D30" s="9" t="s">
        <v>4592</v>
      </c>
      <c r="E30" s="9" t="s">
        <v>4592</v>
      </c>
      <c r="F30" s="9" t="s">
        <v>4592</v>
      </c>
      <c r="G30" s="9" t="s">
        <v>4591</v>
      </c>
      <c r="H30" s="9" t="s">
        <v>4592</v>
      </c>
      <c r="I30" s="9" t="s">
        <v>4591</v>
      </c>
      <c r="J30" s="9" t="s">
        <v>4591</v>
      </c>
      <c r="K30" s="9" t="s">
        <v>4591</v>
      </c>
      <c r="L30" s="9" t="s">
        <v>4592</v>
      </c>
      <c r="M30" s="9" t="s">
        <v>4592</v>
      </c>
      <c r="N30" s="9" t="s">
        <v>4591</v>
      </c>
      <c r="O30" s="9" t="s">
        <v>4592</v>
      </c>
      <c r="P30" s="9" t="s">
        <v>4592</v>
      </c>
      <c r="Q30" s="9" t="s">
        <v>4592</v>
      </c>
      <c r="R30" s="9" t="s">
        <v>4593</v>
      </c>
      <c r="S30" s="14" t="s">
        <v>4591</v>
      </c>
    </row>
    <row r="31" spans="2:19" ht="12.75">
      <c r="B31" s="9"/>
      <c r="C31" s="81">
        <v>295</v>
      </c>
      <c r="D31" s="9" t="s">
        <v>4592</v>
      </c>
      <c r="E31" s="9" t="s">
        <v>4592</v>
      </c>
      <c r="F31" s="9" t="s">
        <v>4592</v>
      </c>
      <c r="G31" s="9" t="s">
        <v>4591</v>
      </c>
      <c r="H31" s="9" t="s">
        <v>4592</v>
      </c>
      <c r="I31" s="9" t="s">
        <v>4591</v>
      </c>
      <c r="J31" s="9" t="s">
        <v>4591</v>
      </c>
      <c r="K31" s="9" t="s">
        <v>4591</v>
      </c>
      <c r="L31" s="9" t="s">
        <v>4592</v>
      </c>
      <c r="M31" s="9" t="s">
        <v>4592</v>
      </c>
      <c r="N31" s="9" t="s">
        <v>4591</v>
      </c>
      <c r="O31" s="9" t="s">
        <v>4592</v>
      </c>
      <c r="P31" s="9" t="s">
        <v>4592</v>
      </c>
      <c r="Q31" s="9" t="s">
        <v>4591</v>
      </c>
      <c r="R31" s="9" t="s">
        <v>4593</v>
      </c>
      <c r="S31" s="14" t="s">
        <v>4591</v>
      </c>
    </row>
    <row r="32" spans="2:19" ht="12.75">
      <c r="B32" s="9"/>
      <c r="C32" s="81">
        <v>300</v>
      </c>
      <c r="D32" s="9" t="s">
        <v>4592</v>
      </c>
      <c r="E32" s="9" t="s">
        <v>4592</v>
      </c>
      <c r="F32" s="9" t="s">
        <v>4592</v>
      </c>
      <c r="G32" s="9" t="s">
        <v>4591</v>
      </c>
      <c r="H32" s="9" t="s">
        <v>4592</v>
      </c>
      <c r="I32" s="9" t="s">
        <v>4591</v>
      </c>
      <c r="J32" s="9" t="s">
        <v>4591</v>
      </c>
      <c r="K32" s="9" t="s">
        <v>4591</v>
      </c>
      <c r="L32" s="9" t="s">
        <v>4592</v>
      </c>
      <c r="M32" s="9" t="s">
        <v>4592</v>
      </c>
      <c r="N32" s="9" t="s">
        <v>4591</v>
      </c>
      <c r="O32" s="9" t="s">
        <v>4592</v>
      </c>
      <c r="P32" s="9" t="s">
        <v>4592</v>
      </c>
      <c r="Q32" s="9" t="s">
        <v>4593</v>
      </c>
      <c r="R32" s="9" t="s">
        <v>4593</v>
      </c>
      <c r="S32" s="14" t="s">
        <v>4591</v>
      </c>
    </row>
    <row r="33" spans="2:19" ht="12.75">
      <c r="B33" s="9"/>
      <c r="C33" s="81">
        <v>310</v>
      </c>
      <c r="D33" s="9" t="s">
        <v>4591</v>
      </c>
      <c r="E33" s="9" t="s">
        <v>4591</v>
      </c>
      <c r="F33" s="9" t="s">
        <v>4591</v>
      </c>
      <c r="G33" s="9" t="s">
        <v>4591</v>
      </c>
      <c r="H33" s="9" t="s">
        <v>4591</v>
      </c>
      <c r="I33" s="9" t="s">
        <v>4591</v>
      </c>
      <c r="J33" s="9" t="s">
        <v>4591</v>
      </c>
      <c r="K33" s="9" t="s">
        <v>4591</v>
      </c>
      <c r="L33" s="9" t="s">
        <v>4591</v>
      </c>
      <c r="M33" s="9" t="s">
        <v>4591</v>
      </c>
      <c r="N33" s="9" t="s">
        <v>4591</v>
      </c>
      <c r="O33" s="9" t="s">
        <v>4591</v>
      </c>
      <c r="P33" s="9" t="s">
        <v>4591</v>
      </c>
      <c r="Q33" s="9" t="s">
        <v>4591</v>
      </c>
      <c r="R33" s="9" t="s">
        <v>4593</v>
      </c>
      <c r="S33" s="14" t="s">
        <v>4591</v>
      </c>
    </row>
    <row r="34" spans="2:19" ht="12.75">
      <c r="B34" s="9"/>
      <c r="C34" s="81">
        <v>325</v>
      </c>
      <c r="D34" s="9" t="s">
        <v>4591</v>
      </c>
      <c r="E34" s="9" t="s">
        <v>4591</v>
      </c>
      <c r="F34" s="9" t="s">
        <v>4591</v>
      </c>
      <c r="G34" s="9" t="s">
        <v>4591</v>
      </c>
      <c r="H34" s="9" t="s">
        <v>4591</v>
      </c>
      <c r="I34" s="9" t="s">
        <v>4591</v>
      </c>
      <c r="J34" s="9" t="s">
        <v>4591</v>
      </c>
      <c r="K34" s="9" t="s">
        <v>4591</v>
      </c>
      <c r="L34" s="9" t="s">
        <v>4591</v>
      </c>
      <c r="M34" s="9" t="s">
        <v>4591</v>
      </c>
      <c r="N34" s="9" t="s">
        <v>4591</v>
      </c>
      <c r="O34" s="9" t="s">
        <v>4591</v>
      </c>
      <c r="P34" s="9" t="s">
        <v>4591</v>
      </c>
      <c r="Q34" s="9" t="s">
        <v>4591</v>
      </c>
      <c r="R34" s="9" t="s">
        <v>4591</v>
      </c>
      <c r="S34" s="14" t="s">
        <v>4591</v>
      </c>
    </row>
    <row r="35" spans="2:19" ht="12.75">
      <c r="B35" s="9"/>
      <c r="C35" s="82">
        <v>356</v>
      </c>
      <c r="D35" s="21" t="s">
        <v>4591</v>
      </c>
      <c r="E35" s="21" t="s">
        <v>4591</v>
      </c>
      <c r="F35" s="21" t="s">
        <v>4591</v>
      </c>
      <c r="G35" s="21" t="s">
        <v>4591</v>
      </c>
      <c r="H35" s="21" t="s">
        <v>4591</v>
      </c>
      <c r="I35" s="21" t="s">
        <v>4591</v>
      </c>
      <c r="J35" s="21" t="s">
        <v>4591</v>
      </c>
      <c r="K35" s="21" t="s">
        <v>4591</v>
      </c>
      <c r="L35" s="21" t="s">
        <v>4591</v>
      </c>
      <c r="M35" s="21" t="s">
        <v>4591</v>
      </c>
      <c r="N35" s="21" t="s">
        <v>4591</v>
      </c>
      <c r="O35" s="21" t="s">
        <v>4591</v>
      </c>
      <c r="P35" s="21" t="s">
        <v>4591</v>
      </c>
      <c r="Q35" s="21" t="s">
        <v>4591</v>
      </c>
      <c r="R35" s="21" t="s">
        <v>4591</v>
      </c>
      <c r="S35" s="38" t="s">
        <v>4592</v>
      </c>
    </row>
    <row r="38" spans="2:19" ht="13.5" thickBot="1">
      <c r="B38" s="219" t="s">
        <v>4604</v>
      </c>
      <c r="C38" s="201"/>
      <c r="D38" s="45">
        <v>135</v>
      </c>
      <c r="E38" s="128"/>
      <c r="F38" s="98"/>
      <c r="G38" s="98"/>
      <c r="H38" s="98"/>
    </row>
    <row r="39" spans="2:19" ht="13.5" thickTop="1">
      <c r="B39" s="73" t="s">
        <v>4594</v>
      </c>
      <c r="C39" s="74" t="s">
        <v>44</v>
      </c>
      <c r="D39" s="74" t="s">
        <v>110</v>
      </c>
      <c r="E39" s="129" t="s">
        <v>2</v>
      </c>
      <c r="F39" s="212" t="s">
        <v>4612</v>
      </c>
      <c r="G39" s="212"/>
      <c r="H39" s="213"/>
      <c r="I39" s="132"/>
      <c r="J39" s="9"/>
      <c r="K39" s="9"/>
      <c r="L39" s="9"/>
      <c r="M39" s="9"/>
      <c r="O39" s="9"/>
      <c r="P39" s="9"/>
    </row>
    <row r="40" spans="2:19" ht="15.75" customHeight="1">
      <c r="B40" s="46" t="s">
        <v>4589</v>
      </c>
      <c r="C40" s="40">
        <v>180</v>
      </c>
      <c r="D40" s="40" t="s">
        <v>3320</v>
      </c>
      <c r="E40" s="9" t="str">
        <f>IF($B40 = "Mutant",VLOOKUP($C40,Mutants!$A$2:$L$560,12,FALSE),IF($B40 = "Test",VLOOKUP($C40,Tests!$A$2:$L$841,12,FALSE),VLOOKUP($C40,Questions!$A$3:$N$174,9,FALSE)))</f>
        <v>Y</v>
      </c>
      <c r="F40" s="215" t="str">
        <f>IF($B40 = "Mutant",VLOOKUP($C40,Mutants!$A$2:$L$560,11,FALSE),IF($B40 = "Test",VLOOKUP($C40,Tests!$A$2:$L$841,11,FALSE),VLOOKUP($C40,Questions!$A$3:$N$174,13,FALSE)))</f>
        <v xml:space="preserve">stripLeadingHyphens
</v>
      </c>
      <c r="G40" s="215"/>
      <c r="H40" s="216"/>
      <c r="I40" s="9"/>
      <c r="J40" s="9"/>
      <c r="K40" s="9"/>
      <c r="L40" s="9"/>
      <c r="M40" s="9"/>
    </row>
    <row r="41" spans="2:19" ht="15.75" customHeight="1">
      <c r="B41" s="8" t="s">
        <v>4590</v>
      </c>
      <c r="C41" s="9">
        <v>116</v>
      </c>
      <c r="D41" s="9" t="s">
        <v>733</v>
      </c>
      <c r="E41" s="9" t="str">
        <f>IF($B41 = "Mutant",VLOOKUP($C41,Mutants!$A$2:$L$560,12,FALSE),IF($B41 = "Test",VLOOKUP($C41,Tests!$A$2:$L$841,12,FALSE),VLOOKUP($C41,Questions!$A$3:$N$174,9,FALSE)))</f>
        <v>N</v>
      </c>
      <c r="F41" s="217" t="str">
        <f>IF($B41 = "Mutant",VLOOKUP($C41,Mutants!$A$2:$L$560,11,FALSE),IF($B41 = "Test",VLOOKUP($C41,Tests!$A$2:$L$841,11,FALSE),VLOOKUP($C41,Questions!$A$3:$N$174,13,FALSE)))</f>
        <v xml:space="preserve">
</v>
      </c>
      <c r="G41" s="217"/>
      <c r="H41" s="218"/>
      <c r="I41" s="9"/>
      <c r="J41" s="9"/>
      <c r="K41" s="9"/>
      <c r="L41" s="9"/>
      <c r="M41" s="9"/>
    </row>
    <row r="42" spans="2:19" ht="15.75" customHeight="1">
      <c r="B42" s="8" t="s">
        <v>4590</v>
      </c>
      <c r="C42" s="9">
        <v>139</v>
      </c>
      <c r="D42" s="9" t="s">
        <v>798</v>
      </c>
      <c r="E42" s="9" t="str">
        <f>IF($B42 = "Mutant",VLOOKUP($C42,Mutants!$A$2:$L$560,12,FALSE),IF($B42 = "Test",VLOOKUP($C42,Tests!$A$2:$L$841,12,FALSE),VLOOKUP($C42,Questions!$A$3:$N$174,9,FALSE)))</f>
        <v>N</v>
      </c>
      <c r="F42" s="217" t="str">
        <f>IF($B42 = "Mutant",VLOOKUP($C42,Mutants!$A$2:$L$560,11,FALSE),IF($B42 = "Test",VLOOKUP($C42,Tests!$A$2:$L$841,11,FALSE),VLOOKUP($C42,Questions!$A$3:$N$174,13,FALSE)))</f>
        <v xml:space="preserve">
</v>
      </c>
      <c r="G42" s="217"/>
      <c r="H42" s="218"/>
      <c r="I42" s="9"/>
      <c r="J42" s="9"/>
      <c r="K42" s="9"/>
      <c r="L42" s="9"/>
      <c r="M42" s="9"/>
    </row>
    <row r="43" spans="2:19" ht="15.75" customHeight="1">
      <c r="B43" s="8" t="s">
        <v>4590</v>
      </c>
      <c r="C43" s="9">
        <v>147</v>
      </c>
      <c r="D43" s="9" t="s">
        <v>816</v>
      </c>
      <c r="E43" s="9" t="str">
        <f>IF($B43 = "Mutant",VLOOKUP($C43,Mutants!$A$2:$L$560,12,FALSE),IF($B43 = "Test",VLOOKUP($C43,Tests!$A$2:$L$841,12,FALSE),VLOOKUP($C43,Questions!$A$3:$N$174,9,FALSE)))</f>
        <v>N</v>
      </c>
      <c r="F43" s="217" t="str">
        <f>IF($B43 = "Mutant",VLOOKUP($C43,Mutants!$A$2:$L$560,11,FALSE),IF($B43 = "Test",VLOOKUP($C43,Tests!$A$2:$L$841,11,FALSE),VLOOKUP($C43,Questions!$A$3:$N$174,13,FALSE)))</f>
        <v xml:space="preserve">
</v>
      </c>
      <c r="G43" s="217"/>
      <c r="H43" s="218"/>
      <c r="I43" s="9"/>
      <c r="J43" s="9"/>
      <c r="K43" s="9"/>
      <c r="L43" s="9"/>
      <c r="M43" s="9"/>
    </row>
    <row r="44" spans="2:19" ht="15.75" customHeight="1">
      <c r="B44" s="8" t="s">
        <v>4589</v>
      </c>
      <c r="C44" s="9">
        <v>278</v>
      </c>
      <c r="D44" s="9" t="s">
        <v>3592</v>
      </c>
      <c r="E44" s="9" t="str">
        <f>IF($B44 = "Mutant",VLOOKUP($C44,Mutants!$A$2:$L$560,12,FALSE),IF($B44 = "Test",VLOOKUP($C44,Tests!$A$2:$L$841,12,FALSE),VLOOKUP($C44,Questions!$A$3:$N$174,9,FALSE)))</f>
        <v>Y</v>
      </c>
      <c r="F44" s="217" t="str">
        <f>IF($B44 = "Mutant",VLOOKUP($C44,Mutants!$A$2:$L$560,11,FALSE),IF($B44 = "Test",VLOOKUP($C44,Tests!$A$2:$L$841,11,FALSE),VLOOKUP($C44,Questions!$A$3:$N$174,13,FALSE)))</f>
        <v xml:space="preserve">getOption
</v>
      </c>
      <c r="G44" s="217"/>
      <c r="H44" s="218"/>
      <c r="I44" s="9"/>
      <c r="J44" s="9"/>
      <c r="K44" s="9"/>
      <c r="L44" s="3"/>
      <c r="M44" s="9"/>
    </row>
    <row r="45" spans="2:19" ht="15.75" customHeight="1">
      <c r="B45" s="8" t="s">
        <v>4589</v>
      </c>
      <c r="C45" s="9">
        <v>281</v>
      </c>
      <c r="D45" s="9" t="s">
        <v>3601</v>
      </c>
      <c r="E45" s="9" t="str">
        <f>IF($B45 = "Mutant",VLOOKUP($C45,Mutants!$A$2:$L$560,12,FALSE),IF($B45 = "Test",VLOOKUP($C45,Tests!$A$2:$L$841,12,FALSE),VLOOKUP($C45,Questions!$A$3:$N$174,9,FALSE)))</f>
        <v>Y</v>
      </c>
      <c r="F45" s="217" t="str">
        <f>IF($B45 = "Mutant",VLOOKUP($C45,Mutants!$A$2:$L$560,11,FALSE),IF($B45 = "Test",VLOOKUP($C45,Tests!$A$2:$L$841,11,FALSE),VLOOKUP($C45,Questions!$A$3:$N$174,13,FALSE)))</f>
        <v xml:space="preserve">hasShortOption
</v>
      </c>
      <c r="G45" s="217"/>
      <c r="H45" s="218"/>
      <c r="I45" s="9"/>
      <c r="J45" s="9"/>
      <c r="K45" s="9"/>
      <c r="L45" s="9"/>
      <c r="M45" s="9"/>
    </row>
    <row r="46" spans="2:19" ht="12.75">
      <c r="B46" s="8" t="s">
        <v>107</v>
      </c>
      <c r="C46" s="9">
        <v>43</v>
      </c>
      <c r="D46" s="9" t="s">
        <v>118</v>
      </c>
      <c r="E46" s="9" t="str">
        <f>IF($B46 = "Mutant",VLOOKUP($C46,Mutants!$A$2:$L$560,12,FALSE),IF($B46 = "Test",VLOOKUP($C46,Tests!$A$2:$L$841,12,FALSE),VLOOKUP($C46,Questions!$A$3:$N$174,9,FALSE)))</f>
        <v>Y</v>
      </c>
      <c r="F46" s="217" t="str">
        <f>IF($B46 = "Mutant",VLOOKUP($C46,Mutants!$A$2:$L$560,11,FALSE),IF($B46 = "Test",VLOOKUP($C46,Tests!$A$2:$L$841,11,FALSE),VLOOKUP($C46,Questions!$A$3:$N$174,13,FALSE)))</f>
        <v xml:space="preserve"> </v>
      </c>
      <c r="G46" s="217"/>
      <c r="H46" s="218"/>
      <c r="I46" s="9"/>
      <c r="J46" s="9"/>
      <c r="K46" s="9"/>
      <c r="L46" s="9"/>
      <c r="M46" s="9"/>
    </row>
    <row r="47" spans="2:19" ht="15.75" customHeight="1">
      <c r="B47" s="8" t="s">
        <v>4590</v>
      </c>
      <c r="C47" s="9">
        <v>175</v>
      </c>
      <c r="D47" s="9" t="s">
        <v>887</v>
      </c>
      <c r="E47" s="9" t="str">
        <f>IF($B47 = "Mutant",VLOOKUP($C47,Mutants!$A$2:$L$560,12,FALSE),IF($B47 = "Test",VLOOKUP($C47,Tests!$A$2:$L$841,12,FALSE),VLOOKUP($C47,Questions!$A$3:$N$174,9,FALSE)))</f>
        <v>N</v>
      </c>
      <c r="F47" s="217" t="str">
        <f>IF($B47 = "Mutant",VLOOKUP($C47,Mutants!$A$2:$L$560,11,FALSE),IF($B47 = "Test",VLOOKUP($C47,Tests!$A$2:$L$841,11,FALSE),VLOOKUP($C47,Questions!$A$3:$N$174,13,FALSE)))</f>
        <v xml:space="preserve">
</v>
      </c>
      <c r="G47" s="217"/>
      <c r="H47" s="218"/>
      <c r="I47" s="9"/>
      <c r="J47" s="9"/>
      <c r="K47" s="9"/>
      <c r="L47" s="9"/>
      <c r="M47" s="9"/>
    </row>
    <row r="48" spans="2:19" ht="15.75" customHeight="1">
      <c r="B48" s="8" t="s">
        <v>4589</v>
      </c>
      <c r="C48" s="9">
        <v>289</v>
      </c>
      <c r="D48" s="9" t="s">
        <v>931</v>
      </c>
      <c r="E48" s="9" t="str">
        <f>IF($B48 = "Mutant",VLOOKUP($C48,Mutants!$A$2:$L$560,12,FALSE),IF($B48 = "Test",VLOOKUP($C48,Tests!$A$2:$L$841,12,FALSE),VLOOKUP($C48,Questions!$A$3:$N$174,9,FALSE)))</f>
        <v>Y</v>
      </c>
      <c r="F48" s="217" t="str">
        <f>IF($B48 = "Mutant",VLOOKUP($C48,Mutants!$A$2:$L$560,11,FALSE),IF($B48 = "Test",VLOOKUP($C48,Tests!$A$2:$L$841,11,FALSE),VLOOKUP($C48,Questions!$A$3:$N$174,13,FALSE)))</f>
        <v xml:space="preserve">addOption
</v>
      </c>
      <c r="G48" s="217"/>
      <c r="H48" s="218"/>
      <c r="I48" s="9"/>
      <c r="J48" s="9"/>
      <c r="K48" s="9"/>
      <c r="L48" s="9"/>
      <c r="M48" s="9"/>
    </row>
    <row r="49" spans="2:14" ht="15.75" customHeight="1">
      <c r="B49" s="8" t="s">
        <v>4590</v>
      </c>
      <c r="C49" s="9">
        <v>216</v>
      </c>
      <c r="D49" s="9" t="s">
        <v>998</v>
      </c>
      <c r="E49" s="9" t="str">
        <f>IF($B49 = "Mutant",VLOOKUP($C49,Mutants!$A$2:$L$560,12,FALSE),IF($B49 = "Test",VLOOKUP($C49,Tests!$A$2:$L$841,12,FALSE),VLOOKUP($C49,Questions!$A$3:$N$174,9,FALSE)))</f>
        <v>Y</v>
      </c>
      <c r="F49" s="217" t="str">
        <f>IF($B49 = "Mutant",VLOOKUP($C49,Mutants!$A$2:$L$560,11,FALSE),IF($B49 = "Test",VLOOKUP($C49,Tests!$A$2:$L$841,11,FALSE),VLOOKUP($C49,Questions!$A$3:$N$174,13,FALSE)))</f>
        <v xml:space="preserve">addOption
</v>
      </c>
      <c r="G49" s="217"/>
      <c r="H49" s="218"/>
      <c r="I49" s="9"/>
      <c r="J49" s="9"/>
      <c r="K49" s="9"/>
      <c r="L49" s="9"/>
      <c r="M49" s="9"/>
    </row>
    <row r="50" spans="2:14" ht="15.75" customHeight="1">
      <c r="B50" s="8" t="s">
        <v>4590</v>
      </c>
      <c r="C50" s="9">
        <v>230</v>
      </c>
      <c r="D50" s="9" t="s">
        <v>1038</v>
      </c>
      <c r="E50" s="9" t="str">
        <f>IF($B50 = "Mutant",VLOOKUP($C50,Mutants!$A$2:$L$560,12,FALSE),IF($B50 = "Test",VLOOKUP($C50,Tests!$A$2:$L$841,12,FALSE),VLOOKUP($C50,Questions!$A$3:$N$174,9,FALSE)))</f>
        <v>Y</v>
      </c>
      <c r="F50" s="217" t="str">
        <f>IF($B50 = "Mutant",VLOOKUP($C50,Mutants!$A$2:$L$560,11,FALSE),IF($B50 = "Test",VLOOKUP($C50,Tests!$A$2:$L$841,11,FALSE),VLOOKUP($C50,Questions!$A$3:$N$174,13,FALSE)))</f>
        <v xml:space="preserve">addOption
</v>
      </c>
      <c r="G50" s="217"/>
      <c r="H50" s="218"/>
      <c r="I50" s="9"/>
      <c r="J50" s="9"/>
      <c r="K50" s="9"/>
      <c r="L50" s="9"/>
      <c r="M50" s="9"/>
    </row>
    <row r="51" spans="2:14" ht="15.75" customHeight="1">
      <c r="B51" s="8" t="s">
        <v>4589</v>
      </c>
      <c r="C51" s="9">
        <v>310</v>
      </c>
      <c r="D51" s="9" t="s">
        <v>3675</v>
      </c>
      <c r="E51" s="9" t="str">
        <f>IF($B51 = "Mutant",VLOOKUP($C51,Mutants!$A$2:$L$560,12,FALSE),IF($B51 = "Test",VLOOKUP($C51,Tests!$A$2:$L$841,12,FALSE),VLOOKUP($C51,Questions!$A$3:$N$174,9,FALSE)))</f>
        <v>Y</v>
      </c>
      <c r="F51" s="217" t="str">
        <f>IF($B51 = "Mutant",VLOOKUP($C51,Mutants!$A$2:$L$560,11,FALSE),IF($B51 = "Test",VLOOKUP($C51,Tests!$A$2:$L$841,11,FALSE),VLOOKUP($C51,Questions!$A$3:$N$174,13,FALSE)))</f>
        <v xml:space="preserve">stripLeadingHyphens
</v>
      </c>
      <c r="G51" s="217"/>
      <c r="H51" s="218"/>
      <c r="I51" s="9"/>
      <c r="J51" s="9"/>
      <c r="K51" s="9"/>
      <c r="L51" s="9"/>
      <c r="M51" s="9"/>
    </row>
    <row r="52" spans="2:14" ht="15.75" customHeight="1">
      <c r="B52" s="8" t="s">
        <v>4589</v>
      </c>
      <c r="C52" s="9">
        <v>325</v>
      </c>
      <c r="D52" s="9" t="s">
        <v>3717</v>
      </c>
      <c r="E52" s="9" t="str">
        <f>IF($B52 = "Mutant",VLOOKUP($C52,Mutants!$A$2:$L$560,12,FALSE),IF($B52 = "Test",VLOOKUP($C52,Tests!$A$2:$L$841,12,FALSE),VLOOKUP($C52,Questions!$A$3:$N$174,9,FALSE)))</f>
        <v>Y</v>
      </c>
      <c r="F52" s="217" t="str">
        <f>IF($B52 = "Mutant",VLOOKUP($C52,Mutants!$A$2:$L$560,11,FALSE),IF($B52 = "Test",VLOOKUP($C52,Tests!$A$2:$L$841,11,FALSE),VLOOKUP($C52,Questions!$A$3:$N$174,13,FALSE)))</f>
        <v xml:space="preserve">getMatchingOptions
</v>
      </c>
      <c r="G52" s="217"/>
      <c r="H52" s="218"/>
      <c r="I52" s="9"/>
      <c r="J52" s="9"/>
      <c r="K52" s="9"/>
      <c r="L52" s="9"/>
      <c r="M52" s="9"/>
    </row>
    <row r="53" spans="2:14" ht="15.75" customHeight="1">
      <c r="B53" s="8" t="s">
        <v>4589</v>
      </c>
      <c r="C53" s="9">
        <v>356</v>
      </c>
      <c r="D53" s="9" t="s">
        <v>3799</v>
      </c>
      <c r="E53" s="9" t="str">
        <f>IF($B53 = "Mutant",VLOOKUP($C53,Mutants!$A$2:$L$560,12,FALSE),IF($B53 = "Test",VLOOKUP($C53,Tests!$A$2:$L$841,12,FALSE),VLOOKUP($C53,Questions!$A$3:$N$174,9,FALSE)))</f>
        <v>Y</v>
      </c>
      <c r="F53" s="217" t="str">
        <f>IF($B53 = "Mutant",VLOOKUP($C53,Mutants!$A$2:$L$560,11,FALSE),IF($B53 = "Test",VLOOKUP($C53,Tests!$A$2:$L$841,11,FALSE),VLOOKUP($C53,Questions!$A$3:$N$174,13,FALSE)))</f>
        <v xml:space="preserve">stripLeadingHyphens
</v>
      </c>
      <c r="G53" s="217"/>
      <c r="H53" s="218"/>
      <c r="I53" s="9"/>
      <c r="J53" s="9"/>
      <c r="K53" s="9"/>
      <c r="L53" s="9"/>
      <c r="M53" s="9"/>
    </row>
    <row r="54" spans="2:14" ht="12.75">
      <c r="B54" s="20" t="s">
        <v>107</v>
      </c>
      <c r="C54" s="21">
        <v>94</v>
      </c>
      <c r="D54" s="21" t="s">
        <v>122</v>
      </c>
      <c r="E54" s="130" t="str">
        <f>IF($B54 = "Mutant",VLOOKUP($C54,Mutants!$A$2:$L$560,12,FALSE),IF($B54 = "Test",VLOOKUP($C54,Tests!$A$2:$L$841,12,FALSE),VLOOKUP($C54,Questions!$A$3:$N$174,9,FALSE)))</f>
        <v>Y</v>
      </c>
      <c r="F54" s="210" t="str">
        <f>IF($B54 = "Mutant",VLOOKUP($C54,Mutants!$A$2:$L$560,11,FALSE),IF($B54 = "Test",VLOOKUP($C54,Tests!$A$2:$L$841,11,FALSE),VLOOKUP($C54,Questions!$A$3:$N$174,13,FALSE)))</f>
        <v xml:space="preserve">toString
</v>
      </c>
      <c r="G54" s="210"/>
      <c r="H54" s="211"/>
      <c r="I54" s="9"/>
      <c r="J54" s="9"/>
      <c r="K54" s="9"/>
      <c r="L54" s="9"/>
      <c r="M54" s="9"/>
      <c r="N54" s="9"/>
    </row>
    <row r="55" spans="2:14" ht="15.75" customHeight="1">
      <c r="F55" s="214"/>
      <c r="G55" s="214"/>
      <c r="H55" s="214"/>
    </row>
    <row r="56" spans="2:14" ht="15.75" customHeight="1">
      <c r="F56" s="188"/>
      <c r="G56" s="188"/>
      <c r="H56" s="188"/>
    </row>
    <row r="57" spans="2:14" ht="15.75" customHeight="1" thickBot="1">
      <c r="B57" s="200" t="s">
        <v>4604</v>
      </c>
      <c r="C57" s="201"/>
      <c r="D57" s="45">
        <v>136</v>
      </c>
      <c r="F57" s="188"/>
      <c r="G57" s="188"/>
      <c r="H57" s="188"/>
    </row>
    <row r="58" spans="2:14" ht="15.75" customHeight="1" thickTop="1">
      <c r="B58" s="73" t="s">
        <v>4594</v>
      </c>
      <c r="C58" s="74" t="s">
        <v>44</v>
      </c>
      <c r="D58" s="74" t="s">
        <v>110</v>
      </c>
      <c r="E58" s="129" t="s">
        <v>2</v>
      </c>
      <c r="F58" s="208" t="s">
        <v>4612</v>
      </c>
      <c r="G58" s="208"/>
      <c r="H58" s="209"/>
      <c r="I58" s="9"/>
      <c r="J58" s="9"/>
      <c r="K58" s="9"/>
      <c r="L58" s="9"/>
      <c r="M58" s="9"/>
    </row>
    <row r="59" spans="2:14" ht="15.75" customHeight="1">
      <c r="B59" s="46" t="s">
        <v>4589</v>
      </c>
      <c r="C59" s="40">
        <v>115</v>
      </c>
      <c r="D59" s="40" t="s">
        <v>3134</v>
      </c>
      <c r="E59" s="9" t="str">
        <f>IF($B59 = "Mutant",VLOOKUP($C59,Mutants!$A$2:$L$560,12,FALSE),IF($B59 = "Test",VLOOKUP($C59,Tests!$A$2:$L$841,12,FALSE),VLOOKUP($C59,Questions!$A$3:$N$174,9,FALSE)))</f>
        <v>Y</v>
      </c>
      <c r="F59" s="187" t="str">
        <f>IF($B59 = "Mutant",VLOOKUP($C59,Mutants!$A$2:$L$560,11,FALSE),IF($B59 = "Test",VLOOKUP($C59,Tests!$A$2:$L$841,11,FALSE),VLOOKUP($C59,Questions!$A$3:$N$174,13,FALSE)))</f>
        <v xml:space="preserve">stripLeadingHyphens
</v>
      </c>
      <c r="G59" s="187"/>
      <c r="H59" s="202"/>
      <c r="I59" s="9"/>
      <c r="J59" s="9"/>
      <c r="K59" s="9"/>
      <c r="L59" s="9"/>
      <c r="M59" s="9"/>
    </row>
    <row r="60" spans="2:14" ht="12.75">
      <c r="B60" s="8" t="s">
        <v>107</v>
      </c>
      <c r="C60" s="9">
        <v>11</v>
      </c>
      <c r="D60" s="9" t="s">
        <v>125</v>
      </c>
      <c r="E60" s="9" t="str">
        <f>IF($B60 = "Mutant",VLOOKUP($C60,Mutants!$A$2:$L$560,12,FALSE),IF($B60 = "Test",VLOOKUP($C60,Tests!$A$2:$L$841,12,FALSE),VLOOKUP($C60,Questions!$A$3:$N$174,9,FALSE)))</f>
        <v>Y</v>
      </c>
      <c r="F60" s="187" t="str">
        <f>IF($B60 = "Mutant",VLOOKUP($C60,Mutants!$A$2:$L$560,11,FALSE),IF($B60 = "Test",VLOOKUP($C60,Tests!$A$2:$L$841,11,FALSE),VLOOKUP($C60,Questions!$A$3:$N$174,13,FALSE)))</f>
        <v>addOption, hasOption</v>
      </c>
      <c r="G60" s="187"/>
      <c r="H60" s="202"/>
      <c r="I60" s="9"/>
      <c r="J60" s="9"/>
      <c r="K60" s="9"/>
      <c r="L60" s="9"/>
      <c r="M60" s="9"/>
      <c r="N60" s="9"/>
    </row>
    <row r="61" spans="2:14" ht="15.75" customHeight="1">
      <c r="B61" s="8" t="s">
        <v>4590</v>
      </c>
      <c r="C61" s="9">
        <v>104</v>
      </c>
      <c r="D61" s="9" t="s">
        <v>701</v>
      </c>
      <c r="E61" s="9" t="str">
        <f>IF($B61 = "Mutant",VLOOKUP($C61,Mutants!$A$2:$L$560,12,FALSE),IF($B61 = "Test",VLOOKUP($C61,Tests!$A$2:$L$841,12,FALSE),VLOOKUP($C61,Questions!$A$3:$N$174,9,FALSE)))</f>
        <v>N</v>
      </c>
      <c r="F61" s="187" t="str">
        <f>IF($B61 = "Mutant",VLOOKUP($C61,Mutants!$A$2:$L$560,11,FALSE),IF($B61 = "Test",VLOOKUP($C61,Tests!$A$2:$L$841,11,FALSE),VLOOKUP($C61,Questions!$A$3:$N$174,13,FALSE)))</f>
        <v xml:space="preserve">
</v>
      </c>
      <c r="G61" s="187"/>
      <c r="H61" s="202"/>
      <c r="I61" s="9"/>
      <c r="J61" s="9"/>
      <c r="K61" s="9"/>
      <c r="L61" s="9"/>
      <c r="M61" s="9"/>
    </row>
    <row r="62" spans="2:14" ht="15.75" customHeight="1">
      <c r="B62" s="8" t="s">
        <v>4589</v>
      </c>
      <c r="C62" s="9">
        <v>214</v>
      </c>
      <c r="D62" s="9" t="s">
        <v>3416</v>
      </c>
      <c r="E62" s="9" t="str">
        <f>IF($B62 = "Mutant",VLOOKUP($C62,Mutants!$A$2:$L$560,12,FALSE),IF($B62 = "Test",VLOOKUP($C62,Tests!$A$2:$L$841,12,FALSE),VLOOKUP($C62,Questions!$A$3:$N$174,9,FALSE)))</f>
        <v>Y</v>
      </c>
      <c r="F62" s="187" t="str">
        <f>IF($B62 = "Mutant",VLOOKUP($C62,Mutants!$A$2:$L$560,11,FALSE),IF($B62 = "Test",VLOOKUP($C62,Tests!$A$2:$L$841,11,FALSE),VLOOKUP($C62,Questions!$A$3:$N$174,13,FALSE)))</f>
        <v xml:space="preserve">hasLongOption
</v>
      </c>
      <c r="G62" s="187"/>
      <c r="H62" s="202"/>
      <c r="I62" s="9"/>
      <c r="J62" s="9"/>
      <c r="K62" s="9"/>
      <c r="L62" s="9"/>
      <c r="M62" s="9"/>
    </row>
    <row r="63" spans="2:14" ht="15.75" customHeight="1">
      <c r="B63" s="8" t="s">
        <v>4590</v>
      </c>
      <c r="C63" s="9">
        <v>109</v>
      </c>
      <c r="D63" s="9" t="s">
        <v>711</v>
      </c>
      <c r="E63" s="9" t="str">
        <f>IF($B63 = "Mutant",VLOOKUP($C63,Mutants!$A$2:$L$560,12,FALSE),IF($B63 = "Test",VLOOKUP($C63,Tests!$A$2:$L$841,12,FALSE),VLOOKUP($C63,Questions!$A$3:$N$174,9,FALSE)))</f>
        <v>N</v>
      </c>
      <c r="F63" s="187" t="str">
        <f>IF($B63 = "Mutant",VLOOKUP($C63,Mutants!$A$2:$L$560,11,FALSE),IF($B63 = "Test",VLOOKUP($C63,Tests!$A$2:$L$841,11,FALSE),VLOOKUP($C63,Questions!$A$3:$N$174,13,FALSE)))</f>
        <v xml:space="preserve">
</v>
      </c>
      <c r="G63" s="187"/>
      <c r="H63" s="202"/>
      <c r="I63" s="9"/>
      <c r="J63" s="9"/>
      <c r="K63" s="9"/>
      <c r="L63" s="9"/>
      <c r="M63" s="9"/>
    </row>
    <row r="64" spans="2:14" ht="15.75" customHeight="1">
      <c r="B64" s="8" t="s">
        <v>4590</v>
      </c>
      <c r="C64" s="9">
        <v>112</v>
      </c>
      <c r="D64" s="9" t="s">
        <v>717</v>
      </c>
      <c r="E64" s="9" t="str">
        <f>IF($B64 = "Mutant",VLOOKUP($C64,Mutants!$A$2:$L$560,12,FALSE),IF($B64 = "Test",VLOOKUP($C64,Tests!$A$2:$L$841,12,FALSE),VLOOKUP($C64,Questions!$A$3:$N$174,9,FALSE)))</f>
        <v>N</v>
      </c>
      <c r="F64" s="187" t="str">
        <f>IF($B64 = "Mutant",VLOOKUP($C64,Mutants!$A$2:$L$560,11,FALSE),IF($B64 = "Test",VLOOKUP($C64,Tests!$A$2:$L$841,11,FALSE),VLOOKUP($C64,Questions!$A$3:$N$174,13,FALSE)))</f>
        <v xml:space="preserve">
</v>
      </c>
      <c r="G64" s="187"/>
      <c r="H64" s="202"/>
      <c r="I64" s="9"/>
      <c r="J64" s="9"/>
      <c r="K64" s="9"/>
      <c r="L64" s="9"/>
      <c r="M64" s="9"/>
    </row>
    <row r="65" spans="2:13" ht="15.75" customHeight="1">
      <c r="B65" s="8" t="s">
        <v>4590</v>
      </c>
      <c r="C65" s="9">
        <v>113</v>
      </c>
      <c r="D65" s="9" t="s">
        <v>720</v>
      </c>
      <c r="E65" s="9" t="str">
        <f>IF($B65 = "Mutant",VLOOKUP($C65,Mutants!$A$2:$L$560,12,FALSE),IF($B65 = "Test",VLOOKUP($C65,Tests!$A$2:$L$841,12,FALSE),VLOOKUP($C65,Questions!$A$3:$N$174,9,FALSE)))</f>
        <v>Y</v>
      </c>
      <c r="F65" s="187" t="str">
        <f>IF($B65 = "Mutant",VLOOKUP($C65,Mutants!$A$2:$L$560,11,FALSE),IF($B65 = "Test",VLOOKUP($C65,Tests!$A$2:$L$841,11,FALSE),VLOOKUP($C65,Questions!$A$3:$N$174,13,FALSE)))</f>
        <v xml:space="preserve">hasOption, stripLeadingHyphens
</v>
      </c>
      <c r="G65" s="187"/>
      <c r="H65" s="202"/>
      <c r="I65" s="9"/>
      <c r="J65" s="9"/>
      <c r="K65" s="9"/>
      <c r="L65" s="9"/>
      <c r="M65" s="9"/>
    </row>
    <row r="66" spans="2:13" ht="15.75" customHeight="1">
      <c r="B66" s="8" t="s">
        <v>4590</v>
      </c>
      <c r="C66" s="9">
        <v>117</v>
      </c>
      <c r="D66" s="9" t="s">
        <v>736</v>
      </c>
      <c r="E66" s="9" t="str">
        <f>IF($B66 = "Mutant",VLOOKUP($C66,Mutants!$A$2:$L$560,12,FALSE),IF($B66 = "Test",VLOOKUP($C66,Tests!$A$2:$L$841,12,FALSE),VLOOKUP($C66,Questions!$A$3:$N$174,9,FALSE)))</f>
        <v>Y</v>
      </c>
      <c r="F66" s="187" t="str">
        <f>IF($B66 = "Mutant",VLOOKUP($C66,Mutants!$A$2:$L$560,11,FALSE),IF($B66 = "Test",VLOOKUP($C66,Tests!$A$2:$L$841,11,FALSE),VLOOKUP($C66,Questions!$A$3:$N$174,13,FALSE)))</f>
        <v xml:space="preserve">addOption, hasOption, stripLeadingHyphens
</v>
      </c>
      <c r="G66" s="187"/>
      <c r="H66" s="202"/>
      <c r="I66" s="9"/>
      <c r="J66" s="9"/>
      <c r="K66" s="9"/>
      <c r="L66" s="9"/>
      <c r="M66" s="9"/>
    </row>
    <row r="67" spans="2:13" ht="15.75" customHeight="1">
      <c r="B67" s="8" t="s">
        <v>4590</v>
      </c>
      <c r="C67" s="9">
        <v>137</v>
      </c>
      <c r="D67" s="9" t="s">
        <v>793</v>
      </c>
      <c r="E67" s="9" t="str">
        <f>IF($B67 = "Mutant",VLOOKUP($C67,Mutants!$A$2:$L$560,12,FALSE),IF($B67 = "Test",VLOOKUP($C67,Tests!$A$2:$L$841,12,FALSE),VLOOKUP($C67,Questions!$A$3:$N$174,9,FALSE)))</f>
        <v>N</v>
      </c>
      <c r="F67" s="187" t="str">
        <f>IF($B67 = "Mutant",VLOOKUP($C67,Mutants!$A$2:$L$560,11,FALSE),IF($B67 = "Test",VLOOKUP($C67,Tests!$A$2:$L$841,11,FALSE),VLOOKUP($C67,Questions!$A$3:$N$174,13,FALSE)))</f>
        <v xml:space="preserve">
</v>
      </c>
      <c r="G67" s="187"/>
      <c r="H67" s="202"/>
      <c r="I67" s="9"/>
      <c r="J67" s="9"/>
      <c r="K67" s="9"/>
      <c r="L67" s="9"/>
      <c r="M67" s="9"/>
    </row>
    <row r="68" spans="2:13" ht="15.75" customHeight="1">
      <c r="B68" s="8" t="s">
        <v>4590</v>
      </c>
      <c r="C68" s="9">
        <v>143</v>
      </c>
      <c r="D68" s="9" t="s">
        <v>805</v>
      </c>
      <c r="E68" s="9" t="str">
        <f>IF($B68 = "Mutant",VLOOKUP($C68,Mutants!$A$2:$L$560,12,FALSE),IF($B68 = "Test",VLOOKUP($C68,Tests!$A$2:$L$841,12,FALSE),VLOOKUP($C68,Questions!$A$3:$N$174,9,FALSE)))</f>
        <v>Y</v>
      </c>
      <c r="F68" s="187" t="str">
        <f>IF($B68 = "Mutant",VLOOKUP($C68,Mutants!$A$2:$L$560,11,FALSE),IF($B68 = "Test",VLOOKUP($C68,Tests!$A$2:$L$841,11,FALSE),VLOOKUP($C68,Questions!$A$3:$N$174,13,FALSE)))</f>
        <v xml:space="preserve">addOption, hasOption, stripLeadingHyphens
</v>
      </c>
      <c r="G68" s="187"/>
      <c r="H68" s="202"/>
      <c r="I68" s="9"/>
      <c r="J68" s="9"/>
      <c r="K68" s="9"/>
      <c r="L68" s="9"/>
      <c r="M68" s="9"/>
    </row>
    <row r="69" spans="2:13" ht="12.75">
      <c r="B69" s="8" t="s">
        <v>107</v>
      </c>
      <c r="C69" s="9">
        <v>41</v>
      </c>
      <c r="D69" s="9" t="s">
        <v>129</v>
      </c>
      <c r="E69" s="9" t="str">
        <f>IF($B69 = "Mutant",VLOOKUP($C69,Mutants!$A$2:$L$560,12,FALSE),IF($B69 = "Test",VLOOKUP($C69,Tests!$A$2:$L$841,12,FALSE),VLOOKUP($C69,Questions!$A$3:$N$174,9,FALSE)))</f>
        <v>Y</v>
      </c>
      <c r="F69" s="187" t="str">
        <f>IF($B69 = "Mutant",VLOOKUP($C69,Mutants!$A$2:$L$560,11,FALSE),IF($B69 = "Test",VLOOKUP($C69,Tests!$A$2:$L$841,11,FALSE),VLOOKUP($C69,Questions!$A$3:$N$174,13,FALSE)))</f>
        <v xml:space="preserve"> </v>
      </c>
      <c r="G69" s="187"/>
      <c r="H69" s="202"/>
      <c r="I69" s="9"/>
      <c r="J69" s="9"/>
      <c r="K69" s="9"/>
      <c r="L69" s="9"/>
      <c r="M69" s="9"/>
    </row>
    <row r="70" spans="2:13" ht="12.75">
      <c r="B70" s="8" t="s">
        <v>107</v>
      </c>
      <c r="C70" s="9">
        <v>46</v>
      </c>
      <c r="D70" s="9" t="s">
        <v>132</v>
      </c>
      <c r="E70" s="9" t="str">
        <f>IF($B70 = "Mutant",VLOOKUP($C70,Mutants!$A$2:$L$560,12,FALSE),IF($B70 = "Test",VLOOKUP($C70,Tests!$A$2:$L$841,12,FALSE),VLOOKUP($C70,Questions!$A$3:$N$174,9,FALSE)))</f>
        <v>Y</v>
      </c>
      <c r="F70" s="187" t="str">
        <f>IF($B70 = "Mutant",VLOOKUP($C70,Mutants!$A$2:$L$560,11,FALSE),IF($B70 = "Test",VLOOKUP($C70,Tests!$A$2:$L$841,11,FALSE),VLOOKUP($C70,Questions!$A$3:$N$174,13,FALSE)))</f>
        <v xml:space="preserve"> </v>
      </c>
      <c r="G70" s="187"/>
      <c r="H70" s="202"/>
      <c r="I70" s="9"/>
      <c r="J70" s="9"/>
      <c r="K70" s="9"/>
      <c r="L70" s="9"/>
      <c r="M70" s="9"/>
    </row>
    <row r="71" spans="2:13" ht="12.75">
      <c r="B71" s="8" t="s">
        <v>107</v>
      </c>
      <c r="C71" s="9">
        <v>53</v>
      </c>
      <c r="D71" s="9" t="s">
        <v>135</v>
      </c>
      <c r="E71" s="9" t="str">
        <f>IF($B71 = "Mutant",VLOOKUP($C71,Mutants!$A$2:$L$560,12,FALSE),IF($B71 = "Test",VLOOKUP($C71,Tests!$A$2:$L$841,12,FALSE),VLOOKUP($C71,Questions!$A$3:$N$174,9,FALSE)))</f>
        <v>Y</v>
      </c>
      <c r="F71" s="187" t="str">
        <f>IF($B71 = "Mutant",VLOOKUP($C71,Mutants!$A$2:$L$560,11,FALSE),IF($B71 = "Test",VLOOKUP($C71,Tests!$A$2:$L$841,11,FALSE),VLOOKUP($C71,Questions!$A$3:$N$174,13,FALSE)))</f>
        <v xml:space="preserve"> </v>
      </c>
      <c r="G71" s="187"/>
      <c r="H71" s="202"/>
      <c r="I71" s="9"/>
      <c r="J71" s="9"/>
      <c r="K71" s="9"/>
      <c r="L71" s="9"/>
      <c r="M71" s="9"/>
    </row>
    <row r="72" spans="2:13" ht="15.75" customHeight="1">
      <c r="B72" s="8" t="s">
        <v>4590</v>
      </c>
      <c r="C72" s="9">
        <v>205</v>
      </c>
      <c r="D72" s="9" t="s">
        <v>967</v>
      </c>
      <c r="E72" s="9" t="str">
        <f>IF($B72 = "Mutant",VLOOKUP($C72,Mutants!$A$2:$L$560,12,FALSE),IF($B72 = "Test",VLOOKUP($C72,Tests!$A$2:$L$841,12,FALSE),VLOOKUP($C72,Questions!$A$3:$N$174,9,FALSE)))</f>
        <v>Y</v>
      </c>
      <c r="F72" s="187" t="str">
        <f>IF($B72 = "Mutant",VLOOKUP($C72,Mutants!$A$2:$L$560,11,FALSE),IF($B72 = "Test",VLOOKUP($C72,Tests!$A$2:$L$841,11,FALSE),VLOOKUP($C72,Questions!$A$3:$N$174,13,FALSE)))</f>
        <v xml:space="preserve">addOption, toString
</v>
      </c>
      <c r="G72" s="187"/>
      <c r="H72" s="202"/>
      <c r="I72" s="9"/>
      <c r="J72" s="9"/>
      <c r="K72" s="9"/>
      <c r="L72" s="9"/>
      <c r="M72" s="9"/>
    </row>
    <row r="73" spans="2:13" ht="15.75" customHeight="1">
      <c r="B73" s="8" t="s">
        <v>4590</v>
      </c>
      <c r="C73" s="9">
        <v>242</v>
      </c>
      <c r="D73" s="9" t="s">
        <v>1071</v>
      </c>
      <c r="E73" s="9" t="str">
        <f>IF($B73 = "Mutant",VLOOKUP($C73,Mutants!$A$2:$L$560,12,FALSE),IF($B73 = "Test",VLOOKUP($C73,Tests!$A$2:$L$841,12,FALSE),VLOOKUP($C73,Questions!$A$3:$N$174,9,FALSE)))</f>
        <v>Y</v>
      </c>
      <c r="F73" s="187" t="str">
        <f>IF($B73 = "Mutant",VLOOKUP($C73,Mutants!$A$2:$L$560,11,FALSE),IF($B73 = "Test",VLOOKUP($C73,Tests!$A$2:$L$841,11,FALSE),VLOOKUP($C73,Questions!$A$3:$N$174,13,FALSE)))</f>
        <v xml:space="preserve">toString
</v>
      </c>
      <c r="G73" s="187"/>
      <c r="H73" s="202"/>
      <c r="I73" s="9"/>
      <c r="J73" s="9"/>
      <c r="K73" s="9"/>
      <c r="L73" s="9"/>
      <c r="M73" s="9"/>
    </row>
    <row r="74" spans="2:13" ht="15.75" customHeight="1">
      <c r="B74" s="8" t="s">
        <v>4590</v>
      </c>
      <c r="C74" s="9">
        <v>293</v>
      </c>
      <c r="D74" s="9" t="s">
        <v>1215</v>
      </c>
      <c r="E74" s="9" t="str">
        <f>IF($B74 = "Mutant",VLOOKUP($C74,Mutants!$A$2:$L$560,12,FALSE),IF($B74 = "Test",VLOOKUP($C74,Tests!$A$2:$L$841,12,FALSE),VLOOKUP($C74,Questions!$A$3:$N$174,9,FALSE)))</f>
        <v>Y</v>
      </c>
      <c r="F74" s="187" t="str">
        <f>IF($B74 = "Mutant",VLOOKUP($C74,Mutants!$A$2:$L$560,11,FALSE),IF($B74 = "Test",VLOOKUP($C74,Tests!$A$2:$L$841,11,FALSE),VLOOKUP($C74,Questions!$A$3:$N$174,13,FALSE)))</f>
        <v xml:space="preserve">addOption, toString
</v>
      </c>
      <c r="G74" s="187"/>
      <c r="H74" s="202"/>
      <c r="I74" s="9"/>
      <c r="J74" s="9"/>
      <c r="K74" s="9"/>
      <c r="L74" s="9"/>
      <c r="M74" s="9"/>
    </row>
    <row r="75" spans="2:13" ht="15.75" customHeight="1">
      <c r="B75" s="8" t="s">
        <v>4590</v>
      </c>
      <c r="C75" s="9">
        <v>299</v>
      </c>
      <c r="D75" s="9" t="s">
        <v>1235</v>
      </c>
      <c r="E75" s="9" t="str">
        <f>IF($B75 = "Mutant",VLOOKUP($C75,Mutants!$A$2:$L$560,12,FALSE),IF($B75 = "Test",VLOOKUP($C75,Tests!$A$2:$L$841,12,FALSE),VLOOKUP($C75,Questions!$A$3:$N$174,9,FALSE)))</f>
        <v>Y</v>
      </c>
      <c r="F75" s="187" t="str">
        <f>IF($B75 = "Mutant",VLOOKUP($C75,Mutants!$A$2:$L$560,11,FALSE),IF($B75 = "Test",VLOOKUP($C75,Tests!$A$2:$L$841,11,FALSE),VLOOKUP($C75,Questions!$A$3:$N$174,13,FALSE)))</f>
        <v xml:space="preserve">addOption, toString
</v>
      </c>
      <c r="G75" s="187"/>
      <c r="H75" s="202"/>
      <c r="I75" s="9"/>
      <c r="J75" s="9"/>
      <c r="K75" s="9"/>
      <c r="L75" s="9"/>
      <c r="M75" s="9"/>
    </row>
    <row r="76" spans="2:13" ht="15.75" customHeight="1">
      <c r="B76" s="8" t="s">
        <v>4590</v>
      </c>
      <c r="C76" s="9">
        <v>308</v>
      </c>
      <c r="D76" s="9" t="s">
        <v>1264</v>
      </c>
      <c r="E76" s="9" t="str">
        <f>IF($B76 = "Mutant",VLOOKUP($C76,Mutants!$A$2:$L$560,12,FALSE),IF($B76 = "Test",VLOOKUP($C76,Tests!$A$2:$L$841,12,FALSE),VLOOKUP($C76,Questions!$A$3:$N$174,9,FALSE)))</f>
        <v>Y</v>
      </c>
      <c r="F76" s="187" t="str">
        <f>IF($B76 = "Mutant",VLOOKUP($C76,Mutants!$A$2:$L$560,11,FALSE),IF($B76 = "Test",VLOOKUP($C76,Tests!$A$2:$L$841,11,FALSE),VLOOKUP($C76,Questions!$A$3:$N$174,13,FALSE)))</f>
        <v xml:space="preserve">addOption, toString
</v>
      </c>
      <c r="G76" s="187"/>
      <c r="H76" s="202"/>
      <c r="I76" s="9"/>
      <c r="J76" s="9"/>
      <c r="K76" s="9"/>
      <c r="L76" s="9"/>
      <c r="M76" s="9"/>
    </row>
    <row r="77" spans="2:13" ht="15.75" customHeight="1">
      <c r="B77" s="8" t="s">
        <v>4590</v>
      </c>
      <c r="C77" s="9">
        <v>338</v>
      </c>
      <c r="D77" s="9" t="s">
        <v>1343</v>
      </c>
      <c r="E77" s="9" t="str">
        <f>IF($B77 = "Mutant",VLOOKUP($C77,Mutants!$A$2:$L$560,12,FALSE),IF($B77 = "Test",VLOOKUP($C77,Tests!$A$2:$L$841,12,FALSE),VLOOKUP($C77,Questions!$A$3:$N$174,9,FALSE)))</f>
        <v>N</v>
      </c>
      <c r="F77" s="187" t="str">
        <f>IF($B77 = "Mutant",VLOOKUP($C77,Mutants!$A$2:$L$560,11,FALSE),IF($B77 = "Test",VLOOKUP($C77,Tests!$A$2:$L$841,11,FALSE),VLOOKUP($C77,Questions!$A$3:$N$174,13,FALSE)))</f>
        <v xml:space="preserve">
</v>
      </c>
      <c r="G77" s="187"/>
      <c r="H77" s="202"/>
      <c r="I77" s="9"/>
      <c r="J77" s="9"/>
      <c r="K77" s="9"/>
      <c r="L77" s="9"/>
      <c r="M77" s="9"/>
    </row>
    <row r="78" spans="2:13" ht="15.75" customHeight="1">
      <c r="B78" s="8" t="s">
        <v>4590</v>
      </c>
      <c r="C78" s="9">
        <v>342</v>
      </c>
      <c r="D78" s="9" t="s">
        <v>1353</v>
      </c>
      <c r="E78" s="9" t="str">
        <f>IF($B78 = "Mutant",VLOOKUP($C78,Mutants!$A$2:$L$560,12,FALSE),IF($B78 = "Test",VLOOKUP($C78,Tests!$A$2:$L$841,12,FALSE),VLOOKUP($C78,Questions!$A$3:$N$174,9,FALSE)))</f>
        <v>N</v>
      </c>
      <c r="F78" s="187" t="str">
        <f>IF($B78 = "Mutant",VLOOKUP($C78,Mutants!$A$2:$L$560,11,FALSE),IF($B78 = "Test",VLOOKUP($C78,Tests!$A$2:$L$841,11,FALSE),VLOOKUP($C78,Questions!$A$3:$N$174,13,FALSE)))</f>
        <v xml:space="preserve">
</v>
      </c>
      <c r="G78" s="187"/>
      <c r="H78" s="202"/>
      <c r="I78" s="9"/>
      <c r="J78" s="9"/>
      <c r="K78" s="9"/>
      <c r="L78" s="9"/>
      <c r="M78" s="9"/>
    </row>
    <row r="79" spans="2:13" ht="15.75" customHeight="1">
      <c r="B79" s="8" t="s">
        <v>4590</v>
      </c>
      <c r="C79" s="9">
        <v>347</v>
      </c>
      <c r="D79" s="9" t="s">
        <v>1369</v>
      </c>
      <c r="E79" s="9" t="str">
        <f>IF($B79 = "Mutant",VLOOKUP($C79,Mutants!$A$2:$L$560,12,FALSE),IF($B79 = "Test",VLOOKUP($C79,Tests!$A$2:$L$841,12,FALSE),VLOOKUP($C79,Questions!$A$3:$N$174,9,FALSE)))</f>
        <v>Y</v>
      </c>
      <c r="F79" s="187" t="str">
        <f>IF($B79 = "Mutant",VLOOKUP($C79,Mutants!$A$2:$L$560,11,FALSE),IF($B79 = "Test",VLOOKUP($C79,Tests!$A$2:$L$841,11,FALSE),VLOOKUP($C79,Questions!$A$3:$N$174,13,FALSE)))</f>
        <v xml:space="preserve">addOption, getOption, stripLeadingHyphens
</v>
      </c>
      <c r="G79" s="187"/>
      <c r="H79" s="202"/>
      <c r="I79" s="9"/>
      <c r="J79" s="9"/>
      <c r="K79" s="9"/>
      <c r="L79" s="9"/>
      <c r="M79" s="9"/>
    </row>
    <row r="80" spans="2:13" ht="15.75" customHeight="1">
      <c r="B80" s="8" t="s">
        <v>4590</v>
      </c>
      <c r="C80" s="9">
        <v>374</v>
      </c>
      <c r="D80" s="9" t="s">
        <v>1452</v>
      </c>
      <c r="E80" s="9" t="str">
        <f>IF($B80 = "Mutant",VLOOKUP($C80,Mutants!$A$2:$L$560,12,FALSE),IF($B80 = "Test",VLOOKUP($C80,Tests!$A$2:$L$841,12,FALSE),VLOOKUP($C80,Questions!$A$3:$N$174,9,FALSE)))</f>
        <v>Y</v>
      </c>
      <c r="F80" s="187" t="str">
        <f>IF($B80 = "Mutant",VLOOKUP($C80,Mutants!$A$2:$L$560,11,FALSE),IF($B80 = "Test",VLOOKUP($C80,Tests!$A$2:$L$841,11,FALSE),VLOOKUP($C80,Questions!$A$3:$N$174,13,FALSE)))</f>
        <v xml:space="preserve">addOption, getOption, stripLeadingHyphens
</v>
      </c>
      <c r="G80" s="187"/>
      <c r="H80" s="202"/>
      <c r="I80" s="9"/>
      <c r="J80" s="9"/>
      <c r="K80" s="9"/>
      <c r="L80" s="9"/>
      <c r="M80" s="9"/>
    </row>
    <row r="81" spans="2:13" ht="15.75" customHeight="1">
      <c r="B81" s="8" t="s">
        <v>4590</v>
      </c>
      <c r="C81" s="9">
        <v>383</v>
      </c>
      <c r="D81" s="9" t="s">
        <v>1476</v>
      </c>
      <c r="E81" s="9" t="str">
        <f>IF($B81 = "Mutant",VLOOKUP($C81,Mutants!$A$2:$L$560,12,FALSE),IF($B81 = "Test",VLOOKUP($C81,Tests!$A$2:$L$841,12,FALSE),VLOOKUP($C81,Questions!$A$3:$N$174,9,FALSE)))</f>
        <v>Y</v>
      </c>
      <c r="F81" s="187" t="str">
        <f>IF($B81 = "Mutant",VLOOKUP($C81,Mutants!$A$2:$L$560,11,FALSE),IF($B81 = "Test",VLOOKUP($C81,Tests!$A$2:$L$841,11,FALSE),VLOOKUP($C81,Questions!$A$3:$N$174,13,FALSE)))</f>
        <v xml:space="preserve">addOption, getOption, stripLeadingHyphens
</v>
      </c>
      <c r="G81" s="187"/>
      <c r="H81" s="202"/>
      <c r="I81" s="9"/>
      <c r="J81" s="9"/>
      <c r="K81" s="9"/>
      <c r="L81" s="9"/>
      <c r="M81" s="9"/>
    </row>
    <row r="82" spans="2:13" ht="15.75" customHeight="1">
      <c r="B82" s="8" t="s">
        <v>4590</v>
      </c>
      <c r="C82" s="9">
        <v>410</v>
      </c>
      <c r="D82" s="9" t="s">
        <v>1555</v>
      </c>
      <c r="E82" s="9" t="str">
        <f>IF($B82 = "Mutant",VLOOKUP($C82,Mutants!$A$2:$L$560,12,FALSE),IF($B82 = "Test",VLOOKUP($C82,Tests!$A$2:$L$841,12,FALSE),VLOOKUP($C82,Questions!$A$3:$N$174,9,FALSE)))</f>
        <v>Y</v>
      </c>
      <c r="F82" s="187" t="str">
        <f>IF($B82 = "Mutant",VLOOKUP($C82,Mutants!$A$2:$L$560,11,FALSE),IF($B82 = "Test",VLOOKUP($C82,Tests!$A$2:$L$841,11,FALSE),VLOOKUP($C82,Questions!$A$3:$N$174,13,FALSE)))</f>
        <v xml:space="preserve">addOption, getOption, stripLeadingHyphens
</v>
      </c>
      <c r="G82" s="187"/>
      <c r="H82" s="202"/>
      <c r="I82" s="9"/>
      <c r="J82" s="9"/>
      <c r="K82" s="9"/>
      <c r="L82" s="9"/>
      <c r="M82" s="9"/>
    </row>
    <row r="83" spans="2:13" ht="15.75" customHeight="1">
      <c r="B83" s="20" t="s">
        <v>4590</v>
      </c>
      <c r="C83" s="21">
        <v>436</v>
      </c>
      <c r="D83" s="21" t="s">
        <v>1645</v>
      </c>
      <c r="E83" s="130" t="str">
        <f>IF($B83 = "Mutant",VLOOKUP($C83,Mutants!$A$2:$L$560,12,FALSE),IF($B83 = "Test",VLOOKUP($C83,Tests!$A$2:$L$841,12,FALSE),VLOOKUP($C83,Questions!$A$3:$N$174,9,FALSE)))</f>
        <v>N</v>
      </c>
      <c r="F83" s="203" t="str">
        <f>IF($B83 = "Mutant",VLOOKUP($C83,Mutants!$A$2:$L$560,11,FALSE),IF($B83 = "Test",VLOOKUP($C83,Tests!$A$2:$L$841,11,FALSE),VLOOKUP($C83,Questions!$A$3:$N$174,13,FALSE)))</f>
        <v xml:space="preserve">
</v>
      </c>
      <c r="G83" s="203"/>
      <c r="H83" s="204"/>
      <c r="I83" s="9"/>
      <c r="J83" s="9"/>
      <c r="K83" s="9"/>
      <c r="L83" s="9"/>
      <c r="M83" s="9"/>
    </row>
    <row r="84" spans="2:13" ht="15.75" customHeight="1">
      <c r="F84" s="188"/>
      <c r="G84" s="188"/>
      <c r="H84" s="188"/>
    </row>
    <row r="85" spans="2:13" ht="15.75" customHeight="1">
      <c r="F85" s="188"/>
      <c r="G85" s="188"/>
      <c r="H85" s="188"/>
    </row>
    <row r="86" spans="2:13" ht="15.75" customHeight="1" thickBot="1">
      <c r="B86" s="200" t="s">
        <v>4604</v>
      </c>
      <c r="C86" s="201"/>
      <c r="D86" s="45">
        <v>137</v>
      </c>
      <c r="F86" s="207"/>
      <c r="G86" s="207"/>
      <c r="H86" s="207"/>
    </row>
    <row r="87" spans="2:13" ht="15.75" customHeight="1" thickTop="1">
      <c r="B87" s="134" t="s">
        <v>4594</v>
      </c>
      <c r="C87" s="135" t="s">
        <v>44</v>
      </c>
      <c r="D87" s="135" t="s">
        <v>110</v>
      </c>
      <c r="E87" s="136" t="s">
        <v>2</v>
      </c>
      <c r="F87" s="208" t="s">
        <v>4612</v>
      </c>
      <c r="G87" s="208"/>
      <c r="H87" s="209"/>
      <c r="I87" s="9"/>
      <c r="J87" s="9"/>
      <c r="K87" s="9"/>
      <c r="L87" s="9"/>
      <c r="M87" s="9"/>
    </row>
    <row r="88" spans="2:13" ht="15.75" customHeight="1">
      <c r="B88" s="137" t="s">
        <v>4589</v>
      </c>
      <c r="C88" s="93">
        <v>161</v>
      </c>
      <c r="D88" s="93" t="s">
        <v>3265</v>
      </c>
      <c r="E88" s="93" t="str">
        <f>IF($B88 = "Mutant",VLOOKUP($C88,Mutants!$A$2:$L$560,12,FALSE),IF($B88 = "Test",VLOOKUP($C88,Tests!$A$2:$L$841,12,FALSE),VLOOKUP($C88,Questions!$A$3:$N$174,9,FALSE)))</f>
        <v>Y</v>
      </c>
      <c r="F88" s="205" t="str">
        <f>IF($B88 = "Mutant",VLOOKUP($C88,Mutants!$A$2:$L$560,11,FALSE),IF($B88 = "Test",VLOOKUP($C88,Tests!$A$2:$L$841,11,FALSE),VLOOKUP($C88,Questions!$A$3:$N$174,13,FALSE)))</f>
        <v xml:space="preserve">hasOption
</v>
      </c>
      <c r="G88" s="205"/>
      <c r="H88" s="206"/>
      <c r="I88" s="9"/>
      <c r="J88" s="9"/>
      <c r="K88" s="9"/>
      <c r="L88" s="9"/>
      <c r="M88" s="9"/>
    </row>
    <row r="89" spans="2:13" ht="15.75" customHeight="1">
      <c r="B89" s="114" t="s">
        <v>4589</v>
      </c>
      <c r="C89" s="9">
        <v>185</v>
      </c>
      <c r="D89" s="9" t="s">
        <v>3331</v>
      </c>
      <c r="E89" s="9" t="str">
        <f>IF($B89 = "Mutant",VLOOKUP($C89,Mutants!$A$2:$L$560,12,FALSE),IF($B89 = "Test",VLOOKUP($C89,Tests!$A$2:$L$841,12,FALSE),VLOOKUP($C89,Questions!$A$3:$N$174,9,FALSE)))</f>
        <v>Y</v>
      </c>
      <c r="F89" s="187" t="str">
        <f>IF($B89 = "Mutant",VLOOKUP($C89,Mutants!$A$2:$L$560,11,FALSE),IF($B89 = "Test",VLOOKUP($C89,Tests!$A$2:$L$841,11,FALSE),VLOOKUP($C89,Questions!$A$3:$N$174,13,FALSE)))</f>
        <v xml:space="preserve">toString
</v>
      </c>
      <c r="G89" s="187"/>
      <c r="H89" s="202"/>
      <c r="I89" s="9"/>
      <c r="J89" s="9"/>
      <c r="K89" s="9"/>
      <c r="L89" s="9"/>
      <c r="M89" s="9"/>
    </row>
    <row r="90" spans="2:13" ht="12.75">
      <c r="B90" s="114" t="s">
        <v>107</v>
      </c>
      <c r="C90" s="9">
        <v>20</v>
      </c>
      <c r="D90" s="9" t="s">
        <v>138</v>
      </c>
      <c r="E90" s="9" t="str">
        <f>IF($B90 = "Mutant",VLOOKUP($C90,Mutants!$A$2:$L$560,12,FALSE),IF($B90 = "Test",VLOOKUP($C90,Tests!$A$2:$L$841,12,FALSE),VLOOKUP($C90,Questions!$A$3:$N$174,9,FALSE)))</f>
        <v>Y</v>
      </c>
      <c r="F90" s="187" t="str">
        <f>IF($B90 = "Mutant",VLOOKUP($C90,Mutants!$A$2:$L$560,11,FALSE),IF($B90 = "Test",VLOOKUP($C90,Tests!$A$2:$L$841,11,FALSE),VLOOKUP($C90,Questions!$A$3:$N$174,13,FALSE)))</f>
        <v xml:space="preserve"> </v>
      </c>
      <c r="G90" s="187"/>
      <c r="H90" s="202"/>
      <c r="I90" s="9"/>
      <c r="J90" s="9"/>
      <c r="K90" s="9"/>
      <c r="L90" s="9"/>
      <c r="M90" s="9"/>
    </row>
    <row r="91" spans="2:13" ht="15.75" customHeight="1">
      <c r="B91" s="114" t="s">
        <v>4590</v>
      </c>
      <c r="C91" s="9">
        <v>276</v>
      </c>
      <c r="D91" s="9" t="s">
        <v>1158</v>
      </c>
      <c r="E91" s="9" t="str">
        <f>IF($B91 = "Mutant",VLOOKUP($C91,Mutants!$A$2:$L$560,12,FALSE),IF($B91 = "Test",VLOOKUP($C91,Tests!$A$2:$L$841,12,FALSE),VLOOKUP($C91,Questions!$A$3:$N$174,9,FALSE)))</f>
        <v>N</v>
      </c>
      <c r="F91" s="187" t="str">
        <f>IF($B91 = "Mutant",VLOOKUP($C91,Mutants!$A$2:$L$560,11,FALSE),IF($B91 = "Test",VLOOKUP($C91,Tests!$A$2:$L$841,11,FALSE),VLOOKUP($C91,Questions!$A$3:$N$174,13,FALSE)))</f>
        <v xml:space="preserve">
</v>
      </c>
      <c r="G91" s="187"/>
      <c r="H91" s="202"/>
      <c r="I91" s="9"/>
      <c r="J91" s="9"/>
      <c r="K91" s="9"/>
      <c r="L91" s="9"/>
      <c r="M91" s="9"/>
    </row>
    <row r="92" spans="2:13" ht="15.75" customHeight="1">
      <c r="B92" s="114" t="s">
        <v>4590</v>
      </c>
      <c r="C92" s="9">
        <v>339</v>
      </c>
      <c r="D92" s="9" t="s">
        <v>1345</v>
      </c>
      <c r="E92" s="9" t="str">
        <f>IF($B92 = "Mutant",VLOOKUP($C92,Mutants!$A$2:$L$560,12,FALSE),IF($B92 = "Test",VLOOKUP($C92,Tests!$A$2:$L$841,12,FALSE),VLOOKUP($C92,Questions!$A$3:$N$174,9,FALSE)))</f>
        <v>N</v>
      </c>
      <c r="F92" s="187" t="str">
        <f>IF($B92 = "Mutant",VLOOKUP($C92,Mutants!$A$2:$L$560,11,FALSE),IF($B92 = "Test",VLOOKUP($C92,Tests!$A$2:$L$841,11,FALSE),VLOOKUP($C92,Questions!$A$3:$N$174,13,FALSE)))</f>
        <v xml:space="preserve">
</v>
      </c>
      <c r="G92" s="187"/>
      <c r="H92" s="202"/>
      <c r="I92" s="9"/>
      <c r="J92" s="9"/>
      <c r="K92" s="9"/>
      <c r="L92" s="9"/>
      <c r="M92" s="9"/>
    </row>
    <row r="93" spans="2:13" ht="15.75" customHeight="1">
      <c r="B93" s="114" t="s">
        <v>4590</v>
      </c>
      <c r="C93" s="9">
        <v>389</v>
      </c>
      <c r="D93" s="9" t="s">
        <v>1490</v>
      </c>
      <c r="E93" s="9" t="str">
        <f>IF($B93 = "Mutant",VLOOKUP($C93,Mutants!$A$2:$L$560,12,FALSE),IF($B93 = "Test",VLOOKUP($C93,Tests!$A$2:$L$841,12,FALSE),VLOOKUP($C93,Questions!$A$3:$N$174,9,FALSE)))</f>
        <v>N</v>
      </c>
      <c r="F93" s="187" t="str">
        <f>IF($B93 = "Mutant",VLOOKUP($C93,Mutants!$A$2:$L$560,11,FALSE),IF($B93 = "Test",VLOOKUP($C93,Tests!$A$2:$L$841,11,FALSE),VLOOKUP($C93,Questions!$A$3:$N$174,13,FALSE)))</f>
        <v xml:space="preserve">
</v>
      </c>
      <c r="G93" s="187"/>
      <c r="H93" s="202"/>
      <c r="I93" s="9"/>
      <c r="J93" s="9"/>
      <c r="K93" s="9"/>
      <c r="L93" s="9"/>
      <c r="M93" s="9"/>
    </row>
    <row r="94" spans="2:13" ht="15.75" customHeight="1">
      <c r="B94" s="114" t="s">
        <v>4590</v>
      </c>
      <c r="C94" s="9">
        <v>403</v>
      </c>
      <c r="D94" s="9" t="s">
        <v>368</v>
      </c>
      <c r="E94" s="9" t="str">
        <f>IF($B94 = "Mutant",VLOOKUP($C94,Mutants!$A$2:$L$560,12,FALSE),IF($B94 = "Test",VLOOKUP($C94,Tests!$A$2:$L$841,12,FALSE),VLOOKUP($C94,Questions!$A$3:$N$174,9,FALSE)))</f>
        <v>N</v>
      </c>
      <c r="F94" s="187" t="str">
        <f>IF($B94 = "Mutant",VLOOKUP($C94,Mutants!$A$2:$L$560,11,FALSE),IF($B94 = "Test",VLOOKUP($C94,Tests!$A$2:$L$841,11,FALSE),VLOOKUP($C94,Questions!$A$3:$N$174,13,FALSE)))</f>
        <v xml:space="preserve">
</v>
      </c>
      <c r="G94" s="187"/>
      <c r="H94" s="202"/>
      <c r="I94" s="9"/>
      <c r="J94" s="9"/>
      <c r="K94" s="9"/>
      <c r="L94" s="9"/>
      <c r="M94" s="9"/>
    </row>
    <row r="95" spans="2:13" ht="15.75" customHeight="1">
      <c r="B95" s="114" t="s">
        <v>4590</v>
      </c>
      <c r="C95" s="9">
        <v>408</v>
      </c>
      <c r="D95" s="9" t="s">
        <v>1552</v>
      </c>
      <c r="E95" s="9" t="str">
        <f>IF($B95 = "Mutant",VLOOKUP($C95,Mutants!$A$2:$L$560,12,FALSE),IF($B95 = "Test",VLOOKUP($C95,Tests!$A$2:$L$841,12,FALSE),VLOOKUP($C95,Questions!$A$3:$N$174,9,FALSE)))</f>
        <v>Y</v>
      </c>
      <c r="F95" s="187" t="str">
        <f>IF($B95 = "Mutant",VLOOKUP($C95,Mutants!$A$2:$L$560,11,FALSE),IF($B95 = "Test",VLOOKUP($C95,Tests!$A$2:$L$841,11,FALSE),VLOOKUP($C95,Questions!$A$3:$N$174,13,FALSE)))</f>
        <v xml:space="preserve">
</v>
      </c>
      <c r="G95" s="187"/>
      <c r="H95" s="202"/>
      <c r="I95" s="9"/>
      <c r="J95" s="9"/>
      <c r="K95" s="9"/>
      <c r="L95" s="9"/>
      <c r="M95" s="9"/>
    </row>
    <row r="96" spans="2:13" ht="15.75" customHeight="1">
      <c r="B96" s="114" t="s">
        <v>4590</v>
      </c>
      <c r="C96" s="9">
        <v>418</v>
      </c>
      <c r="D96" s="9" t="s">
        <v>1586</v>
      </c>
      <c r="E96" s="9" t="str">
        <f>IF($B96 = "Mutant",VLOOKUP($C96,Mutants!$A$2:$L$560,12,FALSE),IF($B96 = "Test",VLOOKUP($C96,Tests!$A$2:$L$841,12,FALSE),VLOOKUP($C96,Questions!$A$3:$N$174,9,FALSE)))</f>
        <v>Y</v>
      </c>
      <c r="F96" s="187" t="str">
        <f>IF($B96 = "Mutant",VLOOKUP($C96,Mutants!$A$2:$L$560,11,FALSE),IF($B96 = "Test",VLOOKUP($C96,Tests!$A$2:$L$841,11,FALSE),VLOOKUP($C96,Questions!$A$3:$N$174,13,FALSE)))</f>
        <v xml:space="preserve">
</v>
      </c>
      <c r="G96" s="187"/>
      <c r="H96" s="202"/>
      <c r="I96" s="9"/>
      <c r="J96" s="9"/>
      <c r="K96" s="9"/>
      <c r="L96" s="9"/>
      <c r="M96" s="9"/>
    </row>
    <row r="97" spans="2:13" ht="15.75" customHeight="1">
      <c r="B97" s="133" t="s">
        <v>4590</v>
      </c>
      <c r="C97" s="130">
        <v>447</v>
      </c>
      <c r="D97" s="130" t="s">
        <v>1673</v>
      </c>
      <c r="E97" s="130" t="str">
        <f>IF($B97 = "Mutant",VLOOKUP($C97,Mutants!$A$2:$L$560,12,FALSE),IF($B97 = "Test",VLOOKUP($C97,Tests!$A$2:$L$841,12,FALSE),VLOOKUP($C97,Questions!$A$3:$N$174,9,FALSE)))</f>
        <v>Y</v>
      </c>
      <c r="F97" s="203" t="str">
        <f>IF($B97 = "Mutant",VLOOKUP($C97,Mutants!$A$2:$L$560,11,FALSE),IF($B97 = "Test",VLOOKUP($C97,Tests!$A$2:$L$841,11,FALSE),VLOOKUP($C97,Questions!$A$3:$N$174,13,FALSE)))</f>
        <v xml:space="preserve">addOptionGroup, addOption, getRequiredOptions
</v>
      </c>
      <c r="G97" s="203"/>
      <c r="H97" s="204"/>
      <c r="I97" s="9"/>
      <c r="J97" s="9"/>
      <c r="K97" s="9"/>
      <c r="L97" s="9"/>
      <c r="M97" s="9"/>
    </row>
    <row r="98" spans="2:13" ht="15.75" customHeight="1">
      <c r="F98" s="188"/>
      <c r="G98" s="188"/>
      <c r="H98" s="188"/>
    </row>
    <row r="99" spans="2:13" ht="15.75" customHeight="1">
      <c r="F99" s="188"/>
      <c r="G99" s="188"/>
      <c r="H99" s="188"/>
    </row>
    <row r="100" spans="2:13" ht="15.75" customHeight="1" thickBot="1">
      <c r="B100" s="200" t="s">
        <v>4604</v>
      </c>
      <c r="C100" s="201"/>
      <c r="D100" s="45">
        <v>138</v>
      </c>
      <c r="F100" s="207"/>
      <c r="G100" s="207"/>
      <c r="H100" s="207"/>
    </row>
    <row r="101" spans="2:13" ht="15.75" customHeight="1" thickTop="1">
      <c r="B101" s="134" t="s">
        <v>4594</v>
      </c>
      <c r="C101" s="135" t="s">
        <v>44</v>
      </c>
      <c r="D101" s="135" t="s">
        <v>110</v>
      </c>
      <c r="E101" s="136" t="s">
        <v>2</v>
      </c>
      <c r="F101" s="208" t="s">
        <v>4612</v>
      </c>
      <c r="G101" s="208"/>
      <c r="H101" s="209"/>
      <c r="I101" s="9"/>
      <c r="J101" s="9"/>
      <c r="K101" s="9"/>
      <c r="L101" s="9"/>
      <c r="M101" s="9"/>
    </row>
    <row r="102" spans="2:13" ht="15.75" customHeight="1">
      <c r="B102" s="137" t="s">
        <v>4589</v>
      </c>
      <c r="C102" s="93">
        <v>139</v>
      </c>
      <c r="D102" s="93" t="s">
        <v>3202</v>
      </c>
      <c r="E102" s="93" t="str">
        <f>IF($B102 = "Mutant",VLOOKUP($C102,Mutants!$A$2:$L$560,12,FALSE),IF($B102 = "Test",VLOOKUP($C102,Tests!$A$2:$L$841,12,FALSE),VLOOKUP($C102,Questions!$A$3:$N$174,9,FALSE)))</f>
        <v>Y</v>
      </c>
      <c r="F102" s="205" t="str">
        <f>IF($B102 = "Mutant",VLOOKUP($C102,Mutants!$A$2:$L$560,11,FALSE),IF($B102 = "Test",VLOOKUP($C102,Tests!$A$2:$L$841,11,FALSE),VLOOKUP($C102,Questions!$A$3:$N$174,13,FALSE)))</f>
        <v xml:space="preserve">addOption
</v>
      </c>
      <c r="G102" s="205"/>
      <c r="H102" s="206"/>
      <c r="I102" s="9"/>
      <c r="J102" s="9"/>
      <c r="K102" s="9"/>
      <c r="L102" s="9"/>
      <c r="M102" s="9"/>
    </row>
    <row r="103" spans="2:13" ht="15.75" customHeight="1">
      <c r="B103" s="114" t="s">
        <v>4589</v>
      </c>
      <c r="C103" s="9">
        <v>159</v>
      </c>
      <c r="D103" s="9" t="s">
        <v>3262</v>
      </c>
      <c r="E103" s="9" t="str">
        <f>IF($B103 = "Mutant",VLOOKUP($C103,Mutants!$A$2:$L$560,12,FALSE),IF($B103 = "Test",VLOOKUP($C103,Tests!$A$2:$L$841,12,FALSE),VLOOKUP($C103,Questions!$A$3:$N$174,9,FALSE)))</f>
        <v>Y</v>
      </c>
      <c r="F103" s="187" t="str">
        <f>IF($B103 = "Mutant",VLOOKUP($C103,Mutants!$A$2:$L$560,11,FALSE),IF($B103 = "Test",VLOOKUP($C103,Tests!$A$2:$L$841,11,FALSE),VLOOKUP($C103,Questions!$A$3:$N$174,13,FALSE)))</f>
        <v xml:space="preserve">getMatchingOptions
</v>
      </c>
      <c r="G103" s="187"/>
      <c r="H103" s="202"/>
      <c r="I103" s="9"/>
      <c r="J103" s="9"/>
      <c r="K103" s="9"/>
      <c r="L103" s="9"/>
      <c r="M103" s="9"/>
    </row>
    <row r="104" spans="2:13" ht="15.75" customHeight="1">
      <c r="B104" s="114" t="s">
        <v>4589</v>
      </c>
      <c r="C104" s="9">
        <v>184</v>
      </c>
      <c r="D104" s="9" t="s">
        <v>3331</v>
      </c>
      <c r="E104" s="9" t="str">
        <f>IF($B104 = "Mutant",VLOOKUP($C104,Mutants!$A$2:$L$560,12,FALSE),IF($B104 = "Test",VLOOKUP($C104,Tests!$A$2:$L$841,12,FALSE),VLOOKUP($C104,Questions!$A$3:$N$174,9,FALSE)))</f>
        <v>Y</v>
      </c>
      <c r="F104" s="187" t="str">
        <f>IF($B104 = "Mutant",VLOOKUP($C104,Mutants!$A$2:$L$560,11,FALSE),IF($B104 = "Test",VLOOKUP($C104,Tests!$A$2:$L$841,11,FALSE),VLOOKUP($C104,Questions!$A$3:$N$174,13,FALSE)))</f>
        <v xml:space="preserve">toString
</v>
      </c>
      <c r="G104" s="187"/>
      <c r="H104" s="202"/>
      <c r="I104" s="9"/>
      <c r="J104" s="9"/>
      <c r="K104" s="9"/>
      <c r="L104" s="9"/>
      <c r="M104" s="9"/>
    </row>
    <row r="105" spans="2:13" ht="15.75" customHeight="1">
      <c r="B105" s="114" t="s">
        <v>107</v>
      </c>
      <c r="C105" s="9">
        <v>12</v>
      </c>
      <c r="D105" s="9" t="s">
        <v>141</v>
      </c>
      <c r="E105" s="9" t="str">
        <f>IF($B105 = "Mutant",VLOOKUP($C105,Mutants!$A$2:$L$560,12,FALSE),IF($B105 = "Test",VLOOKUP($C105,Tests!$A$2:$L$841,12,FALSE),VLOOKUP($C105,Questions!$A$3:$N$174,9,FALSE)))</f>
        <v>N</v>
      </c>
      <c r="F105" s="187" t="str">
        <f>IF($B105 = "Mutant",VLOOKUP($C105,Mutants!$A$2:$L$560,11,FALSE),IF($B105 = "Test",VLOOKUP($C105,Tests!$A$2:$L$841,11,FALSE),VLOOKUP($C105,Questions!$A$3:$N$174,13,FALSE)))</f>
        <v xml:space="preserve"> </v>
      </c>
      <c r="G105" s="187"/>
      <c r="H105" s="202"/>
      <c r="I105" s="9"/>
      <c r="J105" s="9"/>
      <c r="K105" s="9"/>
      <c r="L105" s="9"/>
      <c r="M105" s="9"/>
    </row>
    <row r="106" spans="2:13" ht="15.75" customHeight="1">
      <c r="B106" s="114" t="s">
        <v>4590</v>
      </c>
      <c r="C106" s="9">
        <v>108</v>
      </c>
      <c r="D106" s="9" t="s">
        <v>709</v>
      </c>
      <c r="E106" s="9" t="str">
        <f>IF($B106 = "Mutant",VLOOKUP($C106,Mutants!$A$2:$L$560,12,FALSE),IF($B106 = "Test",VLOOKUP($C106,Tests!$A$2:$L$841,12,FALSE),VLOOKUP($C106,Questions!$A$3:$N$174,9,FALSE)))</f>
        <v>N</v>
      </c>
      <c r="F106" s="187" t="str">
        <f>IF($B106 = "Mutant",VLOOKUP($C106,Mutants!$A$2:$L$560,11,FALSE),IF($B106 = "Test",VLOOKUP($C106,Tests!$A$2:$L$841,11,FALSE),VLOOKUP($C106,Questions!$A$3:$N$174,13,FALSE)))</f>
        <v xml:space="preserve">
</v>
      </c>
      <c r="G106" s="187"/>
      <c r="H106" s="202"/>
      <c r="I106" s="9"/>
      <c r="J106" s="9"/>
      <c r="K106" s="9"/>
      <c r="L106" s="9"/>
      <c r="M106" s="9"/>
    </row>
    <row r="107" spans="2:13" ht="15.75" customHeight="1">
      <c r="B107" s="114" t="s">
        <v>4589</v>
      </c>
      <c r="C107" s="9">
        <v>226</v>
      </c>
      <c r="D107" s="9" t="s">
        <v>3450</v>
      </c>
      <c r="E107" s="9" t="str">
        <f>IF($B107 = "Mutant",VLOOKUP($C107,Mutants!$A$2:$L$560,12,FALSE),IF($B107 = "Test",VLOOKUP($C107,Tests!$A$2:$L$841,12,FALSE),VLOOKUP($C107,Questions!$A$3:$N$174,9,FALSE)))</f>
        <v>N</v>
      </c>
      <c r="F107" s="187" t="str">
        <f>IF($B107 = "Mutant",VLOOKUP($C107,Mutants!$A$2:$L$560,11,FALSE),IF($B107 = "Test",VLOOKUP($C107,Tests!$A$2:$L$841,11,FALSE),VLOOKUP($C107,Questions!$A$3:$N$174,13,FALSE)))</f>
        <v xml:space="preserve">
</v>
      </c>
      <c r="G107" s="187"/>
      <c r="H107" s="202"/>
      <c r="I107" s="9"/>
      <c r="J107" s="9"/>
      <c r="K107" s="9"/>
      <c r="L107" s="9"/>
      <c r="M107" s="9"/>
    </row>
    <row r="108" spans="2:13" ht="15.75" customHeight="1">
      <c r="B108" s="114" t="s">
        <v>4590</v>
      </c>
      <c r="C108" s="9">
        <v>121</v>
      </c>
      <c r="D108" s="9" t="s">
        <v>754</v>
      </c>
      <c r="E108" s="9" t="str">
        <f>IF($B108 = "Mutant",VLOOKUP($C108,Mutants!$A$2:$L$560,12,FALSE),IF($B108 = "Test",VLOOKUP($C108,Tests!$A$2:$L$841,12,FALSE),VLOOKUP($C108,Questions!$A$3:$N$174,9,FALSE)))</f>
        <v>N</v>
      </c>
      <c r="F108" s="187" t="str">
        <f>IF($B108 = "Mutant",VLOOKUP($C108,Mutants!$A$2:$L$560,11,FALSE),IF($B108 = "Test",VLOOKUP($C108,Tests!$A$2:$L$841,11,FALSE),VLOOKUP($C108,Questions!$A$3:$N$174,13,FALSE)))</f>
        <v xml:space="preserve">
</v>
      </c>
      <c r="G108" s="187"/>
      <c r="H108" s="202"/>
      <c r="I108" s="9"/>
      <c r="J108" s="9"/>
      <c r="K108" s="9"/>
      <c r="L108" s="9"/>
      <c r="M108" s="9"/>
    </row>
    <row r="109" spans="2:13" ht="15.75" customHeight="1">
      <c r="B109" s="114" t="s">
        <v>107</v>
      </c>
      <c r="C109" s="9">
        <v>33</v>
      </c>
      <c r="D109" s="9" t="s">
        <v>144</v>
      </c>
      <c r="E109" s="9" t="str">
        <f>IF($B109 = "Mutant",VLOOKUP($C109,Mutants!$A$2:$L$560,12,FALSE),IF($B109 = "Test",VLOOKUP($C109,Tests!$A$2:$L$841,12,FALSE),VLOOKUP($C109,Questions!$A$3:$N$174,9,FALSE)))</f>
        <v>N</v>
      </c>
      <c r="F109" s="187" t="str">
        <f>IF($B109 = "Mutant",VLOOKUP($C109,Mutants!$A$2:$L$560,11,FALSE),IF($B109 = "Test",VLOOKUP($C109,Tests!$A$2:$L$841,11,FALSE),VLOOKUP($C109,Questions!$A$3:$N$174,13,FALSE)))</f>
        <v xml:space="preserve"> </v>
      </c>
      <c r="G109" s="187"/>
      <c r="H109" s="202"/>
      <c r="I109" s="9"/>
      <c r="J109" s="9"/>
      <c r="K109" s="9"/>
      <c r="L109" s="9"/>
      <c r="M109" s="9"/>
    </row>
    <row r="110" spans="2:13" ht="15.75" customHeight="1">
      <c r="B110" s="114" t="s">
        <v>107</v>
      </c>
      <c r="C110" s="9">
        <v>36</v>
      </c>
      <c r="D110" s="9" t="s">
        <v>147</v>
      </c>
      <c r="E110" s="9" t="str">
        <f>IF($B110 = "Mutant",VLOOKUP($C110,Mutants!$A$2:$L$560,12,FALSE),IF($B110 = "Test",VLOOKUP($C110,Tests!$A$2:$L$841,12,FALSE),VLOOKUP($C110,Questions!$A$3:$N$174,9,FALSE)))</f>
        <v>N</v>
      </c>
      <c r="F110" s="187" t="str">
        <f>IF($B110 = "Mutant",VLOOKUP($C110,Mutants!$A$2:$L$560,11,FALSE),IF($B110 = "Test",VLOOKUP($C110,Tests!$A$2:$L$841,11,FALSE),VLOOKUP($C110,Questions!$A$3:$N$174,13,FALSE)))</f>
        <v xml:space="preserve"> </v>
      </c>
      <c r="G110" s="187"/>
      <c r="H110" s="202"/>
      <c r="I110" s="9"/>
      <c r="J110" s="9"/>
      <c r="K110" s="9"/>
      <c r="L110" s="9"/>
      <c r="M110" s="9"/>
    </row>
    <row r="111" spans="2:13" ht="15.75" customHeight="1">
      <c r="B111" s="114" t="s">
        <v>4590</v>
      </c>
      <c r="C111" s="9">
        <v>144</v>
      </c>
      <c r="D111" s="9" t="s">
        <v>809</v>
      </c>
      <c r="E111" s="9" t="str">
        <f>IF($B111 = "Mutant",VLOOKUP($C111,Mutants!$A$2:$L$560,12,FALSE),IF($B111 = "Test",VLOOKUP($C111,Tests!$A$2:$L$841,12,FALSE),VLOOKUP($C111,Questions!$A$3:$N$174,9,FALSE)))</f>
        <v>N</v>
      </c>
      <c r="F111" s="187" t="str">
        <f>IF($B111 = "Mutant",VLOOKUP($C111,Mutants!$A$2:$L$560,11,FALSE),IF($B111 = "Test",VLOOKUP($C111,Tests!$A$2:$L$841,11,FALSE),VLOOKUP($C111,Questions!$A$3:$N$174,13,FALSE)))</f>
        <v xml:space="preserve">
</v>
      </c>
      <c r="G111" s="187"/>
      <c r="H111" s="202"/>
      <c r="I111" s="9"/>
      <c r="J111" s="9"/>
      <c r="K111" s="9"/>
      <c r="L111" s="9"/>
      <c r="M111" s="9"/>
    </row>
    <row r="112" spans="2:13" ht="15.75" customHeight="1">
      <c r="B112" s="114" t="s">
        <v>4590</v>
      </c>
      <c r="C112" s="9">
        <v>158</v>
      </c>
      <c r="D112" s="9" t="s">
        <v>841</v>
      </c>
      <c r="E112" s="9" t="str">
        <f>IF($B112 = "Mutant",VLOOKUP($C112,Mutants!$A$2:$L$560,12,FALSE),IF($B112 = "Test",VLOOKUP($C112,Tests!$A$2:$L$841,12,FALSE),VLOOKUP($C112,Questions!$A$3:$N$174,9,FALSE)))</f>
        <v>Y</v>
      </c>
      <c r="F112" s="187" t="str">
        <f>IF($B112 = "Mutant",VLOOKUP($C112,Mutants!$A$2:$L$560,11,FALSE),IF($B112 = "Test",VLOOKUP($C112,Tests!$A$2:$L$841,11,FALSE),VLOOKUP($C112,Questions!$A$3:$N$174,13,FALSE)))</f>
        <v xml:space="preserve">toString
</v>
      </c>
      <c r="G112" s="187"/>
      <c r="H112" s="202"/>
      <c r="I112" s="9"/>
      <c r="J112" s="9"/>
      <c r="K112" s="9"/>
      <c r="L112" s="9"/>
      <c r="M112" s="9"/>
    </row>
    <row r="113" spans="2:13" ht="15.75" customHeight="1">
      <c r="B113" s="114" t="s">
        <v>4590</v>
      </c>
      <c r="C113" s="9">
        <v>165</v>
      </c>
      <c r="D113" s="9" t="s">
        <v>857</v>
      </c>
      <c r="E113" s="9" t="str">
        <f>IF($B113 = "Mutant",VLOOKUP($C113,Mutants!$A$2:$L$560,12,FALSE),IF($B113 = "Test",VLOOKUP($C113,Tests!$A$2:$L$841,12,FALSE),VLOOKUP($C113,Questions!$A$3:$N$174,9,FALSE)))</f>
        <v>Y</v>
      </c>
      <c r="F113" s="187" t="str">
        <f>IF($B113 = "Mutant",VLOOKUP($C113,Mutants!$A$2:$L$560,11,FALSE),IF($B113 = "Test",VLOOKUP($C113,Tests!$A$2:$L$841,11,FALSE),VLOOKUP($C113,Questions!$A$3:$N$174,13,FALSE)))</f>
        <v xml:space="preserve">toString
</v>
      </c>
      <c r="G113" s="187"/>
      <c r="H113" s="202"/>
      <c r="I113" s="9"/>
      <c r="J113" s="9"/>
      <c r="K113" s="9"/>
      <c r="L113" s="9"/>
      <c r="M113" s="9"/>
    </row>
    <row r="114" spans="2:13" ht="15.75" customHeight="1">
      <c r="B114" s="114" t="s">
        <v>4590</v>
      </c>
      <c r="C114" s="9">
        <v>168</v>
      </c>
      <c r="D114" s="9" t="s">
        <v>872</v>
      </c>
      <c r="E114" s="9" t="str">
        <f>IF($B114 = "Mutant",VLOOKUP($C114,Mutants!$A$2:$L$560,12,FALSE),IF($B114 = "Test",VLOOKUP($C114,Tests!$A$2:$L$841,12,FALSE),VLOOKUP($C114,Questions!$A$3:$N$174,9,FALSE)))</f>
        <v>Y</v>
      </c>
      <c r="F114" s="187" t="str">
        <f>IF($B114 = "Mutant",VLOOKUP($C114,Mutants!$A$2:$L$560,11,FALSE),IF($B114 = "Test",VLOOKUP($C114,Tests!$A$2:$L$841,11,FALSE),VLOOKUP($C114,Questions!$A$3:$N$174,13,FALSE)))</f>
        <v xml:space="preserve">toString
</v>
      </c>
      <c r="G114" s="187"/>
      <c r="H114" s="202"/>
      <c r="I114" s="9"/>
      <c r="J114" s="9"/>
      <c r="K114" s="9"/>
      <c r="L114" s="9"/>
      <c r="M114" s="9"/>
    </row>
    <row r="115" spans="2:13" ht="15.75" customHeight="1">
      <c r="B115" s="114" t="s">
        <v>4590</v>
      </c>
      <c r="C115" s="9">
        <v>204</v>
      </c>
      <c r="D115" s="9" t="s">
        <v>964</v>
      </c>
      <c r="E115" s="9" t="str">
        <f>IF($B115 = "Mutant",VLOOKUP($C115,Mutants!$A$2:$L$560,12,FALSE),IF($B115 = "Test",VLOOKUP($C115,Tests!$A$2:$L$841,12,FALSE),VLOOKUP($C115,Questions!$A$3:$N$174,9,FALSE)))</f>
        <v>Y</v>
      </c>
      <c r="F115" s="187" t="str">
        <f>IF($B115 = "Mutant",VLOOKUP($C115,Mutants!$A$2:$L$560,11,FALSE),IF($B115 = "Test",VLOOKUP($C115,Tests!$A$2:$L$841,11,FALSE),VLOOKUP($C115,Questions!$A$3:$N$174,13,FALSE)))</f>
        <v xml:space="preserve">getOption, stripLeadingHyphens
</v>
      </c>
      <c r="G115" s="187"/>
      <c r="H115" s="202"/>
      <c r="I115" s="9"/>
      <c r="J115" s="9"/>
      <c r="K115" s="9"/>
      <c r="L115" s="9"/>
      <c r="M115" s="9"/>
    </row>
    <row r="116" spans="2:13" ht="15.75" customHeight="1">
      <c r="B116" s="114" t="s">
        <v>4590</v>
      </c>
      <c r="C116" s="9">
        <v>210</v>
      </c>
      <c r="D116" s="9" t="s">
        <v>982</v>
      </c>
      <c r="E116" s="9" t="str">
        <f>IF($B116 = "Mutant",VLOOKUP($C116,Mutants!$A$2:$L$560,12,FALSE),IF($B116 = "Test",VLOOKUP($C116,Tests!$A$2:$L$841,12,FALSE),VLOOKUP($C116,Questions!$A$3:$N$174,9,FALSE)))</f>
        <v>Y</v>
      </c>
      <c r="F116" s="187" t="str">
        <f>IF($B116 = "Mutant",VLOOKUP($C116,Mutants!$A$2:$L$560,11,FALSE),IF($B116 = "Test",VLOOKUP($C116,Tests!$A$2:$L$841,11,FALSE),VLOOKUP($C116,Questions!$A$3:$N$174,13,FALSE)))</f>
        <v xml:space="preserve">getOption, stripLeadingHyphens
</v>
      </c>
      <c r="G116" s="187"/>
      <c r="H116" s="202"/>
      <c r="I116" s="9"/>
      <c r="J116" s="9"/>
      <c r="K116" s="9"/>
      <c r="L116" s="9"/>
      <c r="M116" s="9"/>
    </row>
    <row r="117" spans="2:13" ht="15.75" customHeight="1">
      <c r="B117" s="114" t="s">
        <v>4590</v>
      </c>
      <c r="C117" s="9">
        <v>284</v>
      </c>
      <c r="D117" s="9" t="s">
        <v>1187</v>
      </c>
      <c r="E117" s="9" t="str">
        <f>IF($B117 = "Mutant",VLOOKUP($C117,Mutants!$A$2:$L$560,12,FALSE),IF($B117 = "Test",VLOOKUP($C117,Tests!$A$2:$L$841,12,FALSE),VLOOKUP($C117,Questions!$A$3:$N$174,9,FALSE)))</f>
        <v>N</v>
      </c>
      <c r="F117" s="187" t="str">
        <f>IF($B117 = "Mutant",VLOOKUP($C117,Mutants!$A$2:$L$560,11,FALSE),IF($B117 = "Test",VLOOKUP($C117,Tests!$A$2:$L$841,11,FALSE),VLOOKUP($C117,Questions!$A$3:$N$174,13,FALSE)))</f>
        <v xml:space="preserve">
</v>
      </c>
      <c r="G117" s="187"/>
      <c r="H117" s="202"/>
      <c r="I117" s="9"/>
      <c r="J117" s="9"/>
      <c r="K117" s="9"/>
      <c r="L117" s="9"/>
      <c r="M117" s="9"/>
    </row>
    <row r="118" spans="2:13" ht="15.75" customHeight="1">
      <c r="B118" s="114" t="s">
        <v>4590</v>
      </c>
      <c r="C118" s="9">
        <v>286</v>
      </c>
      <c r="D118" s="9" t="s">
        <v>1192</v>
      </c>
      <c r="E118" s="9" t="str">
        <f>IF($B118 = "Mutant",VLOOKUP($C118,Mutants!$A$2:$L$560,12,FALSE),IF($B118 = "Test",VLOOKUP($C118,Tests!$A$2:$L$841,12,FALSE),VLOOKUP($C118,Questions!$A$3:$N$174,9,FALSE)))</f>
        <v>Y</v>
      </c>
      <c r="F118" s="187" t="str">
        <f>IF($B118 = "Mutant",VLOOKUP($C118,Mutants!$A$2:$L$560,11,FALSE),IF($B118 = "Test",VLOOKUP($C118,Tests!$A$2:$L$841,11,FALSE),VLOOKUP($C118,Questions!$A$3:$N$174,13,FALSE)))</f>
        <v xml:space="preserve">hasShortOption, stripLeadingHyphens
</v>
      </c>
      <c r="G118" s="187"/>
      <c r="H118" s="202"/>
      <c r="I118" s="9"/>
      <c r="J118" s="9"/>
      <c r="K118" s="9"/>
      <c r="L118" s="9"/>
      <c r="M118" s="9"/>
    </row>
    <row r="119" spans="2:13" ht="15.75" customHeight="1">
      <c r="B119" s="114" t="s">
        <v>4590</v>
      </c>
      <c r="C119" s="9">
        <v>298</v>
      </c>
      <c r="D119" s="9" t="s">
        <v>1232</v>
      </c>
      <c r="E119" s="9" t="str">
        <f>IF($B119 = "Mutant",VLOOKUP($C119,Mutants!$A$2:$L$560,12,FALSE),IF($B119 = "Test",VLOOKUP($C119,Tests!$A$2:$L$841,12,FALSE),VLOOKUP($C119,Questions!$A$3:$N$174,9,FALSE)))</f>
        <v>Y</v>
      </c>
      <c r="F119" s="187" t="str">
        <f>IF($B119 = "Mutant",VLOOKUP($C119,Mutants!$A$2:$L$560,11,FALSE),IF($B119 = "Test",VLOOKUP($C119,Tests!$A$2:$L$841,11,FALSE),VLOOKUP($C119,Questions!$A$3:$N$174,13,FALSE)))</f>
        <v xml:space="preserve">hasLongOption, stripLeadingHyphens
</v>
      </c>
      <c r="G119" s="187"/>
      <c r="H119" s="202"/>
      <c r="I119" s="9"/>
      <c r="J119" s="9"/>
      <c r="K119" s="9"/>
      <c r="L119" s="9"/>
      <c r="M119" s="9"/>
    </row>
    <row r="120" spans="2:13" ht="15.75" customHeight="1">
      <c r="B120" s="114" t="s">
        <v>4590</v>
      </c>
      <c r="C120" s="9">
        <v>315</v>
      </c>
      <c r="D120" s="9" t="s">
        <v>1281</v>
      </c>
      <c r="E120" s="9" t="str">
        <f>IF($B120 = "Mutant",VLOOKUP($C120,Mutants!$A$2:$L$560,12,FALSE),IF($B120 = "Test",VLOOKUP($C120,Tests!$A$2:$L$841,12,FALSE),VLOOKUP($C120,Questions!$A$3:$N$174,9,FALSE)))</f>
        <v>Y</v>
      </c>
      <c r="F120" s="187" t="str">
        <f>IF($B120 = "Mutant",VLOOKUP($C120,Mutants!$A$2:$L$560,11,FALSE),IF($B120 = "Test",VLOOKUP($C120,Tests!$A$2:$L$841,11,FALSE),VLOOKUP($C120,Questions!$A$3:$N$174,13,FALSE)))</f>
        <v xml:space="preserve">hasOption, stripLeadingHyphens
</v>
      </c>
      <c r="G120" s="187"/>
      <c r="H120" s="202"/>
      <c r="I120" s="9"/>
      <c r="J120" s="9"/>
      <c r="K120" s="9"/>
      <c r="L120" s="9"/>
      <c r="M120" s="9"/>
    </row>
    <row r="121" spans="2:13" ht="15.75" customHeight="1">
      <c r="B121" s="114" t="s">
        <v>107</v>
      </c>
      <c r="C121" s="9">
        <v>78</v>
      </c>
      <c r="D121" s="9" t="s">
        <v>150</v>
      </c>
      <c r="E121" s="9" t="str">
        <f>IF($B121 = "Mutant",VLOOKUP($C121,Mutants!$A$2:$L$560,12,FALSE),IF($B121 = "Test",VLOOKUP($C121,Tests!$A$2:$L$841,12,FALSE),VLOOKUP($C121,Questions!$A$3:$N$174,9,FALSE)))</f>
        <v>N</v>
      </c>
      <c r="F121" s="187" t="str">
        <f>IF($B121 = "Mutant",VLOOKUP($C121,Mutants!$A$2:$L$560,11,FALSE),IF($B121 = "Test",VLOOKUP($C121,Tests!$A$2:$L$841,11,FALSE),VLOOKUP($C121,Questions!$A$3:$N$174,13,FALSE)))</f>
        <v xml:space="preserve"> </v>
      </c>
      <c r="G121" s="187"/>
      <c r="H121" s="202"/>
      <c r="I121" s="9"/>
      <c r="J121" s="9"/>
      <c r="K121" s="9"/>
      <c r="L121" s="9"/>
      <c r="M121" s="9"/>
    </row>
    <row r="122" spans="2:13" ht="15.75" customHeight="1">
      <c r="B122" s="114" t="s">
        <v>107</v>
      </c>
      <c r="C122" s="9">
        <v>80</v>
      </c>
      <c r="D122" s="9" t="s">
        <v>153</v>
      </c>
      <c r="E122" s="9" t="str">
        <f>IF($B122 = "Mutant",VLOOKUP($C122,Mutants!$A$2:$L$560,12,FALSE),IF($B122 = "Test",VLOOKUP($C122,Tests!$A$2:$L$841,12,FALSE),VLOOKUP($C122,Questions!$A$3:$N$174,9,FALSE)))</f>
        <v>N</v>
      </c>
      <c r="F122" s="187" t="str">
        <f>IF($B122 = "Mutant",VLOOKUP($C122,Mutants!$A$2:$L$560,11,FALSE),IF($B122 = "Test",VLOOKUP($C122,Tests!$A$2:$L$841,11,FALSE),VLOOKUP($C122,Questions!$A$3:$N$174,13,FALSE)))</f>
        <v xml:space="preserve"> </v>
      </c>
      <c r="G122" s="187"/>
      <c r="H122" s="202"/>
      <c r="I122" s="9"/>
      <c r="J122" s="9"/>
      <c r="K122" s="9"/>
      <c r="L122" s="9"/>
      <c r="M122" s="9"/>
    </row>
    <row r="123" spans="2:13" ht="15.75" customHeight="1">
      <c r="B123" s="133" t="s">
        <v>4590</v>
      </c>
      <c r="C123" s="130">
        <v>415</v>
      </c>
      <c r="D123" s="130" t="s">
        <v>1573</v>
      </c>
      <c r="E123" s="130" t="str">
        <f>IF($B123 = "Mutant",VLOOKUP($C123,Mutants!$A$2:$L$560,12,FALSE),IF($B123 = "Test",VLOOKUP($C123,Tests!$A$2:$L$841,12,FALSE),VLOOKUP($C123,Questions!$A$3:$N$174,9,FALSE)))</f>
        <v>N</v>
      </c>
      <c r="F123" s="203" t="str">
        <f>IF($B123 = "Mutant",VLOOKUP($C123,Mutants!$A$2:$L$560,11,FALSE),IF($B123 = "Test",VLOOKUP($C123,Tests!$A$2:$L$841,11,FALSE),VLOOKUP($C123,Questions!$A$3:$N$174,13,FALSE)))</f>
        <v xml:space="preserve">
</v>
      </c>
      <c r="G123" s="203"/>
      <c r="H123" s="204"/>
      <c r="I123" s="9"/>
      <c r="J123" s="9"/>
      <c r="K123" s="9"/>
      <c r="L123" s="9"/>
      <c r="M123" s="9"/>
    </row>
    <row r="124" spans="2:13" ht="15.75" customHeight="1">
      <c r="F124" s="188"/>
      <c r="G124" s="188"/>
      <c r="H124" s="188"/>
    </row>
    <row r="125" spans="2:13" ht="15.75" customHeight="1">
      <c r="F125" s="188"/>
      <c r="G125" s="188"/>
      <c r="H125" s="188"/>
    </row>
    <row r="126" spans="2:13" ht="15.75" customHeight="1" thickBot="1">
      <c r="B126" s="200" t="s">
        <v>4604</v>
      </c>
      <c r="C126" s="201"/>
      <c r="D126" s="45">
        <v>139</v>
      </c>
      <c r="F126" s="207"/>
      <c r="G126" s="207"/>
      <c r="H126" s="207"/>
    </row>
    <row r="127" spans="2:13" ht="15.75" customHeight="1" thickTop="1">
      <c r="B127" s="134" t="s">
        <v>4594</v>
      </c>
      <c r="C127" s="135" t="s">
        <v>44</v>
      </c>
      <c r="D127" s="135" t="s">
        <v>110</v>
      </c>
      <c r="E127" s="136" t="s">
        <v>2</v>
      </c>
      <c r="F127" s="208" t="s">
        <v>4612</v>
      </c>
      <c r="G127" s="208"/>
      <c r="H127" s="209"/>
      <c r="I127" s="9"/>
      <c r="J127" s="9"/>
      <c r="K127" s="9"/>
      <c r="L127" s="9"/>
      <c r="M127" s="9"/>
    </row>
    <row r="128" spans="2:13" ht="15.75" customHeight="1">
      <c r="B128" s="137" t="s">
        <v>107</v>
      </c>
      <c r="C128" s="93">
        <v>8</v>
      </c>
      <c r="D128" s="93" t="s">
        <v>156</v>
      </c>
      <c r="E128" s="93" t="str">
        <f>IF($B128 = "Mutant",VLOOKUP($C128,Mutants!$A$2:$L$560,12,FALSE),IF($B128 = "Test",VLOOKUP($C128,Tests!$A$2:$L$841,12,FALSE),VLOOKUP($C128,Questions!$A$3:$N$174,9,FALSE)))</f>
        <v>Y</v>
      </c>
      <c r="F128" s="205" t="str">
        <f>IF($B128 = "Mutant",VLOOKUP($C128,Mutants!$A$2:$L$560,11,FALSE),IF($B128 = "Test",VLOOKUP($C128,Tests!$A$2:$L$841,11,FALSE),VLOOKUP($C128,Questions!$A$3:$N$174,13,FALSE)))</f>
        <v xml:space="preserve"> </v>
      </c>
      <c r="G128" s="205"/>
      <c r="H128" s="206"/>
      <c r="I128" s="9"/>
      <c r="J128" s="9"/>
      <c r="K128" s="9"/>
      <c r="L128" s="9"/>
      <c r="M128" s="9"/>
    </row>
    <row r="129" spans="2:14" ht="15.75" customHeight="1">
      <c r="B129" s="114" t="s">
        <v>4589</v>
      </c>
      <c r="C129" s="9">
        <v>150</v>
      </c>
      <c r="D129" s="9" t="s">
        <v>3235</v>
      </c>
      <c r="E129" s="9" t="str">
        <f>IF($B129 = "Mutant",VLOOKUP($C129,Mutants!$A$2:$L$560,12,FALSE),IF($B129 = "Test",VLOOKUP($C129,Tests!$A$2:$L$841,12,FALSE),VLOOKUP($C129,Questions!$A$3:$N$174,9,FALSE)))</f>
        <v>Y</v>
      </c>
      <c r="F129" s="187" t="str">
        <f>IF($B129 = "Mutant",VLOOKUP($C129,Mutants!$A$2:$L$560,11,FALSE),IF($B129 = "Test",VLOOKUP($C129,Tests!$A$2:$L$841,11,FALSE),VLOOKUP($C129,Questions!$A$3:$N$174,13,FALSE)))</f>
        <v xml:space="preserve">addOptionGroup
</v>
      </c>
      <c r="G129" s="187"/>
      <c r="H129" s="202"/>
      <c r="I129" s="9"/>
      <c r="J129" s="9"/>
      <c r="K129" s="9"/>
      <c r="L129" s="9"/>
      <c r="M129" s="9"/>
    </row>
    <row r="130" spans="2:14" ht="15.75" customHeight="1">
      <c r="B130" s="114" t="s">
        <v>4589</v>
      </c>
      <c r="C130" s="9">
        <v>213</v>
      </c>
      <c r="D130" s="9" t="s">
        <v>3413</v>
      </c>
      <c r="E130" s="9" t="str">
        <f>IF($B130 = "Mutant",VLOOKUP($C130,Mutants!$A$2:$L$560,12,FALSE),IF($B130 = "Test",VLOOKUP($C130,Tests!$A$2:$L$841,12,FALSE),VLOOKUP($C130,Questions!$A$3:$N$174,9,FALSE)))</f>
        <v>Y</v>
      </c>
      <c r="F130" s="187" t="str">
        <f>IF($B130 = "Mutant",VLOOKUP($C130,Mutants!$A$2:$L$560,11,FALSE),IF($B130 = "Test",VLOOKUP($C130,Tests!$A$2:$L$841,11,FALSE),VLOOKUP($C130,Questions!$A$3:$N$174,13,FALSE)))</f>
        <v xml:space="preserve">toString
</v>
      </c>
      <c r="G130" s="187"/>
      <c r="H130" s="202"/>
      <c r="I130" s="9"/>
      <c r="J130" s="9"/>
      <c r="K130" s="9"/>
      <c r="L130" s="9"/>
      <c r="M130" s="9"/>
    </row>
    <row r="131" spans="2:14" ht="15.75" customHeight="1">
      <c r="B131" s="114" t="s">
        <v>107</v>
      </c>
      <c r="C131" s="9">
        <v>27</v>
      </c>
      <c r="D131" s="9" t="s">
        <v>159</v>
      </c>
      <c r="E131" s="9" t="str">
        <f>IF($B131 = "Mutant",VLOOKUP($C131,Mutants!$A$2:$L$560,12,FALSE),IF($B131 = "Test",VLOOKUP($C131,Tests!$A$2:$L$841,12,FALSE),VLOOKUP($C131,Questions!$A$3:$N$174,9,FALSE)))</f>
        <v>Y</v>
      </c>
      <c r="F131" s="187" t="str">
        <f>IF($B131 = "Mutant",VLOOKUP($C131,Mutants!$A$2:$L$560,11,FALSE),IF($B131 = "Test",VLOOKUP($C131,Tests!$A$2:$L$841,11,FALSE),VLOOKUP($C131,Questions!$A$3:$N$174,13,FALSE)))</f>
        <v>stripLeadingHyphens</v>
      </c>
      <c r="G131" s="187"/>
      <c r="H131" s="202"/>
      <c r="I131" s="9"/>
      <c r="J131" s="9"/>
      <c r="K131" s="9"/>
      <c r="L131" s="9"/>
      <c r="M131" s="9"/>
      <c r="N131" s="9"/>
    </row>
    <row r="132" spans="2:14" ht="15.75" customHeight="1">
      <c r="B132" s="114" t="s">
        <v>107</v>
      </c>
      <c r="C132" s="9">
        <v>39</v>
      </c>
      <c r="D132" s="9" t="s">
        <v>163</v>
      </c>
      <c r="E132" s="9" t="str">
        <f>IF($B132 = "Mutant",VLOOKUP($C132,Mutants!$A$2:$L$560,12,FALSE),IF($B132 = "Test",VLOOKUP($C132,Tests!$A$2:$L$841,12,FALSE),VLOOKUP($C132,Questions!$A$3:$N$174,9,FALSE)))</f>
        <v>Y</v>
      </c>
      <c r="F132" s="187" t="str">
        <f>IF($B132 = "Mutant",VLOOKUP($C132,Mutants!$A$2:$L$560,11,FALSE),IF($B132 = "Test",VLOOKUP($C132,Tests!$A$2:$L$841,11,FALSE),VLOOKUP($C132,Questions!$A$3:$N$174,13,FALSE)))</f>
        <v>getMatchingOptions</v>
      </c>
      <c r="G132" s="187"/>
      <c r="H132" s="202"/>
      <c r="I132" s="9"/>
      <c r="J132" s="9"/>
      <c r="K132" s="9"/>
      <c r="L132" s="9"/>
      <c r="M132" s="9"/>
      <c r="N132" s="9"/>
    </row>
    <row r="133" spans="2:14" ht="15.75" customHeight="1">
      <c r="B133" s="114" t="s">
        <v>4589</v>
      </c>
      <c r="C133" s="9">
        <v>294</v>
      </c>
      <c r="D133" s="9" t="s">
        <v>3633</v>
      </c>
      <c r="E133" s="9" t="str">
        <f>IF($B133 = "Mutant",VLOOKUP($C133,Mutants!$A$2:$L$560,12,FALSE),IF($B133 = "Test",VLOOKUP($C133,Tests!$A$2:$L$841,12,FALSE),VLOOKUP($C133,Questions!$A$3:$N$174,9,FALSE)))</f>
        <v>Y</v>
      </c>
      <c r="F133" s="187" t="str">
        <f>IF($B133 = "Mutant",VLOOKUP($C133,Mutants!$A$2:$L$560,11,FALSE),IF($B133 = "Test",VLOOKUP($C133,Tests!$A$2:$L$841,11,FALSE),VLOOKUP($C133,Questions!$A$3:$N$174,13,FALSE)))</f>
        <v xml:space="preserve">stripLeadingHyphens
</v>
      </c>
      <c r="G133" s="187"/>
      <c r="H133" s="202"/>
      <c r="I133" s="9"/>
      <c r="J133" s="9"/>
      <c r="K133" s="9"/>
      <c r="L133" s="9"/>
      <c r="M133" s="9"/>
    </row>
    <row r="134" spans="2:14" ht="15.75" customHeight="1">
      <c r="B134" s="114" t="s">
        <v>4589</v>
      </c>
      <c r="C134" s="9">
        <v>295</v>
      </c>
      <c r="D134" s="9" t="s">
        <v>1055</v>
      </c>
      <c r="E134" s="9" t="str">
        <f>IF($B134 = "Mutant",VLOOKUP($C134,Mutants!$A$2:$L$560,12,FALSE),IF($B134 = "Test",VLOOKUP($C134,Tests!$A$2:$L$841,12,FALSE),VLOOKUP($C134,Questions!$A$3:$N$174,9,FALSE)))</f>
        <v>Y</v>
      </c>
      <c r="F134" s="187" t="str">
        <f>IF($B134 = "Mutant",VLOOKUP($C134,Mutants!$A$2:$L$560,11,FALSE),IF($B134 = "Test",VLOOKUP($C134,Tests!$A$2:$L$841,11,FALSE),VLOOKUP($C134,Questions!$A$3:$N$174,13,FALSE)))</f>
        <v xml:space="preserve">stripLeadingHyphens
</v>
      </c>
      <c r="G134" s="187"/>
      <c r="H134" s="202"/>
      <c r="I134" s="9"/>
      <c r="J134" s="9"/>
      <c r="K134" s="9"/>
      <c r="L134" s="9"/>
      <c r="M134" s="9"/>
    </row>
    <row r="135" spans="2:14" ht="15.75" customHeight="1">
      <c r="B135" s="114" t="s">
        <v>4589</v>
      </c>
      <c r="C135" s="9">
        <v>300</v>
      </c>
      <c r="D135" s="9" t="s">
        <v>3649</v>
      </c>
      <c r="E135" s="9" t="str">
        <f>IF($B135 = "Mutant",VLOOKUP($C135,Mutants!$A$2:$L$560,12,FALSE),IF($B135 = "Test",VLOOKUP($C135,Tests!$A$2:$L$841,12,FALSE),VLOOKUP($C135,Questions!$A$3:$N$174,9,FALSE)))</f>
        <v>Y</v>
      </c>
      <c r="F135" s="187" t="str">
        <f>IF($B135 = "Mutant",VLOOKUP($C135,Mutants!$A$2:$L$560,11,FALSE),IF($B135 = "Test",VLOOKUP($C135,Tests!$A$2:$L$841,11,FALSE),VLOOKUP($C135,Questions!$A$3:$N$174,13,FALSE)))</f>
        <v xml:space="preserve">stripLeadingHyphens
</v>
      </c>
      <c r="G135" s="187"/>
      <c r="H135" s="202"/>
      <c r="I135" s="9"/>
      <c r="J135" s="9"/>
      <c r="K135" s="9"/>
      <c r="L135" s="9"/>
      <c r="M135" s="9"/>
    </row>
    <row r="136" spans="2:14" ht="15.75" customHeight="1">
      <c r="B136" s="114" t="s">
        <v>107</v>
      </c>
      <c r="C136" s="9">
        <v>66</v>
      </c>
      <c r="D136" s="9" t="s">
        <v>167</v>
      </c>
      <c r="E136" s="9" t="str">
        <f>IF($B136 = "Mutant",VLOOKUP($C136,Mutants!$A$2:$L$560,12,FALSE),IF($B136 = "Test",VLOOKUP($C136,Tests!$A$2:$L$841,12,FALSE),VLOOKUP($C136,Questions!$A$3:$N$174,9,FALSE)))</f>
        <v>Y</v>
      </c>
      <c r="F136" s="187" t="str">
        <f>IF($B136 = "Mutant",VLOOKUP($C136,Mutants!$A$2:$L$560,11,FALSE),IF($B136 = "Test",VLOOKUP($C136,Tests!$A$2:$L$841,11,FALSE),VLOOKUP($C136,Questions!$A$3:$N$174,13,FALSE)))</f>
        <v>getMatchingOptions</v>
      </c>
      <c r="G136" s="187"/>
      <c r="H136" s="202"/>
      <c r="I136" s="9"/>
      <c r="J136" s="9"/>
      <c r="K136" s="9"/>
      <c r="L136" s="9"/>
      <c r="M136" s="9"/>
      <c r="N136" s="9"/>
    </row>
    <row r="137" spans="2:14" ht="15.75" customHeight="1">
      <c r="B137" s="114" t="s">
        <v>107</v>
      </c>
      <c r="C137" s="9">
        <v>73</v>
      </c>
      <c r="D137" s="9" t="s">
        <v>170</v>
      </c>
      <c r="E137" s="9" t="str">
        <f>IF($B137 = "Mutant",VLOOKUP($C137,Mutants!$A$2:$L$560,12,FALSE),IF($B137 = "Test",VLOOKUP($C137,Tests!$A$2:$L$841,12,FALSE),VLOOKUP($C137,Questions!$A$3:$N$174,9,FALSE)))</f>
        <v>Y</v>
      </c>
      <c r="F137" s="187" t="str">
        <f>IF($B137 = "Mutant",VLOOKUP($C137,Mutants!$A$2:$L$560,11,FALSE),IF($B137 = "Test",VLOOKUP($C137,Tests!$A$2:$L$841,11,FALSE),VLOOKUP($C137,Questions!$A$3:$N$174,13,FALSE)))</f>
        <v>getMatchingOptions</v>
      </c>
      <c r="G137" s="187"/>
      <c r="H137" s="202"/>
      <c r="I137" s="9"/>
      <c r="J137" s="9"/>
      <c r="K137" s="9"/>
      <c r="L137" s="9"/>
      <c r="M137" s="9"/>
      <c r="N137" s="9"/>
    </row>
    <row r="138" spans="2:14" ht="15.75" customHeight="1">
      <c r="B138" s="114" t="s">
        <v>4590</v>
      </c>
      <c r="C138" s="9">
        <v>333</v>
      </c>
      <c r="D138" s="9" t="s">
        <v>1332</v>
      </c>
      <c r="E138" s="9" t="str">
        <f>IF($B138 = "Mutant",VLOOKUP($C138,Mutants!$A$2:$L$560,12,FALSE),IF($B138 = "Test",VLOOKUP($C138,Tests!$A$2:$L$841,12,FALSE),VLOOKUP($C138,Questions!$A$3:$N$174,9,FALSE)))</f>
        <v>N</v>
      </c>
      <c r="F138" s="187" t="str">
        <f>IF($B138 = "Mutant",VLOOKUP($C138,Mutants!$A$2:$L$560,11,FALSE),IF($B138 = "Test",VLOOKUP($C138,Tests!$A$2:$L$841,11,FALSE),VLOOKUP($C138,Questions!$A$3:$N$174,13,FALSE)))</f>
        <v xml:space="preserve">
</v>
      </c>
      <c r="G138" s="187"/>
      <c r="H138" s="202"/>
      <c r="I138" s="9"/>
      <c r="J138" s="9"/>
      <c r="K138" s="9"/>
      <c r="L138" s="9"/>
      <c r="M138" s="9"/>
    </row>
    <row r="139" spans="2:14" ht="15.75" customHeight="1">
      <c r="B139" s="114" t="s">
        <v>4590</v>
      </c>
      <c r="C139" s="9">
        <v>393</v>
      </c>
      <c r="D139" s="9" t="s">
        <v>153</v>
      </c>
      <c r="E139" s="9" t="str">
        <f>IF($B139 = "Mutant",VLOOKUP($C139,Mutants!$A$2:$L$560,12,FALSE),IF($B139 = "Test",VLOOKUP($C139,Tests!$A$2:$L$841,12,FALSE),VLOOKUP($C139,Questions!$A$3:$N$174,9,FALSE)))</f>
        <v>N</v>
      </c>
      <c r="F139" s="187" t="str">
        <f>IF($B139 = "Mutant",VLOOKUP($C139,Mutants!$A$2:$L$560,11,FALSE),IF($B139 = "Test",VLOOKUP($C139,Tests!$A$2:$L$841,11,FALSE),VLOOKUP($C139,Questions!$A$3:$N$174,13,FALSE)))</f>
        <v xml:space="preserve">
</v>
      </c>
      <c r="G139" s="187"/>
      <c r="H139" s="202"/>
      <c r="I139" s="9"/>
      <c r="J139" s="9"/>
      <c r="K139" s="9"/>
      <c r="L139" s="9"/>
      <c r="M139" s="9"/>
    </row>
    <row r="140" spans="2:14" ht="12.75">
      <c r="B140" s="114" t="s">
        <v>107</v>
      </c>
      <c r="C140" s="9">
        <v>85</v>
      </c>
      <c r="D140" s="9" t="s">
        <v>173</v>
      </c>
      <c r="E140" s="9" t="str">
        <f>IF($B140 = "Mutant",VLOOKUP($C140,Mutants!$A$2:$L$560,12,FALSE),IF($B140 = "Test",VLOOKUP($C140,Tests!$A$2:$L$841,12,FALSE),VLOOKUP($C140,Questions!$A$3:$N$174,9,FALSE)))</f>
        <v>Y</v>
      </c>
      <c r="F140" s="187" t="str">
        <f>IF($B140 = "Mutant",VLOOKUP($C140,Mutants!$A$2:$L$560,11,FALSE),IF($B140 = "Test",VLOOKUP($C140,Tests!$A$2:$L$841,11,FALSE),VLOOKUP($C140,Questions!$A$3:$N$174,13,FALSE)))</f>
        <v xml:space="preserve"> </v>
      </c>
      <c r="G140" s="187"/>
      <c r="H140" s="202"/>
      <c r="I140" s="9"/>
      <c r="J140" s="9"/>
      <c r="K140" s="9"/>
      <c r="L140" s="9"/>
      <c r="M140" s="9"/>
    </row>
    <row r="141" spans="2:14" ht="15.75" customHeight="1">
      <c r="B141" s="114" t="s">
        <v>4590</v>
      </c>
      <c r="C141" s="9">
        <v>454</v>
      </c>
      <c r="D141" s="9" t="s">
        <v>1698</v>
      </c>
      <c r="E141" s="9" t="str">
        <f>IF($B141 = "Mutant",VLOOKUP($C141,Mutants!$A$2:$L$560,12,FALSE),IF($B141 = "Test",VLOOKUP($C141,Tests!$A$2:$L$841,12,FALSE),VLOOKUP($C141,Questions!$A$3:$N$174,9,FALSE)))</f>
        <v>N</v>
      </c>
      <c r="F141" s="187" t="str">
        <f>IF($B141 = "Mutant",VLOOKUP($C141,Mutants!$A$2:$L$560,11,FALSE),IF($B141 = "Test",VLOOKUP($C141,Tests!$A$2:$L$841,11,FALSE),VLOOKUP($C141,Questions!$A$3:$N$174,13,FALSE)))</f>
        <v xml:space="preserve">
</v>
      </c>
      <c r="G141" s="187"/>
      <c r="H141" s="202"/>
      <c r="I141" s="9"/>
      <c r="J141" s="9"/>
      <c r="K141" s="9"/>
      <c r="L141" s="9"/>
      <c r="M141" s="9"/>
    </row>
    <row r="142" spans="2:14" ht="12.75">
      <c r="B142" s="133" t="s">
        <v>107</v>
      </c>
      <c r="C142" s="130">
        <v>91</v>
      </c>
      <c r="D142" s="130" t="s">
        <v>176</v>
      </c>
      <c r="E142" s="130" t="str">
        <f>IF($B142 = "Mutant",VLOOKUP($C142,Mutants!$A$2:$L$560,12,FALSE),IF($B142 = "Test",VLOOKUP($C142,Tests!$A$2:$L$841,12,FALSE),VLOOKUP($C142,Questions!$A$3:$N$174,9,FALSE)))</f>
        <v>Y</v>
      </c>
      <c r="F142" s="203" t="str">
        <f>IF($B142 = "Mutant",VLOOKUP($C142,Mutants!$A$2:$L$560,11,FALSE),IF($B142 = "Test",VLOOKUP($C142,Tests!$A$2:$L$841,11,FALSE),VLOOKUP($C142,Questions!$A$3:$N$174,13,FALSE)))</f>
        <v xml:space="preserve"> </v>
      </c>
      <c r="G142" s="203"/>
      <c r="H142" s="204"/>
      <c r="I142" s="9"/>
      <c r="J142" s="9"/>
      <c r="K142" s="9"/>
      <c r="L142" s="9"/>
      <c r="M142" s="9"/>
    </row>
  </sheetData>
  <mergeCells count="116">
    <mergeCell ref="B38:C38"/>
    <mergeCell ref="B13:C13"/>
    <mergeCell ref="B5:C5"/>
    <mergeCell ref="B6:C6"/>
    <mergeCell ref="B7:C7"/>
    <mergeCell ref="B8:C8"/>
    <mergeCell ref="B9:C9"/>
    <mergeCell ref="B10:C10"/>
    <mergeCell ref="F58:H58"/>
    <mergeCell ref="F59:H59"/>
    <mergeCell ref="F60:H60"/>
    <mergeCell ref="F61:H61"/>
    <mergeCell ref="F62:H62"/>
    <mergeCell ref="F54:H54"/>
    <mergeCell ref="F39:H39"/>
    <mergeCell ref="F55:H55"/>
    <mergeCell ref="F56:H56"/>
    <mergeCell ref="F57:H57"/>
    <mergeCell ref="F40:H40"/>
    <mergeCell ref="F41:H41"/>
    <mergeCell ref="F42:H42"/>
    <mergeCell ref="F43:H43"/>
    <mergeCell ref="F44:H44"/>
    <mergeCell ref="F45:H45"/>
    <mergeCell ref="F46:H46"/>
    <mergeCell ref="F47:H47"/>
    <mergeCell ref="F48:H48"/>
    <mergeCell ref="F49:H49"/>
    <mergeCell ref="F50:H50"/>
    <mergeCell ref="F51:H51"/>
    <mergeCell ref="F52:H52"/>
    <mergeCell ref="F53:H53"/>
    <mergeCell ref="F68:H68"/>
    <mergeCell ref="F69:H69"/>
    <mergeCell ref="F70:H70"/>
    <mergeCell ref="F71:H71"/>
    <mergeCell ref="F72:H72"/>
    <mergeCell ref="F63:H63"/>
    <mergeCell ref="F64:H64"/>
    <mergeCell ref="F65:H65"/>
    <mergeCell ref="F66:H66"/>
    <mergeCell ref="F67:H67"/>
    <mergeCell ref="F78:H78"/>
    <mergeCell ref="F79:H79"/>
    <mergeCell ref="F80:H80"/>
    <mergeCell ref="F81:H81"/>
    <mergeCell ref="F82:H82"/>
    <mergeCell ref="F73:H73"/>
    <mergeCell ref="F74:H74"/>
    <mergeCell ref="F75:H75"/>
    <mergeCell ref="F76:H76"/>
    <mergeCell ref="F77:H77"/>
    <mergeCell ref="F88:H88"/>
    <mergeCell ref="F89:H89"/>
    <mergeCell ref="F90:H90"/>
    <mergeCell ref="F91:H91"/>
    <mergeCell ref="F92:H92"/>
    <mergeCell ref="F83:H83"/>
    <mergeCell ref="F84:H84"/>
    <mergeCell ref="F85:H85"/>
    <mergeCell ref="F86:H86"/>
    <mergeCell ref="F87:H87"/>
    <mergeCell ref="F98:H98"/>
    <mergeCell ref="F99:H99"/>
    <mergeCell ref="F100:H100"/>
    <mergeCell ref="F101:H101"/>
    <mergeCell ref="F102:H102"/>
    <mergeCell ref="F93:H93"/>
    <mergeCell ref="F94:H94"/>
    <mergeCell ref="F95:H95"/>
    <mergeCell ref="F96:H96"/>
    <mergeCell ref="F97:H97"/>
    <mergeCell ref="F108:H108"/>
    <mergeCell ref="F109:H109"/>
    <mergeCell ref="F110:H110"/>
    <mergeCell ref="F111:H111"/>
    <mergeCell ref="F112:H112"/>
    <mergeCell ref="F103:H103"/>
    <mergeCell ref="F104:H104"/>
    <mergeCell ref="F105:H105"/>
    <mergeCell ref="F106:H106"/>
    <mergeCell ref="F107:H107"/>
    <mergeCell ref="F118:H118"/>
    <mergeCell ref="F119:H119"/>
    <mergeCell ref="F120:H120"/>
    <mergeCell ref="F121:H121"/>
    <mergeCell ref="F122:H122"/>
    <mergeCell ref="F113:H113"/>
    <mergeCell ref="F114:H114"/>
    <mergeCell ref="F115:H115"/>
    <mergeCell ref="F116:H116"/>
    <mergeCell ref="F117:H117"/>
    <mergeCell ref="B57:C57"/>
    <mergeCell ref="B86:C86"/>
    <mergeCell ref="B100:C100"/>
    <mergeCell ref="B126:C126"/>
    <mergeCell ref="F138:H138"/>
    <mergeCell ref="F139:H139"/>
    <mergeCell ref="F140:H140"/>
    <mergeCell ref="F141:H141"/>
    <mergeCell ref="F142:H142"/>
    <mergeCell ref="F133:H133"/>
    <mergeCell ref="F134:H134"/>
    <mergeCell ref="F135:H135"/>
    <mergeCell ref="F136:H136"/>
    <mergeCell ref="F137:H137"/>
    <mergeCell ref="F128:H128"/>
    <mergeCell ref="F129:H129"/>
    <mergeCell ref="F130:H130"/>
    <mergeCell ref="F131:H131"/>
    <mergeCell ref="F132:H132"/>
    <mergeCell ref="F123:H123"/>
    <mergeCell ref="F124:H124"/>
    <mergeCell ref="F125:H125"/>
    <mergeCell ref="F126:H126"/>
    <mergeCell ref="F127:H127"/>
  </mergeCells>
  <conditionalFormatting sqref="A1:F4 O1:P37 G1:N38 Q1:R38 S1:Z1080 A5:B10 D5:F10 A11:F37 A38:B38 D38:F38 A39:F56 O39:P1080 J40:M54 N40:N1080 Q40:R1080 I55:M57 A57:B57 D57:F57 A58:F85 I59:M86 A86:B86 D86:F86 A87:F99 I88:M100 A100:B100 D100:F100 A101:F125 I102:M126 A126:B126 D126:F126 A127:F1080 I128:M142 G143:M1080">
    <cfRule type="cellIs" dxfId="452" priority="1" operator="equal">
      <formula>"NO_KILL"</formula>
    </cfRule>
    <cfRule type="cellIs" dxfId="451" priority="2" operator="equal">
      <formula>"KILL"</formula>
    </cfRule>
    <cfRule type="cellIs" dxfId="450" priority="3" operator="equal">
      <formula>"ERROR"</formula>
    </cfRule>
  </conditionalFormatting>
  <conditionalFormatting sqref="B36:B1080">
    <cfRule type="cellIs" dxfId="449" priority="4" operator="equal">
      <formula>"Test"</formula>
    </cfRule>
    <cfRule type="cellIs" dxfId="448" priority="5" operator="equal">
      <formula>"Mutant"</formula>
    </cfRule>
    <cfRule type="cellIs" dxfId="447" priority="6" operator="equal">
      <formula>"Question"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B2:N11"/>
  <sheetViews>
    <sheetView workbookViewId="0"/>
  </sheetViews>
  <sheetFormatPr defaultColWidth="12.5703125" defaultRowHeight="15.75" customHeight="1"/>
  <cols>
    <col min="4" max="4" width="13.85546875" customWidth="1"/>
    <col min="14" max="14" width="13.42578125" customWidth="1"/>
  </cols>
  <sheetData>
    <row r="2" spans="2:14" ht="12.75">
      <c r="B2" s="29" t="s">
        <v>4</v>
      </c>
      <c r="C2" s="29" t="s">
        <v>45</v>
      </c>
      <c r="D2" s="29" t="s">
        <v>46</v>
      </c>
    </row>
    <row r="3" spans="2:14" ht="12.75">
      <c r="B3" s="29"/>
      <c r="C3" s="29"/>
      <c r="D3" s="29"/>
    </row>
    <row r="5" spans="2:14" ht="12.75">
      <c r="B5" s="30" t="s">
        <v>3</v>
      </c>
      <c r="C5" s="44" t="s">
        <v>1</v>
      </c>
      <c r="D5" s="44" t="s">
        <v>5</v>
      </c>
      <c r="E5" s="43" t="s">
        <v>6</v>
      </c>
      <c r="F5" s="43" t="s">
        <v>7</v>
      </c>
      <c r="G5" s="43" t="s">
        <v>8</v>
      </c>
      <c r="H5" s="44" t="s">
        <v>9</v>
      </c>
      <c r="I5" s="43" t="s">
        <v>10</v>
      </c>
      <c r="J5" s="43" t="s">
        <v>11</v>
      </c>
      <c r="K5" s="44" t="s">
        <v>12</v>
      </c>
      <c r="L5" s="43" t="s">
        <v>13</v>
      </c>
      <c r="M5" s="43" t="s">
        <v>14</v>
      </c>
      <c r="N5" s="61" t="s">
        <v>15</v>
      </c>
    </row>
    <row r="8" spans="2:14" ht="27" customHeight="1">
      <c r="B8" s="220" t="s">
        <v>4588</v>
      </c>
      <c r="C8" s="173"/>
    </row>
    <row r="10" spans="2:14" ht="12.75">
      <c r="C10" s="29" t="s">
        <v>4589</v>
      </c>
    </row>
    <row r="11" spans="2:14" ht="12.75">
      <c r="B11" s="29" t="s">
        <v>4590</v>
      </c>
      <c r="C11" s="29"/>
    </row>
  </sheetData>
  <mergeCells count="1">
    <mergeCell ref="B8:C8"/>
  </mergeCells>
  <conditionalFormatting sqref="A1:Z969">
    <cfRule type="cellIs" dxfId="446" priority="1" operator="equal">
      <formula>"NO_KILL"</formula>
    </cfRule>
    <cfRule type="cellIs" dxfId="445" priority="2" operator="equal">
      <formula>"KILL"</formula>
    </cfRule>
    <cfRule type="cellIs" dxfId="444" priority="3" operator="equal">
      <formula>"ERROR"</formula>
    </cfRule>
  </conditionalFormatting>
  <conditionalFormatting sqref="B12:B969">
    <cfRule type="cellIs" dxfId="443" priority="4" operator="equal">
      <formula>"Test"</formula>
    </cfRule>
    <cfRule type="cellIs" dxfId="442" priority="5" operator="equal">
      <formula>"Mutant"</formula>
    </cfRule>
    <cfRule type="cellIs" dxfId="441" priority="6" operator="equal">
      <formula>"Question"</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B2:R179"/>
  <sheetViews>
    <sheetView topLeftCell="A43" workbookViewId="0">
      <selection activeCell="E51" sqref="E51:H51"/>
    </sheetView>
  </sheetViews>
  <sheetFormatPr defaultColWidth="12.5703125" defaultRowHeight="15.75" customHeight="1"/>
  <cols>
    <col min="4" max="4" width="16.42578125" customWidth="1"/>
    <col min="6" max="6" width="13.5703125" customWidth="1"/>
    <col min="7" max="7" width="13.140625" customWidth="1"/>
    <col min="8" max="8" width="14.140625" customWidth="1"/>
    <col min="9" max="9" width="12.140625" customWidth="1"/>
    <col min="14" max="14" width="13.42578125" customWidth="1"/>
  </cols>
  <sheetData>
    <row r="2" spans="2:18" ht="12.75">
      <c r="B2" s="29" t="s">
        <v>4</v>
      </c>
      <c r="C2" s="29" t="s">
        <v>45</v>
      </c>
      <c r="D2" s="29" t="s">
        <v>46</v>
      </c>
    </row>
    <row r="3" spans="2:18" ht="12.75">
      <c r="B3" s="29">
        <v>110</v>
      </c>
      <c r="C3" s="29" t="s">
        <v>59</v>
      </c>
      <c r="D3" s="127" t="s">
        <v>18</v>
      </c>
    </row>
    <row r="5" spans="2:18" ht="12.75">
      <c r="B5" s="221" t="s">
        <v>3</v>
      </c>
      <c r="C5" s="222"/>
      <c r="D5" s="44" t="s">
        <v>5</v>
      </c>
      <c r="E5" s="43" t="s">
        <v>6</v>
      </c>
      <c r="F5" s="43" t="s">
        <v>7</v>
      </c>
      <c r="G5" s="43" t="s">
        <v>8</v>
      </c>
      <c r="H5" s="44" t="s">
        <v>9</v>
      </c>
      <c r="I5" s="43" t="s">
        <v>10</v>
      </c>
      <c r="J5" s="43" t="s">
        <v>11</v>
      </c>
      <c r="K5" s="44" t="s">
        <v>12</v>
      </c>
      <c r="L5" s="43" t="s">
        <v>13</v>
      </c>
      <c r="M5" s="43" t="s">
        <v>14</v>
      </c>
      <c r="N5" s="61" t="s">
        <v>15</v>
      </c>
    </row>
    <row r="6" spans="2:18" ht="12.75">
      <c r="B6" s="223">
        <v>142</v>
      </c>
      <c r="C6" s="224"/>
      <c r="D6" s="47">
        <f ca="1">COUNTIF(Valid_questions!F$1:F1116, B6)</f>
        <v>5</v>
      </c>
      <c r="E6" s="40">
        <v>0</v>
      </c>
      <c r="F6" s="40">
        <v>0</v>
      </c>
      <c r="G6" s="40">
        <v>0</v>
      </c>
      <c r="H6" s="47">
        <v>0</v>
      </c>
      <c r="I6" s="40">
        <f>COUNTIFS(Tests!E$1:E1116,B6,Tests!D$1:D1116,"&lt;&gt;\N")</f>
        <v>5</v>
      </c>
      <c r="J6" s="40">
        <f>COUNTIFS(Tests!E$1:E1116,B6,Tests!D$1:D1116,"=\N")</f>
        <v>5</v>
      </c>
      <c r="K6" s="47">
        <v>0</v>
      </c>
      <c r="L6" s="40">
        <f>COUNTIFS(Mutants!E$1:E1116,B6,Mutants!D$1:D1116,"&lt;&gt;\N")</f>
        <v>3</v>
      </c>
      <c r="M6" s="40">
        <f>COUNTIFS(Mutants!E$1:E1116,B6,Mutants!D$1:D1116,"=\N")</f>
        <v>1</v>
      </c>
      <c r="N6" s="45">
        <v>1</v>
      </c>
    </row>
    <row r="7" spans="2:18" ht="12.75">
      <c r="B7" s="225">
        <v>143</v>
      </c>
      <c r="C7" s="226"/>
      <c r="D7" s="10">
        <f ca="1">COUNTIF(Valid_questions!F$1:F1116, B7)</f>
        <v>3</v>
      </c>
      <c r="E7" s="9">
        <v>4</v>
      </c>
      <c r="F7" s="9">
        <v>6</v>
      </c>
      <c r="G7" s="9">
        <v>0</v>
      </c>
      <c r="H7" s="10">
        <v>10</v>
      </c>
      <c r="I7" s="9">
        <f>COUNTIFS(Tests!E$1:E1116,B7,Tests!D$1:D1116,"&lt;&gt;\N")</f>
        <v>7</v>
      </c>
      <c r="J7" s="9">
        <f>COUNTIFS(Tests!E$1:E1116,B7,Tests!D$1:D1116,"=\N")</f>
        <v>6</v>
      </c>
      <c r="K7" s="10">
        <v>1</v>
      </c>
      <c r="L7" s="9">
        <f>COUNTIFS(Mutants!E$1:E1116,B7,Mutants!D$1:D1116,"&lt;&gt;\N")</f>
        <v>7</v>
      </c>
      <c r="M7" s="9">
        <f>COUNTIFS(Mutants!E$1:E1116,B7,Mutants!D$1:D1116,"=\N")</f>
        <v>0</v>
      </c>
      <c r="N7" s="14">
        <v>6</v>
      </c>
    </row>
    <row r="8" spans="2:18" ht="12.75">
      <c r="B8" s="225">
        <v>144</v>
      </c>
      <c r="C8" s="226"/>
      <c r="D8" s="10">
        <f ca="1">COUNTIF(Valid_questions!F$1:F1116, B8)</f>
        <v>5</v>
      </c>
      <c r="E8" s="9">
        <v>9</v>
      </c>
      <c r="F8" s="9">
        <v>12</v>
      </c>
      <c r="G8" s="9">
        <v>1</v>
      </c>
      <c r="H8" s="10">
        <v>22</v>
      </c>
      <c r="I8" s="9">
        <f>COUNTIFS(Tests!E$1:E1116,B8,Tests!D$1:D1116,"&lt;&gt;\N")</f>
        <v>7</v>
      </c>
      <c r="J8" s="9">
        <f>COUNTIFS(Tests!E$1:E1116,B8,Tests!D$1:D1116,"=\N")</f>
        <v>2</v>
      </c>
      <c r="K8" s="10">
        <v>0</v>
      </c>
      <c r="L8" s="9">
        <f>COUNTIFS(Mutants!E$1:E1116,B8,Mutants!D$1:D1116,"&lt;&gt;\N")</f>
        <v>14</v>
      </c>
      <c r="M8" s="9">
        <f>COUNTIFS(Mutants!E$1:E1116,B8,Mutants!D$1:D1116,"=\N")</f>
        <v>4</v>
      </c>
      <c r="N8" s="14">
        <v>8</v>
      </c>
    </row>
    <row r="9" spans="2:18" ht="12.75">
      <c r="B9" s="225">
        <v>145</v>
      </c>
      <c r="C9" s="226"/>
      <c r="D9" s="10">
        <f ca="1">COUNTIF(Valid_questions!F$1:F1116, B9)</f>
        <v>6</v>
      </c>
      <c r="E9" s="9">
        <v>1</v>
      </c>
      <c r="F9" s="9">
        <v>0</v>
      </c>
      <c r="G9" s="9">
        <v>0</v>
      </c>
      <c r="H9" s="10">
        <v>1</v>
      </c>
      <c r="I9" s="9">
        <f>COUNTIFS(Tests!E$1:E1116,B9,Tests!D$1:D1116,"&lt;&gt;\N")</f>
        <v>4</v>
      </c>
      <c r="J9" s="9">
        <f>COUNTIFS(Tests!E$1:E1116,B9,Tests!D$1:D1116,"=\N")</f>
        <v>5</v>
      </c>
      <c r="K9" s="10">
        <v>1</v>
      </c>
      <c r="L9" s="9">
        <f>COUNTIFS(Mutants!E$1:E1116,B9,Mutants!D$1:D1116,"&lt;&gt;\N")</f>
        <v>3</v>
      </c>
      <c r="M9" s="9">
        <f>COUNTIFS(Mutants!E$1:E1116,B9,Mutants!D$1:D1116,"=\N")</f>
        <v>0</v>
      </c>
      <c r="N9" s="14">
        <v>1</v>
      </c>
    </row>
    <row r="10" spans="2:18" ht="12.75">
      <c r="B10" s="227">
        <v>146</v>
      </c>
      <c r="C10" s="228"/>
      <c r="D10" s="22">
        <f ca="1">COUNTIF(Valid_questions!F$1:F1116, B10)</f>
        <v>2</v>
      </c>
      <c r="E10" s="21">
        <v>10</v>
      </c>
      <c r="F10" s="21">
        <v>3</v>
      </c>
      <c r="G10" s="21">
        <v>0</v>
      </c>
      <c r="H10" s="22">
        <v>13</v>
      </c>
      <c r="I10" s="21">
        <f>COUNTIFS(Tests!E$1:E1116,B10,Tests!D$1:D1116,"&lt;&gt;\N")</f>
        <v>4</v>
      </c>
      <c r="J10" s="21">
        <f>COUNTIFS(Tests!E$1:E1116,B10,Tests!D$1:D1116,"=\N")</f>
        <v>6</v>
      </c>
      <c r="K10" s="22">
        <v>3</v>
      </c>
      <c r="L10" s="21">
        <f>COUNTIFS(Mutants!E$1:E1116,B10,Mutants!D$1:D1116,"&lt;&gt;\N")</f>
        <v>4</v>
      </c>
      <c r="M10" s="21">
        <f>COUNTIFS(Mutants!E$1:E1116,B10,Mutants!D$1:D1116,"=\N")</f>
        <v>0</v>
      </c>
      <c r="N10" s="38">
        <v>3</v>
      </c>
    </row>
    <row r="13" spans="2:18" ht="27" customHeight="1">
      <c r="B13" s="220" t="s">
        <v>4588</v>
      </c>
      <c r="C13" s="173"/>
    </row>
    <row r="15" spans="2:18" ht="12.75">
      <c r="C15" s="29" t="s">
        <v>4589</v>
      </c>
    </row>
    <row r="16" spans="2:18" ht="12.75">
      <c r="B16" s="29" t="s">
        <v>4590</v>
      </c>
      <c r="C16" s="29"/>
      <c r="D16" s="43">
        <v>133</v>
      </c>
      <c r="E16" s="43">
        <v>154</v>
      </c>
      <c r="F16" s="43">
        <v>164</v>
      </c>
      <c r="G16" s="43">
        <v>170</v>
      </c>
      <c r="H16" s="43">
        <v>181</v>
      </c>
      <c r="I16" s="43">
        <v>233</v>
      </c>
      <c r="J16" s="43">
        <v>291</v>
      </c>
      <c r="K16" s="43">
        <v>304</v>
      </c>
      <c r="L16" s="43">
        <v>363</v>
      </c>
      <c r="M16" s="43">
        <v>364</v>
      </c>
      <c r="N16" s="43">
        <v>369</v>
      </c>
      <c r="O16" s="43">
        <v>392</v>
      </c>
      <c r="P16" s="43">
        <v>401</v>
      </c>
      <c r="Q16" s="43">
        <v>445</v>
      </c>
      <c r="R16" s="61">
        <v>465</v>
      </c>
    </row>
    <row r="17" spans="2:18" ht="12.75">
      <c r="B17" s="9"/>
      <c r="C17" s="81">
        <v>102</v>
      </c>
      <c r="D17" s="9" t="s">
        <v>4591</v>
      </c>
      <c r="E17" s="9" t="s">
        <v>4591</v>
      </c>
      <c r="F17" s="9" t="s">
        <v>4591</v>
      </c>
      <c r="G17" s="9" t="s">
        <v>4591</v>
      </c>
      <c r="H17" s="9" t="s">
        <v>4591</v>
      </c>
      <c r="I17" s="9" t="s">
        <v>4592</v>
      </c>
      <c r="J17" s="9" t="s">
        <v>4591</v>
      </c>
      <c r="K17" s="9" t="s">
        <v>4592</v>
      </c>
      <c r="L17" s="9" t="s">
        <v>4591</v>
      </c>
      <c r="M17" s="9" t="s">
        <v>4591</v>
      </c>
      <c r="N17" s="9" t="s">
        <v>4591</v>
      </c>
      <c r="O17" s="9" t="s">
        <v>4591</v>
      </c>
      <c r="P17" s="9" t="s">
        <v>4593</v>
      </c>
      <c r="Q17" s="9" t="s">
        <v>4591</v>
      </c>
      <c r="R17" s="14" t="s">
        <v>4591</v>
      </c>
    </row>
    <row r="18" spans="2:18" ht="12.75">
      <c r="B18" s="9"/>
      <c r="C18" s="81">
        <v>103</v>
      </c>
      <c r="D18" s="9" t="s">
        <v>4595</v>
      </c>
      <c r="E18" s="9" t="s">
        <v>4592</v>
      </c>
      <c r="F18" s="9" t="s">
        <v>4592</v>
      </c>
      <c r="G18" s="9" t="s">
        <v>4592</v>
      </c>
      <c r="H18" s="9" t="s">
        <v>4591</v>
      </c>
      <c r="I18" s="9" t="s">
        <v>4591</v>
      </c>
      <c r="J18" s="9" t="s">
        <v>4591</v>
      </c>
      <c r="K18" s="9" t="s">
        <v>4591</v>
      </c>
      <c r="L18" s="9" t="s">
        <v>4591</v>
      </c>
      <c r="M18" s="9" t="s">
        <v>4591</v>
      </c>
      <c r="N18" s="9" t="s">
        <v>4591</v>
      </c>
      <c r="O18" s="9" t="s">
        <v>4591</v>
      </c>
      <c r="P18" s="9" t="s">
        <v>4591</v>
      </c>
      <c r="Q18" s="9" t="s">
        <v>4591</v>
      </c>
      <c r="R18" s="14" t="s">
        <v>4591</v>
      </c>
    </row>
    <row r="19" spans="2:18" ht="12.75">
      <c r="B19" s="9"/>
      <c r="C19" s="81">
        <v>104</v>
      </c>
      <c r="D19" s="9" t="s">
        <v>4591</v>
      </c>
      <c r="E19" s="9" t="s">
        <v>4591</v>
      </c>
      <c r="F19" s="9" t="s">
        <v>4591</v>
      </c>
      <c r="G19" s="9" t="s">
        <v>4591</v>
      </c>
      <c r="H19" s="9" t="s">
        <v>4591</v>
      </c>
      <c r="I19" s="9" t="s">
        <v>4592</v>
      </c>
      <c r="J19" s="9" t="s">
        <v>4591</v>
      </c>
      <c r="K19" s="9" t="s">
        <v>4592</v>
      </c>
      <c r="L19" s="9" t="s">
        <v>4591</v>
      </c>
      <c r="M19" s="9" t="s">
        <v>4592</v>
      </c>
      <c r="N19" s="9" t="s">
        <v>4591</v>
      </c>
      <c r="O19" s="9" t="s">
        <v>4592</v>
      </c>
      <c r="P19" s="9" t="s">
        <v>4593</v>
      </c>
      <c r="Q19" s="9" t="s">
        <v>4592</v>
      </c>
      <c r="R19" s="14" t="s">
        <v>4591</v>
      </c>
    </row>
    <row r="20" spans="2:18" ht="12.75">
      <c r="B20" s="9"/>
      <c r="C20" s="81">
        <v>106</v>
      </c>
      <c r="D20" s="9" t="s">
        <v>4591</v>
      </c>
      <c r="E20" s="9" t="s">
        <v>4591</v>
      </c>
      <c r="F20" s="9" t="s">
        <v>4591</v>
      </c>
      <c r="G20" s="9" t="s">
        <v>4591</v>
      </c>
      <c r="H20" s="9" t="s">
        <v>4591</v>
      </c>
      <c r="I20" s="9" t="s">
        <v>4591</v>
      </c>
      <c r="J20" s="9" t="s">
        <v>4591</v>
      </c>
      <c r="K20" s="9" t="s">
        <v>4591</v>
      </c>
      <c r="L20" s="9" t="s">
        <v>4591</v>
      </c>
      <c r="M20" s="9" t="s">
        <v>4591</v>
      </c>
      <c r="N20" s="9" t="s">
        <v>4591</v>
      </c>
      <c r="O20" s="9" t="s">
        <v>4591</v>
      </c>
      <c r="P20" s="9" t="s">
        <v>4591</v>
      </c>
      <c r="Q20" s="9" t="s">
        <v>4591</v>
      </c>
      <c r="R20" s="14" t="s">
        <v>4591</v>
      </c>
    </row>
    <row r="21" spans="2:18" ht="12.75">
      <c r="B21" s="9"/>
      <c r="C21" s="81">
        <v>107</v>
      </c>
      <c r="D21" s="9" t="s">
        <v>4591</v>
      </c>
      <c r="E21" s="9" t="s">
        <v>4591</v>
      </c>
      <c r="F21" s="9" t="s">
        <v>4591</v>
      </c>
      <c r="G21" s="9" t="s">
        <v>4591</v>
      </c>
      <c r="H21" s="9" t="s">
        <v>4591</v>
      </c>
      <c r="I21" s="9" t="s">
        <v>4591</v>
      </c>
      <c r="J21" s="9" t="s">
        <v>4591</v>
      </c>
      <c r="K21" s="9" t="s">
        <v>4591</v>
      </c>
      <c r="L21" s="9" t="s">
        <v>4595</v>
      </c>
      <c r="M21" s="9" t="s">
        <v>4591</v>
      </c>
      <c r="N21" s="9" t="s">
        <v>4591</v>
      </c>
      <c r="O21" s="9" t="s">
        <v>4591</v>
      </c>
      <c r="P21" s="9" t="s">
        <v>4591</v>
      </c>
      <c r="Q21" s="9" t="s">
        <v>4591</v>
      </c>
      <c r="R21" s="14" t="s">
        <v>4591</v>
      </c>
    </row>
    <row r="22" spans="2:18" ht="12.75">
      <c r="B22" s="9"/>
      <c r="C22" s="81">
        <v>110</v>
      </c>
      <c r="D22" s="9" t="s">
        <v>4591</v>
      </c>
      <c r="E22" s="9" t="s">
        <v>4591</v>
      </c>
      <c r="F22" s="9" t="s">
        <v>4591</v>
      </c>
      <c r="G22" s="9" t="s">
        <v>4591</v>
      </c>
      <c r="H22" s="9" t="s">
        <v>4591</v>
      </c>
      <c r="I22" s="9" t="s">
        <v>4592</v>
      </c>
      <c r="J22" s="9" t="s">
        <v>4591</v>
      </c>
      <c r="K22" s="9" t="s">
        <v>4592</v>
      </c>
      <c r="L22" s="9" t="s">
        <v>4591</v>
      </c>
      <c r="M22" s="9" t="s">
        <v>4592</v>
      </c>
      <c r="N22" s="9" t="s">
        <v>4591</v>
      </c>
      <c r="O22" s="9" t="s">
        <v>4592</v>
      </c>
      <c r="P22" s="9" t="s">
        <v>4592</v>
      </c>
      <c r="Q22" s="9" t="s">
        <v>4595</v>
      </c>
      <c r="R22" s="14" t="s">
        <v>4591</v>
      </c>
    </row>
    <row r="23" spans="2:18" ht="12.75">
      <c r="B23" s="9"/>
      <c r="C23" s="81">
        <v>113</v>
      </c>
      <c r="D23" s="9" t="s">
        <v>4592</v>
      </c>
      <c r="E23" s="9" t="s">
        <v>4592</v>
      </c>
      <c r="F23" s="9" t="s">
        <v>4595</v>
      </c>
      <c r="G23" s="9" t="s">
        <v>4592</v>
      </c>
      <c r="H23" s="9" t="s">
        <v>4591</v>
      </c>
      <c r="I23" s="9" t="s">
        <v>4591</v>
      </c>
      <c r="J23" s="9" t="s">
        <v>4592</v>
      </c>
      <c r="K23" s="9" t="s">
        <v>4591</v>
      </c>
      <c r="L23" s="9" t="s">
        <v>4591</v>
      </c>
      <c r="M23" s="9" t="s">
        <v>4591</v>
      </c>
      <c r="N23" s="9" t="s">
        <v>4591</v>
      </c>
      <c r="O23" s="9" t="s">
        <v>4591</v>
      </c>
      <c r="P23" s="9" t="s">
        <v>4591</v>
      </c>
      <c r="Q23" s="9" t="s">
        <v>4591</v>
      </c>
      <c r="R23" s="14" t="s">
        <v>4592</v>
      </c>
    </row>
    <row r="24" spans="2:18" ht="12.75">
      <c r="B24" s="9"/>
      <c r="C24" s="81">
        <v>119</v>
      </c>
      <c r="D24" s="9" t="s">
        <v>4592</v>
      </c>
      <c r="E24" s="9" t="s">
        <v>4592</v>
      </c>
      <c r="F24" s="9" t="s">
        <v>4595</v>
      </c>
      <c r="G24" s="9" t="s">
        <v>4592</v>
      </c>
      <c r="H24" s="9" t="s">
        <v>4591</v>
      </c>
      <c r="I24" s="9" t="s">
        <v>4591</v>
      </c>
      <c r="J24" s="9" t="s">
        <v>4592</v>
      </c>
      <c r="K24" s="9" t="s">
        <v>4591</v>
      </c>
      <c r="L24" s="9" t="s">
        <v>4591</v>
      </c>
      <c r="M24" s="9" t="s">
        <v>4591</v>
      </c>
      <c r="N24" s="9" t="s">
        <v>4591</v>
      </c>
      <c r="O24" s="9" t="s">
        <v>4591</v>
      </c>
      <c r="P24" s="9" t="s">
        <v>4591</v>
      </c>
      <c r="Q24" s="9" t="s">
        <v>4591</v>
      </c>
      <c r="R24" s="14" t="s">
        <v>4592</v>
      </c>
    </row>
    <row r="25" spans="2:18" ht="12.75">
      <c r="B25" s="9"/>
      <c r="C25" s="81">
        <v>120</v>
      </c>
      <c r="D25" s="9" t="s">
        <v>4591</v>
      </c>
      <c r="E25" s="9" t="s">
        <v>4591</v>
      </c>
      <c r="F25" s="9" t="s">
        <v>4591</v>
      </c>
      <c r="G25" s="9" t="s">
        <v>4591</v>
      </c>
      <c r="H25" s="9" t="s">
        <v>4592</v>
      </c>
      <c r="I25" s="9" t="s">
        <v>4592</v>
      </c>
      <c r="J25" s="9" t="s">
        <v>4591</v>
      </c>
      <c r="K25" s="9" t="s">
        <v>4591</v>
      </c>
      <c r="L25" s="9" t="s">
        <v>4591</v>
      </c>
      <c r="M25" s="9" t="s">
        <v>4591</v>
      </c>
      <c r="N25" s="9" t="s">
        <v>4591</v>
      </c>
      <c r="O25" s="9" t="s">
        <v>4591</v>
      </c>
      <c r="P25" s="9" t="s">
        <v>4591</v>
      </c>
      <c r="Q25" s="9" t="s">
        <v>4593</v>
      </c>
      <c r="R25" s="14" t="s">
        <v>4591</v>
      </c>
    </row>
    <row r="26" spans="2:18" ht="12.75">
      <c r="B26" s="9"/>
      <c r="C26" s="81">
        <v>129</v>
      </c>
      <c r="D26" s="9" t="s">
        <v>4591</v>
      </c>
      <c r="E26" s="9" t="s">
        <v>4591</v>
      </c>
      <c r="F26" s="9" t="s">
        <v>4595</v>
      </c>
      <c r="G26" s="9" t="s">
        <v>4591</v>
      </c>
      <c r="H26" s="9" t="s">
        <v>4591</v>
      </c>
      <c r="I26" s="9" t="s">
        <v>4591</v>
      </c>
      <c r="J26" s="9" t="s">
        <v>4591</v>
      </c>
      <c r="K26" s="9" t="s">
        <v>4591</v>
      </c>
      <c r="L26" s="9" t="s">
        <v>4591</v>
      </c>
      <c r="M26" s="9" t="s">
        <v>4591</v>
      </c>
      <c r="N26" s="9" t="s">
        <v>4591</v>
      </c>
      <c r="O26" s="9" t="s">
        <v>4591</v>
      </c>
      <c r="P26" s="9" t="s">
        <v>4591</v>
      </c>
      <c r="Q26" s="9" t="s">
        <v>4591</v>
      </c>
      <c r="R26" s="14" t="s">
        <v>4591</v>
      </c>
    </row>
    <row r="27" spans="2:18" ht="12.75">
      <c r="B27" s="9"/>
      <c r="C27" s="81">
        <v>134</v>
      </c>
      <c r="D27" s="9" t="s">
        <v>4591</v>
      </c>
      <c r="E27" s="9" t="s">
        <v>4591</v>
      </c>
      <c r="F27" s="9" t="s">
        <v>4591</v>
      </c>
      <c r="G27" s="9" t="s">
        <v>4591</v>
      </c>
      <c r="H27" s="9" t="s">
        <v>4591</v>
      </c>
      <c r="I27" s="9" t="s">
        <v>4591</v>
      </c>
      <c r="J27" s="9" t="s">
        <v>4591</v>
      </c>
      <c r="K27" s="9" t="s">
        <v>4591</v>
      </c>
      <c r="L27" s="9" t="s">
        <v>4591</v>
      </c>
      <c r="M27" s="9" t="s">
        <v>4591</v>
      </c>
      <c r="N27" s="9" t="s">
        <v>4591</v>
      </c>
      <c r="O27" s="9" t="s">
        <v>4591</v>
      </c>
      <c r="P27" s="9" t="s">
        <v>4591</v>
      </c>
      <c r="Q27" s="9" t="s">
        <v>4591</v>
      </c>
      <c r="R27" s="14" t="s">
        <v>4592</v>
      </c>
    </row>
    <row r="28" spans="2:18" ht="12.75">
      <c r="B28" s="9"/>
      <c r="C28" s="81">
        <v>140</v>
      </c>
      <c r="D28" s="9" t="s">
        <v>4591</v>
      </c>
      <c r="E28" s="9" t="s">
        <v>4591</v>
      </c>
      <c r="F28" s="9" t="s">
        <v>4591</v>
      </c>
      <c r="G28" s="9" t="s">
        <v>4591</v>
      </c>
      <c r="H28" s="9" t="s">
        <v>4591</v>
      </c>
      <c r="I28" s="9" t="s">
        <v>4591</v>
      </c>
      <c r="J28" s="9" t="s">
        <v>4591</v>
      </c>
      <c r="K28" s="9" t="s">
        <v>4591</v>
      </c>
      <c r="L28" s="9" t="s">
        <v>4591</v>
      </c>
      <c r="M28" s="9" t="s">
        <v>4591</v>
      </c>
      <c r="N28" s="9" t="s">
        <v>4591</v>
      </c>
      <c r="O28" s="9" t="s">
        <v>4591</v>
      </c>
      <c r="P28" s="9" t="s">
        <v>4591</v>
      </c>
      <c r="Q28" s="9" t="s">
        <v>4591</v>
      </c>
      <c r="R28" s="14" t="s">
        <v>4591</v>
      </c>
    </row>
    <row r="29" spans="2:18" ht="12.75">
      <c r="B29" s="9"/>
      <c r="C29" s="81">
        <v>141</v>
      </c>
      <c r="D29" s="9" t="s">
        <v>4592</v>
      </c>
      <c r="E29" s="9" t="s">
        <v>4595</v>
      </c>
      <c r="F29" s="9" t="s">
        <v>4592</v>
      </c>
      <c r="G29" s="9" t="s">
        <v>4592</v>
      </c>
      <c r="H29" s="9" t="s">
        <v>4591</v>
      </c>
      <c r="I29" s="9" t="s">
        <v>4591</v>
      </c>
      <c r="J29" s="9" t="s">
        <v>4592</v>
      </c>
      <c r="K29" s="9" t="s">
        <v>4591</v>
      </c>
      <c r="L29" s="9" t="s">
        <v>4591</v>
      </c>
      <c r="M29" s="9" t="s">
        <v>4591</v>
      </c>
      <c r="N29" s="9" t="s">
        <v>4591</v>
      </c>
      <c r="O29" s="9" t="s">
        <v>4591</v>
      </c>
      <c r="P29" s="9" t="s">
        <v>4591</v>
      </c>
      <c r="Q29" s="9" t="s">
        <v>4591</v>
      </c>
      <c r="R29" s="14" t="s">
        <v>4592</v>
      </c>
    </row>
    <row r="30" spans="2:18" ht="12.75">
      <c r="B30" s="9"/>
      <c r="C30" s="81">
        <v>146</v>
      </c>
      <c r="D30" s="9" t="s">
        <v>4595</v>
      </c>
      <c r="E30" s="9" t="s">
        <v>4592</v>
      </c>
      <c r="F30" s="9" t="s">
        <v>4592</v>
      </c>
      <c r="G30" s="9" t="s">
        <v>4592</v>
      </c>
      <c r="H30" s="9" t="s">
        <v>4591</v>
      </c>
      <c r="I30" s="9" t="s">
        <v>4591</v>
      </c>
      <c r="J30" s="9" t="s">
        <v>4592</v>
      </c>
      <c r="K30" s="9" t="s">
        <v>4591</v>
      </c>
      <c r="L30" s="9" t="s">
        <v>4591</v>
      </c>
      <c r="M30" s="9" t="s">
        <v>4591</v>
      </c>
      <c r="N30" s="9" t="s">
        <v>4591</v>
      </c>
      <c r="O30" s="9" t="s">
        <v>4591</v>
      </c>
      <c r="P30" s="9" t="s">
        <v>4591</v>
      </c>
      <c r="Q30" s="9" t="s">
        <v>4591</v>
      </c>
      <c r="R30" s="14" t="s">
        <v>4592</v>
      </c>
    </row>
    <row r="31" spans="2:18" ht="12.75">
      <c r="B31" s="9"/>
      <c r="C31" s="81">
        <v>155</v>
      </c>
      <c r="D31" s="9" t="s">
        <v>4591</v>
      </c>
      <c r="E31" s="9" t="s">
        <v>4591</v>
      </c>
      <c r="F31" s="9" t="s">
        <v>4591</v>
      </c>
      <c r="G31" s="9" t="s">
        <v>4591</v>
      </c>
      <c r="H31" s="9" t="s">
        <v>4592</v>
      </c>
      <c r="I31" s="9" t="s">
        <v>4592</v>
      </c>
      <c r="J31" s="9" t="s">
        <v>4591</v>
      </c>
      <c r="K31" s="9" t="s">
        <v>4591</v>
      </c>
      <c r="L31" s="9" t="s">
        <v>4591</v>
      </c>
      <c r="M31" s="9" t="s">
        <v>4591</v>
      </c>
      <c r="N31" s="9" t="s">
        <v>4591</v>
      </c>
      <c r="O31" s="9" t="s">
        <v>4591</v>
      </c>
      <c r="P31" s="9" t="s">
        <v>4591</v>
      </c>
      <c r="Q31" s="9" t="s">
        <v>4593</v>
      </c>
      <c r="R31" s="14" t="s">
        <v>4591</v>
      </c>
    </row>
    <row r="32" spans="2:18" ht="12.75">
      <c r="B32" s="9"/>
      <c r="C32" s="81">
        <v>175</v>
      </c>
      <c r="D32" s="9" t="s">
        <v>4591</v>
      </c>
      <c r="E32" s="9" t="s">
        <v>4591</v>
      </c>
      <c r="F32" s="9" t="s">
        <v>4591</v>
      </c>
      <c r="G32" s="9" t="s">
        <v>4591</v>
      </c>
      <c r="H32" s="9" t="s">
        <v>4591</v>
      </c>
      <c r="I32" s="9" t="s">
        <v>4591</v>
      </c>
      <c r="J32" s="9" t="s">
        <v>4591</v>
      </c>
      <c r="K32" s="9" t="s">
        <v>4591</v>
      </c>
      <c r="L32" s="9" t="s">
        <v>4591</v>
      </c>
      <c r="M32" s="9" t="s">
        <v>4591</v>
      </c>
      <c r="N32" s="9" t="s">
        <v>4591</v>
      </c>
      <c r="O32" s="9" t="s">
        <v>4591</v>
      </c>
      <c r="P32" s="9" t="s">
        <v>4591</v>
      </c>
      <c r="Q32" s="9" t="s">
        <v>4591</v>
      </c>
      <c r="R32" s="14" t="s">
        <v>4591</v>
      </c>
    </row>
    <row r="33" spans="2:18" ht="12.75">
      <c r="B33" s="9"/>
      <c r="C33" s="81">
        <v>199</v>
      </c>
      <c r="D33" s="9" t="s">
        <v>4595</v>
      </c>
      <c r="E33" s="9" t="s">
        <v>4592</v>
      </c>
      <c r="F33" s="9" t="s">
        <v>4592</v>
      </c>
      <c r="G33" s="9" t="s">
        <v>4592</v>
      </c>
      <c r="H33" s="9" t="s">
        <v>4595</v>
      </c>
      <c r="I33" s="9" t="s">
        <v>4595</v>
      </c>
      <c r="J33" s="9" t="s">
        <v>4593</v>
      </c>
      <c r="K33" s="9" t="s">
        <v>4592</v>
      </c>
      <c r="L33" s="9" t="s">
        <v>4592</v>
      </c>
      <c r="M33" s="9" t="s">
        <v>4592</v>
      </c>
      <c r="N33" s="9" t="s">
        <v>4591</v>
      </c>
      <c r="O33" s="9" t="s">
        <v>4591</v>
      </c>
      <c r="P33" s="9" t="s">
        <v>4591</v>
      </c>
      <c r="Q33" s="9" t="s">
        <v>4591</v>
      </c>
      <c r="R33" s="14" t="s">
        <v>4592</v>
      </c>
    </row>
    <row r="34" spans="2:18" ht="12.75">
      <c r="B34" s="9"/>
      <c r="C34" s="81">
        <v>223</v>
      </c>
      <c r="D34" s="9" t="s">
        <v>4591</v>
      </c>
      <c r="E34" s="9" t="s">
        <v>4591</v>
      </c>
      <c r="F34" s="9" t="s">
        <v>4591</v>
      </c>
      <c r="G34" s="9" t="s">
        <v>4591</v>
      </c>
      <c r="H34" s="9" t="s">
        <v>4591</v>
      </c>
      <c r="I34" s="9" t="s">
        <v>4591</v>
      </c>
      <c r="J34" s="9" t="s">
        <v>4591</v>
      </c>
      <c r="K34" s="9" t="s">
        <v>4591</v>
      </c>
      <c r="L34" s="9" t="s">
        <v>4591</v>
      </c>
      <c r="M34" s="9" t="s">
        <v>4591</v>
      </c>
      <c r="N34" s="9" t="s">
        <v>4591</v>
      </c>
      <c r="O34" s="9" t="s">
        <v>4591</v>
      </c>
      <c r="P34" s="9" t="s">
        <v>4591</v>
      </c>
      <c r="Q34" s="9" t="s">
        <v>4591</v>
      </c>
      <c r="R34" s="14" t="s">
        <v>4591</v>
      </c>
    </row>
    <row r="35" spans="2:18" ht="12.75">
      <c r="B35" s="9"/>
      <c r="C35" s="81">
        <v>256</v>
      </c>
      <c r="D35" s="9" t="s">
        <v>4591</v>
      </c>
      <c r="E35" s="9" t="s">
        <v>4591</v>
      </c>
      <c r="F35" s="9" t="s">
        <v>4591</v>
      </c>
      <c r="G35" s="9" t="s">
        <v>4591</v>
      </c>
      <c r="H35" s="9" t="s">
        <v>4591</v>
      </c>
      <c r="I35" s="9" t="s">
        <v>4591</v>
      </c>
      <c r="J35" s="9" t="s">
        <v>4591</v>
      </c>
      <c r="K35" s="9" t="s">
        <v>4591</v>
      </c>
      <c r="L35" s="9" t="s">
        <v>4591</v>
      </c>
      <c r="M35" s="9" t="s">
        <v>4591</v>
      </c>
      <c r="N35" s="9" t="s">
        <v>4591</v>
      </c>
      <c r="O35" s="9" t="s">
        <v>4591</v>
      </c>
      <c r="P35" s="9" t="s">
        <v>4591</v>
      </c>
      <c r="Q35" s="9" t="s">
        <v>4591</v>
      </c>
      <c r="R35" s="14" t="s">
        <v>4591</v>
      </c>
    </row>
    <row r="36" spans="2:18" ht="12.75">
      <c r="B36" s="9"/>
      <c r="C36" s="81">
        <v>273</v>
      </c>
      <c r="D36" s="9" t="s">
        <v>4591</v>
      </c>
      <c r="E36" s="9" t="s">
        <v>4591</v>
      </c>
      <c r="F36" s="9" t="s">
        <v>4591</v>
      </c>
      <c r="G36" s="9" t="s">
        <v>4591</v>
      </c>
      <c r="H36" s="9" t="s">
        <v>4591</v>
      </c>
      <c r="I36" s="9" t="s">
        <v>4591</v>
      </c>
      <c r="J36" s="9" t="s">
        <v>4591</v>
      </c>
      <c r="K36" s="9" t="s">
        <v>4595</v>
      </c>
      <c r="L36" s="9" t="s">
        <v>4591</v>
      </c>
      <c r="M36" s="9" t="s">
        <v>4591</v>
      </c>
      <c r="N36" s="9" t="s">
        <v>4591</v>
      </c>
      <c r="O36" s="9" t="s">
        <v>4591</v>
      </c>
      <c r="P36" s="9" t="s">
        <v>4591</v>
      </c>
      <c r="Q36" s="9" t="s">
        <v>4591</v>
      </c>
      <c r="R36" s="14" t="s">
        <v>4591</v>
      </c>
    </row>
    <row r="37" spans="2:18" ht="12.75">
      <c r="B37" s="9"/>
      <c r="C37" s="81">
        <v>287</v>
      </c>
      <c r="D37" s="9" t="s">
        <v>4591</v>
      </c>
      <c r="E37" s="9" t="s">
        <v>4591</v>
      </c>
      <c r="F37" s="9" t="s">
        <v>4591</v>
      </c>
      <c r="G37" s="9" t="s">
        <v>4591</v>
      </c>
      <c r="H37" s="9" t="s">
        <v>4591</v>
      </c>
      <c r="I37" s="9" t="s">
        <v>4591</v>
      </c>
      <c r="J37" s="9" t="s">
        <v>4591</v>
      </c>
      <c r="K37" s="9" t="s">
        <v>4591</v>
      </c>
      <c r="L37" s="9" t="s">
        <v>4591</v>
      </c>
      <c r="M37" s="9" t="s">
        <v>4591</v>
      </c>
      <c r="N37" s="9" t="s">
        <v>4591</v>
      </c>
      <c r="O37" s="9" t="s">
        <v>4591</v>
      </c>
      <c r="P37" s="9" t="s">
        <v>4591</v>
      </c>
      <c r="Q37" s="9" t="s">
        <v>4591</v>
      </c>
      <c r="R37" s="14" t="s">
        <v>4591</v>
      </c>
    </row>
    <row r="38" spans="2:18" ht="12.75">
      <c r="B38" s="9"/>
      <c r="C38" s="81">
        <v>291</v>
      </c>
      <c r="D38" s="9" t="s">
        <v>4591</v>
      </c>
      <c r="E38" s="9" t="s">
        <v>4591</v>
      </c>
      <c r="F38" s="9" t="s">
        <v>4591</v>
      </c>
      <c r="G38" s="9" t="s">
        <v>4591</v>
      </c>
      <c r="H38" s="9" t="s">
        <v>4591</v>
      </c>
      <c r="I38" s="9" t="s">
        <v>4591</v>
      </c>
      <c r="J38" s="9" t="s">
        <v>4591</v>
      </c>
      <c r="K38" s="9" t="s">
        <v>4591</v>
      </c>
      <c r="L38" s="9" t="s">
        <v>4591</v>
      </c>
      <c r="M38" s="9" t="s">
        <v>4591</v>
      </c>
      <c r="N38" s="9" t="s">
        <v>4591</v>
      </c>
      <c r="O38" s="9" t="s">
        <v>4591</v>
      </c>
      <c r="P38" s="9" t="s">
        <v>4591</v>
      </c>
      <c r="Q38" s="9" t="s">
        <v>4591</v>
      </c>
      <c r="R38" s="14" t="s">
        <v>4591</v>
      </c>
    </row>
    <row r="39" spans="2:18" ht="12.75">
      <c r="B39" s="9"/>
      <c r="C39" s="81">
        <v>306</v>
      </c>
      <c r="D39" s="9" t="s">
        <v>4591</v>
      </c>
      <c r="E39" s="9" t="s">
        <v>4591</v>
      </c>
      <c r="F39" s="9" t="s">
        <v>4591</v>
      </c>
      <c r="G39" s="9" t="s">
        <v>4591</v>
      </c>
      <c r="H39" s="9" t="s">
        <v>4592</v>
      </c>
      <c r="I39" s="9" t="s">
        <v>4592</v>
      </c>
      <c r="J39" s="9" t="s">
        <v>4591</v>
      </c>
      <c r="K39" s="9" t="s">
        <v>4591</v>
      </c>
      <c r="L39" s="9" t="s">
        <v>4591</v>
      </c>
      <c r="M39" s="9" t="s">
        <v>4591</v>
      </c>
      <c r="N39" s="9" t="s">
        <v>4591</v>
      </c>
      <c r="O39" s="9" t="s">
        <v>4591</v>
      </c>
      <c r="P39" s="9" t="s">
        <v>4591</v>
      </c>
      <c r="Q39" s="9" t="s">
        <v>4592</v>
      </c>
      <c r="R39" s="14" t="s">
        <v>4591</v>
      </c>
    </row>
    <row r="40" spans="2:18" ht="12.75">
      <c r="B40" s="9"/>
      <c r="C40" s="81">
        <v>314</v>
      </c>
      <c r="D40" s="9" t="s">
        <v>4591</v>
      </c>
      <c r="E40" s="9" t="s">
        <v>4591</v>
      </c>
      <c r="F40" s="9" t="s">
        <v>4591</v>
      </c>
      <c r="G40" s="9" t="s">
        <v>4591</v>
      </c>
      <c r="H40" s="9" t="s">
        <v>4591</v>
      </c>
      <c r="I40" s="9" t="s">
        <v>4591</v>
      </c>
      <c r="J40" s="9" t="s">
        <v>4592</v>
      </c>
      <c r="K40" s="9" t="s">
        <v>4591</v>
      </c>
      <c r="L40" s="9" t="s">
        <v>4591</v>
      </c>
      <c r="M40" s="9" t="s">
        <v>4591</v>
      </c>
      <c r="N40" s="9" t="s">
        <v>4591</v>
      </c>
      <c r="O40" s="9" t="s">
        <v>4591</v>
      </c>
      <c r="P40" s="9" t="s">
        <v>4591</v>
      </c>
      <c r="Q40" s="9" t="s">
        <v>4591</v>
      </c>
      <c r="R40" s="14" t="s">
        <v>4591</v>
      </c>
    </row>
    <row r="41" spans="2:18" ht="12.75">
      <c r="B41" s="9"/>
      <c r="C41" s="81">
        <v>318</v>
      </c>
      <c r="D41" s="9" t="s">
        <v>4591</v>
      </c>
      <c r="E41" s="9" t="s">
        <v>4591</v>
      </c>
      <c r="F41" s="9" t="s">
        <v>4591</v>
      </c>
      <c r="G41" s="9" t="s">
        <v>4591</v>
      </c>
      <c r="H41" s="9" t="s">
        <v>4591</v>
      </c>
      <c r="I41" s="9" t="s">
        <v>4591</v>
      </c>
      <c r="J41" s="9" t="s">
        <v>4591</v>
      </c>
      <c r="K41" s="9" t="s">
        <v>4591</v>
      </c>
      <c r="L41" s="9" t="s">
        <v>4591</v>
      </c>
      <c r="M41" s="9" t="s">
        <v>4591</v>
      </c>
      <c r="N41" s="9" t="s">
        <v>4591</v>
      </c>
      <c r="O41" s="9" t="s">
        <v>4591</v>
      </c>
      <c r="P41" s="9" t="s">
        <v>4591</v>
      </c>
      <c r="Q41" s="9" t="s">
        <v>4591</v>
      </c>
      <c r="R41" s="14" t="s">
        <v>4591</v>
      </c>
    </row>
    <row r="42" spans="2:18" ht="12.75">
      <c r="B42" s="9"/>
      <c r="C42" s="81">
        <v>322</v>
      </c>
      <c r="D42" s="9" t="s">
        <v>4591</v>
      </c>
      <c r="E42" s="9" t="s">
        <v>4591</v>
      </c>
      <c r="F42" s="9" t="s">
        <v>4591</v>
      </c>
      <c r="G42" s="9" t="s">
        <v>4591</v>
      </c>
      <c r="H42" s="9" t="s">
        <v>4591</v>
      </c>
      <c r="I42" s="9" t="s">
        <v>4591</v>
      </c>
      <c r="J42" s="9" t="s">
        <v>4591</v>
      </c>
      <c r="K42" s="9" t="s">
        <v>4591</v>
      </c>
      <c r="L42" s="9" t="s">
        <v>4591</v>
      </c>
      <c r="M42" s="9" t="s">
        <v>4591</v>
      </c>
      <c r="N42" s="9" t="s">
        <v>4591</v>
      </c>
      <c r="O42" s="9" t="s">
        <v>4591</v>
      </c>
      <c r="P42" s="9" t="s">
        <v>4591</v>
      </c>
      <c r="Q42" s="9" t="s">
        <v>4591</v>
      </c>
      <c r="R42" s="14" t="s">
        <v>4591</v>
      </c>
    </row>
    <row r="43" spans="2:18" ht="12.75">
      <c r="B43" s="9"/>
      <c r="C43" s="81">
        <v>346</v>
      </c>
      <c r="D43" s="9" t="s">
        <v>4591</v>
      </c>
      <c r="E43" s="9" t="s">
        <v>4591</v>
      </c>
      <c r="F43" s="9" t="s">
        <v>4591</v>
      </c>
      <c r="G43" s="9" t="s">
        <v>4591</v>
      </c>
      <c r="H43" s="9" t="s">
        <v>4591</v>
      </c>
      <c r="I43" s="9" t="s">
        <v>4591</v>
      </c>
      <c r="J43" s="9" t="s">
        <v>4591</v>
      </c>
      <c r="K43" s="9" t="s">
        <v>4591</v>
      </c>
      <c r="L43" s="9" t="s">
        <v>4591</v>
      </c>
      <c r="M43" s="9" t="s">
        <v>4591</v>
      </c>
      <c r="N43" s="9" t="s">
        <v>4591</v>
      </c>
      <c r="O43" s="9" t="s">
        <v>4591</v>
      </c>
      <c r="P43" s="9" t="s">
        <v>4591</v>
      </c>
      <c r="Q43" s="9" t="s">
        <v>4591</v>
      </c>
      <c r="R43" s="14" t="s">
        <v>4591</v>
      </c>
    </row>
    <row r="44" spans="2:18" ht="12.75">
      <c r="B44" s="9"/>
      <c r="C44" s="81">
        <v>349</v>
      </c>
      <c r="D44" s="9" t="s">
        <v>4591</v>
      </c>
      <c r="E44" s="9" t="s">
        <v>4591</v>
      </c>
      <c r="F44" s="9" t="s">
        <v>4591</v>
      </c>
      <c r="G44" s="9" t="s">
        <v>4591</v>
      </c>
      <c r="H44" s="9" t="s">
        <v>4591</v>
      </c>
      <c r="I44" s="9" t="s">
        <v>4591</v>
      </c>
      <c r="J44" s="9" t="s">
        <v>4591</v>
      </c>
      <c r="K44" s="9" t="s">
        <v>4591</v>
      </c>
      <c r="L44" s="9" t="s">
        <v>4591</v>
      </c>
      <c r="M44" s="9" t="s">
        <v>4591</v>
      </c>
      <c r="N44" s="9" t="s">
        <v>4591</v>
      </c>
      <c r="O44" s="9" t="s">
        <v>4591</v>
      </c>
      <c r="P44" s="9" t="s">
        <v>4591</v>
      </c>
      <c r="Q44" s="9" t="s">
        <v>4591</v>
      </c>
      <c r="R44" s="14" t="s">
        <v>4592</v>
      </c>
    </row>
    <row r="45" spans="2:18" ht="12.75">
      <c r="B45" s="9"/>
      <c r="C45" s="81">
        <v>351</v>
      </c>
      <c r="D45" s="9" t="s">
        <v>4592</v>
      </c>
      <c r="E45" s="9" t="s">
        <v>4592</v>
      </c>
      <c r="F45" s="9" t="s">
        <v>4592</v>
      </c>
      <c r="G45" s="9" t="s">
        <v>4592</v>
      </c>
      <c r="H45" s="9" t="s">
        <v>4592</v>
      </c>
      <c r="I45" s="9" t="s">
        <v>4592</v>
      </c>
      <c r="J45" s="9" t="s">
        <v>4592</v>
      </c>
      <c r="K45" s="9" t="s">
        <v>4592</v>
      </c>
      <c r="L45" s="9" t="s">
        <v>4592</v>
      </c>
      <c r="M45" s="9" t="s">
        <v>4592</v>
      </c>
      <c r="N45" s="9" t="s">
        <v>4591</v>
      </c>
      <c r="O45" s="9" t="s">
        <v>4591</v>
      </c>
      <c r="P45" s="9" t="s">
        <v>4591</v>
      </c>
      <c r="Q45" s="9" t="s">
        <v>4591</v>
      </c>
      <c r="R45" s="14" t="s">
        <v>4592</v>
      </c>
    </row>
    <row r="46" spans="2:18" ht="12.75">
      <c r="B46" s="9"/>
      <c r="C46" s="81">
        <v>355</v>
      </c>
      <c r="D46" s="9" t="s">
        <v>4591</v>
      </c>
      <c r="E46" s="9" t="s">
        <v>4591</v>
      </c>
      <c r="F46" s="9" t="s">
        <v>4591</v>
      </c>
      <c r="G46" s="9" t="s">
        <v>4591</v>
      </c>
      <c r="H46" s="9" t="s">
        <v>4591</v>
      </c>
      <c r="I46" s="9" t="s">
        <v>4591</v>
      </c>
      <c r="J46" s="9" t="s">
        <v>4592</v>
      </c>
      <c r="K46" s="9" t="s">
        <v>4591</v>
      </c>
      <c r="L46" s="9" t="s">
        <v>4592</v>
      </c>
      <c r="M46" s="9" t="s">
        <v>4591</v>
      </c>
      <c r="N46" s="9" t="s">
        <v>4591</v>
      </c>
      <c r="O46" s="9" t="s">
        <v>4591</v>
      </c>
      <c r="P46" s="9" t="s">
        <v>4591</v>
      </c>
      <c r="Q46" s="9" t="s">
        <v>4591</v>
      </c>
      <c r="R46" s="14" t="s">
        <v>4591</v>
      </c>
    </row>
    <row r="47" spans="2:18" ht="12.75">
      <c r="B47" s="9"/>
      <c r="C47" s="82">
        <v>358</v>
      </c>
      <c r="D47" s="21" t="s">
        <v>4591</v>
      </c>
      <c r="E47" s="21" t="s">
        <v>4591</v>
      </c>
      <c r="F47" s="21" t="s">
        <v>4591</v>
      </c>
      <c r="G47" s="21" t="s">
        <v>4591</v>
      </c>
      <c r="H47" s="21" t="s">
        <v>4591</v>
      </c>
      <c r="I47" s="21" t="s">
        <v>4591</v>
      </c>
      <c r="J47" s="21" t="s">
        <v>4591</v>
      </c>
      <c r="K47" s="21" t="s">
        <v>4591</v>
      </c>
      <c r="L47" s="21" t="s">
        <v>4593</v>
      </c>
      <c r="M47" s="21" t="s">
        <v>4591</v>
      </c>
      <c r="N47" s="21" t="s">
        <v>4591</v>
      </c>
      <c r="O47" s="21" t="s">
        <v>4591</v>
      </c>
      <c r="P47" s="21" t="s">
        <v>4591</v>
      </c>
      <c r="Q47" s="21" t="s">
        <v>4591</v>
      </c>
      <c r="R47" s="38" t="s">
        <v>4591</v>
      </c>
    </row>
    <row r="50" spans="2:16" ht="15.75" customHeight="1" thickBot="1">
      <c r="B50" s="219" t="s">
        <v>4604</v>
      </c>
      <c r="C50" s="201"/>
      <c r="D50" s="45">
        <v>142</v>
      </c>
    </row>
    <row r="51" spans="2:16" ht="15.75" customHeight="1" thickTop="1">
      <c r="B51" s="134" t="s">
        <v>4594</v>
      </c>
      <c r="C51" s="135" t="s">
        <v>44</v>
      </c>
      <c r="D51" s="135" t="s">
        <v>110</v>
      </c>
      <c r="E51" s="136" t="s">
        <v>2</v>
      </c>
      <c r="F51" s="229" t="s">
        <v>4612</v>
      </c>
      <c r="G51" s="229"/>
      <c r="H51" s="230"/>
      <c r="I51" s="9"/>
      <c r="J51" s="9"/>
      <c r="K51" s="9"/>
      <c r="L51" s="9"/>
      <c r="M51" s="9"/>
      <c r="O51" s="9"/>
      <c r="P51" s="9"/>
    </row>
    <row r="52" spans="2:16" ht="15.75" customHeight="1">
      <c r="B52" s="137" t="s">
        <v>4589</v>
      </c>
      <c r="C52" s="93">
        <v>223</v>
      </c>
      <c r="D52" s="93" t="s">
        <v>3443</v>
      </c>
      <c r="E52" s="93" t="str">
        <f>IF($B52 = "Mutant",VLOOKUP($C52,Mutants!$A$2:$L$560,12,FALSE),IF($B52 = "Test",VLOOKUP($C52,Tests!$A$2:$L$841,12,FALSE),VLOOKUP($C52,Questions!$A$3:$N$174,9,FALSE)))</f>
        <v>Y</v>
      </c>
      <c r="F52" s="205" t="str">
        <f>IF($B52 = "Mutant",VLOOKUP($C52,Mutants!$A$2:$L$560,11,FALSE),IF($B52 = "Test",VLOOKUP($C52,Tests!$A$2:$L$841,11,FALSE),VLOOKUP($C52,Questions!$A$3:$N$174,13,FALSE)))</f>
        <v xml:space="preserve">addOptionGroup
</v>
      </c>
      <c r="G52" s="205"/>
      <c r="H52" s="206"/>
      <c r="I52" s="9"/>
      <c r="J52" s="9"/>
      <c r="K52" s="9"/>
      <c r="L52" s="9"/>
      <c r="M52" s="9"/>
    </row>
    <row r="53" spans="2:16" ht="15.75" customHeight="1">
      <c r="B53" s="114" t="s">
        <v>4589</v>
      </c>
      <c r="C53" s="9">
        <v>238</v>
      </c>
      <c r="D53" s="9" t="s">
        <v>277</v>
      </c>
      <c r="E53" s="9" t="str">
        <f>IF($B53 = "Mutant",VLOOKUP($C53,Mutants!$A$2:$L$560,12,FALSE),IF($B53 = "Test",VLOOKUP($C53,Tests!$A$2:$L$841,12,FALSE),VLOOKUP($C53,Questions!$A$3:$N$174,9,FALSE)))</f>
        <v>N</v>
      </c>
      <c r="F53" s="187" t="str">
        <f>IF($B53 = "Mutant",VLOOKUP($C53,Mutants!$A$2:$L$560,11,FALSE),IF($B53 = "Test",VLOOKUP($C53,Tests!$A$2:$L$841,11,FALSE),VLOOKUP($C53,Questions!$A$3:$N$174,13,FALSE)))</f>
        <v xml:space="preserve">
</v>
      </c>
      <c r="G53" s="187"/>
      <c r="H53" s="202"/>
      <c r="I53" s="9"/>
      <c r="J53" s="9"/>
      <c r="K53" s="9"/>
      <c r="L53" s="9"/>
      <c r="M53" s="9"/>
    </row>
    <row r="54" spans="2:16" ht="15.75" customHeight="1">
      <c r="B54" s="114" t="s">
        <v>4589</v>
      </c>
      <c r="C54" s="9">
        <v>256</v>
      </c>
      <c r="D54" s="9" t="s">
        <v>3532</v>
      </c>
      <c r="E54" s="9" t="str">
        <f>IF($B54 = "Mutant",VLOOKUP($C54,Mutants!$A$2:$L$560,12,FALSE),IF($B54 = "Test",VLOOKUP($C54,Tests!$A$2:$L$841,12,FALSE),VLOOKUP($C54,Questions!$A$3:$N$174,9,FALSE)))</f>
        <v>Y</v>
      </c>
      <c r="F54" s="187" t="str">
        <f>IF($B54 = "Mutant",VLOOKUP($C54,Mutants!$A$2:$L$560,11,FALSE),IF($B54 = "Test",VLOOKUP($C54,Tests!$A$2:$L$841,11,FALSE),VLOOKUP($C54,Questions!$A$3:$N$174,13,FALSE)))</f>
        <v xml:space="preserve">getOptionGroups
</v>
      </c>
      <c r="G54" s="187"/>
      <c r="H54" s="202"/>
      <c r="I54" s="9"/>
      <c r="J54" s="9"/>
      <c r="K54" s="9"/>
      <c r="L54" s="9"/>
      <c r="M54" s="9"/>
    </row>
    <row r="55" spans="2:16" ht="15.75" customHeight="1">
      <c r="B55" s="114" t="s">
        <v>4589</v>
      </c>
      <c r="C55" s="9">
        <v>273</v>
      </c>
      <c r="D55" s="9" t="s">
        <v>3577</v>
      </c>
      <c r="E55" s="9" t="str">
        <f>IF($B55 = "Mutant",VLOOKUP($C55,Mutants!$A$2:$L$560,12,FALSE),IF($B55 = "Test",VLOOKUP($C55,Tests!$A$2:$L$841,12,FALSE),VLOOKUP($C55,Questions!$A$3:$N$174,9,FALSE)))</f>
        <v>Y</v>
      </c>
      <c r="F55" s="187" t="str">
        <f>IF($B55 = "Mutant",VLOOKUP($C55,Mutants!$A$2:$L$560,11,FALSE),IF($B55 = "Test",VLOOKUP($C55,Tests!$A$2:$L$841,11,FALSE),VLOOKUP($C55,Questions!$A$3:$N$174,13,FALSE)))</f>
        <v xml:space="preserve">getOptions, helpOptions
</v>
      </c>
      <c r="G55" s="187"/>
      <c r="H55" s="202"/>
      <c r="I55" s="9"/>
      <c r="J55" s="9"/>
      <c r="K55" s="9"/>
      <c r="L55" s="9"/>
      <c r="M55" s="9"/>
    </row>
    <row r="56" spans="2:16" ht="15.75" customHeight="1">
      <c r="B56" s="114" t="s">
        <v>107</v>
      </c>
      <c r="C56" s="9">
        <v>47</v>
      </c>
      <c r="D56" s="9" t="s">
        <v>179</v>
      </c>
      <c r="E56" s="9" t="str">
        <f>IF($B56 = "Mutant",VLOOKUP($C56,Mutants!$A$2:$L$560,12,FALSE),IF($B56 = "Test",VLOOKUP($C56,Tests!$A$2:$L$841,12,FALSE),VLOOKUP($C56,Questions!$A$3:$N$174,9,FALSE)))</f>
        <v>Y</v>
      </c>
      <c r="F56" s="187" t="str">
        <f>IF($B56 = "Mutant",VLOOKUP($C56,Mutants!$A$2:$L$560,11,FALSE),IF($B56 = "Test",VLOOKUP($C56,Tests!$A$2:$L$841,11,FALSE),VLOOKUP($C56,Questions!$A$3:$N$174,13,FALSE)))</f>
        <v>getOption</v>
      </c>
      <c r="G56" s="187"/>
      <c r="H56" s="202"/>
      <c r="I56" s="9"/>
      <c r="J56" s="9"/>
      <c r="K56" s="9"/>
      <c r="L56" s="9"/>
      <c r="M56" s="9"/>
      <c r="N56" s="9"/>
    </row>
    <row r="57" spans="2:16" ht="15.75" customHeight="1">
      <c r="B57" s="114" t="s">
        <v>4590</v>
      </c>
      <c r="C57" s="9">
        <v>207</v>
      </c>
      <c r="D57" s="9" t="s">
        <v>975</v>
      </c>
      <c r="E57" s="9" t="str">
        <f>IF($B57 = "Mutant",VLOOKUP($C57,Mutants!$A$2:$L$560,12,FALSE),IF($B57 = "Test",VLOOKUP($C57,Tests!$A$2:$L$841,12,FALSE),VLOOKUP($C57,Questions!$A$3:$N$174,9,FALSE)))</f>
        <v>N</v>
      </c>
      <c r="F57" s="187" t="str">
        <f>IF($B57 = "Mutant",VLOOKUP($C57,Mutants!$A$2:$L$560,11,FALSE),IF($B57 = "Test",VLOOKUP($C57,Tests!$A$2:$L$841,11,FALSE),VLOOKUP($C57,Questions!$A$3:$N$174,13,FALSE)))</f>
        <v xml:space="preserve">
</v>
      </c>
      <c r="G57" s="187"/>
      <c r="H57" s="202"/>
      <c r="I57" s="9"/>
      <c r="J57" s="9"/>
      <c r="K57" s="9"/>
      <c r="L57" s="9"/>
      <c r="M57" s="9"/>
    </row>
    <row r="58" spans="2:16" ht="15.75" customHeight="1">
      <c r="B58" s="114" t="s">
        <v>107</v>
      </c>
      <c r="C58" s="9">
        <v>57</v>
      </c>
      <c r="D58" s="9" t="s">
        <v>183</v>
      </c>
      <c r="E58" s="9" t="str">
        <f>IF($B58 = "Mutant",VLOOKUP($C58,Mutants!$A$2:$L$560,12,FALSE),IF($B58 = "Test",VLOOKUP($C58,Tests!$A$2:$L$841,12,FALSE),VLOOKUP($C58,Questions!$A$3:$N$174,9,FALSE)))</f>
        <v>Y</v>
      </c>
      <c r="F58" s="187" t="str">
        <f>IF($B58 = "Mutant",VLOOKUP($C58,Mutants!$A$2:$L$560,11,FALSE),IF($B58 = "Test",VLOOKUP($C58,Tests!$A$2:$L$841,11,FALSE),VLOOKUP($C58,Questions!$A$3:$N$174,13,FALSE)))</f>
        <v xml:space="preserve"> </v>
      </c>
      <c r="G58" s="187"/>
      <c r="H58" s="202"/>
      <c r="I58" s="9"/>
      <c r="J58" s="9"/>
      <c r="K58" s="9"/>
      <c r="L58" s="9"/>
      <c r="M58" s="9"/>
    </row>
    <row r="59" spans="2:16" ht="15.75" customHeight="1">
      <c r="B59" s="114" t="s">
        <v>107</v>
      </c>
      <c r="C59" s="9">
        <v>60</v>
      </c>
      <c r="D59" s="9" t="s">
        <v>186</v>
      </c>
      <c r="E59" s="9" t="str">
        <f>IF($B59 = "Mutant",VLOOKUP($C59,Mutants!$A$2:$L$560,12,FALSE),IF($B59 = "Test",VLOOKUP($C59,Tests!$A$2:$L$841,12,FALSE),VLOOKUP($C59,Questions!$A$3:$N$174,9,FALSE)))</f>
        <v>Y</v>
      </c>
      <c r="F59" s="187" t="str">
        <f>IF($B59 = "Mutant",VLOOKUP($C59,Mutants!$A$2:$L$560,11,FALSE),IF($B59 = "Test",VLOOKUP($C59,Tests!$A$2:$L$841,11,FALSE),VLOOKUP($C59,Questions!$A$3:$N$174,13,FALSE)))</f>
        <v xml:space="preserve"> </v>
      </c>
      <c r="G59" s="187"/>
      <c r="H59" s="202"/>
      <c r="I59" s="9"/>
      <c r="J59" s="9"/>
      <c r="K59" s="9"/>
      <c r="L59" s="9"/>
      <c r="M59" s="9"/>
    </row>
    <row r="60" spans="2:16" ht="15.75" customHeight="1">
      <c r="B60" s="114" t="s">
        <v>107</v>
      </c>
      <c r="C60" s="9">
        <v>63</v>
      </c>
      <c r="D60" s="9" t="s">
        <v>189</v>
      </c>
      <c r="E60" s="9" t="str">
        <f>IF($B60 = "Mutant",VLOOKUP($C60,Mutants!$A$2:$L$560,12,FALSE),IF($B60 = "Test",VLOOKUP($C60,Tests!$A$2:$L$841,12,FALSE),VLOOKUP($C60,Questions!$A$3:$N$174,9,FALSE)))</f>
        <v>Y</v>
      </c>
      <c r="F60" s="187" t="str">
        <f>IF($B60 = "Mutant",VLOOKUP($C60,Mutants!$A$2:$L$560,11,FALSE),IF($B60 = "Test",VLOOKUP($C60,Tests!$A$2:$L$841,11,FALSE),VLOOKUP($C60,Questions!$A$3:$N$174,13,FALSE)))</f>
        <v xml:space="preserve"> </v>
      </c>
      <c r="G60" s="187"/>
      <c r="H60" s="202"/>
      <c r="I60" s="9"/>
      <c r="J60" s="9"/>
      <c r="K60" s="9"/>
      <c r="L60" s="9"/>
      <c r="M60" s="9"/>
    </row>
    <row r="61" spans="2:16" ht="15.75" customHeight="1">
      <c r="B61" s="114" t="s">
        <v>107</v>
      </c>
      <c r="C61" s="9">
        <v>68</v>
      </c>
      <c r="D61" s="9" t="s">
        <v>192</v>
      </c>
      <c r="E61" s="9" t="str">
        <f>IF($B61 = "Mutant",VLOOKUP($C61,Mutants!$A$2:$L$560,12,FALSE),IF($B61 = "Test",VLOOKUP($C61,Tests!$A$2:$L$841,12,FALSE),VLOOKUP($C61,Questions!$A$3:$N$174,9,FALSE)))</f>
        <v>Y</v>
      </c>
      <c r="F61" s="187" t="str">
        <f>IF($B61 = "Mutant",VLOOKUP($C61,Mutants!$A$2:$L$560,11,FALSE),IF($B61 = "Test",VLOOKUP($C61,Tests!$A$2:$L$841,11,FALSE),VLOOKUP($C61,Questions!$A$3:$N$174,13,FALSE)))</f>
        <v xml:space="preserve"> </v>
      </c>
      <c r="G61" s="187"/>
      <c r="H61" s="202"/>
      <c r="I61" s="9"/>
      <c r="J61" s="9"/>
      <c r="K61" s="9"/>
      <c r="L61" s="9"/>
      <c r="M61" s="9"/>
    </row>
    <row r="62" spans="2:16" ht="15.75" customHeight="1">
      <c r="B62" s="114" t="s">
        <v>4590</v>
      </c>
      <c r="C62" s="9">
        <v>346</v>
      </c>
      <c r="D62" s="9" t="s">
        <v>1366</v>
      </c>
      <c r="E62" s="9" t="str">
        <f>IF($B62 = "Mutant",VLOOKUP($C62,Mutants!$A$2:$L$560,12,FALSE),IF($B62 = "Test",VLOOKUP($C62,Tests!$A$2:$L$841,12,FALSE),VLOOKUP($C62,Questions!$A$3:$N$174,9,FALSE)))</f>
        <v>N</v>
      </c>
      <c r="F62" s="187" t="str">
        <f>IF($B62 = "Mutant",VLOOKUP($C62,Mutants!$A$2:$L$560,11,FALSE),IF($B62 = "Test",VLOOKUP($C62,Tests!$A$2:$L$841,11,FALSE),VLOOKUP($C62,Questions!$A$3:$N$174,13,FALSE)))</f>
        <v xml:space="preserve">
</v>
      </c>
      <c r="G62" s="187"/>
      <c r="H62" s="202"/>
      <c r="I62" s="9"/>
      <c r="J62" s="9"/>
      <c r="K62" s="9"/>
      <c r="L62" s="9"/>
      <c r="M62" s="9"/>
    </row>
    <row r="63" spans="2:16" ht="15.75" customHeight="1">
      <c r="B63" s="114" t="s">
        <v>4590</v>
      </c>
      <c r="C63" s="9">
        <v>348</v>
      </c>
      <c r="D63" s="9" t="s">
        <v>1371</v>
      </c>
      <c r="E63" s="9" t="str">
        <f>IF($B63 = "Mutant",VLOOKUP($C63,Mutants!$A$2:$L$560,12,FALSE),IF($B63 = "Test",VLOOKUP($C63,Tests!$A$2:$L$841,12,FALSE),VLOOKUP($C63,Questions!$A$3:$N$174,9,FALSE)))</f>
        <v>N</v>
      </c>
      <c r="F63" s="187" t="str">
        <f>IF($B63 = "Mutant",VLOOKUP($C63,Mutants!$A$2:$L$560,11,FALSE),IF($B63 = "Test",VLOOKUP($C63,Tests!$A$2:$L$841,11,FALSE),VLOOKUP($C63,Questions!$A$3:$N$174,13,FALSE)))</f>
        <v xml:space="preserve">
</v>
      </c>
      <c r="G63" s="187"/>
      <c r="H63" s="202"/>
      <c r="I63" s="9"/>
      <c r="J63" s="9"/>
      <c r="K63" s="9"/>
      <c r="L63" s="9"/>
      <c r="M63" s="9"/>
    </row>
    <row r="64" spans="2:16" ht="15.75" customHeight="1">
      <c r="B64" s="114" t="s">
        <v>4590</v>
      </c>
      <c r="C64" s="9">
        <v>351</v>
      </c>
      <c r="D64" s="9" t="s">
        <v>1381</v>
      </c>
      <c r="E64" s="9" t="str">
        <f>IF($B64 = "Mutant",VLOOKUP($C64,Mutants!$A$2:$L$560,12,FALSE),IF($B64 = "Test",VLOOKUP($C64,Tests!$A$2:$L$841,12,FALSE),VLOOKUP($C64,Questions!$A$3:$N$174,9,FALSE)))</f>
        <v>N</v>
      </c>
      <c r="F64" s="187" t="str">
        <f>IF($B64 = "Mutant",VLOOKUP($C64,Mutants!$A$2:$L$560,11,FALSE),IF($B64 = "Test",VLOOKUP($C64,Tests!$A$2:$L$841,11,FALSE),VLOOKUP($C64,Questions!$A$3:$N$174,13,FALSE)))</f>
        <v xml:space="preserve">
</v>
      </c>
      <c r="G64" s="187"/>
      <c r="H64" s="202"/>
      <c r="I64" s="9"/>
      <c r="J64" s="9"/>
      <c r="K64" s="9"/>
      <c r="L64" s="9"/>
      <c r="M64" s="9"/>
    </row>
    <row r="65" spans="2:13" ht="15.75" customHeight="1">
      <c r="B65" s="114" t="s">
        <v>4590</v>
      </c>
      <c r="C65" s="9">
        <v>360</v>
      </c>
      <c r="D65" s="9" t="s">
        <v>1403</v>
      </c>
      <c r="E65" s="9" t="str">
        <f>IF($B65 = "Mutant",VLOOKUP($C65,Mutants!$A$2:$L$560,12,FALSE),IF($B65 = "Test",VLOOKUP($C65,Tests!$A$2:$L$841,12,FALSE),VLOOKUP($C65,Questions!$A$3:$N$174,9,FALSE)))</f>
        <v>N</v>
      </c>
      <c r="F65" s="187" t="str">
        <f>IF($B65 = "Mutant",VLOOKUP($C65,Mutants!$A$2:$L$560,11,FALSE),IF($B65 = "Test",VLOOKUP($C65,Tests!$A$2:$L$841,11,FALSE),VLOOKUP($C65,Questions!$A$3:$N$174,13,FALSE)))</f>
        <v xml:space="preserve">
</v>
      </c>
      <c r="G65" s="187"/>
      <c r="H65" s="202"/>
      <c r="I65" s="9"/>
      <c r="J65" s="9"/>
      <c r="K65" s="9"/>
      <c r="L65" s="9"/>
      <c r="M65" s="9"/>
    </row>
    <row r="66" spans="2:13" ht="15.75" customHeight="1">
      <c r="B66" s="114" t="s">
        <v>4590</v>
      </c>
      <c r="C66" s="9">
        <v>398</v>
      </c>
      <c r="D66" s="9" t="s">
        <v>346</v>
      </c>
      <c r="E66" s="9" t="str">
        <f>IF($B66 = "Mutant",VLOOKUP($C66,Mutants!$A$2:$L$560,12,FALSE),IF($B66 = "Test",VLOOKUP($C66,Tests!$A$2:$L$841,12,FALSE),VLOOKUP($C66,Questions!$A$3:$N$174,9,FALSE)))</f>
        <v>Y</v>
      </c>
      <c r="F66" s="187" t="str">
        <f>IF($B66 = "Mutant",VLOOKUP($C66,Mutants!$A$2:$L$560,11,FALSE),IF($B66 = "Test",VLOOKUP($C66,Tests!$A$2:$L$841,11,FALSE),VLOOKUP($C66,Questions!$A$3:$N$174,13,FALSE)))</f>
        <v xml:space="preserve">addOption, getOption, stripLeadingHyphens
</v>
      </c>
      <c r="G66" s="187"/>
      <c r="H66" s="202"/>
      <c r="I66" s="9"/>
      <c r="J66" s="9"/>
      <c r="K66" s="9"/>
      <c r="L66" s="9"/>
      <c r="M66" s="9"/>
    </row>
    <row r="67" spans="2:13" ht="15.75" customHeight="1">
      <c r="B67" s="114" t="s">
        <v>4590</v>
      </c>
      <c r="C67" s="9">
        <v>404</v>
      </c>
      <c r="D67" s="9" t="s">
        <v>1538</v>
      </c>
      <c r="E67" s="9" t="str">
        <f>IF($B67 = "Mutant",VLOOKUP($C67,Mutants!$A$2:$L$560,12,FALSE),IF($B67 = "Test",VLOOKUP($C67,Tests!$A$2:$L$841,12,FALSE),VLOOKUP($C67,Questions!$A$3:$N$174,9,FALSE)))</f>
        <v>Y</v>
      </c>
      <c r="F67" s="187" t="str">
        <f>IF($B67 = "Mutant",VLOOKUP($C67,Mutants!$A$2:$L$560,11,FALSE),IF($B67 = "Test",VLOOKUP($C67,Tests!$A$2:$L$841,11,FALSE),VLOOKUP($C67,Questions!$A$3:$N$174,13,FALSE)))</f>
        <v xml:space="preserve">addOption, getOption, stripLeadingHyphens
</v>
      </c>
      <c r="G67" s="187"/>
      <c r="H67" s="202"/>
      <c r="I67" s="9"/>
      <c r="J67" s="9"/>
      <c r="K67" s="9"/>
      <c r="L67" s="9"/>
      <c r="M67" s="9"/>
    </row>
    <row r="68" spans="2:13" ht="15.75" customHeight="1">
      <c r="B68" s="114" t="s">
        <v>4590</v>
      </c>
      <c r="C68" s="9">
        <v>444</v>
      </c>
      <c r="D68" s="9" t="s">
        <v>1665</v>
      </c>
      <c r="E68" s="9" t="str">
        <f>IF($B68 = "Mutant",VLOOKUP($C68,Mutants!$A$2:$L$560,12,FALSE),IF($B68 = "Test",VLOOKUP($C68,Tests!$A$2:$L$841,12,FALSE),VLOOKUP($C68,Questions!$A$3:$N$174,9,FALSE)))</f>
        <v>Y</v>
      </c>
      <c r="F68" s="187" t="str">
        <f>IF($B68 = "Mutant",VLOOKUP($C68,Mutants!$A$2:$L$560,11,FALSE),IF($B68 = "Test",VLOOKUP($C68,Tests!$A$2:$L$841,11,FALSE),VLOOKUP($C68,Questions!$A$3:$N$174,13,FALSE)))</f>
        <v xml:space="preserve">addOption, toString
</v>
      </c>
      <c r="G68" s="187"/>
      <c r="H68" s="202"/>
      <c r="I68" s="9"/>
      <c r="J68" s="9"/>
      <c r="K68" s="9"/>
      <c r="L68" s="9"/>
      <c r="M68" s="9"/>
    </row>
    <row r="69" spans="2:13" ht="15.75" customHeight="1">
      <c r="B69" s="114" t="s">
        <v>4590</v>
      </c>
      <c r="C69" s="9">
        <v>451</v>
      </c>
      <c r="D69" s="9" t="s">
        <v>1691</v>
      </c>
      <c r="E69" s="9" t="str">
        <f>IF($B69 = "Mutant",VLOOKUP($C69,Mutants!$A$2:$L$560,12,FALSE),IF($B69 = "Test",VLOOKUP($C69,Tests!$A$2:$L$841,12,FALSE),VLOOKUP($C69,Questions!$A$3:$N$174,9,FALSE)))</f>
        <v>Y</v>
      </c>
      <c r="F69" s="187" t="str">
        <f>IF($B69 = "Mutant",VLOOKUP($C69,Mutants!$A$2:$L$560,11,FALSE),IF($B69 = "Test",VLOOKUP($C69,Tests!$A$2:$L$841,11,FALSE),VLOOKUP($C69,Questions!$A$3:$N$174,13,FALSE)))</f>
        <v xml:space="preserve">addOption, toString
</v>
      </c>
      <c r="G69" s="187"/>
      <c r="H69" s="202"/>
      <c r="I69" s="9"/>
      <c r="J69" s="9"/>
      <c r="K69" s="9"/>
      <c r="L69" s="9"/>
      <c r="M69" s="9"/>
    </row>
    <row r="70" spans="2:13" ht="15.75" customHeight="1">
      <c r="B70" s="133" t="s">
        <v>4590</v>
      </c>
      <c r="C70" s="130">
        <v>455</v>
      </c>
      <c r="D70" s="130" t="s">
        <v>1701</v>
      </c>
      <c r="E70" s="130" t="str">
        <f>IF($B70 = "Mutant",VLOOKUP($C70,Mutants!$A$2:$L$560,12,FALSE),IF($B70 = "Test",VLOOKUP($C70,Tests!$A$2:$L$841,12,FALSE),VLOOKUP($C70,Questions!$A$3:$N$174,9,FALSE)))</f>
        <v>Y</v>
      </c>
      <c r="F70" s="203" t="str">
        <f>IF($B70 = "Mutant",VLOOKUP($C70,Mutants!$A$2:$L$560,11,FALSE),IF($B70 = "Test",VLOOKUP($C70,Tests!$A$2:$L$841,11,FALSE),VLOOKUP($C70,Questions!$A$3:$N$174,13,FALSE)))</f>
        <v xml:space="preserve">addOption, toString
</v>
      </c>
      <c r="G70" s="203"/>
      <c r="H70" s="204"/>
      <c r="I70" s="9"/>
      <c r="J70" s="9"/>
      <c r="K70" s="9"/>
      <c r="L70" s="9"/>
      <c r="M70" s="9"/>
    </row>
    <row r="71" spans="2:13" ht="15.75" customHeight="1">
      <c r="F71" s="214"/>
      <c r="G71" s="214"/>
      <c r="H71" s="214"/>
    </row>
    <row r="72" spans="2:13" ht="15.75" customHeight="1">
      <c r="F72" s="188"/>
      <c r="G72" s="188"/>
      <c r="H72" s="188"/>
    </row>
    <row r="73" spans="2:13" ht="15.75" customHeight="1" thickBot="1">
      <c r="B73" s="219" t="s">
        <v>4604</v>
      </c>
      <c r="C73" s="201"/>
      <c r="D73" s="45">
        <v>143</v>
      </c>
      <c r="F73" s="207"/>
      <c r="G73" s="207"/>
      <c r="H73" s="207"/>
    </row>
    <row r="74" spans="2:13" ht="15.75" customHeight="1" thickTop="1">
      <c r="B74" s="134" t="s">
        <v>4594</v>
      </c>
      <c r="C74" s="135" t="s">
        <v>44</v>
      </c>
      <c r="D74" s="135" t="s">
        <v>110</v>
      </c>
      <c r="E74" s="136" t="s">
        <v>2</v>
      </c>
      <c r="F74" s="212" t="s">
        <v>4612</v>
      </c>
      <c r="G74" s="212"/>
      <c r="H74" s="213"/>
      <c r="I74" s="9"/>
      <c r="J74" s="9"/>
      <c r="K74" s="9"/>
      <c r="L74" s="9"/>
      <c r="M74" s="9"/>
    </row>
    <row r="75" spans="2:13" ht="15.75" customHeight="1">
      <c r="B75" s="137" t="s">
        <v>4589</v>
      </c>
      <c r="C75" s="93">
        <v>107</v>
      </c>
      <c r="D75" s="93" t="s">
        <v>3110</v>
      </c>
      <c r="E75" s="93" t="str">
        <f>IF($B75 = "Mutant",VLOOKUP($C75,Mutants!$A$2:$L$560,12,FALSE),IF($B75 = "Test",VLOOKUP($C75,Tests!$A$2:$L$841,12,FALSE),VLOOKUP($C75,Questions!$A$3:$N$174,9,FALSE)))</f>
        <v>Y</v>
      </c>
      <c r="F75" s="205" t="str">
        <f>IF($B75 = "Mutant",VLOOKUP($C75,Mutants!$A$2:$L$560,11,FALSE),IF($B75 = "Test",VLOOKUP($C75,Tests!$A$2:$L$841,11,FALSE),VLOOKUP($C75,Questions!$A$3:$N$174,13,FALSE)))</f>
        <v xml:space="preserve">addOption
</v>
      </c>
      <c r="G75" s="205"/>
      <c r="H75" s="206"/>
      <c r="I75" s="9"/>
      <c r="J75" s="9"/>
      <c r="K75" s="9"/>
      <c r="L75" s="9"/>
      <c r="M75" s="9"/>
    </row>
    <row r="76" spans="2:13" ht="15.75" customHeight="1">
      <c r="B76" s="114" t="s">
        <v>4589</v>
      </c>
      <c r="C76" s="9">
        <v>113</v>
      </c>
      <c r="D76" s="9" t="s">
        <v>3128</v>
      </c>
      <c r="E76" s="9" t="str">
        <f>IF($B76 = "Mutant",VLOOKUP($C76,Mutants!$A$2:$L$560,12,FALSE),IF($B76 = "Test",VLOOKUP($C76,Tests!$A$2:$L$841,12,FALSE),VLOOKUP($C76,Questions!$A$3:$N$174,9,FALSE)))</f>
        <v>Y</v>
      </c>
      <c r="F76" s="187" t="str">
        <f>IF($B76 = "Mutant",VLOOKUP($C76,Mutants!$A$2:$L$560,11,FALSE),IF($B76 = "Test",VLOOKUP($C76,Tests!$A$2:$L$841,11,FALSE),VLOOKUP($C76,Questions!$A$3:$N$174,13,FALSE)))</f>
        <v xml:space="preserve">stripLeadingHyphens
</v>
      </c>
      <c r="G76" s="187"/>
      <c r="H76" s="202"/>
      <c r="I76" s="9"/>
      <c r="J76" s="9"/>
      <c r="K76" s="9"/>
      <c r="L76" s="9"/>
      <c r="M76" s="9"/>
    </row>
    <row r="77" spans="2:13" ht="15.75" customHeight="1">
      <c r="B77" s="114" t="s">
        <v>4589</v>
      </c>
      <c r="C77" s="9">
        <v>119</v>
      </c>
      <c r="D77" s="9" t="s">
        <v>3146</v>
      </c>
      <c r="E77" s="9" t="str">
        <f>IF($B77 = "Mutant",VLOOKUP($C77,Mutants!$A$2:$L$560,12,FALSE),IF($B77 = "Test",VLOOKUP($C77,Tests!$A$2:$L$841,12,FALSE),VLOOKUP($C77,Questions!$A$3:$N$174,9,FALSE)))</f>
        <v>Y</v>
      </c>
      <c r="F77" s="187" t="str">
        <f>IF($B77 = "Mutant",VLOOKUP($C77,Mutants!$A$2:$L$560,11,FALSE),IF($B77 = "Test",VLOOKUP($C77,Tests!$A$2:$L$841,11,FALSE),VLOOKUP($C77,Questions!$A$3:$N$174,13,FALSE)))</f>
        <v xml:space="preserve">stripLeadingHyphens
</v>
      </c>
      <c r="G77" s="187"/>
      <c r="H77" s="202"/>
      <c r="I77" s="9"/>
      <c r="J77" s="9"/>
      <c r="K77" s="9"/>
      <c r="L77" s="9"/>
      <c r="M77" s="9"/>
    </row>
    <row r="78" spans="2:13" ht="15.75" customHeight="1">
      <c r="B78" s="114" t="s">
        <v>4589</v>
      </c>
      <c r="C78" s="9">
        <v>129</v>
      </c>
      <c r="D78" s="9" t="s">
        <v>3175</v>
      </c>
      <c r="E78" s="9" t="str">
        <f>IF($B78 = "Mutant",VLOOKUP($C78,Mutants!$A$2:$L$560,12,FALSE),IF($B78 = "Test",VLOOKUP($C78,Tests!$A$2:$L$841,12,FALSE),VLOOKUP($C78,Questions!$A$3:$N$174,9,FALSE)))</f>
        <v>Y</v>
      </c>
      <c r="F78" s="187" t="str">
        <f>IF($B78 = "Mutant",VLOOKUP($C78,Mutants!$A$2:$L$560,11,FALSE),IF($B78 = "Test",VLOOKUP($C78,Tests!$A$2:$L$841,11,FALSE),VLOOKUP($C78,Questions!$A$3:$N$174,13,FALSE)))</f>
        <v xml:space="preserve">stripLeadingHyphens
</v>
      </c>
      <c r="G78" s="187"/>
      <c r="H78" s="202"/>
      <c r="I78" s="9"/>
      <c r="J78" s="9"/>
      <c r="K78" s="9"/>
      <c r="L78" s="9"/>
      <c r="M78" s="9"/>
    </row>
    <row r="79" spans="2:13" ht="15.75" customHeight="1">
      <c r="B79" s="114" t="s">
        <v>4589</v>
      </c>
      <c r="C79" s="9">
        <v>140</v>
      </c>
      <c r="D79" s="9" t="s">
        <v>3207</v>
      </c>
      <c r="E79" s="9" t="str">
        <f>IF($B79 = "Mutant",VLOOKUP($C79,Mutants!$A$2:$L$560,12,FALSE),IF($B79 = "Test",VLOOKUP($C79,Tests!$A$2:$L$841,12,FALSE),VLOOKUP($C79,Questions!$A$3:$N$174,9,FALSE)))</f>
        <v>Y</v>
      </c>
      <c r="F79" s="187" t="str">
        <f>IF($B79 = "Mutant",VLOOKUP($C79,Mutants!$A$2:$L$560,11,FALSE),IF($B79 = "Test",VLOOKUP($C79,Tests!$A$2:$L$841,11,FALSE),VLOOKUP($C79,Questions!$A$3:$N$174,13,FALSE)))</f>
        <v xml:space="preserve">addOptionGroup
</v>
      </c>
      <c r="G79" s="187"/>
      <c r="H79" s="202"/>
      <c r="I79" s="9"/>
      <c r="J79" s="9"/>
      <c r="K79" s="9"/>
      <c r="L79" s="9"/>
      <c r="M79" s="9"/>
    </row>
    <row r="80" spans="2:13" ht="15.75" customHeight="1">
      <c r="B80" s="114" t="s">
        <v>4589</v>
      </c>
      <c r="C80" s="9">
        <v>155</v>
      </c>
      <c r="D80" s="9" t="s">
        <v>3249</v>
      </c>
      <c r="E80" s="9" t="str">
        <f>IF($B80 = "Mutant",VLOOKUP($C80,Mutants!$A$2:$L$560,12,FALSE),IF($B80 = "Test",VLOOKUP($C80,Tests!$A$2:$L$841,12,FALSE),VLOOKUP($C80,Questions!$A$3:$N$174,9,FALSE)))</f>
        <v>Y</v>
      </c>
      <c r="F80" s="187" t="str">
        <f>IF($B80 = "Mutant",VLOOKUP($C80,Mutants!$A$2:$L$560,11,FALSE),IF($B80 = "Test",VLOOKUP($C80,Tests!$A$2:$L$841,11,FALSE),VLOOKUP($C80,Questions!$A$3:$N$174,13,FALSE)))</f>
        <v xml:space="preserve">toString
</v>
      </c>
      <c r="G80" s="187"/>
      <c r="H80" s="202"/>
      <c r="I80" s="9"/>
      <c r="J80" s="9"/>
      <c r="K80" s="9"/>
      <c r="L80" s="9"/>
      <c r="M80" s="9"/>
    </row>
    <row r="81" spans="2:14" ht="15.75" customHeight="1">
      <c r="B81" s="114" t="s">
        <v>4589</v>
      </c>
      <c r="C81" s="9">
        <v>199</v>
      </c>
      <c r="D81" s="9" t="s">
        <v>141</v>
      </c>
      <c r="E81" s="9" t="str">
        <f>IF($B81 = "Mutant",VLOOKUP($C81,Mutants!$A$2:$L$560,12,FALSE),IF($B81 = "Test",VLOOKUP($C81,Tests!$A$2:$L$841,12,FALSE),VLOOKUP($C81,Questions!$A$3:$N$174,9,FALSE)))</f>
        <v>Y</v>
      </c>
      <c r="F81" s="187" t="str">
        <f>IF($B81 = "Mutant",VLOOKUP($C81,Mutants!$A$2:$L$560,11,FALSE),IF($B81 = "Test",VLOOKUP($C81,Tests!$A$2:$L$841,11,FALSE),VLOOKUP($C81,Questions!$A$3:$N$174,13,FALSE)))</f>
        <v xml:space="preserve">addOption
</v>
      </c>
      <c r="G81" s="187"/>
      <c r="H81" s="202"/>
      <c r="I81" s="9"/>
      <c r="J81" s="9"/>
      <c r="K81" s="9"/>
      <c r="L81" s="9"/>
      <c r="M81" s="9"/>
    </row>
    <row r="82" spans="2:14" ht="15.75" customHeight="1">
      <c r="B82" s="114" t="s">
        <v>107</v>
      </c>
      <c r="C82" s="9">
        <v>35</v>
      </c>
      <c r="D82" s="9" t="s">
        <v>195</v>
      </c>
      <c r="E82" s="9" t="str">
        <f>IF($B82 = "Mutant",VLOOKUP($C82,Mutants!$A$2:$L$560,12,FALSE),IF($B82 = "Test",VLOOKUP($C82,Tests!$A$2:$L$841,12,FALSE),VLOOKUP($C82,Questions!$A$3:$N$174,9,FALSE)))</f>
        <v>Y</v>
      </c>
      <c r="F82" s="187" t="str">
        <f>IF($B82 = "Mutant",VLOOKUP($C82,Mutants!$A$2:$L$560,11,FALSE),IF($B82 = "Test",VLOOKUP($C82,Tests!$A$2:$L$841,11,FALSE),VLOOKUP($C82,Questions!$A$3:$N$174,13,FALSE)))</f>
        <v xml:space="preserve"> </v>
      </c>
      <c r="G82" s="187"/>
      <c r="H82" s="202"/>
      <c r="I82" s="9"/>
      <c r="J82" s="9"/>
      <c r="K82" s="9"/>
      <c r="L82" s="9"/>
      <c r="M82" s="9"/>
    </row>
    <row r="83" spans="2:14" ht="15.75" customHeight="1">
      <c r="B83" s="114" t="s">
        <v>4590</v>
      </c>
      <c r="C83" s="9">
        <v>146</v>
      </c>
      <c r="D83" s="9" t="s">
        <v>814</v>
      </c>
      <c r="E83" s="9" t="str">
        <f>IF($B83 = "Mutant",VLOOKUP($C83,Mutants!$A$2:$L$560,12,FALSE),IF($B83 = "Test",VLOOKUP($C83,Tests!$A$2:$L$841,12,FALSE),VLOOKUP($C83,Questions!$A$3:$N$174,9,FALSE)))</f>
        <v>N</v>
      </c>
      <c r="F83" s="187" t="str">
        <f>IF($B83 = "Mutant",VLOOKUP($C83,Mutants!$A$2:$L$560,11,FALSE),IF($B83 = "Test",VLOOKUP($C83,Tests!$A$2:$L$841,11,FALSE),VLOOKUP($C83,Questions!$A$3:$N$174,13,FALSE)))</f>
        <v xml:space="preserve">
</v>
      </c>
      <c r="G83" s="187"/>
      <c r="H83" s="202"/>
      <c r="I83" s="9"/>
      <c r="J83" s="9"/>
      <c r="K83" s="9"/>
      <c r="L83" s="9"/>
      <c r="M83" s="9"/>
    </row>
    <row r="84" spans="2:14" ht="15.75" customHeight="1">
      <c r="B84" s="114" t="s">
        <v>4590</v>
      </c>
      <c r="C84" s="9">
        <v>195</v>
      </c>
      <c r="D84" s="9" t="s">
        <v>937</v>
      </c>
      <c r="E84" s="9" t="str">
        <f>IF($B84 = "Mutant",VLOOKUP($C84,Mutants!$A$2:$L$560,12,FALSE),IF($B84 = "Test",VLOOKUP($C84,Tests!$A$2:$L$841,12,FALSE),VLOOKUP($C84,Questions!$A$3:$N$174,9,FALSE)))</f>
        <v>N</v>
      </c>
      <c r="F84" s="187" t="str">
        <f>IF($B84 = "Mutant",VLOOKUP($C84,Mutants!$A$2:$L$560,11,FALSE),IF($B84 = "Test",VLOOKUP($C84,Tests!$A$2:$L$841,11,FALSE),VLOOKUP($C84,Questions!$A$3:$N$174,13,FALSE)))</f>
        <v xml:space="preserve">
</v>
      </c>
      <c r="G84" s="187"/>
      <c r="H84" s="202"/>
      <c r="I84" s="9"/>
      <c r="J84" s="9"/>
      <c r="K84" s="9"/>
      <c r="L84" s="9"/>
      <c r="M84" s="9"/>
    </row>
    <row r="85" spans="2:14" ht="15.75" customHeight="1">
      <c r="B85" s="114" t="s">
        <v>107</v>
      </c>
      <c r="C85" s="9">
        <v>54</v>
      </c>
      <c r="D85" s="9" t="s">
        <v>198</v>
      </c>
      <c r="E85" s="9" t="str">
        <f>IF($B85 = "Mutant",VLOOKUP($C85,Mutants!$A$2:$L$560,12,FALSE),IF($B85 = "Test",VLOOKUP($C85,Tests!$A$2:$L$841,12,FALSE),VLOOKUP($C85,Questions!$A$3:$N$174,9,FALSE)))</f>
        <v>Y</v>
      </c>
      <c r="F85" s="187" t="str">
        <f>IF($B85 = "Mutant",VLOOKUP($C85,Mutants!$A$2:$L$560,11,FALSE),IF($B85 = "Test",VLOOKUP($C85,Tests!$A$2:$L$841,11,FALSE),VLOOKUP($C85,Questions!$A$3:$N$174,13,FALSE)))</f>
        <v xml:space="preserve">toString
</v>
      </c>
      <c r="G85" s="187"/>
      <c r="H85" s="202"/>
      <c r="I85" s="9"/>
      <c r="J85" s="9"/>
      <c r="K85" s="9"/>
      <c r="L85" s="9"/>
      <c r="M85" s="9"/>
      <c r="N85" s="9"/>
    </row>
    <row r="86" spans="2:14" ht="15.75" customHeight="1">
      <c r="B86" s="114" t="s">
        <v>4590</v>
      </c>
      <c r="C86" s="9">
        <v>219</v>
      </c>
      <c r="D86" s="9" t="s">
        <v>1010</v>
      </c>
      <c r="E86" s="9" t="str">
        <f>IF($B86 = "Mutant",VLOOKUP($C86,Mutants!$A$2:$L$560,12,FALSE),IF($B86 = "Test",VLOOKUP($C86,Tests!$A$2:$L$841,12,FALSE),VLOOKUP($C86,Questions!$A$3:$N$174,9,FALSE)))</f>
        <v>N</v>
      </c>
      <c r="F86" s="187" t="str">
        <f>IF($B86 = "Mutant",VLOOKUP($C86,Mutants!$A$2:$L$560,11,FALSE),IF($B86 = "Test",VLOOKUP($C86,Tests!$A$2:$L$841,11,FALSE),VLOOKUP($C86,Questions!$A$3:$N$174,13,FALSE)))</f>
        <v xml:space="preserve">
</v>
      </c>
      <c r="G86" s="187"/>
      <c r="H86" s="202"/>
      <c r="I86" s="9"/>
      <c r="J86" s="9"/>
      <c r="K86" s="9"/>
      <c r="L86" s="9"/>
      <c r="M86" s="9"/>
    </row>
    <row r="87" spans="2:14" ht="15.75" customHeight="1">
      <c r="B87" s="114" t="s">
        <v>4590</v>
      </c>
      <c r="C87" s="9">
        <v>236</v>
      </c>
      <c r="D87" s="9" t="s">
        <v>1053</v>
      </c>
      <c r="E87" s="9" t="str">
        <f>IF($B87 = "Mutant",VLOOKUP($C87,Mutants!$A$2:$L$560,12,FALSE),IF($B87 = "Test",VLOOKUP($C87,Tests!$A$2:$L$841,12,FALSE),VLOOKUP($C87,Questions!$A$3:$N$174,9,FALSE)))</f>
        <v>N</v>
      </c>
      <c r="F87" s="187" t="str">
        <f>IF($B87 = "Mutant",VLOOKUP($C87,Mutants!$A$2:$L$560,11,FALSE),IF($B87 = "Test",VLOOKUP($C87,Tests!$A$2:$L$841,11,FALSE),VLOOKUP($C87,Questions!$A$3:$N$174,13,FALSE)))</f>
        <v xml:space="preserve">
</v>
      </c>
      <c r="G87" s="187"/>
      <c r="H87" s="202"/>
      <c r="I87" s="9"/>
      <c r="J87" s="9"/>
      <c r="K87" s="9"/>
      <c r="L87" s="9"/>
      <c r="M87" s="9"/>
    </row>
    <row r="88" spans="2:14" ht="15.75" customHeight="1">
      <c r="B88" s="114" t="s">
        <v>4590</v>
      </c>
      <c r="C88" s="9">
        <v>240</v>
      </c>
      <c r="D88" s="9" t="s">
        <v>1066</v>
      </c>
      <c r="E88" s="9" t="str">
        <f>IF($B88 = "Mutant",VLOOKUP($C88,Mutants!$A$2:$L$560,12,FALSE),IF($B88 = "Test",VLOOKUP($C88,Tests!$A$2:$L$841,12,FALSE),VLOOKUP($C88,Questions!$A$3:$N$174,9,FALSE)))</f>
        <v>Y</v>
      </c>
      <c r="F88" s="187" t="str">
        <f>IF($B88 = "Mutant",VLOOKUP($C88,Mutants!$A$2:$L$560,11,FALSE),IF($B88 = "Test",VLOOKUP($C88,Tests!$A$2:$L$841,11,FALSE),VLOOKUP($C88,Questions!$A$3:$N$174,13,FALSE)))</f>
        <v xml:space="preserve">addOption, toString
</v>
      </c>
      <c r="G88" s="187"/>
      <c r="H88" s="202"/>
      <c r="I88" s="9"/>
      <c r="J88" s="9"/>
      <c r="K88" s="9"/>
      <c r="L88" s="9"/>
      <c r="M88" s="9"/>
    </row>
    <row r="89" spans="2:14" ht="15.75" customHeight="1">
      <c r="B89" s="114" t="s">
        <v>4590</v>
      </c>
      <c r="C89" s="9">
        <v>318</v>
      </c>
      <c r="D89" s="9" t="s">
        <v>1291</v>
      </c>
      <c r="E89" s="9" t="str">
        <f>IF($B89 = "Mutant",VLOOKUP($C89,Mutants!$A$2:$L$560,12,FALSE),IF($B89 = "Test",VLOOKUP($C89,Tests!$A$2:$L$841,12,FALSE),VLOOKUP($C89,Questions!$A$3:$N$174,9,FALSE)))</f>
        <v>N</v>
      </c>
      <c r="F89" s="187" t="str">
        <f>IF($B89 = "Mutant",VLOOKUP($C89,Mutants!$A$2:$L$560,11,FALSE),IF($B89 = "Test",VLOOKUP($C89,Tests!$A$2:$L$841,11,FALSE),VLOOKUP($C89,Questions!$A$3:$N$174,13,FALSE)))</f>
        <v xml:space="preserve">
</v>
      </c>
      <c r="G89" s="187"/>
      <c r="H89" s="202"/>
      <c r="I89" s="9"/>
      <c r="J89" s="9"/>
      <c r="K89" s="9"/>
      <c r="L89" s="9"/>
      <c r="M89" s="9"/>
    </row>
    <row r="90" spans="2:14" ht="15.75" customHeight="1">
      <c r="B90" s="114" t="s">
        <v>4590</v>
      </c>
      <c r="C90" s="9">
        <v>369</v>
      </c>
      <c r="D90" s="9" t="s">
        <v>216</v>
      </c>
      <c r="E90" s="9" t="str">
        <f>IF($B90 = "Mutant",VLOOKUP($C90,Mutants!$A$2:$L$560,12,FALSE),IF($B90 = "Test",VLOOKUP($C90,Tests!$A$2:$L$841,12,FALSE),VLOOKUP($C90,Questions!$A$3:$N$174,9,FALSE)))</f>
        <v>Y</v>
      </c>
      <c r="F90" s="187" t="str">
        <f>IF($B90 = "Mutant",VLOOKUP($C90,Mutants!$A$2:$L$560,11,FALSE),IF($B90 = "Test",VLOOKUP($C90,Tests!$A$2:$L$841,11,FALSE),VLOOKUP($C90,Questions!$A$3:$N$174,13,FALSE)))</f>
        <v xml:space="preserve">
</v>
      </c>
      <c r="G90" s="187"/>
      <c r="H90" s="202"/>
      <c r="I90" s="9"/>
      <c r="J90" s="9"/>
      <c r="K90" s="9"/>
      <c r="L90" s="9"/>
      <c r="M90" s="9"/>
    </row>
    <row r="91" spans="2:14" ht="15.75" customHeight="1">
      <c r="B91" s="114" t="s">
        <v>4590</v>
      </c>
      <c r="C91" s="9">
        <v>388</v>
      </c>
      <c r="D91" s="9" t="s">
        <v>1488</v>
      </c>
      <c r="E91" s="9" t="str">
        <f>IF($B91 = "Mutant",VLOOKUP($C91,Mutants!$A$2:$L$560,12,FALSE),IF($B91 = "Test",VLOOKUP($C91,Tests!$A$2:$L$841,12,FALSE),VLOOKUP($C91,Questions!$A$3:$N$174,9,FALSE)))</f>
        <v>N</v>
      </c>
      <c r="F91" s="187" t="str">
        <f>IF($B91 = "Mutant",VLOOKUP($C91,Mutants!$A$2:$L$560,11,FALSE),IF($B91 = "Test",VLOOKUP($C91,Tests!$A$2:$L$841,11,FALSE),VLOOKUP($C91,Questions!$A$3:$N$174,13,FALSE)))</f>
        <v xml:space="preserve">
</v>
      </c>
      <c r="G91" s="187"/>
      <c r="H91" s="202"/>
      <c r="I91" s="9"/>
      <c r="J91" s="9"/>
      <c r="K91" s="9"/>
      <c r="L91" s="9"/>
      <c r="M91" s="9"/>
    </row>
    <row r="92" spans="2:14" ht="15.75" customHeight="1">
      <c r="B92" s="114" t="s">
        <v>4590</v>
      </c>
      <c r="C92" s="9">
        <v>392</v>
      </c>
      <c r="D92" s="9" t="s">
        <v>1501</v>
      </c>
      <c r="E92" s="9" t="str">
        <f>IF($B92 = "Mutant",VLOOKUP($C92,Mutants!$A$2:$L$560,12,FALSE),IF($B92 = "Test",VLOOKUP($C92,Tests!$A$2:$L$841,12,FALSE),VLOOKUP($C92,Questions!$A$3:$N$174,9,FALSE)))</f>
        <v>Y</v>
      </c>
      <c r="F92" s="187" t="str">
        <f>IF($B92 = "Mutant",VLOOKUP($C92,Mutants!$A$2:$L$560,11,FALSE),IF($B92 = "Test",VLOOKUP($C92,Tests!$A$2:$L$841,11,FALSE),VLOOKUP($C92,Questions!$A$3:$N$174,13,FALSE)))</f>
        <v xml:space="preserve">addOptionGroup
</v>
      </c>
      <c r="G92" s="187"/>
      <c r="H92" s="202"/>
      <c r="I92" s="9"/>
      <c r="J92" s="9"/>
      <c r="K92" s="9"/>
      <c r="L92" s="9"/>
      <c r="M92" s="9"/>
    </row>
    <row r="93" spans="2:14" ht="15.75" customHeight="1">
      <c r="B93" s="114" t="s">
        <v>4590</v>
      </c>
      <c r="C93" s="9">
        <v>405</v>
      </c>
      <c r="D93" s="9" t="s">
        <v>1538</v>
      </c>
      <c r="E93" s="9" t="str">
        <f>IF($B93 = "Mutant",VLOOKUP($C93,Mutants!$A$2:$L$560,12,FALSE),IF($B93 = "Test",VLOOKUP($C93,Tests!$A$2:$L$841,12,FALSE),VLOOKUP($C93,Questions!$A$3:$N$174,9,FALSE)))</f>
        <v>Y</v>
      </c>
      <c r="F93" s="187" t="str">
        <f>IF($B93 = "Mutant",VLOOKUP($C93,Mutants!$A$2:$L$560,11,FALSE),IF($B93 = "Test",VLOOKUP($C93,Tests!$A$2:$L$841,11,FALSE),VLOOKUP($C93,Questions!$A$3:$N$174,13,FALSE)))</f>
        <v xml:space="preserve">addOptionGroup, toString
</v>
      </c>
      <c r="G93" s="187"/>
      <c r="H93" s="202"/>
      <c r="I93" s="9"/>
      <c r="J93" s="9"/>
      <c r="K93" s="9"/>
      <c r="L93" s="9"/>
      <c r="M93" s="9"/>
    </row>
    <row r="94" spans="2:14" ht="15.75" customHeight="1">
      <c r="B94" s="114" t="s">
        <v>4590</v>
      </c>
      <c r="C94" s="9">
        <v>425</v>
      </c>
      <c r="D94" s="9" t="s">
        <v>1608</v>
      </c>
      <c r="E94" s="9" t="str">
        <f>IF($B94 = "Mutant",VLOOKUP($C94,Mutants!$A$2:$L$560,12,FALSE),IF($B94 = "Test",VLOOKUP($C94,Tests!$A$2:$L$841,12,FALSE),VLOOKUP($C94,Questions!$A$3:$N$174,9,FALSE)))</f>
        <v>Y</v>
      </c>
      <c r="F94" s="187" t="str">
        <f>IF($B94 = "Mutant",VLOOKUP($C94,Mutants!$A$2:$L$560,11,FALSE),IF($B94 = "Test",VLOOKUP($C94,Tests!$A$2:$L$841,11,FALSE),VLOOKUP($C94,Questions!$A$3:$N$174,13,FALSE)))</f>
        <v xml:space="preserve">addOptionGroup, toString
</v>
      </c>
      <c r="G94" s="187"/>
      <c r="H94" s="202"/>
      <c r="I94" s="9"/>
      <c r="J94" s="9"/>
      <c r="K94" s="9"/>
      <c r="L94" s="9"/>
      <c r="M94" s="9"/>
    </row>
    <row r="95" spans="2:14" ht="15.75" customHeight="1">
      <c r="B95" s="114" t="s">
        <v>4590</v>
      </c>
      <c r="C95" s="9">
        <v>433</v>
      </c>
      <c r="D95" s="9" t="s">
        <v>1635</v>
      </c>
      <c r="E95" s="9" t="str">
        <f>IF($B95 = "Mutant",VLOOKUP($C95,Mutants!$A$2:$L$560,12,FALSE),IF($B95 = "Test",VLOOKUP($C95,Tests!$A$2:$L$841,12,FALSE),VLOOKUP($C95,Questions!$A$3:$N$174,9,FALSE)))</f>
        <v>Y</v>
      </c>
      <c r="F95" s="187" t="str">
        <f>IF($B95 = "Mutant",VLOOKUP($C95,Mutants!$A$2:$L$560,11,FALSE),IF($B95 = "Test",VLOOKUP($C95,Tests!$A$2:$L$841,11,FALSE),VLOOKUP($C95,Questions!$A$3:$N$174,13,FALSE)))</f>
        <v xml:space="preserve">addOptionGroup, toString
</v>
      </c>
      <c r="G95" s="187"/>
      <c r="H95" s="202"/>
      <c r="I95" s="9"/>
      <c r="J95" s="9"/>
      <c r="K95" s="9"/>
      <c r="L95" s="9"/>
      <c r="M95" s="9"/>
    </row>
    <row r="96" spans="2:14" ht="15.75" customHeight="1">
      <c r="B96" s="114" t="s">
        <v>4590</v>
      </c>
      <c r="C96" s="9">
        <v>445</v>
      </c>
      <c r="D96" s="9" t="s">
        <v>1668</v>
      </c>
      <c r="E96" s="9" t="str">
        <f>IF($B96 = "Mutant",VLOOKUP($C96,Mutants!$A$2:$L$560,12,FALSE),IF($B96 = "Test",VLOOKUP($C96,Tests!$A$2:$L$841,12,FALSE),VLOOKUP($C96,Questions!$A$3:$N$174,9,FALSE)))</f>
        <v>Y</v>
      </c>
      <c r="F96" s="187" t="str">
        <f>IF($B96 = "Mutant",VLOOKUP($C96,Mutants!$A$2:$L$560,11,FALSE),IF($B96 = "Test",VLOOKUP($C96,Tests!$A$2:$L$841,11,FALSE),VLOOKUP($C96,Questions!$A$3:$N$174,13,FALSE)))</f>
        <v xml:space="preserve">addOptionGroup, toString
</v>
      </c>
      <c r="G96" s="187"/>
      <c r="H96" s="202"/>
      <c r="I96" s="9"/>
      <c r="J96" s="9"/>
      <c r="K96" s="9"/>
      <c r="L96" s="9"/>
      <c r="M96" s="9"/>
    </row>
    <row r="97" spans="2:14" ht="15.75" customHeight="1">
      <c r="B97" s="133" t="s">
        <v>107</v>
      </c>
      <c r="C97" s="130">
        <v>92</v>
      </c>
      <c r="D97" s="130" t="s">
        <v>201</v>
      </c>
      <c r="E97" s="130" t="str">
        <f>IF($B97 = "Mutant",VLOOKUP($C97,Mutants!$A$2:$L$560,12,FALSE),IF($B97 = "Test",VLOOKUP($C97,Tests!$A$2:$L$841,12,FALSE),VLOOKUP($C97,Questions!$A$3:$N$174,9,FALSE)))</f>
        <v>Y</v>
      </c>
      <c r="F97" s="203" t="str">
        <f>IF($B97 = "Mutant",VLOOKUP($C97,Mutants!$A$2:$L$560,11,FALSE),IF($B97 = "Test",VLOOKUP($C97,Tests!$A$2:$L$841,11,FALSE),VLOOKUP($C97,Questions!$A$3:$N$174,13,FALSE)))</f>
        <v xml:space="preserve"> </v>
      </c>
      <c r="G97" s="203"/>
      <c r="H97" s="204"/>
      <c r="I97" s="9"/>
      <c r="J97" s="9"/>
      <c r="K97" s="9"/>
      <c r="L97" s="9"/>
      <c r="M97" s="9"/>
    </row>
    <row r="98" spans="2:14" ht="15.75" customHeight="1">
      <c r="F98" s="214"/>
      <c r="G98" s="214"/>
      <c r="H98" s="214"/>
    </row>
    <row r="99" spans="2:14" ht="15.75" customHeight="1">
      <c r="F99" s="188"/>
      <c r="G99" s="188"/>
      <c r="H99" s="188"/>
    </row>
    <row r="100" spans="2:14" ht="15.75" customHeight="1" thickBot="1">
      <c r="B100" s="219" t="s">
        <v>4604</v>
      </c>
      <c r="C100" s="201"/>
      <c r="D100" s="45">
        <v>144</v>
      </c>
      <c r="F100" s="207"/>
      <c r="G100" s="207"/>
      <c r="H100" s="207"/>
    </row>
    <row r="101" spans="2:14" ht="15.75" customHeight="1" thickTop="1">
      <c r="B101" s="134" t="s">
        <v>4594</v>
      </c>
      <c r="C101" s="135" t="s">
        <v>44</v>
      </c>
      <c r="D101" s="135" t="s">
        <v>110</v>
      </c>
      <c r="E101" s="136" t="s">
        <v>2</v>
      </c>
      <c r="F101" s="229" t="s">
        <v>4612</v>
      </c>
      <c r="G101" s="229"/>
      <c r="H101" s="230"/>
      <c r="I101" s="9"/>
      <c r="J101" s="9"/>
      <c r="K101" s="9"/>
      <c r="L101" s="9"/>
      <c r="M101" s="9"/>
    </row>
    <row r="102" spans="2:14" ht="15.75" customHeight="1">
      <c r="B102" s="137" t="s">
        <v>4589</v>
      </c>
      <c r="C102" s="93">
        <v>102</v>
      </c>
      <c r="D102" s="93" t="s">
        <v>3092</v>
      </c>
      <c r="E102" s="93" t="str">
        <f>IF($B102 = "Mutant",VLOOKUP($C102,Mutants!$A$2:$L$560,12,FALSE),IF($B102 = "Test",VLOOKUP($C102,Tests!$A$2:$L$841,12,FALSE),VLOOKUP($C102,Questions!$A$3:$N$174,9,FALSE)))</f>
        <v>Y</v>
      </c>
      <c r="F102" s="205" t="str">
        <f>IF($B102 = "Mutant",VLOOKUP($C102,Mutants!$A$2:$L$560,11,FALSE),IF($B102 = "Test",VLOOKUP($C102,Tests!$A$2:$L$841,11,FALSE),VLOOKUP($C102,Questions!$A$3:$N$174,13,FALSE)))</f>
        <v xml:space="preserve">addOptionGroup
</v>
      </c>
      <c r="G102" s="205"/>
      <c r="H102" s="206"/>
      <c r="I102" s="9"/>
      <c r="J102" s="9"/>
      <c r="K102" s="9"/>
      <c r="L102" s="9"/>
      <c r="M102" s="9"/>
    </row>
    <row r="103" spans="2:14" ht="15.75" customHeight="1">
      <c r="B103" s="114" t="s">
        <v>4589</v>
      </c>
      <c r="C103" s="9">
        <v>103</v>
      </c>
      <c r="D103" s="9" t="s">
        <v>3096</v>
      </c>
      <c r="E103" s="9" t="str">
        <f>IF($B103 = "Mutant",VLOOKUP($C103,Mutants!$A$2:$L$560,12,FALSE),IF($B103 = "Test",VLOOKUP($C103,Tests!$A$2:$L$841,12,FALSE),VLOOKUP($C103,Questions!$A$3:$N$174,9,FALSE)))</f>
        <v>Y</v>
      </c>
      <c r="F103" s="187" t="str">
        <f>IF($B103 = "Mutant",VLOOKUP($C103,Mutants!$A$2:$L$560,11,FALSE),IF($B103 = "Test",VLOOKUP($C103,Tests!$A$2:$L$841,11,FALSE),VLOOKUP($C103,Questions!$A$3:$N$174,13,FALSE)))</f>
        <v xml:space="preserve">getOption
</v>
      </c>
      <c r="G103" s="187"/>
      <c r="H103" s="202"/>
      <c r="I103" s="9"/>
      <c r="J103" s="9"/>
      <c r="K103" s="9"/>
      <c r="L103" s="9"/>
      <c r="M103" s="9"/>
    </row>
    <row r="104" spans="2:14" ht="15.75" customHeight="1">
      <c r="B104" s="114" t="s">
        <v>4589</v>
      </c>
      <c r="C104" s="9">
        <v>106</v>
      </c>
      <c r="D104" s="9" t="s">
        <v>3106</v>
      </c>
      <c r="E104" s="9" t="str">
        <f>IF($B104 = "Mutant",VLOOKUP($C104,Mutants!$A$2:$L$560,12,FALSE),IF($B104 = "Test",VLOOKUP($C104,Tests!$A$2:$L$841,12,FALSE),VLOOKUP($C104,Questions!$A$3:$N$174,9,FALSE)))</f>
        <v>Y</v>
      </c>
      <c r="F104" s="187" t="str">
        <f>IF($B104 = "Mutant",VLOOKUP($C104,Mutants!$A$2:$L$560,11,FALSE),IF($B104 = "Test",VLOOKUP($C104,Tests!$A$2:$L$841,11,FALSE),VLOOKUP($C104,Questions!$A$3:$N$174,13,FALSE)))</f>
        <v xml:space="preserve">stripLeadingHyphens
</v>
      </c>
      <c r="G104" s="187"/>
      <c r="H104" s="202"/>
      <c r="I104" s="9"/>
      <c r="J104" s="9"/>
      <c r="K104" s="9"/>
      <c r="L104" s="9"/>
      <c r="M104" s="9"/>
    </row>
    <row r="105" spans="2:14" ht="15.75" customHeight="1">
      <c r="B105" s="114" t="s">
        <v>4589</v>
      </c>
      <c r="C105" s="9">
        <v>120</v>
      </c>
      <c r="D105" s="9" t="s">
        <v>3149</v>
      </c>
      <c r="E105" s="9" t="str">
        <f>IF($B105 = "Mutant",VLOOKUP($C105,Mutants!$A$2:$L$560,12,FALSE),IF($B105 = "Test",VLOOKUP($C105,Tests!$A$2:$L$841,12,FALSE),VLOOKUP($C105,Questions!$A$3:$N$174,9,FALSE)))</f>
        <v>Y</v>
      </c>
      <c r="F105" s="187" t="str">
        <f>IF($B105 = "Mutant",VLOOKUP($C105,Mutants!$A$2:$L$560,11,FALSE),IF($B105 = "Test",VLOOKUP($C105,Tests!$A$2:$L$841,11,FALSE),VLOOKUP($C105,Questions!$A$3:$N$174,13,FALSE)))</f>
        <v xml:space="preserve">toString
</v>
      </c>
      <c r="G105" s="187"/>
      <c r="H105" s="202"/>
      <c r="I105" s="9"/>
      <c r="J105" s="9"/>
      <c r="K105" s="9"/>
      <c r="L105" s="9"/>
      <c r="M105" s="9"/>
    </row>
    <row r="106" spans="2:14" ht="15.75" customHeight="1">
      <c r="B106" s="114" t="s">
        <v>107</v>
      </c>
      <c r="C106" s="9">
        <v>15</v>
      </c>
      <c r="D106" s="9" t="s">
        <v>204</v>
      </c>
      <c r="E106" s="9" t="str">
        <f>IF($B106 = "Mutant",VLOOKUP($C106,Mutants!$A$2:$L$560,12,FALSE),IF($B106 = "Test",VLOOKUP($C106,Tests!$A$2:$L$841,12,FALSE),VLOOKUP($C106,Questions!$A$3:$N$174,9,FALSE)))</f>
        <v>N</v>
      </c>
      <c r="F106" s="187" t="str">
        <f>IF($B106 = "Mutant",VLOOKUP($C106,Mutants!$A$2:$L$560,11,FALSE),IF($B106 = "Test",VLOOKUP($C106,Tests!$A$2:$L$841,11,FALSE),VLOOKUP($C106,Questions!$A$3:$N$174,13,FALSE)))</f>
        <v xml:space="preserve"> </v>
      </c>
      <c r="G106" s="187"/>
      <c r="H106" s="202"/>
      <c r="I106" s="9"/>
      <c r="J106" s="9"/>
      <c r="K106" s="9"/>
      <c r="L106" s="9"/>
      <c r="M106" s="9"/>
    </row>
    <row r="107" spans="2:14" ht="15.75" customHeight="1">
      <c r="B107" s="114" t="s">
        <v>107</v>
      </c>
      <c r="C107" s="9">
        <v>19</v>
      </c>
      <c r="D107" s="9" t="s">
        <v>206</v>
      </c>
      <c r="E107" s="9" t="str">
        <f>IF($B107 = "Mutant",VLOOKUP($C107,Mutants!$A$2:$L$560,12,FALSE),IF($B107 = "Test",VLOOKUP($C107,Tests!$A$2:$L$841,12,FALSE),VLOOKUP($C107,Questions!$A$3:$N$174,9,FALSE)))</f>
        <v>Y</v>
      </c>
      <c r="F107" s="187" t="str">
        <f>IF($B107 = "Mutant",VLOOKUP($C107,Mutants!$A$2:$L$560,11,FALSE),IF($B107 = "Test",VLOOKUP($C107,Tests!$A$2:$L$841,11,FALSE),VLOOKUP($C107,Questions!$A$3:$N$174,13,FALSE)))</f>
        <v>getOption</v>
      </c>
      <c r="G107" s="187"/>
      <c r="H107" s="202"/>
      <c r="I107" s="9"/>
      <c r="J107" s="9"/>
      <c r="K107" s="9"/>
      <c r="L107" s="9"/>
      <c r="M107" s="9"/>
      <c r="N107" s="9"/>
    </row>
    <row r="108" spans="2:14" ht="15.75" customHeight="1">
      <c r="B108" s="114" t="s">
        <v>107</v>
      </c>
      <c r="C108" s="9">
        <v>26</v>
      </c>
      <c r="D108" s="9" t="s">
        <v>209</v>
      </c>
      <c r="E108" s="9" t="str">
        <f>IF($B108 = "Mutant",VLOOKUP($C108,Mutants!$A$2:$L$560,12,FALSE),IF($B108 = "Test",VLOOKUP($C108,Tests!$A$2:$L$841,12,FALSE),VLOOKUP($C108,Questions!$A$3:$N$174,9,FALSE)))</f>
        <v>N</v>
      </c>
      <c r="F108" s="187" t="str">
        <f>IF($B108 = "Mutant",VLOOKUP($C108,Mutants!$A$2:$L$560,11,FALSE),IF($B108 = "Test",VLOOKUP($C108,Tests!$A$2:$L$841,11,FALSE),VLOOKUP($C108,Questions!$A$3:$N$174,13,FALSE)))</f>
        <v xml:space="preserve"> </v>
      </c>
      <c r="G108" s="187"/>
      <c r="H108" s="202"/>
      <c r="I108" s="9"/>
      <c r="J108" s="9"/>
      <c r="K108" s="9"/>
      <c r="L108" s="9"/>
      <c r="M108" s="9"/>
    </row>
    <row r="109" spans="2:14" ht="15.75" customHeight="1">
      <c r="B109" s="114" t="s">
        <v>107</v>
      </c>
      <c r="C109" s="9">
        <v>29</v>
      </c>
      <c r="D109" s="9" t="s">
        <v>210</v>
      </c>
      <c r="E109" s="9" t="str">
        <f>IF($B109 = "Mutant",VLOOKUP($C109,Mutants!$A$2:$L$560,12,FALSE),IF($B109 = "Test",VLOOKUP($C109,Tests!$A$2:$L$841,12,FALSE),VLOOKUP($C109,Questions!$A$3:$N$174,9,FALSE)))</f>
        <v>Y</v>
      </c>
      <c r="F109" s="187" t="str">
        <f>IF($B109 = "Mutant",VLOOKUP($C109,Mutants!$A$2:$L$560,11,FALSE),IF($B109 = "Test",VLOOKUP($C109,Tests!$A$2:$L$841,11,FALSE),VLOOKUP($C109,Questions!$A$3:$N$174,13,FALSE)))</f>
        <v>getOption</v>
      </c>
      <c r="G109" s="187"/>
      <c r="H109" s="202"/>
      <c r="I109" s="9"/>
      <c r="J109" s="9"/>
      <c r="K109" s="9"/>
      <c r="L109" s="9"/>
      <c r="M109" s="9"/>
      <c r="N109" s="9"/>
    </row>
    <row r="110" spans="2:14" ht="15.75" customHeight="1">
      <c r="B110" s="114" t="s">
        <v>4590</v>
      </c>
      <c r="C110" s="9">
        <v>126</v>
      </c>
      <c r="D110" s="9" t="s">
        <v>765</v>
      </c>
      <c r="E110" s="9" t="str">
        <f>IF($B110 = "Mutant",VLOOKUP($C110,Mutants!$A$2:$L$560,12,FALSE),IF($B110 = "Test",VLOOKUP($C110,Tests!$A$2:$L$841,12,FALSE),VLOOKUP($C110,Questions!$A$3:$N$174,9,FALSE)))</f>
        <v>N</v>
      </c>
      <c r="F110" s="187" t="str">
        <f>IF($B110 = "Mutant",VLOOKUP($C110,Mutants!$A$2:$L$560,11,FALSE),IF($B110 = "Test",VLOOKUP($C110,Tests!$A$2:$L$841,11,FALSE),VLOOKUP($C110,Questions!$A$3:$N$174,13,FALSE)))</f>
        <v xml:space="preserve">
</v>
      </c>
      <c r="G110" s="187"/>
      <c r="H110" s="202"/>
      <c r="I110" s="9"/>
      <c r="J110" s="9"/>
      <c r="K110" s="9"/>
      <c r="L110" s="9"/>
      <c r="M110" s="9"/>
    </row>
    <row r="111" spans="2:14" ht="15.75" customHeight="1">
      <c r="B111" s="114" t="s">
        <v>4590</v>
      </c>
      <c r="C111" s="9">
        <v>129</v>
      </c>
      <c r="D111" s="9" t="s">
        <v>772</v>
      </c>
      <c r="E111" s="9" t="str">
        <f>IF($B111 = "Mutant",VLOOKUP($C111,Mutants!$A$2:$L$560,12,FALSE),IF($B111 = "Test",VLOOKUP($C111,Tests!$A$2:$L$841,12,FALSE),VLOOKUP($C111,Questions!$A$3:$N$174,9,FALSE)))</f>
        <v>N</v>
      </c>
      <c r="F111" s="187" t="str">
        <f>IF($B111 = "Mutant",VLOOKUP($C111,Mutants!$A$2:$L$560,11,FALSE),IF($B111 = "Test",VLOOKUP($C111,Tests!$A$2:$L$841,11,FALSE),VLOOKUP($C111,Questions!$A$3:$N$174,13,FALSE)))</f>
        <v xml:space="preserve">
</v>
      </c>
      <c r="G111" s="187"/>
      <c r="H111" s="202"/>
      <c r="I111" s="9"/>
      <c r="J111" s="9"/>
      <c r="K111" s="9"/>
      <c r="L111" s="9"/>
      <c r="M111" s="9"/>
    </row>
    <row r="112" spans="2:14" ht="15.75" customHeight="1">
      <c r="B112" s="114" t="s">
        <v>4590</v>
      </c>
      <c r="C112" s="9">
        <v>133</v>
      </c>
      <c r="D112" s="9" t="s">
        <v>780</v>
      </c>
      <c r="E112" s="9" t="str">
        <f>IF($B112 = "Mutant",VLOOKUP($C112,Mutants!$A$2:$L$560,12,FALSE),IF($B112 = "Test",VLOOKUP($C112,Tests!$A$2:$L$841,12,FALSE),VLOOKUP($C112,Questions!$A$3:$N$174,9,FALSE)))</f>
        <v>Y</v>
      </c>
      <c r="F112" s="187" t="str">
        <f>IF($B112 = "Mutant",VLOOKUP($C112,Mutants!$A$2:$L$560,11,FALSE),IF($B112 = "Test",VLOOKUP($C112,Tests!$A$2:$L$841,11,FALSE),VLOOKUP($C112,Questions!$A$3:$N$174,13,FALSE)))</f>
        <v xml:space="preserve">addOption, getOption, stripLeadingHyphens
</v>
      </c>
      <c r="G112" s="187"/>
      <c r="H112" s="202"/>
      <c r="I112" s="9"/>
      <c r="J112" s="9"/>
      <c r="K112" s="9"/>
      <c r="L112" s="9"/>
      <c r="M112" s="9"/>
    </row>
    <row r="113" spans="2:14" ht="15.75" customHeight="1">
      <c r="B113" s="114" t="s">
        <v>4590</v>
      </c>
      <c r="C113" s="9">
        <v>154</v>
      </c>
      <c r="D113" s="9" t="s">
        <v>831</v>
      </c>
      <c r="E113" s="9" t="str">
        <f>IF($B113 = "Mutant",VLOOKUP($C113,Mutants!$A$2:$L$560,12,FALSE),IF($B113 = "Test",VLOOKUP($C113,Tests!$A$2:$L$841,12,FALSE),VLOOKUP($C113,Questions!$A$3:$N$174,9,FALSE)))</f>
        <v>Y</v>
      </c>
      <c r="F113" s="187" t="str">
        <f>IF($B113 = "Mutant",VLOOKUP($C113,Mutants!$A$2:$L$560,11,FALSE),IF($B113 = "Test",VLOOKUP($C113,Tests!$A$2:$L$841,11,FALSE),VLOOKUP($C113,Questions!$A$3:$N$174,13,FALSE)))</f>
        <v xml:space="preserve">addOption, getOption, stripLeadingHyphens
</v>
      </c>
      <c r="G113" s="187"/>
      <c r="H113" s="202"/>
      <c r="I113" s="9"/>
      <c r="J113" s="9"/>
      <c r="K113" s="9"/>
      <c r="L113" s="9"/>
      <c r="M113" s="9"/>
    </row>
    <row r="114" spans="2:14" ht="15.75" customHeight="1">
      <c r="B114" s="114" t="s">
        <v>4590</v>
      </c>
      <c r="C114" s="9">
        <v>164</v>
      </c>
      <c r="D114" s="9" t="s">
        <v>857</v>
      </c>
      <c r="E114" s="9" t="str">
        <f>IF($B114 = "Mutant",VLOOKUP($C114,Mutants!$A$2:$L$560,12,FALSE),IF($B114 = "Test",VLOOKUP($C114,Tests!$A$2:$L$841,12,FALSE),VLOOKUP($C114,Questions!$A$3:$N$174,9,FALSE)))</f>
        <v>Y</v>
      </c>
      <c r="F114" s="187" t="str">
        <f>IF($B114 = "Mutant",VLOOKUP($C114,Mutants!$A$2:$L$560,11,FALSE),IF($B114 = "Test",VLOOKUP($C114,Tests!$A$2:$L$841,11,FALSE),VLOOKUP($C114,Questions!$A$3:$N$174,13,FALSE)))</f>
        <v xml:space="preserve">addOption, getOption, stripLeadingHyphens
</v>
      </c>
      <c r="G114" s="187"/>
      <c r="H114" s="202"/>
      <c r="I114" s="9"/>
      <c r="J114" s="9"/>
      <c r="K114" s="9"/>
      <c r="L114" s="9"/>
      <c r="M114" s="9"/>
    </row>
    <row r="115" spans="2:14" ht="15.75" customHeight="1">
      <c r="B115" s="114" t="s">
        <v>4590</v>
      </c>
      <c r="C115" s="9">
        <v>170</v>
      </c>
      <c r="D115" s="9" t="s">
        <v>878</v>
      </c>
      <c r="E115" s="9" t="str">
        <f>IF($B115 = "Mutant",VLOOKUP($C115,Mutants!$A$2:$L$560,12,FALSE),IF($B115 = "Test",VLOOKUP($C115,Tests!$A$2:$L$841,12,FALSE),VLOOKUP($C115,Questions!$A$3:$N$174,9,FALSE)))</f>
        <v>Y</v>
      </c>
      <c r="F115" s="187" t="str">
        <f>IF($B115 = "Mutant",VLOOKUP($C115,Mutants!$A$2:$L$560,11,FALSE),IF($B115 = "Test",VLOOKUP($C115,Tests!$A$2:$L$841,11,FALSE),VLOOKUP($C115,Questions!$A$3:$N$174,13,FALSE)))</f>
        <v xml:space="preserve">addOption, getOption, stripLeadingHyphens
</v>
      </c>
      <c r="G115" s="187"/>
      <c r="H115" s="202"/>
      <c r="I115" s="9"/>
      <c r="J115" s="9"/>
      <c r="K115" s="9"/>
      <c r="L115" s="9"/>
      <c r="M115" s="9"/>
    </row>
    <row r="116" spans="2:14" ht="15.75" customHeight="1">
      <c r="B116" s="114" t="s">
        <v>4590</v>
      </c>
      <c r="C116" s="9">
        <v>181</v>
      </c>
      <c r="D116" s="9" t="s">
        <v>903</v>
      </c>
      <c r="E116" s="9" t="str">
        <f>IF($B116 = "Mutant",VLOOKUP($C116,Mutants!$A$2:$L$560,12,FALSE),IF($B116 = "Test",VLOOKUP($C116,Tests!$A$2:$L$841,12,FALSE),VLOOKUP($C116,Questions!$A$3:$N$174,9,FALSE)))</f>
        <v>Y</v>
      </c>
      <c r="F116" s="187" t="str">
        <f>IF($B116 = "Mutant",VLOOKUP($C116,Mutants!$A$2:$L$560,11,FALSE),IF($B116 = "Test",VLOOKUP($C116,Tests!$A$2:$L$841,11,FALSE),VLOOKUP($C116,Questions!$A$3:$N$174,13,FALSE)))</f>
        <v xml:space="preserve">addOption, toString
</v>
      </c>
      <c r="G116" s="187"/>
      <c r="H116" s="202"/>
      <c r="I116" s="9"/>
      <c r="J116" s="9"/>
      <c r="K116" s="9"/>
      <c r="L116" s="9"/>
      <c r="M116" s="9"/>
    </row>
    <row r="117" spans="2:14" ht="15.75" customHeight="1">
      <c r="B117" s="114" t="s">
        <v>4589</v>
      </c>
      <c r="C117" s="9">
        <v>287</v>
      </c>
      <c r="D117" s="9" t="s">
        <v>3616</v>
      </c>
      <c r="E117" s="9" t="str">
        <f>IF($B117 = "Mutant",VLOOKUP($C117,Mutants!$A$2:$L$560,12,FALSE),IF($B117 = "Test",VLOOKUP($C117,Tests!$A$2:$L$841,12,FALSE),VLOOKUP($C117,Questions!$A$3:$N$174,9,FALSE)))</f>
        <v>Y</v>
      </c>
      <c r="F117" s="187" t="str">
        <f>IF($B117 = "Mutant",VLOOKUP($C117,Mutants!$A$2:$L$560,11,FALSE),IF($B117 = "Test",VLOOKUP($C117,Tests!$A$2:$L$841,11,FALSE),VLOOKUP($C117,Questions!$A$3:$N$174,13,FALSE)))</f>
        <v xml:space="preserve">hasShortOption
</v>
      </c>
      <c r="G117" s="187"/>
      <c r="H117" s="202"/>
      <c r="I117" s="9"/>
      <c r="J117" s="9"/>
      <c r="K117" s="9"/>
      <c r="L117" s="9"/>
      <c r="M117" s="9"/>
    </row>
    <row r="118" spans="2:14" ht="15.75" customHeight="1">
      <c r="B118" s="114" t="s">
        <v>107</v>
      </c>
      <c r="C118" s="9">
        <v>55</v>
      </c>
      <c r="D118" s="9" t="s">
        <v>213</v>
      </c>
      <c r="E118" s="9" t="str">
        <f>IF($B118 = "Mutant",VLOOKUP($C118,Mutants!$A$2:$L$560,12,FALSE),IF($B118 = "Test",VLOOKUP($C118,Tests!$A$2:$L$841,12,FALSE),VLOOKUP($C118,Questions!$A$3:$N$174,9,FALSE)))</f>
        <v>Y</v>
      </c>
      <c r="F118" s="187" t="str">
        <f>IF($B118 = "Mutant",VLOOKUP($C118,Mutants!$A$2:$L$560,11,FALSE),IF($B118 = "Test",VLOOKUP($C118,Tests!$A$2:$L$841,11,FALSE),VLOOKUP($C118,Questions!$A$3:$N$174,13,FALSE)))</f>
        <v xml:space="preserve">addOptionGroup
</v>
      </c>
      <c r="G118" s="187"/>
      <c r="H118" s="202"/>
      <c r="I118" s="9"/>
      <c r="J118" s="9"/>
      <c r="K118" s="9"/>
      <c r="L118" s="9"/>
      <c r="M118" s="9"/>
      <c r="N118" s="9"/>
    </row>
    <row r="119" spans="2:14" ht="15.75" customHeight="1">
      <c r="B119" s="114" t="s">
        <v>4590</v>
      </c>
      <c r="C119" s="9">
        <v>233</v>
      </c>
      <c r="D119" s="9" t="s">
        <v>1042</v>
      </c>
      <c r="E119" s="9" t="str">
        <f>IF($B119 = "Mutant",VLOOKUP($C119,Mutants!$A$2:$L$560,12,FALSE),IF($B119 = "Test",VLOOKUP($C119,Tests!$A$2:$L$841,12,FALSE),VLOOKUP($C119,Questions!$A$3:$N$174,9,FALSE)))</f>
        <v>Y</v>
      </c>
      <c r="F119" s="187" t="str">
        <f>IF($B119 = "Mutant",VLOOKUP($C119,Mutants!$A$2:$L$560,11,FALSE),IF($B119 = "Test",VLOOKUP($C119,Tests!$A$2:$L$841,11,FALSE),VLOOKUP($C119,Questions!$A$3:$N$174,13,FALSE)))</f>
        <v xml:space="preserve">addOptionGroup, addOption, toString
</v>
      </c>
      <c r="G119" s="187"/>
      <c r="H119" s="202"/>
      <c r="I119" s="9"/>
      <c r="J119" s="9"/>
      <c r="K119" s="9"/>
      <c r="L119" s="9"/>
      <c r="M119" s="9"/>
    </row>
    <row r="120" spans="2:14" ht="15.75" customHeight="1">
      <c r="B120" s="114" t="s">
        <v>4589</v>
      </c>
      <c r="C120" s="9">
        <v>301</v>
      </c>
      <c r="D120" s="9" t="s">
        <v>3651</v>
      </c>
      <c r="E120" s="9" t="str">
        <f>IF($B120 = "Mutant",VLOOKUP($C120,Mutants!$A$2:$L$560,12,FALSE),IF($B120 = "Test",VLOOKUP($C120,Tests!$A$2:$L$841,12,FALSE),VLOOKUP($C120,Questions!$A$3:$N$174,9,FALSE)))</f>
        <v>N</v>
      </c>
      <c r="F120" s="187" t="str">
        <f>IF($B120 = "Mutant",VLOOKUP($C120,Mutants!$A$2:$L$560,11,FALSE),IF($B120 = "Test",VLOOKUP($C120,Tests!$A$2:$L$841,11,FALSE),VLOOKUP($C120,Questions!$A$3:$N$174,13,FALSE)))</f>
        <v xml:space="preserve">
</v>
      </c>
      <c r="G120" s="187"/>
      <c r="H120" s="202"/>
      <c r="I120" s="9"/>
      <c r="J120" s="9"/>
      <c r="K120" s="9"/>
      <c r="L120" s="9"/>
      <c r="M120" s="9"/>
    </row>
    <row r="121" spans="2:14" ht="15.75" customHeight="1">
      <c r="B121" s="114" t="s">
        <v>4589</v>
      </c>
      <c r="C121" s="9">
        <v>303</v>
      </c>
      <c r="D121" s="9" t="s">
        <v>3656</v>
      </c>
      <c r="E121" s="9" t="str">
        <f>IF($B121 = "Mutant",VLOOKUP($C121,Mutants!$A$2:$L$560,12,FALSE),IF($B121 = "Test",VLOOKUP($C121,Tests!$A$2:$L$841,12,FALSE),VLOOKUP($C121,Questions!$A$3:$N$174,9,FALSE)))</f>
        <v>N</v>
      </c>
      <c r="F121" s="187" t="str">
        <f>IF($B121 = "Mutant",VLOOKUP($C121,Mutants!$A$2:$L$560,11,FALSE),IF($B121 = "Test",VLOOKUP($C121,Tests!$A$2:$L$841,11,FALSE),VLOOKUP($C121,Questions!$A$3:$N$174,13,FALSE)))</f>
        <v xml:space="preserve">
</v>
      </c>
      <c r="G121" s="187"/>
      <c r="H121" s="202"/>
      <c r="I121" s="9"/>
      <c r="J121" s="9"/>
      <c r="K121" s="9"/>
      <c r="L121" s="9"/>
      <c r="M121" s="9"/>
    </row>
    <row r="122" spans="2:14" ht="15.75" customHeight="1">
      <c r="B122" s="114" t="s">
        <v>4589</v>
      </c>
      <c r="C122" s="9">
        <v>305</v>
      </c>
      <c r="D122" s="9" t="s">
        <v>3660</v>
      </c>
      <c r="E122" s="9" t="str">
        <f>IF($B122 = "Mutant",VLOOKUP($C122,Mutants!$A$2:$L$560,12,FALSE),IF($B122 = "Test",VLOOKUP($C122,Tests!$A$2:$L$841,12,FALSE),VLOOKUP($C122,Questions!$A$3:$N$174,9,FALSE)))</f>
        <v>N</v>
      </c>
      <c r="F122" s="187" t="str">
        <f>IF($B122 = "Mutant",VLOOKUP($C122,Mutants!$A$2:$L$560,11,FALSE),IF($B122 = "Test",VLOOKUP($C122,Tests!$A$2:$L$841,11,FALSE),VLOOKUP($C122,Questions!$A$3:$N$174,13,FALSE)))</f>
        <v xml:space="preserve">
</v>
      </c>
      <c r="G122" s="187"/>
      <c r="H122" s="202"/>
      <c r="I122" s="9"/>
      <c r="J122" s="9"/>
      <c r="K122" s="9"/>
      <c r="L122" s="9"/>
      <c r="M122" s="9"/>
    </row>
    <row r="123" spans="2:14" ht="15.75" customHeight="1">
      <c r="B123" s="114" t="s">
        <v>4589</v>
      </c>
      <c r="C123" s="9">
        <v>306</v>
      </c>
      <c r="D123" s="9" t="s">
        <v>3663</v>
      </c>
      <c r="E123" s="9" t="str">
        <f>IF($B123 = "Mutant",VLOOKUP($C123,Mutants!$A$2:$L$560,12,FALSE),IF($B123 = "Test",VLOOKUP($C123,Tests!$A$2:$L$841,12,FALSE),VLOOKUP($C123,Questions!$A$3:$N$174,9,FALSE)))</f>
        <v>Y</v>
      </c>
      <c r="F123" s="187" t="str">
        <f>IF($B123 = "Mutant",VLOOKUP($C123,Mutants!$A$2:$L$560,11,FALSE),IF($B123 = "Test",VLOOKUP($C123,Tests!$A$2:$L$841,11,FALSE),VLOOKUP($C123,Questions!$A$3:$N$174,13,FALSE)))</f>
        <v xml:space="preserve">toString
</v>
      </c>
      <c r="G123" s="187"/>
      <c r="H123" s="202"/>
      <c r="I123" s="9"/>
      <c r="J123" s="9"/>
      <c r="K123" s="9"/>
      <c r="L123" s="9"/>
      <c r="M123" s="9"/>
    </row>
    <row r="124" spans="2:14" ht="15.75" customHeight="1">
      <c r="B124" s="114" t="s">
        <v>4590</v>
      </c>
      <c r="C124" s="9">
        <v>304</v>
      </c>
      <c r="D124" s="9" t="s">
        <v>1245</v>
      </c>
      <c r="E124" s="9" t="str">
        <f>IF($B124 = "Mutant",VLOOKUP($C124,Mutants!$A$2:$L$560,12,FALSE),IF($B124 = "Test",VLOOKUP($C124,Tests!$A$2:$L$841,12,FALSE),VLOOKUP($C124,Questions!$A$3:$N$174,9,FALSE)))</f>
        <v>Y</v>
      </c>
      <c r="F124" s="187" t="str">
        <f>IF($B124 = "Mutant",VLOOKUP($C124,Mutants!$A$2:$L$560,11,FALSE),IF($B124 = "Test",VLOOKUP($C124,Tests!$A$2:$L$841,11,FALSE),VLOOKUP($C124,Questions!$A$3:$N$174,13,FALSE)))</f>
        <v xml:space="preserve">addOptionGroup, addOption, helpOptions
</v>
      </c>
      <c r="G124" s="187"/>
      <c r="H124" s="202"/>
      <c r="I124" s="9"/>
      <c r="J124" s="9"/>
      <c r="K124" s="9"/>
      <c r="L124" s="9"/>
      <c r="M124" s="9"/>
    </row>
    <row r="125" spans="2:14" ht="15.75" customHeight="1">
      <c r="B125" s="114" t="s">
        <v>4589</v>
      </c>
      <c r="C125" s="9">
        <v>314</v>
      </c>
      <c r="D125" s="9" t="s">
        <v>3687</v>
      </c>
      <c r="E125" s="9" t="str">
        <f>IF($B125 = "Mutant",VLOOKUP($C125,Mutants!$A$2:$L$560,12,FALSE),IF($B125 = "Test",VLOOKUP($C125,Tests!$A$2:$L$841,12,FALSE),VLOOKUP($C125,Questions!$A$3:$N$174,9,FALSE)))</f>
        <v>Y</v>
      </c>
      <c r="F125" s="187" t="str">
        <f>IF($B125 = "Mutant",VLOOKUP($C125,Mutants!$A$2:$L$560,11,FALSE),IF($B125 = "Test",VLOOKUP($C125,Tests!$A$2:$L$841,11,FALSE),VLOOKUP($C125,Questions!$A$3:$N$174,13,FALSE)))</f>
        <v xml:space="preserve">hasOption
</v>
      </c>
      <c r="G125" s="187"/>
      <c r="H125" s="202"/>
      <c r="I125" s="9"/>
      <c r="J125" s="9"/>
      <c r="K125" s="9"/>
      <c r="L125" s="9"/>
      <c r="M125" s="9"/>
    </row>
    <row r="126" spans="2:14" ht="15.75" customHeight="1">
      <c r="B126" s="114" t="s">
        <v>4589</v>
      </c>
      <c r="C126" s="9">
        <v>318</v>
      </c>
      <c r="D126" s="9" t="s">
        <v>1339</v>
      </c>
      <c r="E126" s="9" t="str">
        <f>IF($B126 = "Mutant",VLOOKUP($C126,Mutants!$A$2:$L$560,12,FALSE),IF($B126 = "Test",VLOOKUP($C126,Tests!$A$2:$L$841,12,FALSE),VLOOKUP($C126,Questions!$A$3:$N$174,9,FALSE)))</f>
        <v>Y</v>
      </c>
      <c r="F126" s="187" t="str">
        <f>IF($B126 = "Mutant",VLOOKUP($C126,Mutants!$A$2:$L$560,11,FALSE),IF($B126 = "Test",VLOOKUP($C126,Tests!$A$2:$L$841,11,FALSE),VLOOKUP($C126,Questions!$A$3:$N$174,13,FALSE)))</f>
        <v xml:space="preserve">getMatchingOptions
</v>
      </c>
      <c r="G126" s="187"/>
      <c r="H126" s="202"/>
      <c r="I126" s="9"/>
      <c r="J126" s="9"/>
      <c r="K126" s="9"/>
      <c r="L126" s="9"/>
      <c r="M126" s="9"/>
    </row>
    <row r="127" spans="2:14" ht="15.75" customHeight="1">
      <c r="B127" s="114" t="s">
        <v>4589</v>
      </c>
      <c r="C127" s="9">
        <v>322</v>
      </c>
      <c r="D127" s="9" t="s">
        <v>1364</v>
      </c>
      <c r="E127" s="9" t="str">
        <f>IF($B127 = "Mutant",VLOOKUP($C127,Mutants!$A$2:$L$560,12,FALSE),IF($B127 = "Test",VLOOKUP($C127,Tests!$A$2:$L$841,12,FALSE),VLOOKUP($C127,Questions!$A$3:$N$174,9,FALSE)))</f>
        <v>Y</v>
      </c>
      <c r="F127" s="187" t="str">
        <f>IF($B127 = "Mutant",VLOOKUP($C127,Mutants!$A$2:$L$560,11,FALSE),IF($B127 = "Test",VLOOKUP($C127,Tests!$A$2:$L$841,11,FALSE),VLOOKUP($C127,Questions!$A$3:$N$174,13,FALSE)))</f>
        <v xml:space="preserve">getOptions
</v>
      </c>
      <c r="G127" s="187"/>
      <c r="H127" s="202"/>
      <c r="I127" s="9"/>
      <c r="J127" s="9"/>
      <c r="K127" s="9"/>
      <c r="L127" s="9"/>
      <c r="M127" s="9"/>
    </row>
    <row r="128" spans="2:14" ht="15.75" customHeight="1">
      <c r="B128" s="114" t="s">
        <v>107</v>
      </c>
      <c r="C128" s="9">
        <v>77</v>
      </c>
      <c r="D128" s="9" t="s">
        <v>216</v>
      </c>
      <c r="E128" s="9" t="str">
        <f>IF($B128 = "Mutant",VLOOKUP($C128,Mutants!$A$2:$L$560,12,FALSE),IF($B128 = "Test",VLOOKUP($C128,Tests!$A$2:$L$841,12,FALSE),VLOOKUP($C128,Questions!$A$3:$N$174,9,FALSE)))</f>
        <v>N</v>
      </c>
      <c r="F128" s="187" t="str">
        <f>IF($B128 = "Mutant",VLOOKUP($C128,Mutants!$A$2:$L$560,11,FALSE),IF($B128 = "Test",VLOOKUP($C128,Tests!$A$2:$L$841,11,FALSE),VLOOKUP($C128,Questions!$A$3:$N$174,13,FALSE)))</f>
        <v xml:space="preserve"> </v>
      </c>
      <c r="G128" s="187"/>
      <c r="H128" s="202"/>
      <c r="I128" s="9"/>
      <c r="J128" s="9"/>
      <c r="K128" s="9"/>
      <c r="L128" s="9"/>
      <c r="M128" s="9"/>
    </row>
    <row r="129" spans="2:14" ht="15.75" customHeight="1">
      <c r="B129" s="114" t="s">
        <v>107</v>
      </c>
      <c r="C129" s="9">
        <v>79</v>
      </c>
      <c r="D129" s="9" t="s">
        <v>217</v>
      </c>
      <c r="E129" s="9" t="str">
        <f>IF($B129 = "Mutant",VLOOKUP($C129,Mutants!$A$2:$L$560,12,FALSE),IF($B129 = "Test",VLOOKUP($C129,Tests!$A$2:$L$841,12,FALSE),VLOOKUP($C129,Questions!$A$3:$N$174,9,FALSE)))</f>
        <v>Y</v>
      </c>
      <c r="F129" s="187" t="str">
        <f>IF($B129 = "Mutant",VLOOKUP($C129,Mutants!$A$2:$L$560,11,FALSE),IF($B129 = "Test",VLOOKUP($C129,Tests!$A$2:$L$841,11,FALSE),VLOOKUP($C129,Questions!$A$3:$N$174,13,FALSE)))</f>
        <v xml:space="preserve">getOptionGroups
</v>
      </c>
      <c r="G129" s="187"/>
      <c r="H129" s="202"/>
      <c r="I129" s="9"/>
      <c r="J129" s="9"/>
      <c r="K129" s="9"/>
      <c r="L129" s="9"/>
      <c r="M129" s="9"/>
      <c r="N129" s="9"/>
    </row>
    <row r="130" spans="2:14" ht="15.75" customHeight="1">
      <c r="B130" s="114" t="s">
        <v>107</v>
      </c>
      <c r="C130" s="9">
        <v>84</v>
      </c>
      <c r="D130" s="9" t="s">
        <v>220</v>
      </c>
      <c r="E130" s="9" t="str">
        <f>IF($B130 = "Mutant",VLOOKUP($C130,Mutants!$A$2:$L$560,12,FALSE),IF($B130 = "Test",VLOOKUP($C130,Tests!$A$2:$L$841,12,FALSE),VLOOKUP($C130,Questions!$A$3:$N$174,9,FALSE)))</f>
        <v>Y</v>
      </c>
      <c r="F130" s="187" t="str">
        <f>IF($B130 = "Mutant",VLOOKUP($C130,Mutants!$A$2:$L$560,11,FALSE),IF($B130 = "Test",VLOOKUP($C130,Tests!$A$2:$L$841,11,FALSE),VLOOKUP($C130,Questions!$A$3:$N$174,13,FALSE)))</f>
        <v xml:space="preserve"> </v>
      </c>
      <c r="G130" s="187"/>
      <c r="H130" s="202"/>
      <c r="I130" s="9"/>
      <c r="J130" s="9"/>
      <c r="K130" s="9"/>
      <c r="L130" s="9"/>
      <c r="M130" s="9"/>
    </row>
    <row r="131" spans="2:14" ht="15.75" customHeight="1">
      <c r="B131" s="114" t="s">
        <v>4589</v>
      </c>
      <c r="C131" s="9">
        <v>346</v>
      </c>
      <c r="D131" s="9" t="s">
        <v>3773</v>
      </c>
      <c r="E131" s="9" t="str">
        <f>IF($B131 = "Mutant",VLOOKUP($C131,Mutants!$A$2:$L$560,12,FALSE),IF($B131 = "Test",VLOOKUP($C131,Tests!$A$2:$L$841,12,FALSE),VLOOKUP($C131,Questions!$A$3:$N$174,9,FALSE)))</f>
        <v>Y</v>
      </c>
      <c r="F131" s="187" t="str">
        <f>IF($B131 = "Mutant",VLOOKUP($C131,Mutants!$A$2:$L$560,11,FALSE),IF($B131 = "Test",VLOOKUP($C131,Tests!$A$2:$L$841,11,FALSE),VLOOKUP($C131,Questions!$A$3:$N$174,13,FALSE)))</f>
        <v xml:space="preserve">getMatchingOptions
</v>
      </c>
      <c r="G131" s="187"/>
      <c r="H131" s="202"/>
      <c r="I131" s="9"/>
      <c r="J131" s="9"/>
      <c r="K131" s="9"/>
      <c r="L131" s="9"/>
      <c r="M131" s="9"/>
    </row>
    <row r="132" spans="2:14" ht="15.75" customHeight="1">
      <c r="B132" s="114" t="s">
        <v>4589</v>
      </c>
      <c r="C132" s="9">
        <v>349</v>
      </c>
      <c r="D132" s="9" t="s">
        <v>1665</v>
      </c>
      <c r="E132" s="9" t="str">
        <f>IF($B132 = "Mutant",VLOOKUP($C132,Mutants!$A$2:$L$560,12,FALSE),IF($B132 = "Test",VLOOKUP($C132,Tests!$A$2:$L$841,12,FALSE),VLOOKUP($C132,Questions!$A$3:$N$174,9,FALSE)))</f>
        <v>Y</v>
      </c>
      <c r="F132" s="187" t="str">
        <f>IF($B132 = "Mutant",VLOOKUP($C132,Mutants!$A$2:$L$560,11,FALSE),IF($B132 = "Test",VLOOKUP($C132,Tests!$A$2:$L$841,11,FALSE),VLOOKUP($C132,Questions!$A$3:$N$174,13,FALSE)))</f>
        <v xml:space="preserve">hasLongOption
</v>
      </c>
      <c r="G132" s="187"/>
      <c r="H132" s="202"/>
      <c r="I132" s="9"/>
      <c r="J132" s="9"/>
      <c r="K132" s="9"/>
      <c r="L132" s="9"/>
      <c r="M132" s="9"/>
    </row>
    <row r="133" spans="2:14" ht="15.75" customHeight="1">
      <c r="B133" s="114" t="s">
        <v>4589</v>
      </c>
      <c r="C133" s="9">
        <v>351</v>
      </c>
      <c r="D133" s="9" t="s">
        <v>3784</v>
      </c>
      <c r="E133" s="9" t="str">
        <f>IF($B133 = "Mutant",VLOOKUP($C133,Mutants!$A$2:$L$560,12,FALSE),IF($B133 = "Test",VLOOKUP($C133,Tests!$A$2:$L$841,12,FALSE),VLOOKUP($C133,Questions!$A$3:$N$174,9,FALSE)))</f>
        <v>Y</v>
      </c>
      <c r="F133" s="187" t="str">
        <f>IF($B133 = "Mutant",VLOOKUP($C133,Mutants!$A$2:$L$560,11,FALSE),IF($B133 = "Test",VLOOKUP($C133,Tests!$A$2:$L$841,11,FALSE),VLOOKUP($C133,Questions!$A$3:$N$174,13,FALSE)))</f>
        <v xml:space="preserve">addOption
</v>
      </c>
      <c r="G133" s="187"/>
      <c r="H133" s="202"/>
      <c r="I133" s="9"/>
      <c r="J133" s="9"/>
      <c r="K133" s="9"/>
      <c r="L133" s="9"/>
      <c r="M133" s="9"/>
    </row>
    <row r="134" spans="2:14" ht="15.75" customHeight="1">
      <c r="B134" s="114" t="s">
        <v>4589</v>
      </c>
      <c r="C134" s="9">
        <v>355</v>
      </c>
      <c r="D134" s="9" t="s">
        <v>3796</v>
      </c>
      <c r="E134" s="9" t="str">
        <f>IF($B134 = "Mutant",VLOOKUP($C134,Mutants!$A$2:$L$560,12,FALSE),IF($B134 = "Test",VLOOKUP($C134,Tests!$A$2:$L$841,12,FALSE),VLOOKUP($C134,Questions!$A$3:$N$174,9,FALSE)))</f>
        <v>Y</v>
      </c>
      <c r="F134" s="187" t="str">
        <f>IF($B134 = "Mutant",VLOOKUP($C134,Mutants!$A$2:$L$560,11,FALSE),IF($B134 = "Test",VLOOKUP($C134,Tests!$A$2:$L$841,11,FALSE),VLOOKUP($C134,Questions!$A$3:$N$174,13,FALSE)))</f>
        <v xml:space="preserve">addOption
</v>
      </c>
      <c r="G134" s="187"/>
      <c r="H134" s="202"/>
      <c r="I134" s="9"/>
      <c r="J134" s="9"/>
      <c r="K134" s="9"/>
      <c r="L134" s="9"/>
      <c r="M134" s="9"/>
    </row>
    <row r="135" spans="2:14" ht="15.75" customHeight="1">
      <c r="B135" s="114" t="s">
        <v>4589</v>
      </c>
      <c r="C135" s="9">
        <v>358</v>
      </c>
      <c r="D135" s="9" t="s">
        <v>3805</v>
      </c>
      <c r="E135" s="9" t="str">
        <f>IF($B135 = "Mutant",VLOOKUP($C135,Mutants!$A$2:$L$560,12,FALSE),IF($B135 = "Test",VLOOKUP($C135,Tests!$A$2:$L$841,12,FALSE),VLOOKUP($C135,Questions!$A$3:$N$174,9,FALSE)))</f>
        <v>Y</v>
      </c>
      <c r="F135" s="187" t="str">
        <f>IF($B135 = "Mutant",VLOOKUP($C135,Mutants!$A$2:$L$560,11,FALSE),IF($B135 = "Test",VLOOKUP($C135,Tests!$A$2:$L$841,11,FALSE),VLOOKUP($C135,Questions!$A$3:$N$174,13,FALSE)))</f>
        <v xml:space="preserve">addOption
</v>
      </c>
      <c r="G135" s="187"/>
      <c r="H135" s="202"/>
      <c r="I135" s="9"/>
      <c r="J135" s="9"/>
      <c r="K135" s="9"/>
      <c r="L135" s="9"/>
      <c r="M135" s="9"/>
    </row>
    <row r="136" spans="2:14" ht="15.75" customHeight="1">
      <c r="B136" s="133" t="s">
        <v>4589</v>
      </c>
      <c r="C136" s="130">
        <v>363</v>
      </c>
      <c r="D136" s="130" t="s">
        <v>3816</v>
      </c>
      <c r="E136" s="130" t="str">
        <f>IF($B136 = "Mutant",VLOOKUP($C136,Mutants!$A$2:$L$560,12,FALSE),IF($B136 = "Test",VLOOKUP($C136,Tests!$A$2:$L$841,12,FALSE),VLOOKUP($C136,Questions!$A$3:$N$174,9,FALSE)))</f>
        <v>N</v>
      </c>
      <c r="F136" s="203" t="str">
        <f>IF($B136 = "Mutant",VLOOKUP($C136,Mutants!$A$2:$L$560,11,FALSE),IF($B136 = "Test",VLOOKUP($C136,Tests!$A$2:$L$841,11,FALSE),VLOOKUP($C136,Questions!$A$3:$N$174,13,FALSE)))</f>
        <v xml:space="preserve">
</v>
      </c>
      <c r="G136" s="203"/>
      <c r="H136" s="204"/>
      <c r="I136" s="9"/>
      <c r="J136" s="9"/>
      <c r="K136" s="9"/>
      <c r="L136" s="9"/>
      <c r="M136" s="9"/>
    </row>
    <row r="137" spans="2:14" ht="15.75" customHeight="1">
      <c r="F137" s="188"/>
      <c r="G137" s="188"/>
      <c r="H137" s="188"/>
    </row>
    <row r="138" spans="2:14" ht="15.75" customHeight="1">
      <c r="F138" s="188"/>
      <c r="G138" s="188"/>
      <c r="H138" s="188"/>
    </row>
    <row r="139" spans="2:14" ht="15.75" customHeight="1" thickBot="1">
      <c r="B139" s="219" t="s">
        <v>4604</v>
      </c>
      <c r="C139" s="201"/>
      <c r="D139" s="45">
        <v>145</v>
      </c>
      <c r="F139" s="207"/>
      <c r="G139" s="207"/>
      <c r="H139" s="207"/>
    </row>
    <row r="140" spans="2:14" ht="15.75" customHeight="1" thickTop="1">
      <c r="B140" s="134" t="s">
        <v>4594</v>
      </c>
      <c r="C140" s="135" t="s">
        <v>44</v>
      </c>
      <c r="D140" s="135" t="s">
        <v>110</v>
      </c>
      <c r="E140" s="136" t="s">
        <v>2</v>
      </c>
      <c r="F140" s="229" t="s">
        <v>4612</v>
      </c>
      <c r="G140" s="229"/>
      <c r="H140" s="230"/>
      <c r="I140" s="9"/>
      <c r="J140" s="9"/>
      <c r="K140" s="9"/>
      <c r="L140" s="9"/>
      <c r="M140" s="9"/>
    </row>
    <row r="141" spans="2:14" ht="15.75" customHeight="1">
      <c r="B141" s="137" t="s">
        <v>4589</v>
      </c>
      <c r="C141" s="93">
        <v>141</v>
      </c>
      <c r="D141" s="93" t="s">
        <v>3207</v>
      </c>
      <c r="E141" s="93" t="str">
        <f>IF($B141 = "Mutant",VLOOKUP($C141,Mutants!$A$2:$L$560,12,FALSE),IF($B141 = "Test",VLOOKUP($C141,Tests!$A$2:$L$841,12,FALSE),VLOOKUP($C141,Questions!$A$3:$N$174,9,FALSE)))</f>
        <v>Y</v>
      </c>
      <c r="F141" s="205" t="str">
        <f>IF($B141 = "Mutant",VLOOKUP($C141,Mutants!$A$2:$L$560,11,FALSE),IF($B141 = "Test",VLOOKUP($C141,Tests!$A$2:$L$841,11,FALSE),VLOOKUP($C141,Questions!$A$3:$N$174,13,FALSE)))</f>
        <v xml:space="preserve">stripLeadingHyphens
</v>
      </c>
      <c r="G141" s="205"/>
      <c r="H141" s="206"/>
      <c r="I141" s="9"/>
      <c r="J141" s="9"/>
      <c r="K141" s="9"/>
      <c r="L141" s="9"/>
      <c r="M141" s="9"/>
    </row>
    <row r="142" spans="2:14" ht="15.75" customHeight="1">
      <c r="B142" s="114" t="s">
        <v>4589</v>
      </c>
      <c r="C142" s="9">
        <v>175</v>
      </c>
      <c r="D142" s="9" t="s">
        <v>3307</v>
      </c>
      <c r="E142" s="9" t="str">
        <f>IF($B142 = "Mutant",VLOOKUP($C142,Mutants!$A$2:$L$560,12,FALSE),IF($B142 = "Test",VLOOKUP($C142,Tests!$A$2:$L$841,12,FALSE),VLOOKUP($C142,Questions!$A$3:$N$174,9,FALSE)))</f>
        <v>Y</v>
      </c>
      <c r="F142" s="187" t="str">
        <f>IF($B142 = "Mutant",VLOOKUP($C142,Mutants!$A$2:$L$560,11,FALSE),IF($B142 = "Test",VLOOKUP($C142,Tests!$A$2:$L$841,11,FALSE),VLOOKUP($C142,Questions!$A$3:$N$174,13,FALSE)))</f>
        <v xml:space="preserve">addOption
</v>
      </c>
      <c r="G142" s="187"/>
      <c r="H142" s="202"/>
      <c r="I142" s="9"/>
      <c r="J142" s="9"/>
      <c r="K142" s="9"/>
      <c r="L142" s="9"/>
      <c r="M142" s="9"/>
    </row>
    <row r="143" spans="2:14" ht="15.75" customHeight="1">
      <c r="B143" s="114" t="s">
        <v>107</v>
      </c>
      <c r="C143" s="9">
        <v>23</v>
      </c>
      <c r="D143" s="9" t="s">
        <v>223</v>
      </c>
      <c r="E143" s="9" t="str">
        <f>IF($B143 = "Mutant",VLOOKUP($C143,Mutants!$A$2:$L$560,12,FALSE),IF($B143 = "Test",VLOOKUP($C143,Tests!$A$2:$L$841,12,FALSE),VLOOKUP($C143,Questions!$A$3:$N$174,9,FALSE)))</f>
        <v>Y</v>
      </c>
      <c r="F143" s="187" t="str">
        <f>IF($B143 = "Mutant",VLOOKUP($C143,Mutants!$A$2:$L$560,11,FALSE),IF($B143 = "Test",VLOOKUP($C143,Tests!$A$2:$L$841,11,FALSE),VLOOKUP($C143,Questions!$A$3:$N$174,13,FALSE)))</f>
        <v xml:space="preserve"> </v>
      </c>
      <c r="G143" s="187"/>
      <c r="H143" s="202"/>
      <c r="I143" s="9"/>
      <c r="J143" s="9"/>
      <c r="K143" s="9"/>
      <c r="L143" s="9"/>
      <c r="M143" s="9"/>
    </row>
    <row r="144" spans="2:14" ht="15.75" customHeight="1">
      <c r="B144" s="114" t="s">
        <v>4590</v>
      </c>
      <c r="C144" s="9">
        <v>123</v>
      </c>
      <c r="D144" s="9" t="s">
        <v>758</v>
      </c>
      <c r="E144" s="9" t="str">
        <f>IF($B144 = "Mutant",VLOOKUP($C144,Mutants!$A$2:$L$560,12,FALSE),IF($B144 = "Test",VLOOKUP($C144,Tests!$A$2:$L$841,12,FALSE),VLOOKUP($C144,Questions!$A$3:$N$174,9,FALSE)))</f>
        <v>N</v>
      </c>
      <c r="F144" s="187" t="str">
        <f>IF($B144 = "Mutant",VLOOKUP($C144,Mutants!$A$2:$L$560,11,FALSE),IF($B144 = "Test",VLOOKUP($C144,Tests!$A$2:$L$841,11,FALSE),VLOOKUP($C144,Questions!$A$3:$N$174,13,FALSE)))</f>
        <v xml:space="preserve">
</v>
      </c>
      <c r="G144" s="187"/>
      <c r="H144" s="202"/>
      <c r="I144" s="9"/>
      <c r="J144" s="9"/>
      <c r="K144" s="9"/>
      <c r="L144" s="9"/>
      <c r="M144" s="9"/>
    </row>
    <row r="145" spans="2:13" ht="15.75" customHeight="1">
      <c r="B145" s="114" t="s">
        <v>4590</v>
      </c>
      <c r="C145" s="9">
        <v>177</v>
      </c>
      <c r="D145" s="9" t="s">
        <v>891</v>
      </c>
      <c r="E145" s="9" t="str">
        <f>IF($B145 = "Mutant",VLOOKUP($C145,Mutants!$A$2:$L$560,12,FALSE),IF($B145 = "Test",VLOOKUP($C145,Tests!$A$2:$L$841,12,FALSE),VLOOKUP($C145,Questions!$A$3:$N$174,9,FALSE)))</f>
        <v>N</v>
      </c>
      <c r="F145" s="187" t="str">
        <f>IF($B145 = "Mutant",VLOOKUP($C145,Mutants!$A$2:$L$560,11,FALSE),IF($B145 = "Test",VLOOKUP($C145,Tests!$A$2:$L$841,11,FALSE),VLOOKUP($C145,Questions!$A$3:$N$174,13,FALSE)))</f>
        <v xml:space="preserve">
</v>
      </c>
      <c r="G145" s="187"/>
      <c r="H145" s="202"/>
      <c r="I145" s="9"/>
      <c r="J145" s="9"/>
      <c r="K145" s="9"/>
      <c r="L145" s="9"/>
      <c r="M145" s="9"/>
    </row>
    <row r="146" spans="2:13" ht="15.75" customHeight="1">
      <c r="B146" s="114" t="s">
        <v>4589</v>
      </c>
      <c r="C146" s="9">
        <v>291</v>
      </c>
      <c r="D146" s="9" t="s">
        <v>3626</v>
      </c>
      <c r="E146" s="9" t="str">
        <f>IF($B146 = "Mutant",VLOOKUP($C146,Mutants!$A$2:$L$560,12,FALSE),IF($B146 = "Test",VLOOKUP($C146,Tests!$A$2:$L$841,12,FALSE),VLOOKUP($C146,Questions!$A$3:$N$174,9,FALSE)))</f>
        <v>Y</v>
      </c>
      <c r="F146" s="187" t="str">
        <f>IF($B146 = "Mutant",VLOOKUP($C146,Mutants!$A$2:$L$560,11,FALSE),IF($B146 = "Test",VLOOKUP($C146,Tests!$A$2:$L$841,11,FALSE),VLOOKUP($C146,Questions!$A$3:$N$174,13,FALSE)))</f>
        <v xml:space="preserve">getOptionGroup
</v>
      </c>
      <c r="G146" s="187"/>
      <c r="H146" s="202"/>
      <c r="I146" s="9"/>
      <c r="J146" s="9"/>
      <c r="K146" s="9"/>
      <c r="L146" s="9"/>
      <c r="M146" s="9"/>
    </row>
    <row r="147" spans="2:13" ht="15.75" customHeight="1">
      <c r="B147" s="114" t="s">
        <v>107</v>
      </c>
      <c r="C147" s="9">
        <v>61</v>
      </c>
      <c r="D147" s="9" t="s">
        <v>226</v>
      </c>
      <c r="E147" s="9" t="str">
        <f>IF($B147 = "Mutant",VLOOKUP($C147,Mutants!$A$2:$L$560,12,FALSE),IF($B147 = "Test",VLOOKUP($C147,Tests!$A$2:$L$841,12,FALSE),VLOOKUP($C147,Questions!$A$3:$N$174,9,FALSE)))</f>
        <v>Y</v>
      </c>
      <c r="F147" s="187" t="str">
        <f>IF($B147 = "Mutant",VLOOKUP($C147,Mutants!$A$2:$L$560,11,FALSE),IF($B147 = "Test",VLOOKUP($C147,Tests!$A$2:$L$841,11,FALSE),VLOOKUP($C147,Questions!$A$3:$N$174,13,FALSE)))</f>
        <v xml:space="preserve"> </v>
      </c>
      <c r="G147" s="187"/>
      <c r="H147" s="202"/>
      <c r="I147" s="9"/>
      <c r="J147" s="9"/>
      <c r="K147" s="9"/>
      <c r="L147" s="9"/>
      <c r="M147" s="9"/>
    </row>
    <row r="148" spans="2:13" ht="15.75" customHeight="1">
      <c r="B148" s="114" t="s">
        <v>4590</v>
      </c>
      <c r="C148" s="9">
        <v>268</v>
      </c>
      <c r="D148" s="9" t="s">
        <v>1141</v>
      </c>
      <c r="E148" s="9" t="str">
        <f>IF($B148 = "Mutant",VLOOKUP($C148,Mutants!$A$2:$L$560,12,FALSE),IF($B148 = "Test",VLOOKUP($C148,Tests!$A$2:$L$841,12,FALSE),VLOOKUP($C148,Questions!$A$3:$N$174,9,FALSE)))</f>
        <v>N</v>
      </c>
      <c r="F148" s="187" t="str">
        <f>IF($B148 = "Mutant",VLOOKUP($C148,Mutants!$A$2:$L$560,11,FALSE),IF($B148 = "Test",VLOOKUP($C148,Tests!$A$2:$L$841,11,FALSE),VLOOKUP($C148,Questions!$A$3:$N$174,13,FALSE)))</f>
        <v xml:space="preserve">
</v>
      </c>
      <c r="G148" s="187"/>
      <c r="H148" s="202"/>
      <c r="I148" s="9"/>
      <c r="J148" s="9"/>
      <c r="K148" s="9"/>
      <c r="L148" s="9"/>
      <c r="M148" s="9"/>
    </row>
    <row r="149" spans="2:13" ht="15.75" customHeight="1">
      <c r="B149" s="114" t="s">
        <v>107</v>
      </c>
      <c r="C149" s="9">
        <v>70</v>
      </c>
      <c r="D149" s="9" t="s">
        <v>229</v>
      </c>
      <c r="E149" s="9" t="str">
        <f>IF($B149 = "Mutant",VLOOKUP($C149,Mutants!$A$2:$L$560,12,FALSE),IF($B149 = "Test",VLOOKUP($C149,Tests!$A$2:$L$841,12,FALSE),VLOOKUP($C149,Questions!$A$3:$N$174,9,FALSE)))</f>
        <v>Y</v>
      </c>
      <c r="F149" s="187" t="str">
        <f>IF($B149 = "Mutant",VLOOKUP($C149,Mutants!$A$2:$L$560,11,FALSE),IF($B149 = "Test",VLOOKUP($C149,Tests!$A$2:$L$841,11,FALSE),VLOOKUP($C149,Questions!$A$3:$N$174,13,FALSE)))</f>
        <v xml:space="preserve"> </v>
      </c>
      <c r="G149" s="187"/>
      <c r="H149" s="202"/>
      <c r="I149" s="9"/>
      <c r="J149" s="9"/>
      <c r="K149" s="9"/>
      <c r="L149" s="9"/>
      <c r="M149" s="9"/>
    </row>
    <row r="150" spans="2:13" ht="15.75" customHeight="1">
      <c r="B150" s="114" t="s">
        <v>4590</v>
      </c>
      <c r="C150" s="9">
        <v>310</v>
      </c>
      <c r="D150" s="9" t="s">
        <v>1272</v>
      </c>
      <c r="E150" s="9" t="str">
        <f>IF($B150 = "Mutant",VLOOKUP($C150,Mutants!$A$2:$L$560,12,FALSE),IF($B150 = "Test",VLOOKUP($C150,Tests!$A$2:$L$841,12,FALSE),VLOOKUP($C150,Questions!$A$3:$N$174,9,FALSE)))</f>
        <v>N</v>
      </c>
      <c r="F150" s="187" t="str">
        <f>IF($B150 = "Mutant",VLOOKUP($C150,Mutants!$A$2:$L$560,11,FALSE),IF($B150 = "Test",VLOOKUP($C150,Tests!$A$2:$L$841,11,FALSE),VLOOKUP($C150,Questions!$A$3:$N$174,13,FALSE)))</f>
        <v xml:space="preserve">
</v>
      </c>
      <c r="G150" s="187"/>
      <c r="H150" s="202"/>
      <c r="I150" s="9"/>
      <c r="J150" s="9"/>
      <c r="K150" s="9"/>
      <c r="L150" s="9"/>
      <c r="M150" s="9"/>
    </row>
    <row r="151" spans="2:13" ht="15.75" customHeight="1">
      <c r="B151" s="114" t="s">
        <v>4590</v>
      </c>
      <c r="C151" s="9">
        <v>323</v>
      </c>
      <c r="D151" s="9" t="s">
        <v>1302</v>
      </c>
      <c r="E151" s="9" t="str">
        <f>IF($B151 = "Mutant",VLOOKUP($C151,Mutants!$A$2:$L$560,12,FALSE),IF($B151 = "Test",VLOOKUP($C151,Tests!$A$2:$L$841,12,FALSE),VLOOKUP($C151,Questions!$A$3:$N$174,9,FALSE)))</f>
        <v>N</v>
      </c>
      <c r="F151" s="187" t="str">
        <f>IF($B151 = "Mutant",VLOOKUP($C151,Mutants!$A$2:$L$560,11,FALSE),IF($B151 = "Test",VLOOKUP($C151,Tests!$A$2:$L$841,11,FALSE),VLOOKUP($C151,Questions!$A$3:$N$174,13,FALSE)))</f>
        <v xml:space="preserve">
</v>
      </c>
      <c r="G151" s="187"/>
      <c r="H151" s="202"/>
      <c r="I151" s="9"/>
      <c r="J151" s="9"/>
      <c r="K151" s="9"/>
      <c r="L151" s="9"/>
      <c r="M151" s="9"/>
    </row>
    <row r="152" spans="2:13" ht="15.75" customHeight="1">
      <c r="B152" s="114" t="s">
        <v>107</v>
      </c>
      <c r="C152" s="9">
        <v>75</v>
      </c>
      <c r="D152" s="9" t="s">
        <v>232</v>
      </c>
      <c r="E152" s="9" t="str">
        <f>IF($B152 = "Mutant",VLOOKUP($C152,Mutants!$A$2:$L$560,12,FALSE),IF($B152 = "Test",VLOOKUP($C152,Tests!$A$2:$L$841,12,FALSE),VLOOKUP($C152,Questions!$A$3:$N$174,9,FALSE)))</f>
        <v>Y</v>
      </c>
      <c r="F152" s="187" t="str">
        <f>IF($B152 = "Mutant",VLOOKUP($C152,Mutants!$A$2:$L$560,11,FALSE),IF($B152 = "Test",VLOOKUP($C152,Tests!$A$2:$L$841,11,FALSE),VLOOKUP($C152,Questions!$A$3:$N$174,13,FALSE)))</f>
        <v xml:space="preserve"> </v>
      </c>
      <c r="G152" s="187"/>
      <c r="H152" s="202"/>
      <c r="I152" s="9"/>
      <c r="J152" s="9"/>
      <c r="K152" s="9"/>
      <c r="L152" s="9"/>
      <c r="M152" s="9"/>
    </row>
    <row r="153" spans="2:13" ht="15.75" customHeight="1">
      <c r="B153" s="114" t="s">
        <v>4590</v>
      </c>
      <c r="C153" s="9">
        <v>364</v>
      </c>
      <c r="D153" s="9" t="s">
        <v>1414</v>
      </c>
      <c r="E153" s="9" t="str">
        <f>IF($B153 = "Mutant",VLOOKUP($C153,Mutants!$A$2:$L$560,12,FALSE),IF($B153 = "Test",VLOOKUP($C153,Tests!$A$2:$L$841,12,FALSE),VLOOKUP($C153,Questions!$A$3:$N$174,9,FALSE)))</f>
        <v>Y</v>
      </c>
      <c r="F153" s="187" t="str">
        <f>IF($B153 = "Mutant",VLOOKUP($C153,Mutants!$A$2:$L$560,11,FALSE),IF($B153 = "Test",VLOOKUP($C153,Tests!$A$2:$L$841,11,FALSE),VLOOKUP($C153,Questions!$A$3:$N$174,13,FALSE)))</f>
        <v xml:space="preserve">addOptionGroup, addOption
</v>
      </c>
      <c r="G153" s="187"/>
      <c r="H153" s="202"/>
      <c r="I153" s="9"/>
      <c r="J153" s="9"/>
      <c r="K153" s="9"/>
      <c r="L153" s="9"/>
      <c r="M153" s="9"/>
    </row>
    <row r="154" spans="2:13" ht="15.75" customHeight="1">
      <c r="B154" s="114" t="s">
        <v>107</v>
      </c>
      <c r="C154" s="9">
        <v>83</v>
      </c>
      <c r="D154" s="9" t="s">
        <v>235</v>
      </c>
      <c r="E154" s="9" t="str">
        <f>IF($B154 = "Mutant",VLOOKUP($C154,Mutants!$A$2:$L$560,12,FALSE),IF($B154 = "Test",VLOOKUP($C154,Tests!$A$2:$L$841,12,FALSE),VLOOKUP($C154,Questions!$A$3:$N$174,9,FALSE)))</f>
        <v>Y</v>
      </c>
      <c r="F154" s="187" t="str">
        <f>IF($B154 = "Mutant",VLOOKUP($C154,Mutants!$A$2:$L$560,11,FALSE),IF($B154 = "Test",VLOOKUP($C154,Tests!$A$2:$L$841,11,FALSE),VLOOKUP($C154,Questions!$A$3:$N$174,13,FALSE)))</f>
        <v xml:space="preserve"> </v>
      </c>
      <c r="G154" s="187"/>
      <c r="H154" s="202"/>
      <c r="I154" s="9"/>
      <c r="J154" s="9"/>
      <c r="K154" s="9"/>
      <c r="L154" s="9"/>
      <c r="M154" s="9"/>
    </row>
    <row r="155" spans="2:13" ht="15.75" customHeight="1">
      <c r="B155" s="114" t="s">
        <v>4590</v>
      </c>
      <c r="C155" s="9">
        <v>416</v>
      </c>
      <c r="D155" s="9" t="s">
        <v>1576</v>
      </c>
      <c r="E155" s="9" t="str">
        <f>IF($B155 = "Mutant",VLOOKUP($C155,Mutants!$A$2:$L$560,12,FALSE),IF($B155 = "Test",VLOOKUP($C155,Tests!$A$2:$L$841,12,FALSE),VLOOKUP($C155,Questions!$A$3:$N$174,9,FALSE)))</f>
        <v>Y</v>
      </c>
      <c r="F155" s="187" t="str">
        <f>IF($B155 = "Mutant",VLOOKUP($C155,Mutants!$A$2:$L$560,11,FALSE),IF($B155 = "Test",VLOOKUP($C155,Tests!$A$2:$L$841,11,FALSE),VLOOKUP($C155,Questions!$A$3:$N$174,13,FALSE)))</f>
        <v xml:space="preserve">addOption, hasLongOption, stripLeadingHyphens
</v>
      </c>
      <c r="G155" s="187"/>
      <c r="H155" s="202"/>
      <c r="I155" s="9"/>
      <c r="J155" s="9"/>
      <c r="K155" s="9"/>
      <c r="L155" s="9"/>
      <c r="M155" s="9"/>
    </row>
    <row r="156" spans="2:13" ht="15.75" customHeight="1">
      <c r="B156" s="114" t="s">
        <v>4590</v>
      </c>
      <c r="C156" s="9">
        <v>453</v>
      </c>
      <c r="D156" s="9" t="s">
        <v>1696</v>
      </c>
      <c r="E156" s="9" t="str">
        <f>IF($B156 = "Mutant",VLOOKUP($C156,Mutants!$A$2:$L$560,12,FALSE),IF($B156 = "Test",VLOOKUP($C156,Tests!$A$2:$L$841,12,FALSE),VLOOKUP($C156,Questions!$A$3:$N$174,9,FALSE)))</f>
        <v>Y</v>
      </c>
      <c r="F156" s="187" t="str">
        <f>IF($B156 = "Mutant",VLOOKUP($C156,Mutants!$A$2:$L$560,11,FALSE),IF($B156 = "Test",VLOOKUP($C156,Tests!$A$2:$L$841,11,FALSE),VLOOKUP($C156,Questions!$A$3:$N$174,13,FALSE)))</f>
        <v xml:space="preserve">addOption, hasLongOption, stripLeadingHyphens
</v>
      </c>
      <c r="G156" s="187"/>
      <c r="H156" s="202"/>
      <c r="I156" s="9"/>
      <c r="J156" s="9"/>
      <c r="K156" s="9"/>
      <c r="L156" s="9"/>
      <c r="M156" s="9"/>
    </row>
    <row r="157" spans="2:13" ht="15.75" customHeight="1">
      <c r="B157" s="114" t="s">
        <v>107</v>
      </c>
      <c r="C157" s="9">
        <v>89</v>
      </c>
      <c r="D157" s="9" t="s">
        <v>238</v>
      </c>
      <c r="E157" s="9" t="str">
        <f>IF($B157 = "Mutant",VLOOKUP($C157,Mutants!$A$2:$L$560,12,FALSE),IF($B157 = "Test",VLOOKUP($C157,Tests!$A$2:$L$841,12,FALSE),VLOOKUP($C157,Questions!$A$3:$N$174,9,FALSE)))</f>
        <v>Y</v>
      </c>
      <c r="F157" s="187" t="str">
        <f>IF($B157 = "Mutant",VLOOKUP($C157,Mutants!$A$2:$L$560,11,FALSE),IF($B157 = "Test",VLOOKUP($C157,Tests!$A$2:$L$841,11,FALSE),VLOOKUP($C157,Questions!$A$3:$N$174,13,FALSE)))</f>
        <v xml:space="preserve"> </v>
      </c>
      <c r="G157" s="187"/>
      <c r="H157" s="202"/>
      <c r="I157" s="9"/>
      <c r="J157" s="9"/>
      <c r="K157" s="9"/>
      <c r="L157" s="9"/>
      <c r="M157" s="9"/>
    </row>
    <row r="158" spans="2:13" ht="15.75" customHeight="1">
      <c r="B158" s="133" t="s">
        <v>4590</v>
      </c>
      <c r="C158" s="130">
        <v>465</v>
      </c>
      <c r="D158" s="130" t="s">
        <v>1724</v>
      </c>
      <c r="E158" s="130" t="str">
        <f>IF($B158 = "Mutant",VLOOKUP($C158,Mutants!$A$2:$L$560,12,FALSE),IF($B158 = "Test",VLOOKUP($C158,Tests!$A$2:$L$841,12,FALSE),VLOOKUP($C158,Questions!$A$3:$N$174,9,FALSE)))</f>
        <v>Y</v>
      </c>
      <c r="F158" s="203" t="str">
        <f>IF($B158 = "Mutant",VLOOKUP($C158,Mutants!$A$2:$L$560,11,FALSE),IF($B158 = "Test",VLOOKUP($C158,Tests!$A$2:$L$841,11,FALSE),VLOOKUP($C158,Questions!$A$3:$N$174,13,FALSE)))</f>
        <v xml:space="preserve">addOption, hasLongOption, stripLeadingHyphens
</v>
      </c>
      <c r="G158" s="203"/>
      <c r="H158" s="204"/>
      <c r="I158" s="9"/>
      <c r="J158" s="9"/>
      <c r="K158" s="9"/>
      <c r="L158" s="9"/>
      <c r="M158" s="9"/>
    </row>
    <row r="159" spans="2:13" ht="15.75" customHeight="1">
      <c r="F159" s="188"/>
      <c r="G159" s="188"/>
      <c r="H159" s="188"/>
    </row>
    <row r="160" spans="2:13" ht="15.75" customHeight="1">
      <c r="F160" s="188"/>
      <c r="G160" s="188"/>
      <c r="H160" s="188"/>
    </row>
    <row r="161" spans="2:13" ht="15.75" customHeight="1" thickBot="1">
      <c r="B161" s="219" t="s">
        <v>4604</v>
      </c>
      <c r="C161" s="201"/>
      <c r="D161" s="45">
        <v>146</v>
      </c>
      <c r="F161" s="207"/>
      <c r="G161" s="207"/>
      <c r="H161" s="207"/>
    </row>
    <row r="162" spans="2:13" ht="15.75" customHeight="1" thickTop="1">
      <c r="B162" s="134" t="s">
        <v>4594</v>
      </c>
      <c r="C162" s="135" t="s">
        <v>44</v>
      </c>
      <c r="D162" s="135" t="s">
        <v>110</v>
      </c>
      <c r="E162" s="136" t="s">
        <v>2</v>
      </c>
      <c r="F162" s="229" t="s">
        <v>4612</v>
      </c>
      <c r="G162" s="229"/>
      <c r="H162" s="230"/>
      <c r="I162" s="9"/>
      <c r="J162" s="9"/>
      <c r="K162" s="9"/>
      <c r="L162" s="9"/>
      <c r="M162" s="9"/>
    </row>
    <row r="163" spans="2:13" ht="15.75" customHeight="1">
      <c r="B163" s="137" t="s">
        <v>4589</v>
      </c>
      <c r="C163" s="93">
        <v>104</v>
      </c>
      <c r="D163" s="93" t="s">
        <v>3100</v>
      </c>
      <c r="E163" s="93" t="str">
        <f>IF($B163 = "Mutant",VLOOKUP($C163,Mutants!$A$2:$L$560,12,FALSE),IF($B163 = "Test",VLOOKUP($C163,Tests!$A$2:$L$841,12,FALSE),VLOOKUP($C163,Questions!$A$3:$N$174,9,FALSE)))</f>
        <v>Y</v>
      </c>
      <c r="F163" s="205" t="str">
        <f>IF($B163 = "Mutant",VLOOKUP($C163,Mutants!$A$2:$L$560,11,FALSE),IF($B163 = "Test",VLOOKUP($C163,Tests!$A$2:$L$841,11,FALSE),VLOOKUP($C163,Questions!$A$3:$N$174,13,FALSE)))</f>
        <v xml:space="preserve">addOptionGroup
</v>
      </c>
      <c r="G163" s="205"/>
      <c r="H163" s="206"/>
      <c r="I163" s="9"/>
      <c r="J163" s="9"/>
      <c r="K163" s="9"/>
      <c r="L163" s="9"/>
      <c r="M163" s="9"/>
    </row>
    <row r="164" spans="2:13" ht="15.75" customHeight="1">
      <c r="B164" s="114" t="s">
        <v>4589</v>
      </c>
      <c r="C164" s="9">
        <v>110</v>
      </c>
      <c r="D164" s="9" t="s">
        <v>3118</v>
      </c>
      <c r="E164" s="9" t="str">
        <f>IF($B164 = "Mutant",VLOOKUP($C164,Mutants!$A$2:$L$560,12,FALSE),IF($B164 = "Test",VLOOKUP($C164,Tests!$A$2:$L$841,12,FALSE),VLOOKUP($C164,Questions!$A$3:$N$174,9,FALSE)))</f>
        <v>Y</v>
      </c>
      <c r="F164" s="187" t="str">
        <f>IF($B164 = "Mutant",VLOOKUP($C164,Mutants!$A$2:$L$560,11,FALSE),IF($B164 = "Test",VLOOKUP($C164,Tests!$A$2:$L$841,11,FALSE),VLOOKUP($C164,Questions!$A$3:$N$174,13,FALSE)))</f>
        <v xml:space="preserve">addOptionGroup
</v>
      </c>
      <c r="G164" s="187"/>
      <c r="H164" s="202"/>
      <c r="I164" s="9"/>
      <c r="J164" s="9"/>
      <c r="K164" s="9"/>
      <c r="L164" s="9"/>
      <c r="M164" s="9"/>
    </row>
    <row r="165" spans="2:13" ht="15.75" customHeight="1">
      <c r="B165" s="114" t="s">
        <v>4589</v>
      </c>
      <c r="C165" s="9">
        <v>134</v>
      </c>
      <c r="D165" s="9" t="s">
        <v>3191</v>
      </c>
      <c r="E165" s="9" t="str">
        <f>IF($B165 = "Mutant",VLOOKUP($C165,Mutants!$A$2:$L$560,12,FALSE),IF($B165 = "Test",VLOOKUP($C165,Tests!$A$2:$L$841,12,FALSE),VLOOKUP($C165,Questions!$A$3:$N$174,9,FALSE)))</f>
        <v>Y</v>
      </c>
      <c r="F165" s="187" t="str">
        <f>IF($B165 = "Mutant",VLOOKUP($C165,Mutants!$A$2:$L$560,11,FALSE),IF($B165 = "Test",VLOOKUP($C165,Tests!$A$2:$L$841,11,FALSE),VLOOKUP($C165,Questions!$A$3:$N$174,13,FALSE)))</f>
        <v xml:space="preserve">hasLongOption
</v>
      </c>
      <c r="G165" s="187"/>
      <c r="H165" s="202"/>
      <c r="I165" s="9"/>
      <c r="J165" s="9"/>
      <c r="K165" s="9"/>
      <c r="L165" s="9"/>
      <c r="M165" s="9"/>
    </row>
    <row r="166" spans="2:13" ht="15.75" customHeight="1">
      <c r="B166" s="114" t="s">
        <v>4589</v>
      </c>
      <c r="C166" s="9">
        <v>146</v>
      </c>
      <c r="D166" s="9" t="s">
        <v>3224</v>
      </c>
      <c r="E166" s="9" t="str">
        <f>IF($B166 = "Mutant",VLOOKUP($C166,Mutants!$A$2:$L$560,12,FALSE),IF($B166 = "Test",VLOOKUP($C166,Tests!$A$2:$L$841,12,FALSE),VLOOKUP($C166,Questions!$A$3:$N$174,9,FALSE)))</f>
        <v>Y</v>
      </c>
      <c r="F166" s="187" t="str">
        <f>IF($B166 = "Mutant",VLOOKUP($C166,Mutants!$A$2:$L$560,11,FALSE),IF($B166 = "Test",VLOOKUP($C166,Tests!$A$2:$L$841,11,FALSE),VLOOKUP($C166,Questions!$A$3:$N$174,13,FALSE)))</f>
        <v xml:space="preserve">stripLeadingHyphens
</v>
      </c>
      <c r="G166" s="187"/>
      <c r="H166" s="202"/>
      <c r="I166" s="9"/>
      <c r="J166" s="9"/>
      <c r="K166" s="9"/>
      <c r="L166" s="9"/>
      <c r="M166" s="9"/>
    </row>
    <row r="167" spans="2:13" ht="15.75" customHeight="1">
      <c r="B167" s="114" t="s">
        <v>107</v>
      </c>
      <c r="C167" s="9">
        <v>17</v>
      </c>
      <c r="D167" s="9" t="s">
        <v>241</v>
      </c>
      <c r="E167" s="9" t="str">
        <f>IF($B167 = "Mutant",VLOOKUP($C167,Mutants!$A$2:$L$560,12,FALSE),IF($B167 = "Test",VLOOKUP($C167,Tests!$A$2:$L$841,12,FALSE),VLOOKUP($C167,Questions!$A$3:$N$174,9,FALSE)))</f>
        <v>Y</v>
      </c>
      <c r="F167" s="187" t="str">
        <f>IF($B167 = "Mutant",VLOOKUP($C167,Mutants!$A$2:$L$560,11,FALSE),IF($B167 = "Test",VLOOKUP($C167,Tests!$A$2:$L$841,11,FALSE),VLOOKUP($C167,Questions!$A$3:$N$174,13,FALSE)))</f>
        <v xml:space="preserve"> </v>
      </c>
      <c r="G167" s="187"/>
      <c r="H167" s="202"/>
      <c r="I167" s="9"/>
      <c r="J167" s="9"/>
      <c r="K167" s="9"/>
      <c r="L167" s="9"/>
      <c r="M167" s="9"/>
    </row>
    <row r="168" spans="2:13" ht="15.75" customHeight="1">
      <c r="B168" s="114" t="s">
        <v>4590</v>
      </c>
      <c r="C168" s="9">
        <v>163</v>
      </c>
      <c r="D168" s="9" t="s">
        <v>850</v>
      </c>
      <c r="E168" s="9" t="str">
        <f>IF($B168 = "Mutant",VLOOKUP($C168,Mutants!$A$2:$L$560,12,FALSE),IF($B168 = "Test",VLOOKUP($C168,Tests!$A$2:$L$841,12,FALSE),VLOOKUP($C168,Questions!$A$3:$N$174,9,FALSE)))</f>
        <v>N</v>
      </c>
      <c r="F168" s="187" t="str">
        <f>IF($B168 = "Mutant",VLOOKUP($C168,Mutants!$A$2:$L$560,11,FALSE),IF($B168 = "Test",VLOOKUP($C168,Tests!$A$2:$L$841,11,FALSE),VLOOKUP($C168,Questions!$A$3:$N$174,13,FALSE)))</f>
        <v xml:space="preserve">
</v>
      </c>
      <c r="G168" s="187"/>
      <c r="H168" s="202"/>
      <c r="I168" s="9"/>
      <c r="J168" s="9"/>
      <c r="K168" s="9"/>
      <c r="L168" s="9"/>
      <c r="M168" s="9"/>
    </row>
    <row r="169" spans="2:13" ht="15.75" customHeight="1">
      <c r="B169" s="114" t="s">
        <v>107</v>
      </c>
      <c r="C169" s="9">
        <v>52</v>
      </c>
      <c r="D169" s="9" t="s">
        <v>244</v>
      </c>
      <c r="E169" s="9" t="str">
        <f>IF($B169 = "Mutant",VLOOKUP($C169,Mutants!$A$2:$L$560,12,FALSE),IF($B169 = "Test",VLOOKUP($C169,Tests!$A$2:$L$841,12,FALSE),VLOOKUP($C169,Questions!$A$3:$N$174,9,FALSE)))</f>
        <v>Y</v>
      </c>
      <c r="F169" s="187" t="str">
        <f>IF($B169 = "Mutant",VLOOKUP($C169,Mutants!$A$2:$L$560,11,FALSE),IF($B169 = "Test",VLOOKUP($C169,Tests!$A$2:$L$841,11,FALSE),VLOOKUP($C169,Questions!$A$3:$N$174,13,FALSE)))</f>
        <v xml:space="preserve"> </v>
      </c>
      <c r="G169" s="187"/>
      <c r="H169" s="202"/>
      <c r="I169" s="9"/>
      <c r="J169" s="9"/>
      <c r="K169" s="9"/>
      <c r="L169" s="9"/>
      <c r="M169" s="9"/>
    </row>
    <row r="170" spans="2:13" ht="15.75" customHeight="1">
      <c r="B170" s="114" t="s">
        <v>4590</v>
      </c>
      <c r="C170" s="9">
        <v>227</v>
      </c>
      <c r="D170" s="9" t="s">
        <v>1027</v>
      </c>
      <c r="E170" s="9" t="str">
        <f>IF($B170 = "Mutant",VLOOKUP($C170,Mutants!$A$2:$L$560,12,FALSE),IF($B170 = "Test",VLOOKUP($C170,Tests!$A$2:$L$841,12,FALSE),VLOOKUP($C170,Questions!$A$3:$N$174,9,FALSE)))</f>
        <v>N</v>
      </c>
      <c r="F170" s="187" t="str">
        <f>IF($B170 = "Mutant",VLOOKUP($C170,Mutants!$A$2:$L$560,11,FALSE),IF($B170 = "Test",VLOOKUP($C170,Tests!$A$2:$L$841,11,FALSE),VLOOKUP($C170,Questions!$A$3:$N$174,13,FALSE)))</f>
        <v xml:space="preserve">
</v>
      </c>
      <c r="G170" s="187"/>
      <c r="H170" s="202"/>
      <c r="I170" s="9"/>
      <c r="J170" s="9"/>
      <c r="K170" s="9"/>
      <c r="L170" s="9"/>
      <c r="M170" s="9"/>
    </row>
    <row r="171" spans="2:13" ht="15.75" customHeight="1">
      <c r="B171" s="114" t="s">
        <v>4590</v>
      </c>
      <c r="C171" s="9">
        <v>243</v>
      </c>
      <c r="D171" s="9" t="s">
        <v>1073</v>
      </c>
      <c r="E171" s="9" t="str">
        <f>IF($B171 = "Mutant",VLOOKUP($C171,Mutants!$A$2:$L$560,12,FALSE),IF($B171 = "Test",VLOOKUP($C171,Tests!$A$2:$L$841,12,FALSE),VLOOKUP($C171,Questions!$A$3:$N$174,9,FALSE)))</f>
        <v>N</v>
      </c>
      <c r="F171" s="187" t="str">
        <f>IF($B171 = "Mutant",VLOOKUP($C171,Mutants!$A$2:$L$560,11,FALSE),IF($B171 = "Test",VLOOKUP($C171,Tests!$A$2:$L$841,11,FALSE),VLOOKUP($C171,Questions!$A$3:$N$174,13,FALSE)))</f>
        <v xml:space="preserve">
</v>
      </c>
      <c r="G171" s="187"/>
      <c r="H171" s="202"/>
      <c r="I171" s="9"/>
      <c r="J171" s="9"/>
      <c r="K171" s="9"/>
      <c r="L171" s="9"/>
      <c r="M171" s="9"/>
    </row>
    <row r="172" spans="2:13" ht="15.75" customHeight="1">
      <c r="B172" s="114" t="s">
        <v>4590</v>
      </c>
      <c r="C172" s="9">
        <v>270</v>
      </c>
      <c r="D172" s="9" t="s">
        <v>1146</v>
      </c>
      <c r="E172" s="9" t="str">
        <f>IF($B172 = "Mutant",VLOOKUP($C172,Mutants!$A$2:$L$560,12,FALSE),IF($B172 = "Test",VLOOKUP($C172,Tests!$A$2:$L$841,12,FALSE),VLOOKUP($C172,Questions!$A$3:$N$174,9,FALSE)))</f>
        <v>Y</v>
      </c>
      <c r="F172" s="187" t="str">
        <f>IF($B172 = "Mutant",VLOOKUP($C172,Mutants!$A$2:$L$560,11,FALSE),IF($B172 = "Test",VLOOKUP($C172,Tests!$A$2:$L$841,11,FALSE),VLOOKUP($C172,Questions!$A$3:$N$174,13,FALSE)))</f>
        <v xml:space="preserve">addOption, hasOption, stripLeadingHyphens
</v>
      </c>
      <c r="G172" s="187"/>
      <c r="H172" s="202"/>
      <c r="I172" s="9"/>
      <c r="J172" s="9"/>
      <c r="K172" s="9"/>
      <c r="L172" s="9"/>
      <c r="M172" s="9"/>
    </row>
    <row r="173" spans="2:13" ht="15.75" customHeight="1">
      <c r="B173" s="114" t="s">
        <v>4590</v>
      </c>
      <c r="C173" s="9">
        <v>291</v>
      </c>
      <c r="D173" s="9" t="s">
        <v>1208</v>
      </c>
      <c r="E173" s="9" t="str">
        <f>IF($B173 = "Mutant",VLOOKUP($C173,Mutants!$A$2:$L$560,12,FALSE),IF($B173 = "Test",VLOOKUP($C173,Tests!$A$2:$L$841,12,FALSE),VLOOKUP($C173,Questions!$A$3:$N$174,9,FALSE)))</f>
        <v>Y</v>
      </c>
      <c r="F173" s="187" t="str">
        <f>IF($B173 = "Mutant",VLOOKUP($C173,Mutants!$A$2:$L$560,11,FALSE),IF($B173 = "Test",VLOOKUP($C173,Tests!$A$2:$L$841,11,FALSE),VLOOKUP($C173,Questions!$A$3:$N$174,13,FALSE)))</f>
        <v xml:space="preserve">addOption, hasOption, stripLeadingHyphens
</v>
      </c>
      <c r="G173" s="187"/>
      <c r="H173" s="202"/>
      <c r="I173" s="9"/>
      <c r="J173" s="9"/>
      <c r="K173" s="9"/>
      <c r="L173" s="9"/>
      <c r="M173" s="9"/>
    </row>
    <row r="174" spans="2:13" ht="15.75" customHeight="1">
      <c r="B174" s="114" t="s">
        <v>4590</v>
      </c>
      <c r="C174" s="9">
        <v>352</v>
      </c>
      <c r="D174" s="9" t="s">
        <v>1383</v>
      </c>
      <c r="E174" s="9" t="str">
        <f>IF($B174 = "Mutant",VLOOKUP($C174,Mutants!$A$2:$L$560,12,FALSE),IF($B174 = "Test",VLOOKUP($C174,Tests!$A$2:$L$841,12,FALSE),VLOOKUP($C174,Questions!$A$3:$N$174,9,FALSE)))</f>
        <v>N</v>
      </c>
      <c r="F174" s="187" t="str">
        <f>IF($B174 = "Mutant",VLOOKUP($C174,Mutants!$A$2:$L$560,11,FALSE),IF($B174 = "Test",VLOOKUP($C174,Tests!$A$2:$L$841,11,FALSE),VLOOKUP($C174,Questions!$A$3:$N$174,13,FALSE)))</f>
        <v xml:space="preserve">
</v>
      </c>
      <c r="G174" s="187"/>
      <c r="H174" s="202"/>
      <c r="I174" s="9"/>
      <c r="J174" s="9"/>
      <c r="K174" s="9"/>
      <c r="L174" s="9"/>
      <c r="M174" s="9"/>
    </row>
    <row r="175" spans="2:13" ht="15.75" customHeight="1">
      <c r="B175" s="114" t="s">
        <v>4590</v>
      </c>
      <c r="C175" s="9">
        <v>357</v>
      </c>
      <c r="D175" s="9" t="s">
        <v>1394</v>
      </c>
      <c r="E175" s="9" t="str">
        <f>IF($B175 = "Mutant",VLOOKUP($C175,Mutants!$A$2:$L$560,12,FALSE),IF($B175 = "Test",VLOOKUP($C175,Tests!$A$2:$L$841,12,FALSE),VLOOKUP($C175,Questions!$A$3:$N$174,9,FALSE)))</f>
        <v>N</v>
      </c>
      <c r="F175" s="187" t="str">
        <f>IF($B175 = "Mutant",VLOOKUP($C175,Mutants!$A$2:$L$560,11,FALSE),IF($B175 = "Test",VLOOKUP($C175,Tests!$A$2:$L$841,11,FALSE),VLOOKUP($C175,Questions!$A$3:$N$174,13,FALSE)))</f>
        <v xml:space="preserve">
</v>
      </c>
      <c r="G175" s="187"/>
      <c r="H175" s="202"/>
      <c r="I175" s="9"/>
      <c r="J175" s="9"/>
      <c r="K175" s="9"/>
      <c r="L175" s="9"/>
      <c r="M175" s="9"/>
    </row>
    <row r="176" spans="2:13" ht="15.75" customHeight="1">
      <c r="B176" s="114" t="s">
        <v>4590</v>
      </c>
      <c r="C176" s="9">
        <v>363</v>
      </c>
      <c r="D176" s="9" t="s">
        <v>1407</v>
      </c>
      <c r="E176" s="9" t="str">
        <f>IF($B176 = "Mutant",VLOOKUP($C176,Mutants!$A$2:$L$560,12,FALSE),IF($B176 = "Test",VLOOKUP($C176,Tests!$A$2:$L$841,12,FALSE),VLOOKUP($C176,Questions!$A$3:$N$174,9,FALSE)))</f>
        <v>Y</v>
      </c>
      <c r="F176" s="187" t="str">
        <f>IF($B176 = "Mutant",VLOOKUP($C176,Mutants!$A$2:$L$560,11,FALSE),IF($B176 = "Test",VLOOKUP($C176,Tests!$A$2:$L$841,11,FALSE),VLOOKUP($C176,Questions!$A$3:$N$174,13,FALSE)))</f>
        <v xml:space="preserve">addOption, getRequiredOptions
</v>
      </c>
      <c r="G176" s="187"/>
      <c r="H176" s="202"/>
      <c r="I176" s="9"/>
      <c r="J176" s="9"/>
      <c r="K176" s="9"/>
      <c r="L176" s="9"/>
      <c r="M176" s="9"/>
    </row>
    <row r="177" spans="2:13" ht="15.75" customHeight="1">
      <c r="B177" s="114" t="s">
        <v>4590</v>
      </c>
      <c r="C177" s="9">
        <v>401</v>
      </c>
      <c r="D177" s="9" t="s">
        <v>1529</v>
      </c>
      <c r="E177" s="9" t="str">
        <f>IF($B177 = "Mutant",VLOOKUP($C177,Mutants!$A$2:$L$560,12,FALSE),IF($B177 = "Test",VLOOKUP($C177,Tests!$A$2:$L$841,12,FALSE),VLOOKUP($C177,Questions!$A$3:$N$174,9,FALSE)))</f>
        <v>Y</v>
      </c>
      <c r="F177" s="187" t="str">
        <f>IF($B177 = "Mutant",VLOOKUP($C177,Mutants!$A$2:$L$560,11,FALSE),IF($B177 = "Test",VLOOKUP($C177,Tests!$A$2:$L$841,11,FALSE),VLOOKUP($C177,Questions!$A$3:$N$174,13,FALSE)))</f>
        <v xml:space="preserve">addOptionGroup, getRequiredOptions
</v>
      </c>
      <c r="G177" s="187"/>
      <c r="H177" s="202"/>
      <c r="I177" s="9"/>
      <c r="J177" s="9"/>
      <c r="K177" s="9"/>
      <c r="L177" s="9"/>
      <c r="M177" s="9"/>
    </row>
    <row r="178" spans="2:13" ht="15.75" customHeight="1">
      <c r="B178" s="133" t="s">
        <v>4590</v>
      </c>
      <c r="C178" s="130">
        <v>471</v>
      </c>
      <c r="D178" s="130" t="s">
        <v>1741</v>
      </c>
      <c r="E178" s="130" t="str">
        <f>IF($B178 = "Mutant",VLOOKUP($C178,Mutants!$A$2:$L$560,12,FALSE),IF($B178 = "Test",VLOOKUP($C178,Tests!$A$2:$L$841,12,FALSE),VLOOKUP($C178,Questions!$A$3:$N$174,9,FALSE)))</f>
        <v>N</v>
      </c>
      <c r="F178" s="203" t="str">
        <f>IF($B178 = "Mutant",VLOOKUP($C178,Mutants!$A$2:$L$560,11,FALSE),IF($B178 = "Test",VLOOKUP($C178,Tests!$A$2:$L$841,11,FALSE),VLOOKUP($C178,Questions!$A$3:$N$174,13,FALSE)))</f>
        <v xml:space="preserve">
</v>
      </c>
      <c r="G178" s="203"/>
      <c r="H178" s="204"/>
      <c r="I178" s="9"/>
      <c r="J178" s="9"/>
      <c r="K178" s="9"/>
      <c r="L178" s="9"/>
      <c r="M178" s="9"/>
    </row>
    <row r="179" spans="2:13" ht="15.75" customHeight="1">
      <c r="F179" s="188"/>
      <c r="G179" s="188"/>
      <c r="H179" s="188"/>
    </row>
  </sheetData>
  <mergeCells count="141">
    <mergeCell ref="B13:C13"/>
    <mergeCell ref="B5:C5"/>
    <mergeCell ref="B6:C6"/>
    <mergeCell ref="B7:C7"/>
    <mergeCell ref="B8:C8"/>
    <mergeCell ref="B9:C9"/>
    <mergeCell ref="B10:C10"/>
    <mergeCell ref="B161:C161"/>
    <mergeCell ref="B139:C139"/>
    <mergeCell ref="B100:C100"/>
    <mergeCell ref="B73:C73"/>
    <mergeCell ref="B50:C50"/>
    <mergeCell ref="F51:H51"/>
    <mergeCell ref="F74:H74"/>
    <mergeCell ref="F101:H101"/>
    <mergeCell ref="F140:H140"/>
    <mergeCell ref="F52:H52"/>
    <mergeCell ref="F53:H53"/>
    <mergeCell ref="F54:H54"/>
    <mergeCell ref="F55:H55"/>
    <mergeCell ref="F56:H56"/>
    <mergeCell ref="F57:H57"/>
    <mergeCell ref="F58:H58"/>
    <mergeCell ref="F59:H59"/>
    <mergeCell ref="F60:H60"/>
    <mergeCell ref="F61:H61"/>
    <mergeCell ref="F62:H62"/>
    <mergeCell ref="F68:H68"/>
    <mergeCell ref="F69:H69"/>
    <mergeCell ref="F70:H70"/>
    <mergeCell ref="F71:H71"/>
    <mergeCell ref="F72:H72"/>
    <mergeCell ref="F63:H63"/>
    <mergeCell ref="F64:H64"/>
    <mergeCell ref="F65:H65"/>
    <mergeCell ref="F66:H66"/>
    <mergeCell ref="F67:H67"/>
    <mergeCell ref="F79:H79"/>
    <mergeCell ref="F80:H80"/>
    <mergeCell ref="F81:H81"/>
    <mergeCell ref="F82:H82"/>
    <mergeCell ref="F83:H83"/>
    <mergeCell ref="F73:H73"/>
    <mergeCell ref="F75:H75"/>
    <mergeCell ref="F76:H76"/>
    <mergeCell ref="F77:H77"/>
    <mergeCell ref="F78:H78"/>
    <mergeCell ref="F89:H89"/>
    <mergeCell ref="F90:H90"/>
    <mergeCell ref="F91:H91"/>
    <mergeCell ref="F92:H92"/>
    <mergeCell ref="F93:H93"/>
    <mergeCell ref="F84:H84"/>
    <mergeCell ref="F85:H85"/>
    <mergeCell ref="F86:H86"/>
    <mergeCell ref="F87:H87"/>
    <mergeCell ref="F88:H88"/>
    <mergeCell ref="F99:H99"/>
    <mergeCell ref="F100:H100"/>
    <mergeCell ref="F102:H102"/>
    <mergeCell ref="F103:H103"/>
    <mergeCell ref="F104:H104"/>
    <mergeCell ref="F94:H94"/>
    <mergeCell ref="F95:H95"/>
    <mergeCell ref="F96:H96"/>
    <mergeCell ref="F97:H97"/>
    <mergeCell ref="F98:H98"/>
    <mergeCell ref="F110:H110"/>
    <mergeCell ref="F111:H111"/>
    <mergeCell ref="F112:H112"/>
    <mergeCell ref="F113:H113"/>
    <mergeCell ref="F114:H114"/>
    <mergeCell ref="F105:H105"/>
    <mergeCell ref="F106:H106"/>
    <mergeCell ref="F107:H107"/>
    <mergeCell ref="F108:H108"/>
    <mergeCell ref="F109:H109"/>
    <mergeCell ref="F120:H120"/>
    <mergeCell ref="F121:H121"/>
    <mergeCell ref="F122:H122"/>
    <mergeCell ref="F123:H123"/>
    <mergeCell ref="F124:H124"/>
    <mergeCell ref="F115:H115"/>
    <mergeCell ref="F116:H116"/>
    <mergeCell ref="F117:H117"/>
    <mergeCell ref="F118:H118"/>
    <mergeCell ref="F119:H119"/>
    <mergeCell ref="F130:H130"/>
    <mergeCell ref="F131:H131"/>
    <mergeCell ref="F132:H132"/>
    <mergeCell ref="F133:H133"/>
    <mergeCell ref="F134:H134"/>
    <mergeCell ref="F125:H125"/>
    <mergeCell ref="F126:H126"/>
    <mergeCell ref="F127:H127"/>
    <mergeCell ref="F128:H128"/>
    <mergeCell ref="F129:H129"/>
    <mergeCell ref="F141:H141"/>
    <mergeCell ref="F142:H142"/>
    <mergeCell ref="F143:H143"/>
    <mergeCell ref="F144:H144"/>
    <mergeCell ref="F145:H145"/>
    <mergeCell ref="F135:H135"/>
    <mergeCell ref="F136:H136"/>
    <mergeCell ref="F137:H137"/>
    <mergeCell ref="F138:H138"/>
    <mergeCell ref="F139:H139"/>
    <mergeCell ref="F151:H151"/>
    <mergeCell ref="F152:H152"/>
    <mergeCell ref="F153:H153"/>
    <mergeCell ref="F154:H154"/>
    <mergeCell ref="F155:H155"/>
    <mergeCell ref="F146:H146"/>
    <mergeCell ref="F147:H147"/>
    <mergeCell ref="F148:H148"/>
    <mergeCell ref="F149:H149"/>
    <mergeCell ref="F150:H150"/>
    <mergeCell ref="F161:H161"/>
    <mergeCell ref="F163:H163"/>
    <mergeCell ref="F164:H164"/>
    <mergeCell ref="F165:H165"/>
    <mergeCell ref="F166:H166"/>
    <mergeCell ref="F156:H156"/>
    <mergeCell ref="F157:H157"/>
    <mergeCell ref="F158:H158"/>
    <mergeCell ref="F159:H159"/>
    <mergeCell ref="F160:H160"/>
    <mergeCell ref="F162:H162"/>
    <mergeCell ref="F177:H177"/>
    <mergeCell ref="F178:H178"/>
    <mergeCell ref="F179:H179"/>
    <mergeCell ref="F172:H172"/>
    <mergeCell ref="F173:H173"/>
    <mergeCell ref="F174:H174"/>
    <mergeCell ref="F175:H175"/>
    <mergeCell ref="F176:H176"/>
    <mergeCell ref="F167:H167"/>
    <mergeCell ref="F168:H168"/>
    <mergeCell ref="F169:H169"/>
    <mergeCell ref="F170:H170"/>
    <mergeCell ref="F171:H171"/>
  </mergeCells>
  <conditionalFormatting sqref="A50:B50">
    <cfRule type="cellIs" dxfId="440" priority="1" operator="equal">
      <formula>"NO_KILL"</formula>
    </cfRule>
    <cfRule type="cellIs" dxfId="439" priority="2" operator="equal">
      <formula>"KILL"</formula>
    </cfRule>
    <cfRule type="cellIs" dxfId="438" priority="3" operator="equal">
      <formula>"ERROR"</formula>
    </cfRule>
  </conditionalFormatting>
  <conditionalFormatting sqref="A73:B73">
    <cfRule type="cellIs" dxfId="437" priority="7" operator="equal">
      <formula>"NO_KILL"</formula>
    </cfRule>
    <cfRule type="cellIs" dxfId="436" priority="8" operator="equal">
      <formula>"KILL"</formula>
    </cfRule>
    <cfRule type="cellIs" dxfId="435" priority="9" operator="equal">
      <formula>"ERROR"</formula>
    </cfRule>
  </conditionalFormatting>
  <conditionalFormatting sqref="A100:B100">
    <cfRule type="cellIs" dxfId="434" priority="13" operator="equal">
      <formula>"NO_KILL"</formula>
    </cfRule>
    <cfRule type="cellIs" dxfId="433" priority="14" operator="equal">
      <formula>"KILL"</formula>
    </cfRule>
    <cfRule type="cellIs" dxfId="432" priority="15" operator="equal">
      <formula>"ERROR"</formula>
    </cfRule>
  </conditionalFormatting>
  <conditionalFormatting sqref="A139:B139">
    <cfRule type="cellIs" dxfId="431" priority="19" operator="equal">
      <formula>"NO_KILL"</formula>
    </cfRule>
    <cfRule type="cellIs" dxfId="430" priority="20" operator="equal">
      <formula>"KILL"</formula>
    </cfRule>
    <cfRule type="cellIs" dxfId="429" priority="21" operator="equal">
      <formula>"ERROR"</formula>
    </cfRule>
  </conditionalFormatting>
  <conditionalFormatting sqref="A161:B161">
    <cfRule type="cellIs" dxfId="428" priority="25" operator="equal">
      <formula>"NO_KILL"</formula>
    </cfRule>
    <cfRule type="cellIs" dxfId="427" priority="26" operator="equal">
      <formula>"KILL"</formula>
    </cfRule>
    <cfRule type="cellIs" dxfId="426" priority="27" operator="equal">
      <formula>"ERROR"</formula>
    </cfRule>
  </conditionalFormatting>
  <conditionalFormatting sqref="A51:F72">
    <cfRule type="cellIs" dxfId="425" priority="44" operator="equal">
      <formula>"KILL"</formula>
    </cfRule>
    <cfRule type="cellIs" dxfId="424" priority="43" operator="equal">
      <formula>"NO_KILL"</formula>
    </cfRule>
    <cfRule type="cellIs" dxfId="423" priority="45" operator="equal">
      <formula>"ERROR"</formula>
    </cfRule>
  </conditionalFormatting>
  <conditionalFormatting sqref="A74:F99">
    <cfRule type="cellIs" dxfId="422" priority="42" operator="equal">
      <formula>"ERROR"</formula>
    </cfRule>
    <cfRule type="cellIs" dxfId="421" priority="41" operator="equal">
      <formula>"KILL"</formula>
    </cfRule>
    <cfRule type="cellIs" dxfId="420" priority="40" operator="equal">
      <formula>"NO_KILL"</formula>
    </cfRule>
  </conditionalFormatting>
  <conditionalFormatting sqref="A101:F138">
    <cfRule type="cellIs" dxfId="419" priority="39" operator="equal">
      <formula>"ERROR"</formula>
    </cfRule>
    <cfRule type="cellIs" dxfId="418" priority="38" operator="equal">
      <formula>"KILL"</formula>
    </cfRule>
    <cfRule type="cellIs" dxfId="417" priority="37" operator="equal">
      <formula>"NO_KILL"</formula>
    </cfRule>
  </conditionalFormatting>
  <conditionalFormatting sqref="A140:F160">
    <cfRule type="cellIs" dxfId="416" priority="34" operator="equal">
      <formula>"NO_KILL"</formula>
    </cfRule>
    <cfRule type="cellIs" dxfId="415" priority="36" operator="equal">
      <formula>"ERROR"</formula>
    </cfRule>
    <cfRule type="cellIs" dxfId="414" priority="35" operator="equal">
      <formula>"KILL"</formula>
    </cfRule>
  </conditionalFormatting>
  <conditionalFormatting sqref="A162:F179">
    <cfRule type="cellIs" dxfId="413" priority="32" operator="equal">
      <formula>"KILL"</formula>
    </cfRule>
    <cfRule type="cellIs" dxfId="412" priority="33" operator="equal">
      <formula>"ERROR"</formula>
    </cfRule>
    <cfRule type="cellIs" dxfId="411" priority="31" operator="equal">
      <formula>"NO_KILL"</formula>
    </cfRule>
  </conditionalFormatting>
  <conditionalFormatting sqref="A1:Z4 A5:B10 D5:Z10 A11:Z49 D50:Z50 I51:Z179 D73:F73 D100:F100 D139:F139 D161:F161 A180:Z1116">
    <cfRule type="cellIs" dxfId="410" priority="46" operator="equal">
      <formula>"NO_KILL"</formula>
    </cfRule>
    <cfRule type="cellIs" dxfId="409" priority="47" operator="equal">
      <formula>"KILL"</formula>
    </cfRule>
    <cfRule type="cellIs" dxfId="408" priority="48" operator="equal">
      <formula>"ERROR"</formula>
    </cfRule>
  </conditionalFormatting>
  <conditionalFormatting sqref="B48:B1116">
    <cfRule type="cellIs" dxfId="407" priority="4" operator="equal">
      <formula>"Test"</formula>
    </cfRule>
    <cfRule type="cellIs" dxfId="406" priority="5" operator="equal">
      <formula>"Mutant"</formula>
    </cfRule>
    <cfRule type="cellIs" dxfId="405" priority="6" operator="equal">
      <formula>"Question"</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B2:P123"/>
  <sheetViews>
    <sheetView topLeftCell="A24" workbookViewId="0">
      <selection activeCell="E31" sqref="E31:H31"/>
    </sheetView>
  </sheetViews>
  <sheetFormatPr defaultColWidth="12.5703125" defaultRowHeight="15.75" customHeight="1"/>
  <cols>
    <col min="4" max="4" width="18.140625" bestFit="1" customWidth="1"/>
    <col min="6" max="6" width="21" customWidth="1"/>
    <col min="8" max="8" width="15.28515625" customWidth="1"/>
    <col min="14" max="14" width="13.42578125" customWidth="1"/>
  </cols>
  <sheetData>
    <row r="2" spans="2:14" ht="12.75">
      <c r="B2" s="29" t="s">
        <v>4</v>
      </c>
      <c r="C2" s="29" t="s">
        <v>45</v>
      </c>
      <c r="D2" s="29" t="s">
        <v>46</v>
      </c>
    </row>
    <row r="3" spans="2:14" ht="12.75">
      <c r="B3" s="29">
        <v>111</v>
      </c>
      <c r="C3" s="29" t="s">
        <v>59</v>
      </c>
      <c r="D3" s="127" t="s">
        <v>18</v>
      </c>
    </row>
    <row r="5" spans="2:14" ht="12.75">
      <c r="B5" s="221" t="s">
        <v>3</v>
      </c>
      <c r="C5" s="222"/>
      <c r="D5" s="44" t="s">
        <v>5</v>
      </c>
      <c r="E5" s="43" t="s">
        <v>6</v>
      </c>
      <c r="F5" s="43" t="s">
        <v>7</v>
      </c>
      <c r="G5" s="43" t="s">
        <v>8</v>
      </c>
      <c r="H5" s="44" t="s">
        <v>9</v>
      </c>
      <c r="I5" s="43" t="s">
        <v>10</v>
      </c>
      <c r="J5" s="43" t="s">
        <v>11</v>
      </c>
      <c r="K5" s="44" t="s">
        <v>12</v>
      </c>
      <c r="L5" s="43" t="s">
        <v>13</v>
      </c>
      <c r="M5" s="43" t="s">
        <v>14</v>
      </c>
      <c r="N5" s="61" t="s">
        <v>15</v>
      </c>
    </row>
    <row r="6" spans="2:14" ht="12.75">
      <c r="B6" s="223">
        <v>149</v>
      </c>
      <c r="C6" s="224"/>
      <c r="D6" s="47">
        <f ca="1">COUNTIF(Valid_questions!F$1:F1061, B6)</f>
        <v>2</v>
      </c>
      <c r="E6" s="40">
        <v>0</v>
      </c>
      <c r="F6" s="40">
        <v>0</v>
      </c>
      <c r="G6" s="40">
        <v>0</v>
      </c>
      <c r="H6" s="47">
        <v>0</v>
      </c>
      <c r="I6" s="40">
        <f>COUNTIFS(Tests!E$1:E1061,B6,Tests!D$1:D1061,"&lt;&gt;\N")</f>
        <v>9</v>
      </c>
      <c r="J6" s="40">
        <f>COUNTIFS(Tests!E$1:E1061,B6,Tests!D$1:D1061,"=\N")</f>
        <v>9</v>
      </c>
      <c r="K6" s="47">
        <v>1</v>
      </c>
      <c r="L6" s="40">
        <f>COUNTIFS(Mutants!E$1:E1061,B6,Mutants!D$1:D1061,"&lt;&gt;\N")</f>
        <v>4</v>
      </c>
      <c r="M6" s="40">
        <f>COUNTIFS(Mutants!E$1:E1061,B6,Mutants!D$1:D1061,"=\N")</f>
        <v>1</v>
      </c>
      <c r="N6" s="45">
        <v>1</v>
      </c>
    </row>
    <row r="7" spans="2:14" ht="12.75">
      <c r="B7" s="225">
        <v>150</v>
      </c>
      <c r="C7" s="226"/>
      <c r="D7" s="10">
        <f ca="1">COUNTIF(Valid_questions!F$1:F1061, B7)</f>
        <v>3</v>
      </c>
      <c r="E7" s="9">
        <v>1</v>
      </c>
      <c r="F7" s="9">
        <v>0</v>
      </c>
      <c r="G7" s="9">
        <v>0</v>
      </c>
      <c r="H7" s="10">
        <v>1</v>
      </c>
      <c r="I7" s="9">
        <f>COUNTIFS(Tests!E$1:E1061,B7,Tests!D$1:D1061,"&lt;&gt;\N")</f>
        <v>0</v>
      </c>
      <c r="J7" s="9">
        <f>COUNTIFS(Tests!E$1:E1061,B7,Tests!D$1:D1061,"=\N")</f>
        <v>0</v>
      </c>
      <c r="K7" s="10">
        <v>0</v>
      </c>
      <c r="L7" s="9">
        <f>COUNTIFS(Mutants!E$1:E1061,B7,Mutants!D$1:D1061,"&lt;&gt;\N")</f>
        <v>2</v>
      </c>
      <c r="M7" s="9">
        <f>COUNTIFS(Mutants!E$1:E1061,B7,Mutants!D$1:D1061,"=\N")</f>
        <v>0</v>
      </c>
      <c r="N7" s="14">
        <v>1</v>
      </c>
    </row>
    <row r="8" spans="2:14" ht="12.75">
      <c r="B8" s="225">
        <v>151</v>
      </c>
      <c r="C8" s="226"/>
      <c r="D8" s="10">
        <f ca="1">COUNTIF(Valid_questions!F$1:F1061, B8)</f>
        <v>4</v>
      </c>
      <c r="E8" s="9">
        <v>0</v>
      </c>
      <c r="F8" s="9">
        <v>13</v>
      </c>
      <c r="G8" s="9">
        <v>0</v>
      </c>
      <c r="H8" s="10">
        <v>13</v>
      </c>
      <c r="I8" s="9">
        <f>COUNTIFS(Tests!E$1:E1061,B8,Tests!D$1:D1061,"&lt;&gt;\N")</f>
        <v>7</v>
      </c>
      <c r="J8" s="9">
        <f>COUNTIFS(Tests!E$1:E1061,B8,Tests!D$1:D1061,"=\N")</f>
        <v>0</v>
      </c>
      <c r="K8" s="10">
        <v>0</v>
      </c>
      <c r="L8" s="9">
        <f>COUNTIFS(Mutants!E$1:E1061,B8,Mutants!D$1:D1061,"&lt;&gt;\N")</f>
        <v>2</v>
      </c>
      <c r="M8" s="9">
        <f>COUNTIFS(Mutants!E$1:E1061,B8,Mutants!D$1:D1061,"=\N")</f>
        <v>0</v>
      </c>
      <c r="N8" s="14">
        <v>1</v>
      </c>
    </row>
    <row r="9" spans="2:14" ht="12.75">
      <c r="B9" s="225">
        <v>152</v>
      </c>
      <c r="C9" s="226"/>
      <c r="D9" s="10">
        <f ca="1">COUNTIF(Valid_questions!F$1:F1061, B9)</f>
        <v>7</v>
      </c>
      <c r="E9" s="9">
        <v>1</v>
      </c>
      <c r="F9" s="9">
        <v>0</v>
      </c>
      <c r="G9" s="9">
        <v>0</v>
      </c>
      <c r="H9" s="10">
        <v>1</v>
      </c>
      <c r="I9" s="9">
        <f>COUNTIFS(Tests!E$1:E1061,B9,Tests!D$1:D1061,"&lt;&gt;\N")</f>
        <v>8</v>
      </c>
      <c r="J9" s="9">
        <f>COUNTIFS(Tests!E$1:E1061,B9,Tests!D$1:D1061,"=\N")</f>
        <v>7</v>
      </c>
      <c r="K9" s="10">
        <v>1</v>
      </c>
      <c r="L9" s="9">
        <f>COUNTIFS(Mutants!E$1:E1061,B9,Mutants!D$1:D1061,"&lt;&gt;\N")</f>
        <v>1</v>
      </c>
      <c r="M9" s="9">
        <f>COUNTIFS(Mutants!E$1:E1061,B9,Mutants!D$1:D1061,"=\N")</f>
        <v>1</v>
      </c>
      <c r="N9" s="14">
        <v>1</v>
      </c>
    </row>
    <row r="10" spans="2:14" ht="12.75">
      <c r="B10" s="227">
        <v>189</v>
      </c>
      <c r="C10" s="228"/>
      <c r="D10" s="22">
        <f ca="1">COUNTIF(Valid_questions!F$1:F1061, B10)</f>
        <v>2</v>
      </c>
      <c r="E10" s="21">
        <v>3</v>
      </c>
      <c r="F10" s="21">
        <v>0</v>
      </c>
      <c r="G10" s="21">
        <v>0</v>
      </c>
      <c r="H10" s="22">
        <v>3</v>
      </c>
      <c r="I10" s="21">
        <f>COUNTIFS(Tests!E$1:E1061,B10,Tests!D$1:D1061,"&lt;&gt;\N")</f>
        <v>2</v>
      </c>
      <c r="J10" s="21">
        <f>COUNTIFS(Tests!E$1:E1061,B10,Tests!D$1:D1061,"=\N")</f>
        <v>2</v>
      </c>
      <c r="K10" s="22">
        <v>1</v>
      </c>
      <c r="L10" s="21">
        <f>COUNTIFS(Mutants!E$1:E1061,B10,Mutants!D$1:D1061,"&lt;&gt;\N")</f>
        <v>2</v>
      </c>
      <c r="M10" s="21">
        <f>COUNTIFS(Mutants!E$1:E1061,B10,Mutants!D$1:D1061,"=\N")</f>
        <v>1</v>
      </c>
      <c r="N10" s="38">
        <v>2</v>
      </c>
    </row>
    <row r="13" spans="2:14" ht="27" customHeight="1">
      <c r="B13" s="220" t="s">
        <v>4588</v>
      </c>
      <c r="C13" s="173"/>
    </row>
    <row r="15" spans="2:14" ht="12.75">
      <c r="C15" s="29" t="s">
        <v>4589</v>
      </c>
    </row>
    <row r="16" spans="2:14" ht="12.75">
      <c r="B16" s="29" t="s">
        <v>4590</v>
      </c>
      <c r="C16" s="29"/>
      <c r="D16" s="43">
        <v>142</v>
      </c>
      <c r="E16" s="43">
        <v>199</v>
      </c>
      <c r="F16" s="43">
        <v>247</v>
      </c>
      <c r="G16" s="43">
        <v>260</v>
      </c>
      <c r="H16" s="43">
        <v>316</v>
      </c>
      <c r="I16" s="43">
        <v>330</v>
      </c>
      <c r="J16" s="43">
        <v>372</v>
      </c>
      <c r="K16" s="43">
        <v>396</v>
      </c>
      <c r="L16" s="43">
        <v>406</v>
      </c>
      <c r="M16" s="61">
        <v>467</v>
      </c>
    </row>
    <row r="17" spans="2:16" ht="12.75">
      <c r="B17" s="9"/>
      <c r="C17" s="81">
        <v>105</v>
      </c>
      <c r="D17" s="9" t="s">
        <v>4591</v>
      </c>
      <c r="E17" s="9" t="s">
        <v>4591</v>
      </c>
      <c r="F17" s="9" t="s">
        <v>4591</v>
      </c>
      <c r="G17" s="9" t="s">
        <v>4591</v>
      </c>
      <c r="H17" s="9" t="s">
        <v>4591</v>
      </c>
      <c r="I17" s="9" t="s">
        <v>4591</v>
      </c>
      <c r="J17" s="9" t="s">
        <v>4591</v>
      </c>
      <c r="K17" s="9" t="s">
        <v>4591</v>
      </c>
      <c r="L17" s="9" t="s">
        <v>4591</v>
      </c>
      <c r="M17" s="14" t="s">
        <v>4591</v>
      </c>
    </row>
    <row r="18" spans="2:16" ht="12.75">
      <c r="B18" s="9"/>
      <c r="C18" s="81">
        <v>117</v>
      </c>
      <c r="D18" s="9" t="s">
        <v>4591</v>
      </c>
      <c r="E18" s="9" t="s">
        <v>4591</v>
      </c>
      <c r="F18" s="9" t="s">
        <v>4591</v>
      </c>
      <c r="G18" s="9" t="s">
        <v>4591</v>
      </c>
      <c r="H18" s="9" t="s">
        <v>4591</v>
      </c>
      <c r="I18" s="9" t="s">
        <v>4591</v>
      </c>
      <c r="J18" s="9" t="s">
        <v>4591</v>
      </c>
      <c r="K18" s="9" t="s">
        <v>4591</v>
      </c>
      <c r="L18" s="9" t="s">
        <v>4591</v>
      </c>
      <c r="M18" s="14" t="s">
        <v>4595</v>
      </c>
    </row>
    <row r="19" spans="2:16" ht="12.75">
      <c r="B19" s="9"/>
      <c r="C19" s="81">
        <v>121</v>
      </c>
      <c r="D19" s="9" t="s">
        <v>4591</v>
      </c>
      <c r="E19" s="9" t="s">
        <v>4591</v>
      </c>
      <c r="F19" s="9" t="s">
        <v>4591</v>
      </c>
      <c r="G19" s="9" t="s">
        <v>4591</v>
      </c>
      <c r="H19" s="9" t="s">
        <v>4591</v>
      </c>
      <c r="I19" s="9" t="s">
        <v>4591</v>
      </c>
      <c r="J19" s="9" t="s">
        <v>4591</v>
      </c>
      <c r="K19" s="9" t="s">
        <v>4591</v>
      </c>
      <c r="L19" s="9" t="s">
        <v>4591</v>
      </c>
      <c r="M19" s="14" t="s">
        <v>4591</v>
      </c>
    </row>
    <row r="20" spans="2:16" ht="12.75">
      <c r="B20" s="9"/>
      <c r="C20" s="81">
        <v>136</v>
      </c>
      <c r="D20" s="9" t="s">
        <v>4591</v>
      </c>
      <c r="E20" s="9" t="s">
        <v>4595</v>
      </c>
      <c r="F20" s="9" t="s">
        <v>4591</v>
      </c>
      <c r="G20" s="9" t="s">
        <v>4591</v>
      </c>
      <c r="H20" s="9" t="s">
        <v>4591</v>
      </c>
      <c r="I20" s="9" t="s">
        <v>4591</v>
      </c>
      <c r="J20" s="9" t="s">
        <v>4591</v>
      </c>
      <c r="K20" s="9" t="s">
        <v>4591</v>
      </c>
      <c r="L20" s="9" t="s">
        <v>4591</v>
      </c>
      <c r="M20" s="14" t="s">
        <v>4591</v>
      </c>
    </row>
    <row r="21" spans="2:16" ht="12.75">
      <c r="B21" s="9"/>
      <c r="C21" s="81">
        <v>165</v>
      </c>
      <c r="D21" s="9" t="s">
        <v>4591</v>
      </c>
      <c r="E21" s="9" t="s">
        <v>4591</v>
      </c>
      <c r="F21" s="9" t="s">
        <v>4591</v>
      </c>
      <c r="G21" s="9" t="s">
        <v>4591</v>
      </c>
      <c r="H21" s="9" t="s">
        <v>4591</v>
      </c>
      <c r="I21" s="9" t="s">
        <v>4591</v>
      </c>
      <c r="J21" s="9" t="s">
        <v>4591</v>
      </c>
      <c r="K21" s="9" t="s">
        <v>4592</v>
      </c>
      <c r="L21" s="9" t="s">
        <v>4595</v>
      </c>
      <c r="M21" s="14" t="s">
        <v>4595</v>
      </c>
    </row>
    <row r="22" spans="2:16" ht="12.75">
      <c r="B22" s="9"/>
      <c r="C22" s="81">
        <v>169</v>
      </c>
      <c r="D22" s="9" t="s">
        <v>4591</v>
      </c>
      <c r="E22" s="9" t="s">
        <v>4591</v>
      </c>
      <c r="F22" s="9" t="s">
        <v>4592</v>
      </c>
      <c r="G22" s="9" t="s">
        <v>4595</v>
      </c>
      <c r="H22" s="9" t="s">
        <v>4591</v>
      </c>
      <c r="I22" s="9" t="s">
        <v>4591</v>
      </c>
      <c r="J22" s="9" t="s">
        <v>4591</v>
      </c>
      <c r="K22" s="9" t="s">
        <v>4591</v>
      </c>
      <c r="L22" s="9" t="s">
        <v>4592</v>
      </c>
      <c r="M22" s="14" t="s">
        <v>4592</v>
      </c>
    </row>
    <row r="23" spans="2:16" ht="12.75">
      <c r="B23" s="9"/>
      <c r="C23" s="81">
        <v>183</v>
      </c>
      <c r="D23" s="9" t="s">
        <v>4591</v>
      </c>
      <c r="E23" s="9" t="s">
        <v>4592</v>
      </c>
      <c r="F23" s="9" t="s">
        <v>4592</v>
      </c>
      <c r="G23" s="9" t="s">
        <v>4592</v>
      </c>
      <c r="H23" s="9" t="s">
        <v>4591</v>
      </c>
      <c r="I23" s="9" t="s">
        <v>4595</v>
      </c>
      <c r="J23" s="9" t="s">
        <v>4591</v>
      </c>
      <c r="K23" s="9" t="s">
        <v>4592</v>
      </c>
      <c r="L23" s="9" t="s">
        <v>4592</v>
      </c>
      <c r="M23" s="14" t="s">
        <v>4592</v>
      </c>
    </row>
    <row r="24" spans="2:16" ht="12.75">
      <c r="B24" s="9"/>
      <c r="C24" s="81">
        <v>228</v>
      </c>
      <c r="D24" s="9" t="s">
        <v>4591</v>
      </c>
      <c r="E24" s="9" t="s">
        <v>4595</v>
      </c>
      <c r="F24" s="9" t="s">
        <v>4595</v>
      </c>
      <c r="G24" s="9" t="s">
        <v>4595</v>
      </c>
      <c r="H24" s="9" t="s">
        <v>4591</v>
      </c>
      <c r="I24" s="9" t="s">
        <v>4591</v>
      </c>
      <c r="J24" s="9" t="s">
        <v>4591</v>
      </c>
      <c r="K24" s="9" t="s">
        <v>4591</v>
      </c>
      <c r="L24" s="9" t="s">
        <v>4595</v>
      </c>
      <c r="M24" s="14" t="s">
        <v>4595</v>
      </c>
    </row>
    <row r="25" spans="2:16" ht="12.75">
      <c r="B25" s="9"/>
      <c r="C25" s="81">
        <v>229</v>
      </c>
      <c r="D25" s="9" t="s">
        <v>4591</v>
      </c>
      <c r="E25" s="9" t="s">
        <v>4591</v>
      </c>
      <c r="F25" s="9" t="s">
        <v>4591</v>
      </c>
      <c r="G25" s="9" t="s">
        <v>4591</v>
      </c>
      <c r="H25" s="9" t="s">
        <v>4591</v>
      </c>
      <c r="I25" s="9" t="s">
        <v>4591</v>
      </c>
      <c r="J25" s="9" t="s">
        <v>4591</v>
      </c>
      <c r="K25" s="9" t="s">
        <v>4591</v>
      </c>
      <c r="L25" s="9" t="s">
        <v>4591</v>
      </c>
      <c r="M25" s="14" t="s">
        <v>4591</v>
      </c>
    </row>
    <row r="26" spans="2:16" ht="12.75">
      <c r="B26" s="9"/>
      <c r="C26" s="81">
        <v>255</v>
      </c>
      <c r="D26" s="9" t="s">
        <v>4591</v>
      </c>
      <c r="E26" s="9" t="s">
        <v>4595</v>
      </c>
      <c r="F26" s="9" t="s">
        <v>4592</v>
      </c>
      <c r="G26" s="9" t="s">
        <v>4592</v>
      </c>
      <c r="H26" s="9" t="s">
        <v>4591</v>
      </c>
      <c r="I26" s="9" t="s">
        <v>4591</v>
      </c>
      <c r="J26" s="9" t="s">
        <v>4591</v>
      </c>
      <c r="K26" s="9" t="s">
        <v>4591</v>
      </c>
      <c r="L26" s="9" t="s">
        <v>4592</v>
      </c>
      <c r="M26" s="14" t="s">
        <v>4592</v>
      </c>
    </row>
    <row r="27" spans="2:16" ht="12.75">
      <c r="B27" s="9"/>
      <c r="C27" s="82">
        <v>285</v>
      </c>
      <c r="D27" s="21" t="s">
        <v>4591</v>
      </c>
      <c r="E27" s="21" t="s">
        <v>4591</v>
      </c>
      <c r="F27" s="21" t="s">
        <v>4595</v>
      </c>
      <c r="G27" s="21" t="s">
        <v>4591</v>
      </c>
      <c r="H27" s="21" t="s">
        <v>4591</v>
      </c>
      <c r="I27" s="21" t="s">
        <v>4591</v>
      </c>
      <c r="J27" s="21" t="s">
        <v>4591</v>
      </c>
      <c r="K27" s="21" t="s">
        <v>4591</v>
      </c>
      <c r="L27" s="21" t="s">
        <v>4591</v>
      </c>
      <c r="M27" s="38" t="s">
        <v>4591</v>
      </c>
    </row>
    <row r="30" spans="2:16" ht="15.75" customHeight="1" thickBot="1">
      <c r="B30" s="219" t="s">
        <v>4604</v>
      </c>
      <c r="C30" s="201"/>
      <c r="D30" s="45">
        <v>149</v>
      </c>
    </row>
    <row r="31" spans="2:16" ht="15.75" customHeight="1" thickTop="1">
      <c r="B31" s="134" t="s">
        <v>4594</v>
      </c>
      <c r="C31" s="135" t="s">
        <v>44</v>
      </c>
      <c r="D31" s="135" t="s">
        <v>110</v>
      </c>
      <c r="E31" s="136" t="s">
        <v>2</v>
      </c>
      <c r="F31" s="229" t="s">
        <v>4612</v>
      </c>
      <c r="G31" s="229"/>
      <c r="H31" s="230"/>
      <c r="I31" s="9"/>
      <c r="J31" s="9"/>
      <c r="K31" s="9"/>
      <c r="L31" s="9"/>
      <c r="M31" s="9"/>
      <c r="O31" s="9"/>
      <c r="P31" s="9"/>
    </row>
    <row r="32" spans="2:16" ht="15.75" customHeight="1">
      <c r="B32" s="137" t="s">
        <v>4589</v>
      </c>
      <c r="C32" s="93">
        <v>105</v>
      </c>
      <c r="D32" s="93" t="s">
        <v>3103</v>
      </c>
      <c r="E32" s="93" t="str">
        <f>IF($B32 = "Mutant",VLOOKUP($C32,Mutants!$A$2:$L$560,12,FALSE),IF($B32 = "Test",VLOOKUP($C32,Tests!$A$2:$L$841,12,FALSE),VLOOKUP($C32,Questions!$A$3:$N$174,9,FALSE)))</f>
        <v>Y</v>
      </c>
      <c r="F32" s="205" t="str">
        <f>IF($B32 = "Mutant",VLOOKUP($C32,Mutants!$A$2:$L$560,11,FALSE),IF($B32 = "Test",VLOOKUP($C32,Tests!$A$2:$L$841,11,FALSE),VLOOKUP($C32,Questions!$A$3:$N$174,13,FALSE)))</f>
        <v xml:space="preserve">addOptionGroup
</v>
      </c>
      <c r="G32" s="205"/>
      <c r="H32" s="206"/>
      <c r="I32" s="9"/>
      <c r="J32" s="9"/>
      <c r="K32" s="9"/>
      <c r="L32" s="9"/>
      <c r="M32" s="9"/>
    </row>
    <row r="33" spans="2:14" ht="15.75" customHeight="1">
      <c r="B33" s="114" t="s">
        <v>4589</v>
      </c>
      <c r="C33" s="9">
        <v>117</v>
      </c>
      <c r="D33" s="9" t="s">
        <v>3137</v>
      </c>
      <c r="E33" s="9" t="str">
        <f>IF($B33 = "Mutant",VLOOKUP($C33,Mutants!$A$2:$L$560,12,FALSE),IF($B33 = "Test",VLOOKUP($C33,Tests!$A$2:$L$841,12,FALSE),VLOOKUP($C33,Questions!$A$3:$N$174,9,FALSE)))</f>
        <v>Y</v>
      </c>
      <c r="F33" s="187" t="str">
        <f>IF($B33 = "Mutant",VLOOKUP($C33,Mutants!$A$2:$L$560,11,FALSE),IF($B33 = "Test",VLOOKUP($C33,Tests!$A$2:$L$841,11,FALSE),VLOOKUP($C33,Questions!$A$3:$N$174,13,FALSE)))</f>
        <v xml:space="preserve">getMatchingOptions
</v>
      </c>
      <c r="G33" s="187"/>
      <c r="H33" s="202"/>
      <c r="I33" s="9"/>
      <c r="J33" s="9"/>
      <c r="K33" s="9"/>
      <c r="L33" s="9"/>
      <c r="M33" s="9"/>
    </row>
    <row r="34" spans="2:14" ht="15.75" customHeight="1">
      <c r="B34" s="114" t="s">
        <v>4589</v>
      </c>
      <c r="C34" s="9">
        <v>136</v>
      </c>
      <c r="D34" s="9" t="s">
        <v>3197</v>
      </c>
      <c r="E34" s="9" t="str">
        <f>IF($B34 = "Mutant",VLOOKUP($C34,Mutants!$A$2:$L$560,12,FALSE),IF($B34 = "Test",VLOOKUP($C34,Tests!$A$2:$L$841,12,FALSE),VLOOKUP($C34,Questions!$A$3:$N$174,9,FALSE)))</f>
        <v>Y</v>
      </c>
      <c r="F34" s="187" t="str">
        <f>IF($B34 = "Mutant",VLOOKUP($C34,Mutants!$A$2:$L$560,11,FALSE),IF($B34 = "Test",VLOOKUP($C34,Tests!$A$2:$L$841,11,FALSE),VLOOKUP($C34,Questions!$A$3:$N$174,13,FALSE)))</f>
        <v xml:space="preserve">stripLeadingHyphens
</v>
      </c>
      <c r="G34" s="187"/>
      <c r="H34" s="202"/>
      <c r="I34" s="9"/>
      <c r="J34" s="9"/>
      <c r="K34" s="9"/>
      <c r="L34" s="9"/>
      <c r="M34" s="9"/>
    </row>
    <row r="35" spans="2:14" ht="15.75" customHeight="1">
      <c r="B35" s="114" t="s">
        <v>107</v>
      </c>
      <c r="C35" s="9">
        <v>10</v>
      </c>
      <c r="D35" s="9" t="s">
        <v>247</v>
      </c>
      <c r="E35" s="9" t="str">
        <f>IF($B35 = "Mutant",VLOOKUP($C35,Mutants!$A$2:$L$560,12,FALSE),IF($B35 = "Test",VLOOKUP($C35,Tests!$A$2:$L$841,12,FALSE),VLOOKUP($C35,Questions!$A$3:$N$174,9,FALSE)))</f>
        <v>Y</v>
      </c>
      <c r="F35" s="187" t="str">
        <f>IF($B35 = "Mutant",VLOOKUP($C35,Mutants!$A$2:$L$560,11,FALSE),IF($B35 = "Test",VLOOKUP($C35,Tests!$A$2:$L$841,11,FALSE),VLOOKUP($C35,Questions!$A$3:$N$174,13,FALSE)))</f>
        <v>toString</v>
      </c>
      <c r="G35" s="187"/>
      <c r="H35" s="202"/>
      <c r="I35" s="9"/>
      <c r="J35" s="9"/>
      <c r="K35" s="9"/>
      <c r="L35" s="9"/>
      <c r="M35" s="9"/>
      <c r="N35" s="9"/>
    </row>
    <row r="36" spans="2:14" ht="15.75" customHeight="1">
      <c r="B36" s="114" t="s">
        <v>4590</v>
      </c>
      <c r="C36" s="9">
        <v>106</v>
      </c>
      <c r="D36" s="9" t="s">
        <v>705</v>
      </c>
      <c r="E36" s="9" t="str">
        <f>IF($B36 = "Mutant",VLOOKUP($C36,Mutants!$A$2:$L$560,12,FALSE),IF($B36 = "Test",VLOOKUP($C36,Tests!$A$2:$L$841,12,FALSE),VLOOKUP($C36,Questions!$A$3:$N$174,9,FALSE)))</f>
        <v>N</v>
      </c>
      <c r="F36" s="187" t="str">
        <f>IF($B36 = "Mutant",VLOOKUP($C36,Mutants!$A$2:$L$560,11,FALSE),IF($B36 = "Test",VLOOKUP($C36,Tests!$A$2:$L$841,11,FALSE),VLOOKUP($C36,Questions!$A$3:$N$174,13,FALSE)))</f>
        <v xml:space="preserve">
</v>
      </c>
      <c r="G36" s="187"/>
      <c r="H36" s="202"/>
      <c r="I36" s="9"/>
      <c r="J36" s="9"/>
      <c r="K36" s="9"/>
      <c r="L36" s="9"/>
      <c r="M36" s="9"/>
    </row>
    <row r="37" spans="2:14" ht="15.75" customHeight="1">
      <c r="B37" s="114" t="s">
        <v>107</v>
      </c>
      <c r="C37" s="9">
        <v>22</v>
      </c>
      <c r="D37" s="9" t="s">
        <v>251</v>
      </c>
      <c r="E37" s="9" t="str">
        <f>IF($B37 = "Mutant",VLOOKUP($C37,Mutants!$A$2:$L$560,12,FALSE),IF($B37 = "Test",VLOOKUP($C37,Tests!$A$2:$L$841,12,FALSE),VLOOKUP($C37,Questions!$A$3:$N$174,9,FALSE)))</f>
        <v>Y</v>
      </c>
      <c r="F37" s="187" t="str">
        <f>IF($B37 = "Mutant",VLOOKUP($C37,Mutants!$A$2:$L$560,11,FALSE),IF($B37 = "Test",VLOOKUP($C37,Tests!$A$2:$L$841,11,FALSE),VLOOKUP($C37,Questions!$A$3:$N$174,13,FALSE)))</f>
        <v xml:space="preserve"> </v>
      </c>
      <c r="G37" s="187"/>
      <c r="H37" s="202"/>
      <c r="I37" s="9"/>
      <c r="J37" s="9"/>
      <c r="K37" s="9"/>
      <c r="L37" s="9"/>
      <c r="M37" s="9"/>
    </row>
    <row r="38" spans="2:14" ht="15.75" customHeight="1">
      <c r="B38" s="114" t="s">
        <v>4590</v>
      </c>
      <c r="C38" s="9">
        <v>122</v>
      </c>
      <c r="D38" s="9" t="s">
        <v>756</v>
      </c>
      <c r="E38" s="9" t="str">
        <f>IF($B38 = "Mutant",VLOOKUP($C38,Mutants!$A$2:$L$560,12,FALSE),IF($B38 = "Test",VLOOKUP($C38,Tests!$A$2:$L$841,12,FALSE),VLOOKUP($C38,Questions!$A$3:$N$174,9,FALSE)))</f>
        <v>N</v>
      </c>
      <c r="F38" s="187" t="str">
        <f>IF($B38 = "Mutant",VLOOKUP($C38,Mutants!$A$2:$L$560,11,FALSE),IF($B38 = "Test",VLOOKUP($C38,Tests!$A$2:$L$841,11,FALSE),VLOOKUP($C38,Questions!$A$3:$N$174,13,FALSE)))</f>
        <v xml:space="preserve">
</v>
      </c>
      <c r="G38" s="187"/>
      <c r="H38" s="202"/>
      <c r="I38" s="9"/>
      <c r="J38" s="9"/>
      <c r="K38" s="9"/>
      <c r="L38" s="9"/>
      <c r="M38" s="9"/>
    </row>
    <row r="39" spans="2:14" ht="15.75" customHeight="1">
      <c r="B39" s="114" t="s">
        <v>4590</v>
      </c>
      <c r="C39" s="9">
        <v>125</v>
      </c>
      <c r="D39" s="9" t="s">
        <v>763</v>
      </c>
      <c r="E39" s="9" t="str">
        <f>IF($B39 = "Mutant",VLOOKUP($C39,Mutants!$A$2:$L$560,12,FALSE),IF($B39 = "Test",VLOOKUP($C39,Tests!$A$2:$L$841,12,FALSE),VLOOKUP($C39,Questions!$A$3:$N$174,9,FALSE)))</f>
        <v>N</v>
      </c>
      <c r="F39" s="187" t="str">
        <f>IF($B39 = "Mutant",VLOOKUP($C39,Mutants!$A$2:$L$560,11,FALSE),IF($B39 = "Test",VLOOKUP($C39,Tests!$A$2:$L$841,11,FALSE),VLOOKUP($C39,Questions!$A$3:$N$174,13,FALSE)))</f>
        <v xml:space="preserve">
</v>
      </c>
      <c r="G39" s="187"/>
      <c r="H39" s="202"/>
      <c r="I39" s="9"/>
      <c r="J39" s="9"/>
      <c r="K39" s="9"/>
      <c r="L39" s="9"/>
      <c r="M39" s="9"/>
    </row>
    <row r="40" spans="2:14" ht="15.75" customHeight="1">
      <c r="B40" s="114" t="s">
        <v>4590</v>
      </c>
      <c r="C40" s="9">
        <v>128</v>
      </c>
      <c r="D40" s="9" t="s">
        <v>770</v>
      </c>
      <c r="E40" s="9" t="str">
        <f>IF($B40 = "Mutant",VLOOKUP($C40,Mutants!$A$2:$L$560,12,FALSE),IF($B40 = "Test",VLOOKUP($C40,Tests!$A$2:$L$841,12,FALSE),VLOOKUP($C40,Questions!$A$3:$N$174,9,FALSE)))</f>
        <v>N</v>
      </c>
      <c r="F40" s="187" t="str">
        <f>IF($B40 = "Mutant",VLOOKUP($C40,Mutants!$A$2:$L$560,11,FALSE),IF($B40 = "Test",VLOOKUP($C40,Tests!$A$2:$L$841,11,FALSE),VLOOKUP($C40,Questions!$A$3:$N$174,13,FALSE)))</f>
        <v xml:space="preserve">
</v>
      </c>
      <c r="G40" s="187"/>
      <c r="H40" s="202"/>
      <c r="I40" s="9"/>
      <c r="J40" s="9"/>
      <c r="K40" s="9"/>
      <c r="L40" s="9"/>
      <c r="M40" s="9"/>
    </row>
    <row r="41" spans="2:14" ht="15.75" customHeight="1">
      <c r="B41" s="114" t="s">
        <v>4590</v>
      </c>
      <c r="C41" s="9">
        <v>131</v>
      </c>
      <c r="D41" s="9" t="s">
        <v>776</v>
      </c>
      <c r="E41" s="9" t="str">
        <f>IF($B41 = "Mutant",VLOOKUP($C41,Mutants!$A$2:$L$560,12,FALSE),IF($B41 = "Test",VLOOKUP($C41,Tests!$A$2:$L$841,12,FALSE),VLOOKUP($C41,Questions!$A$3:$N$174,9,FALSE)))</f>
        <v>N</v>
      </c>
      <c r="F41" s="187" t="str">
        <f>IF($B41 = "Mutant",VLOOKUP($C41,Mutants!$A$2:$L$560,11,FALSE),IF($B41 = "Test",VLOOKUP($C41,Tests!$A$2:$L$841,11,FALSE),VLOOKUP($C41,Questions!$A$3:$N$174,13,FALSE)))</f>
        <v xml:space="preserve">
</v>
      </c>
      <c r="G41" s="187"/>
      <c r="H41" s="202"/>
      <c r="I41" s="9"/>
      <c r="J41" s="9"/>
      <c r="K41" s="9"/>
      <c r="L41" s="9"/>
      <c r="M41" s="9"/>
    </row>
    <row r="42" spans="2:14" ht="15.75" customHeight="1">
      <c r="B42" s="114" t="s">
        <v>4590</v>
      </c>
      <c r="C42" s="9">
        <v>135</v>
      </c>
      <c r="D42" s="9" t="s">
        <v>788</v>
      </c>
      <c r="E42" s="9" t="str">
        <f>IF($B42 = "Mutant",VLOOKUP($C42,Mutants!$A$2:$L$560,12,FALSE),IF($B42 = "Test",VLOOKUP($C42,Tests!$A$2:$L$841,12,FALSE),VLOOKUP($C42,Questions!$A$3:$N$174,9,FALSE)))</f>
        <v>N</v>
      </c>
      <c r="F42" s="187" t="str">
        <f>IF($B42 = "Mutant",VLOOKUP($C42,Mutants!$A$2:$L$560,11,FALSE),IF($B42 = "Test",VLOOKUP($C42,Tests!$A$2:$L$841,11,FALSE),VLOOKUP($C42,Questions!$A$3:$N$174,13,FALSE)))</f>
        <v xml:space="preserve">
</v>
      </c>
      <c r="G42" s="187"/>
      <c r="H42" s="202"/>
      <c r="I42" s="9"/>
      <c r="J42" s="9"/>
      <c r="K42" s="9"/>
      <c r="L42" s="9"/>
      <c r="M42" s="9"/>
    </row>
    <row r="43" spans="2:14" ht="15.75" customHeight="1">
      <c r="B43" s="114" t="s">
        <v>4590</v>
      </c>
      <c r="C43" s="9">
        <v>141</v>
      </c>
      <c r="D43" s="9" t="s">
        <v>802</v>
      </c>
      <c r="E43" s="9" t="str">
        <f>IF($B43 = "Mutant",VLOOKUP($C43,Mutants!$A$2:$L$560,12,FALSE),IF($B43 = "Test",VLOOKUP($C43,Tests!$A$2:$L$841,12,FALSE),VLOOKUP($C43,Questions!$A$3:$N$174,9,FALSE)))</f>
        <v>N</v>
      </c>
      <c r="F43" s="187" t="str">
        <f>IF($B43 = "Mutant",VLOOKUP($C43,Mutants!$A$2:$L$560,11,FALSE),IF($B43 = "Test",VLOOKUP($C43,Tests!$A$2:$L$841,11,FALSE),VLOOKUP($C43,Questions!$A$3:$N$174,13,FALSE)))</f>
        <v xml:space="preserve">
</v>
      </c>
      <c r="G43" s="187"/>
      <c r="H43" s="202"/>
      <c r="I43" s="9"/>
      <c r="J43" s="9"/>
      <c r="K43" s="9"/>
      <c r="L43" s="9"/>
      <c r="M43" s="9"/>
    </row>
    <row r="44" spans="2:14" ht="15.75" customHeight="1">
      <c r="B44" s="114" t="s">
        <v>4590</v>
      </c>
      <c r="C44" s="9">
        <v>148</v>
      </c>
      <c r="D44" s="9" t="s">
        <v>816</v>
      </c>
      <c r="E44" s="9" t="str">
        <f>IF($B44 = "Mutant",VLOOKUP($C44,Mutants!$A$2:$L$560,12,FALSE),IF($B44 = "Test",VLOOKUP($C44,Tests!$A$2:$L$841,12,FALSE),VLOOKUP($C44,Questions!$A$3:$N$174,9,FALSE)))</f>
        <v>N</v>
      </c>
      <c r="F44" s="187" t="str">
        <f>IF($B44 = "Mutant",VLOOKUP($C44,Mutants!$A$2:$L$560,11,FALSE),IF($B44 = "Test",VLOOKUP($C44,Tests!$A$2:$L$841,11,FALSE),VLOOKUP($C44,Questions!$A$3:$N$174,13,FALSE)))</f>
        <v xml:space="preserve">
</v>
      </c>
      <c r="G44" s="187"/>
      <c r="H44" s="202"/>
      <c r="I44" s="9"/>
      <c r="J44" s="9"/>
      <c r="K44" s="9"/>
      <c r="L44" s="9"/>
      <c r="M44" s="9"/>
    </row>
    <row r="45" spans="2:14" ht="15.75" customHeight="1">
      <c r="B45" s="114" t="s">
        <v>4590</v>
      </c>
      <c r="C45" s="9">
        <v>156</v>
      </c>
      <c r="D45" s="9" t="s">
        <v>835</v>
      </c>
      <c r="E45" s="9" t="str">
        <f>IF($B45 = "Mutant",VLOOKUP($C45,Mutants!$A$2:$L$560,12,FALSE),IF($B45 = "Test",VLOOKUP($C45,Tests!$A$2:$L$841,12,FALSE),VLOOKUP($C45,Questions!$A$3:$N$174,9,FALSE)))</f>
        <v>N</v>
      </c>
      <c r="F45" s="187" t="str">
        <f>IF($B45 = "Mutant",VLOOKUP($C45,Mutants!$A$2:$L$560,11,FALSE),IF($B45 = "Test",VLOOKUP($C45,Tests!$A$2:$L$841,11,FALSE),VLOOKUP($C45,Questions!$A$3:$N$174,13,FALSE)))</f>
        <v xml:space="preserve">
</v>
      </c>
      <c r="G45" s="187"/>
      <c r="H45" s="202"/>
      <c r="I45" s="9"/>
      <c r="J45" s="9"/>
      <c r="K45" s="9"/>
      <c r="L45" s="9"/>
      <c r="M45" s="9"/>
    </row>
    <row r="46" spans="2:14" ht="15.75" customHeight="1">
      <c r="B46" s="114" t="s">
        <v>4589</v>
      </c>
      <c r="C46" s="9">
        <v>283</v>
      </c>
      <c r="D46" s="9" t="s">
        <v>3606</v>
      </c>
      <c r="E46" s="9" t="str">
        <f>IF($B46 = "Mutant",VLOOKUP($C46,Mutants!$A$2:$L$560,12,FALSE),IF($B46 = "Test",VLOOKUP($C46,Tests!$A$2:$L$841,12,FALSE),VLOOKUP($C46,Questions!$A$3:$N$174,9,FALSE)))</f>
        <v>N</v>
      </c>
      <c r="F46" s="187" t="str">
        <f>IF($B46 = "Mutant",VLOOKUP($C46,Mutants!$A$2:$L$560,11,FALSE),IF($B46 = "Test",VLOOKUP($C46,Tests!$A$2:$L$841,11,FALSE),VLOOKUP($C46,Questions!$A$3:$N$174,13,FALSE)))</f>
        <v xml:space="preserve">
</v>
      </c>
      <c r="G46" s="187"/>
      <c r="H46" s="202"/>
      <c r="I46" s="9"/>
      <c r="J46" s="9"/>
      <c r="K46" s="9"/>
      <c r="L46" s="9"/>
      <c r="M46" s="9"/>
    </row>
    <row r="47" spans="2:14" ht="15.75" customHeight="1">
      <c r="B47" s="114" t="s">
        <v>4589</v>
      </c>
      <c r="C47" s="9">
        <v>285</v>
      </c>
      <c r="D47" s="9" t="s">
        <v>3611</v>
      </c>
      <c r="E47" s="9" t="str">
        <f>IF($B47 = "Mutant",VLOOKUP($C47,Mutants!$A$2:$L$560,12,FALSE),IF($B47 = "Test",VLOOKUP($C47,Tests!$A$2:$L$841,12,FALSE),VLOOKUP($C47,Questions!$A$3:$N$174,9,FALSE)))</f>
        <v>Y</v>
      </c>
      <c r="F47" s="187" t="str">
        <f>IF($B47 = "Mutant",VLOOKUP($C47,Mutants!$A$2:$L$560,11,FALSE),IF($B47 = "Test",VLOOKUP($C47,Tests!$A$2:$L$841,11,FALSE),VLOOKUP($C47,Questions!$A$3:$N$174,13,FALSE)))</f>
        <v xml:space="preserve">stripLeadingHyphens
</v>
      </c>
      <c r="G47" s="187"/>
      <c r="H47" s="202"/>
      <c r="I47" s="9"/>
      <c r="J47" s="9"/>
      <c r="K47" s="9"/>
      <c r="L47" s="9"/>
      <c r="M47" s="9"/>
    </row>
    <row r="48" spans="2:14" ht="15.75" customHeight="1">
      <c r="B48" s="114" t="s">
        <v>4590</v>
      </c>
      <c r="C48" s="9">
        <v>306</v>
      </c>
      <c r="D48" s="9" t="s">
        <v>1258</v>
      </c>
      <c r="E48" s="9" t="str">
        <f>IF($B48 = "Mutant",VLOOKUP($C48,Mutants!$A$2:$L$560,12,FALSE),IF($B48 = "Test",VLOOKUP($C48,Tests!$A$2:$L$841,12,FALSE),VLOOKUP($C48,Questions!$A$3:$N$174,9,FALSE)))</f>
        <v>Y</v>
      </c>
      <c r="F48" s="187" t="str">
        <f>IF($B48 = "Mutant",VLOOKUP($C48,Mutants!$A$2:$L$560,11,FALSE),IF($B48 = "Test",VLOOKUP($C48,Tests!$A$2:$L$841,11,FALSE),VLOOKUP($C48,Questions!$A$3:$N$174,13,FALSE)))</f>
        <v xml:space="preserve">addOption, toString
</v>
      </c>
      <c r="G48" s="187"/>
      <c r="H48" s="202"/>
      <c r="I48" s="9"/>
      <c r="J48" s="9"/>
      <c r="K48" s="9"/>
      <c r="L48" s="9"/>
      <c r="M48" s="9"/>
    </row>
    <row r="49" spans="2:13" ht="15.75" customHeight="1">
      <c r="B49" s="114" t="s">
        <v>4590</v>
      </c>
      <c r="C49" s="9">
        <v>314</v>
      </c>
      <c r="D49" s="9" t="s">
        <v>1281</v>
      </c>
      <c r="E49" s="9" t="str">
        <f>IF($B49 = "Mutant",VLOOKUP($C49,Mutants!$A$2:$L$560,12,FALSE),IF($B49 = "Test",VLOOKUP($C49,Tests!$A$2:$L$841,12,FALSE),VLOOKUP($C49,Questions!$A$3:$N$174,9,FALSE)))</f>
        <v>Y</v>
      </c>
      <c r="F49" s="187" t="str">
        <f>IF($B49 = "Mutant",VLOOKUP($C49,Mutants!$A$2:$L$560,11,FALSE),IF($B49 = "Test",VLOOKUP($C49,Tests!$A$2:$L$841,11,FALSE),VLOOKUP($C49,Questions!$A$3:$N$174,13,FALSE)))</f>
        <v xml:space="preserve">addOption, toString
</v>
      </c>
      <c r="G49" s="187"/>
      <c r="H49" s="202"/>
      <c r="I49" s="9"/>
      <c r="J49" s="9"/>
      <c r="K49" s="9"/>
      <c r="L49" s="9"/>
      <c r="M49" s="9"/>
    </row>
    <row r="50" spans="2:13" ht="15.75" customHeight="1">
      <c r="B50" s="114" t="s">
        <v>4590</v>
      </c>
      <c r="C50" s="9">
        <v>320</v>
      </c>
      <c r="D50" s="9" t="s">
        <v>292</v>
      </c>
      <c r="E50" s="9" t="str">
        <f>IF($B50 = "Mutant",VLOOKUP($C50,Mutants!$A$2:$L$560,12,FALSE),IF($B50 = "Test",VLOOKUP($C50,Tests!$A$2:$L$841,12,FALSE),VLOOKUP($C50,Questions!$A$3:$N$174,9,FALSE)))</f>
        <v>Y</v>
      </c>
      <c r="F50" s="187" t="str">
        <f>IF($B50 = "Mutant",VLOOKUP($C50,Mutants!$A$2:$L$560,11,FALSE),IF($B50 = "Test",VLOOKUP($C50,Tests!$A$2:$L$841,11,FALSE),VLOOKUP($C50,Questions!$A$3:$N$174,13,FALSE)))</f>
        <v xml:space="preserve">addOption, toString
</v>
      </c>
      <c r="G50" s="187"/>
      <c r="H50" s="202"/>
      <c r="I50" s="9"/>
      <c r="J50" s="9"/>
      <c r="K50" s="9"/>
      <c r="L50" s="9"/>
      <c r="M50" s="9"/>
    </row>
    <row r="51" spans="2:13" ht="15.75" customHeight="1">
      <c r="B51" s="114" t="s">
        <v>4590</v>
      </c>
      <c r="C51" s="9">
        <v>327</v>
      </c>
      <c r="D51" s="9" t="s">
        <v>1309</v>
      </c>
      <c r="E51" s="9" t="str">
        <f>IF($B51 = "Mutant",VLOOKUP($C51,Mutants!$A$2:$L$560,12,FALSE),IF($B51 = "Test",VLOOKUP($C51,Tests!$A$2:$L$841,12,FALSE),VLOOKUP($C51,Questions!$A$3:$N$174,9,FALSE)))</f>
        <v>Y</v>
      </c>
      <c r="F51" s="187" t="str">
        <f>IF($B51 = "Mutant",VLOOKUP($C51,Mutants!$A$2:$L$560,11,FALSE),IF($B51 = "Test",VLOOKUP($C51,Tests!$A$2:$L$841,11,FALSE),VLOOKUP($C51,Questions!$A$3:$N$174,13,FALSE)))</f>
        <v xml:space="preserve">addOption, toString
</v>
      </c>
      <c r="G51" s="187"/>
      <c r="H51" s="202"/>
      <c r="I51" s="9"/>
      <c r="J51" s="9"/>
      <c r="K51" s="9"/>
      <c r="L51" s="9"/>
      <c r="M51" s="9"/>
    </row>
    <row r="52" spans="2:13" ht="15.75" customHeight="1">
      <c r="B52" s="114" t="s">
        <v>4590</v>
      </c>
      <c r="C52" s="9">
        <v>341</v>
      </c>
      <c r="D52" s="9" t="s">
        <v>1351</v>
      </c>
      <c r="E52" s="9" t="str">
        <f>IF($B52 = "Mutant",VLOOKUP($C52,Mutants!$A$2:$L$560,12,FALSE),IF($B52 = "Test",VLOOKUP($C52,Tests!$A$2:$L$841,12,FALSE),VLOOKUP($C52,Questions!$A$3:$N$174,9,FALSE)))</f>
        <v>Y</v>
      </c>
      <c r="F52" s="187" t="str">
        <f>IF($B52 = "Mutant",VLOOKUP($C52,Mutants!$A$2:$L$560,11,FALSE),IF($B52 = "Test",VLOOKUP($C52,Tests!$A$2:$L$841,11,FALSE),VLOOKUP($C52,Questions!$A$3:$N$174,13,FALSE)))</f>
        <v xml:space="preserve">toString
</v>
      </c>
      <c r="G52" s="187"/>
      <c r="H52" s="202"/>
      <c r="I52" s="9"/>
      <c r="J52" s="9"/>
      <c r="K52" s="9"/>
      <c r="L52" s="9"/>
      <c r="M52" s="9"/>
    </row>
    <row r="53" spans="2:13" ht="15.75" customHeight="1">
      <c r="B53" s="114" t="s">
        <v>4590</v>
      </c>
      <c r="C53" s="9">
        <v>349</v>
      </c>
      <c r="D53" s="9" t="s">
        <v>1374</v>
      </c>
      <c r="E53" s="9" t="str">
        <f>IF($B53 = "Mutant",VLOOKUP($C53,Mutants!$A$2:$L$560,12,FALSE),IF($B53 = "Test",VLOOKUP($C53,Tests!$A$2:$L$841,12,FALSE),VLOOKUP($C53,Questions!$A$3:$N$174,9,FALSE)))</f>
        <v>Y</v>
      </c>
      <c r="F53" s="187" t="str">
        <f>IF($B53 = "Mutant",VLOOKUP($C53,Mutants!$A$2:$L$560,11,FALSE),IF($B53 = "Test",VLOOKUP($C53,Tests!$A$2:$L$841,11,FALSE),VLOOKUP($C53,Questions!$A$3:$N$174,13,FALSE)))</f>
        <v xml:space="preserve">toString
</v>
      </c>
      <c r="G53" s="187"/>
      <c r="H53" s="202"/>
      <c r="I53" s="9"/>
      <c r="J53" s="9"/>
      <c r="K53" s="9"/>
      <c r="L53" s="9"/>
      <c r="M53" s="9"/>
    </row>
    <row r="54" spans="2:13" ht="15.75" customHeight="1">
      <c r="B54" s="114" t="s">
        <v>4590</v>
      </c>
      <c r="C54" s="9">
        <v>367</v>
      </c>
      <c r="D54" s="9" t="s">
        <v>1425</v>
      </c>
      <c r="E54" s="9" t="str">
        <f>IF($B54 = "Mutant",VLOOKUP($C54,Mutants!$A$2:$L$560,12,FALSE),IF($B54 = "Test",VLOOKUP($C54,Tests!$A$2:$L$841,12,FALSE),VLOOKUP($C54,Questions!$A$3:$N$174,9,FALSE)))</f>
        <v>Y</v>
      </c>
      <c r="F54" s="187" t="str">
        <f>IF($B54 = "Mutant",VLOOKUP($C54,Mutants!$A$2:$L$560,11,FALSE),IF($B54 = "Test",VLOOKUP($C54,Tests!$A$2:$L$841,11,FALSE),VLOOKUP($C54,Questions!$A$3:$N$174,13,FALSE)))</f>
        <v xml:space="preserve">toString
</v>
      </c>
      <c r="G54" s="187"/>
      <c r="H54" s="202"/>
      <c r="I54" s="9"/>
      <c r="J54" s="9"/>
      <c r="K54" s="9"/>
      <c r="L54" s="9"/>
      <c r="M54" s="9"/>
    </row>
    <row r="55" spans="2:13" ht="15.75" customHeight="1">
      <c r="B55" s="114" t="s">
        <v>4590</v>
      </c>
      <c r="C55" s="9">
        <v>372</v>
      </c>
      <c r="D55" s="9" t="s">
        <v>1444</v>
      </c>
      <c r="E55" s="9" t="str">
        <f>IF($B55 = "Mutant",VLOOKUP($C55,Mutants!$A$2:$L$560,12,FALSE),IF($B55 = "Test",VLOOKUP($C55,Tests!$A$2:$L$841,12,FALSE),VLOOKUP($C55,Questions!$A$3:$N$174,9,FALSE)))</f>
        <v>Y</v>
      </c>
      <c r="F55" s="187" t="str">
        <f>IF($B55 = "Mutant",VLOOKUP($C55,Mutants!$A$2:$L$560,11,FALSE),IF($B55 = "Test",VLOOKUP($C55,Tests!$A$2:$L$841,11,FALSE),VLOOKUP($C55,Questions!$A$3:$N$174,13,FALSE)))</f>
        <v xml:space="preserve">toString
</v>
      </c>
      <c r="G55" s="187"/>
      <c r="H55" s="202"/>
      <c r="I55" s="9"/>
      <c r="J55" s="9"/>
      <c r="K55" s="9"/>
      <c r="L55" s="9"/>
      <c r="M55" s="9"/>
    </row>
    <row r="56" spans="2:13" ht="15.75" customHeight="1">
      <c r="B56" s="133" t="s">
        <v>4590</v>
      </c>
      <c r="C56" s="130">
        <v>438</v>
      </c>
      <c r="D56" s="130" t="s">
        <v>1647</v>
      </c>
      <c r="E56" s="130" t="str">
        <f>IF($B56 = "Mutant",VLOOKUP($C56,Mutants!$A$2:$L$560,12,FALSE),IF($B56 = "Test",VLOOKUP($C56,Tests!$A$2:$L$841,12,FALSE),VLOOKUP($C56,Questions!$A$3:$N$174,9,FALSE)))</f>
        <v>Y</v>
      </c>
      <c r="F56" s="203" t="str">
        <f>IF($B56 = "Mutant",VLOOKUP($C56,Mutants!$A$2:$L$560,11,FALSE),IF($B56 = "Test",VLOOKUP($C56,Tests!$A$2:$L$841,11,FALSE),VLOOKUP($C56,Questions!$A$3:$N$174,13,FALSE)))</f>
        <v xml:space="preserve">addOption, getRequiredOptions
</v>
      </c>
      <c r="G56" s="203"/>
      <c r="H56" s="204"/>
      <c r="I56" s="9"/>
      <c r="J56" s="9"/>
      <c r="K56" s="9"/>
      <c r="L56" s="9"/>
      <c r="M56" s="9"/>
    </row>
    <row r="57" spans="2:13" ht="15.75" customHeight="1">
      <c r="F57" s="188"/>
      <c r="G57" s="188"/>
      <c r="H57" s="188"/>
    </row>
    <row r="58" spans="2:13" ht="15.75" customHeight="1">
      <c r="F58" s="188"/>
      <c r="G58" s="188"/>
      <c r="H58" s="188"/>
    </row>
    <row r="59" spans="2:13" ht="15.75" customHeight="1" thickBot="1">
      <c r="B59" s="219" t="s">
        <v>4604</v>
      </c>
      <c r="C59" s="201"/>
      <c r="D59" s="45">
        <v>150</v>
      </c>
      <c r="F59" s="207"/>
      <c r="G59" s="207"/>
      <c r="H59" s="207"/>
    </row>
    <row r="60" spans="2:13" ht="15.75" customHeight="1" thickTop="1">
      <c r="B60" s="134" t="s">
        <v>4594</v>
      </c>
      <c r="C60" s="135" t="s">
        <v>44</v>
      </c>
      <c r="D60" s="135" t="s">
        <v>110</v>
      </c>
      <c r="E60" s="136" t="s">
        <v>2</v>
      </c>
      <c r="F60" s="229" t="s">
        <v>4612</v>
      </c>
      <c r="G60" s="229"/>
      <c r="H60" s="230"/>
      <c r="I60" s="9"/>
      <c r="J60" s="9"/>
      <c r="K60" s="9"/>
      <c r="L60" s="9"/>
      <c r="M60" s="9"/>
    </row>
    <row r="61" spans="2:13" ht="15.75" customHeight="1">
      <c r="B61" s="137" t="s">
        <v>4589</v>
      </c>
      <c r="C61" s="93">
        <v>165</v>
      </c>
      <c r="D61" s="93" t="s">
        <v>3278</v>
      </c>
      <c r="E61" s="93" t="str">
        <f>IF($B61 = "Mutant",VLOOKUP($C61,Mutants!$A$2:$L$560,12,FALSE),IF($B61 = "Test",VLOOKUP($C61,Tests!$A$2:$L$841,12,FALSE),VLOOKUP($C61,Questions!$A$3:$N$174,9,FALSE)))</f>
        <v>Y</v>
      </c>
      <c r="F61" s="205" t="str">
        <f>IF($B61 = "Mutant",VLOOKUP($C61,Mutants!$A$2:$L$560,11,FALSE),IF($B61 = "Test",VLOOKUP($C61,Tests!$A$2:$L$841,11,FALSE),VLOOKUP($C61,Questions!$A$3:$N$174,13,FALSE)))</f>
        <v xml:space="preserve">addOption
</v>
      </c>
      <c r="G61" s="205"/>
      <c r="H61" s="206"/>
      <c r="I61" s="9"/>
      <c r="J61" s="9"/>
      <c r="K61" s="9"/>
      <c r="L61" s="9"/>
      <c r="M61" s="9"/>
    </row>
    <row r="62" spans="2:13" ht="15.75" customHeight="1">
      <c r="B62" s="114" t="s">
        <v>4589</v>
      </c>
      <c r="C62" s="9">
        <v>255</v>
      </c>
      <c r="D62" s="9" t="s">
        <v>3529</v>
      </c>
      <c r="E62" s="9" t="str">
        <f>IF($B62 = "Mutant",VLOOKUP($C62,Mutants!$A$2:$L$560,12,FALSE),IF($B62 = "Test",VLOOKUP($C62,Tests!$A$2:$L$841,12,FALSE),VLOOKUP($C62,Questions!$A$3:$N$174,9,FALSE)))</f>
        <v>Y</v>
      </c>
      <c r="F62" s="187" t="str">
        <f>IF($B62 = "Mutant",VLOOKUP($C62,Mutants!$A$2:$L$560,11,FALSE),IF($B62 = "Test",VLOOKUP($C62,Tests!$A$2:$L$841,11,FALSE),VLOOKUP($C62,Questions!$A$3:$N$174,13,FALSE)))</f>
        <v xml:space="preserve">stripLeadingHyphens
</v>
      </c>
      <c r="G62" s="187"/>
      <c r="H62" s="202"/>
      <c r="I62" s="9"/>
      <c r="J62" s="9"/>
      <c r="K62" s="9"/>
      <c r="L62" s="9"/>
      <c r="M62" s="9"/>
    </row>
    <row r="63" spans="2:13" ht="15.75" customHeight="1">
      <c r="B63" s="114" t="s">
        <v>107</v>
      </c>
      <c r="C63" s="9">
        <v>42</v>
      </c>
      <c r="D63" s="9" t="s">
        <v>254</v>
      </c>
      <c r="E63" s="9" t="str">
        <f>IF($B63 = "Mutant",VLOOKUP($C63,Mutants!$A$2:$L$560,12,FALSE),IF($B63 = "Test",VLOOKUP($C63,Tests!$A$2:$L$841,12,FALSE),VLOOKUP($C63,Questions!$A$3:$N$174,9,FALSE)))</f>
        <v>Y</v>
      </c>
      <c r="F63" s="187" t="str">
        <f>IF($B63 = "Mutant",VLOOKUP($C63,Mutants!$A$2:$L$560,11,FALSE),IF($B63 = "Test",VLOOKUP($C63,Tests!$A$2:$L$841,11,FALSE),VLOOKUP($C63,Questions!$A$3:$N$174,13,FALSE)))</f>
        <v xml:space="preserve"> </v>
      </c>
      <c r="G63" s="187"/>
      <c r="H63" s="202"/>
      <c r="I63" s="9"/>
      <c r="J63" s="9"/>
      <c r="K63" s="9"/>
      <c r="L63" s="9"/>
      <c r="M63" s="9"/>
    </row>
    <row r="64" spans="2:13" ht="15.75" customHeight="1">
      <c r="B64" s="114" t="s">
        <v>107</v>
      </c>
      <c r="C64" s="9">
        <v>44</v>
      </c>
      <c r="D64" s="9" t="s">
        <v>257</v>
      </c>
      <c r="E64" s="9" t="str">
        <f>IF($B64 = "Mutant",VLOOKUP($C64,Mutants!$A$2:$L$560,12,FALSE),IF($B64 = "Test",VLOOKUP($C64,Tests!$A$2:$L$841,12,FALSE),VLOOKUP($C64,Questions!$A$3:$N$174,9,FALSE)))</f>
        <v>Y</v>
      </c>
      <c r="F64" s="187" t="str">
        <f>IF($B64 = "Mutant",VLOOKUP($C64,Mutants!$A$2:$L$560,11,FALSE),IF($B64 = "Test",VLOOKUP($C64,Tests!$A$2:$L$841,11,FALSE),VLOOKUP($C64,Questions!$A$3:$N$174,13,FALSE)))</f>
        <v xml:space="preserve"> </v>
      </c>
      <c r="G64" s="187"/>
      <c r="H64" s="202"/>
      <c r="I64" s="9"/>
      <c r="J64" s="9"/>
      <c r="K64" s="9"/>
      <c r="L64" s="9"/>
      <c r="M64" s="9"/>
    </row>
    <row r="65" spans="2:14" ht="15.75" customHeight="1">
      <c r="B65" s="133" t="s">
        <v>107</v>
      </c>
      <c r="C65" s="130">
        <v>50</v>
      </c>
      <c r="D65" s="130" t="s">
        <v>260</v>
      </c>
      <c r="E65" s="130" t="str">
        <f>IF($B65 = "Mutant",VLOOKUP($C65,Mutants!$A$2:$L$560,12,FALSE),IF($B65 = "Test",VLOOKUP($C65,Tests!$A$2:$L$841,12,FALSE),VLOOKUP($C65,Questions!$A$3:$N$174,9,FALSE)))</f>
        <v>Y</v>
      </c>
      <c r="F65" s="203" t="str">
        <f>IF($B65 = "Mutant",VLOOKUP($C65,Mutants!$A$2:$L$560,11,FALSE),IF($B65 = "Test",VLOOKUP($C65,Tests!$A$2:$L$841,11,FALSE),VLOOKUP($C65,Questions!$A$3:$N$174,13,FALSE)))</f>
        <v xml:space="preserve"> </v>
      </c>
      <c r="G65" s="203"/>
      <c r="H65" s="204"/>
      <c r="I65" s="9"/>
      <c r="J65" s="9"/>
      <c r="K65" s="9"/>
      <c r="L65" s="9"/>
      <c r="M65" s="9"/>
    </row>
    <row r="66" spans="2:14" ht="15.75" customHeight="1">
      <c r="F66" s="188"/>
      <c r="G66" s="188"/>
      <c r="H66" s="188"/>
    </row>
    <row r="67" spans="2:14" ht="15.75" customHeight="1">
      <c r="F67" s="188"/>
      <c r="G67" s="188"/>
      <c r="H67" s="188"/>
    </row>
    <row r="68" spans="2:14" ht="15.75" customHeight="1" thickBot="1">
      <c r="B68" s="219" t="s">
        <v>4604</v>
      </c>
      <c r="C68" s="201"/>
      <c r="D68" s="45">
        <v>151</v>
      </c>
      <c r="F68" s="207"/>
      <c r="G68" s="207"/>
      <c r="H68" s="207"/>
    </row>
    <row r="69" spans="2:14" ht="15.75" customHeight="1" thickTop="1">
      <c r="B69" s="134" t="s">
        <v>4594</v>
      </c>
      <c r="C69" s="135" t="s">
        <v>44</v>
      </c>
      <c r="D69" s="135" t="s">
        <v>110</v>
      </c>
      <c r="E69" s="136" t="s">
        <v>2</v>
      </c>
      <c r="F69" s="229" t="s">
        <v>4612</v>
      </c>
      <c r="G69" s="229"/>
      <c r="H69" s="230"/>
      <c r="I69" s="9"/>
      <c r="J69" s="9"/>
      <c r="K69" s="9"/>
      <c r="L69" s="9"/>
      <c r="M69" s="9"/>
    </row>
    <row r="70" spans="2:14" ht="15.75" customHeight="1">
      <c r="B70" s="137" t="s">
        <v>4589</v>
      </c>
      <c r="C70" s="93">
        <v>121</v>
      </c>
      <c r="D70" s="93" t="s">
        <v>3152</v>
      </c>
      <c r="E70" s="93" t="str">
        <f>IF($B70 = "Mutant",VLOOKUP($C70,Mutants!$A$2:$L$560,12,FALSE),IF($B70 = "Test",VLOOKUP($C70,Tests!$A$2:$L$841,12,FALSE),VLOOKUP($C70,Questions!$A$3:$N$174,9,FALSE)))</f>
        <v>Y</v>
      </c>
      <c r="F70" s="205" t="str">
        <f>IF($B70 = "Mutant",VLOOKUP($C70,Mutants!$A$2:$L$560,11,FALSE),IF($B70 = "Test",VLOOKUP($C70,Tests!$A$2:$L$841,11,FALSE),VLOOKUP($C70,Questions!$A$3:$N$174,13,FALSE)))</f>
        <v xml:space="preserve">addOptionGroup
</v>
      </c>
      <c r="G70" s="205"/>
      <c r="H70" s="206"/>
      <c r="I70" s="9"/>
      <c r="J70" s="9"/>
      <c r="K70" s="9"/>
      <c r="L70" s="9"/>
      <c r="M70" s="9"/>
    </row>
    <row r="71" spans="2:14" ht="15.75" customHeight="1">
      <c r="B71" s="114" t="s">
        <v>107</v>
      </c>
      <c r="C71" s="9">
        <v>13</v>
      </c>
      <c r="D71" s="9" t="s">
        <v>263</v>
      </c>
      <c r="E71" s="9" t="str">
        <f>IF($B71 = "Mutant",VLOOKUP($C71,Mutants!$A$2:$L$560,12,FALSE),IF($B71 = "Test",VLOOKUP($C71,Tests!$A$2:$L$841,12,FALSE),VLOOKUP($C71,Questions!$A$3:$N$174,9,FALSE)))</f>
        <v>Y</v>
      </c>
      <c r="F71" s="187" t="str">
        <f>IF($B71 = "Mutant",VLOOKUP($C71,Mutants!$A$2:$L$560,11,FALSE),IF($B71 = "Test",VLOOKUP($C71,Tests!$A$2:$L$841,11,FALSE),VLOOKUP($C71,Questions!$A$3:$N$174,13,FALSE)))</f>
        <v xml:space="preserve"> </v>
      </c>
      <c r="G71" s="187"/>
      <c r="H71" s="202"/>
      <c r="I71" s="9"/>
      <c r="J71" s="9"/>
      <c r="K71" s="9"/>
      <c r="L71" s="9"/>
      <c r="M71" s="9"/>
    </row>
    <row r="72" spans="2:14" ht="15.75" customHeight="1">
      <c r="B72" s="114" t="s">
        <v>4589</v>
      </c>
      <c r="C72" s="9">
        <v>229</v>
      </c>
      <c r="D72" s="9" t="s">
        <v>3455</v>
      </c>
      <c r="E72" s="9" t="str">
        <f>IF($B72 = "Mutant",VLOOKUP($C72,Mutants!$A$2:$L$560,12,FALSE),IF($B72 = "Test",VLOOKUP($C72,Tests!$A$2:$L$841,12,FALSE),VLOOKUP($C72,Questions!$A$3:$N$174,9,FALSE)))</f>
        <v>Y</v>
      </c>
      <c r="F72" s="187" t="str">
        <f>IF($B72 = "Mutant",VLOOKUP($C72,Mutants!$A$2:$L$560,11,FALSE),IF($B72 = "Test",VLOOKUP($C72,Tests!$A$2:$L$841,11,FALSE),VLOOKUP($C72,Questions!$A$3:$N$174,13,FALSE)))</f>
        <v xml:space="preserve">getOptionGroups
</v>
      </c>
      <c r="G72" s="187"/>
      <c r="H72" s="202"/>
      <c r="I72" s="9"/>
      <c r="J72" s="9"/>
      <c r="K72" s="9"/>
      <c r="L72" s="9"/>
      <c r="M72" s="9"/>
    </row>
    <row r="73" spans="2:14" ht="15.75" customHeight="1">
      <c r="B73" s="114" t="s">
        <v>107</v>
      </c>
      <c r="C73" s="9">
        <v>32</v>
      </c>
      <c r="D73" s="9" t="s">
        <v>266</v>
      </c>
      <c r="E73" s="9" t="str">
        <f>IF($B73 = "Mutant",VLOOKUP($C73,Mutants!$A$2:$L$560,12,FALSE),IF($B73 = "Test",VLOOKUP($C73,Tests!$A$2:$L$841,12,FALSE),VLOOKUP($C73,Questions!$A$3:$N$174,9,FALSE)))</f>
        <v>Y</v>
      </c>
      <c r="F73" s="187" t="str">
        <f>IF($B73 = "Mutant",VLOOKUP($C73,Mutants!$A$2:$L$560,11,FALSE),IF($B73 = "Test",VLOOKUP($C73,Tests!$A$2:$L$841,11,FALSE),VLOOKUP($C73,Questions!$A$3:$N$174,13,FALSE)))</f>
        <v>stripLeadingHyphens</v>
      </c>
      <c r="G73" s="187"/>
      <c r="H73" s="202"/>
      <c r="I73" s="9"/>
      <c r="J73" s="9"/>
      <c r="K73" s="9"/>
      <c r="L73" s="9"/>
      <c r="M73" s="9"/>
      <c r="N73" s="9"/>
    </row>
    <row r="74" spans="2:14" ht="15.75" customHeight="1">
      <c r="B74" s="114" t="s">
        <v>4590</v>
      </c>
      <c r="C74" s="9">
        <v>199</v>
      </c>
      <c r="D74" s="9" t="s">
        <v>951</v>
      </c>
      <c r="E74" s="9" t="str">
        <f>IF($B74 = "Mutant",VLOOKUP($C74,Mutants!$A$2:$L$560,12,FALSE),IF($B74 = "Test",VLOOKUP($C74,Tests!$A$2:$L$841,12,FALSE),VLOOKUP($C74,Questions!$A$3:$N$174,9,FALSE)))</f>
        <v>Y</v>
      </c>
      <c r="F74" s="187" t="str">
        <f>IF($B74 = "Mutant",VLOOKUP($C74,Mutants!$A$2:$L$560,11,FALSE),IF($B74 = "Test",VLOOKUP($C74,Tests!$A$2:$L$841,11,FALSE),VLOOKUP($C74,Questions!$A$3:$N$174,13,FALSE)))</f>
        <v xml:space="preserve">addOption, getOption, stripLeadingHyphens
</v>
      </c>
      <c r="G74" s="187"/>
      <c r="H74" s="202"/>
      <c r="I74" s="9"/>
      <c r="J74" s="9"/>
      <c r="K74" s="9"/>
      <c r="L74" s="9"/>
      <c r="M74" s="9"/>
    </row>
    <row r="75" spans="2:14" ht="15.75" customHeight="1">
      <c r="B75" s="114" t="s">
        <v>4590</v>
      </c>
      <c r="C75" s="9">
        <v>217</v>
      </c>
      <c r="D75" s="9" t="s">
        <v>998</v>
      </c>
      <c r="E75" s="9" t="str">
        <f>IF($B75 = "Mutant",VLOOKUP($C75,Mutants!$A$2:$L$560,12,FALSE),IF($B75 = "Test",VLOOKUP($C75,Tests!$A$2:$L$841,12,FALSE),VLOOKUP($C75,Questions!$A$3:$N$174,9,FALSE)))</f>
        <v>Y</v>
      </c>
      <c r="F75" s="187" t="str">
        <f>IF($B75 = "Mutant",VLOOKUP($C75,Mutants!$A$2:$L$560,11,FALSE),IF($B75 = "Test",VLOOKUP($C75,Tests!$A$2:$L$841,11,FALSE),VLOOKUP($C75,Questions!$A$3:$N$174,13,FALSE)))</f>
        <v xml:space="preserve">addOption, getOption, stripLeadingHyphens
</v>
      </c>
      <c r="G75" s="187"/>
      <c r="H75" s="202"/>
      <c r="I75" s="9"/>
      <c r="J75" s="9"/>
      <c r="K75" s="9"/>
      <c r="L75" s="9"/>
      <c r="M75" s="9"/>
    </row>
    <row r="76" spans="2:14" ht="15.75" customHeight="1">
      <c r="B76" s="114" t="s">
        <v>4590</v>
      </c>
      <c r="C76" s="9">
        <v>247</v>
      </c>
      <c r="D76" s="9" t="s">
        <v>1083</v>
      </c>
      <c r="E76" s="9" t="str">
        <f>IF($B76 = "Mutant",VLOOKUP($C76,Mutants!$A$2:$L$560,12,FALSE),IF($B76 = "Test",VLOOKUP($C76,Tests!$A$2:$L$841,12,FALSE),VLOOKUP($C76,Questions!$A$3:$N$174,9,FALSE)))</f>
        <v>Y</v>
      </c>
      <c r="F76" s="187" t="str">
        <f>IF($B76 = "Mutant",VLOOKUP($C76,Mutants!$A$2:$L$560,11,FALSE),IF($B76 = "Test",VLOOKUP($C76,Tests!$A$2:$L$841,11,FALSE),VLOOKUP($C76,Questions!$A$3:$N$174,13,FALSE)))</f>
        <v xml:space="preserve">addOption, getOption, stripLeadingHyphens
</v>
      </c>
      <c r="G76" s="187"/>
      <c r="H76" s="202"/>
      <c r="I76" s="9"/>
      <c r="J76" s="9"/>
      <c r="K76" s="9"/>
      <c r="L76" s="9"/>
      <c r="M76" s="9"/>
    </row>
    <row r="77" spans="2:14" ht="15.75" customHeight="1">
      <c r="B77" s="114" t="s">
        <v>4590</v>
      </c>
      <c r="C77" s="9">
        <v>260</v>
      </c>
      <c r="D77" s="9" t="s">
        <v>1124</v>
      </c>
      <c r="E77" s="9" t="str">
        <f>IF($B77 = "Mutant",VLOOKUP($C77,Mutants!$A$2:$L$560,12,FALSE),IF($B77 = "Test",VLOOKUP($C77,Tests!$A$2:$L$841,12,FALSE),VLOOKUP($C77,Questions!$A$3:$N$174,9,FALSE)))</f>
        <v>Y</v>
      </c>
      <c r="F77" s="187" t="str">
        <f>IF($B77 = "Mutant",VLOOKUP($C77,Mutants!$A$2:$L$560,11,FALSE),IF($B77 = "Test",VLOOKUP($C77,Tests!$A$2:$L$841,11,FALSE),VLOOKUP($C77,Questions!$A$3:$N$174,13,FALSE)))</f>
        <v xml:space="preserve">addOption, getOption, stripLeadingHyphens
</v>
      </c>
      <c r="G77" s="187"/>
      <c r="H77" s="202"/>
      <c r="I77" s="9"/>
      <c r="J77" s="9"/>
      <c r="K77" s="9"/>
      <c r="L77" s="9"/>
      <c r="M77" s="9"/>
    </row>
    <row r="78" spans="2:14" ht="15.75" customHeight="1">
      <c r="B78" s="114" t="s">
        <v>4590</v>
      </c>
      <c r="C78" s="9">
        <v>330</v>
      </c>
      <c r="D78" s="9" t="s">
        <v>1325</v>
      </c>
      <c r="E78" s="9" t="str">
        <f>IF($B78 = "Mutant",VLOOKUP($C78,Mutants!$A$2:$L$560,12,FALSE),IF($B78 = "Test",VLOOKUP($C78,Tests!$A$2:$L$841,12,FALSE),VLOOKUP($C78,Questions!$A$3:$N$174,9,FALSE)))</f>
        <v>Y</v>
      </c>
      <c r="F78" s="187" t="str">
        <f>IF($B78 = "Mutant",VLOOKUP($C78,Mutants!$A$2:$L$560,11,FALSE),IF($B78 = "Test",VLOOKUP($C78,Tests!$A$2:$L$841,11,FALSE),VLOOKUP($C78,Questions!$A$3:$N$174,13,FALSE)))</f>
        <v xml:space="preserve">addOption, getRequiredOptions
</v>
      </c>
      <c r="G78" s="187"/>
      <c r="H78" s="202"/>
      <c r="I78" s="9"/>
      <c r="J78" s="9"/>
      <c r="K78" s="9"/>
      <c r="L78" s="9"/>
      <c r="M78" s="9"/>
    </row>
    <row r="79" spans="2:14" ht="15.75" customHeight="1">
      <c r="B79" s="114" t="s">
        <v>107</v>
      </c>
      <c r="C79" s="9">
        <v>76</v>
      </c>
      <c r="D79" s="9" t="s">
        <v>269</v>
      </c>
      <c r="E79" s="9" t="str">
        <f>IF($B79 = "Mutant",VLOOKUP($C79,Mutants!$A$2:$L$560,12,FALSE),IF($B79 = "Test",VLOOKUP($C79,Tests!$A$2:$L$841,12,FALSE),VLOOKUP($C79,Questions!$A$3:$N$174,9,FALSE)))</f>
        <v>Y</v>
      </c>
      <c r="F79" s="187" t="str">
        <f>IF($B79 = "Mutant",VLOOKUP($C79,Mutants!$A$2:$L$560,11,FALSE),IF($B79 = "Test",VLOOKUP($C79,Tests!$A$2:$L$841,11,FALSE),VLOOKUP($C79,Questions!$A$3:$N$174,13,FALSE)))</f>
        <v xml:space="preserve"> </v>
      </c>
      <c r="G79" s="187"/>
      <c r="H79" s="202"/>
      <c r="I79" s="9"/>
      <c r="J79" s="9"/>
      <c r="K79" s="9"/>
      <c r="L79" s="9"/>
      <c r="M79" s="9"/>
    </row>
    <row r="80" spans="2:14" ht="15.75" customHeight="1">
      <c r="B80" s="114" t="s">
        <v>4590</v>
      </c>
      <c r="C80" s="9">
        <v>406</v>
      </c>
      <c r="D80" s="9" t="s">
        <v>1546</v>
      </c>
      <c r="E80" s="9" t="str">
        <f>IF($B80 = "Mutant",VLOOKUP($C80,Mutants!$A$2:$L$560,12,FALSE),IF($B80 = "Test",VLOOKUP($C80,Tests!$A$2:$L$841,12,FALSE),VLOOKUP($C80,Questions!$A$3:$N$174,9,FALSE)))</f>
        <v>Y</v>
      </c>
      <c r="F80" s="187" t="str">
        <f>IF($B80 = "Mutant",VLOOKUP($C80,Mutants!$A$2:$L$560,11,FALSE),IF($B80 = "Test",VLOOKUP($C80,Tests!$A$2:$L$841,11,FALSE),VLOOKUP($C80,Questions!$A$3:$N$174,13,FALSE)))</f>
        <v xml:space="preserve">addOption, hasLongOption, stripLeadingHyphens
</v>
      </c>
      <c r="G80" s="187"/>
      <c r="H80" s="202"/>
      <c r="I80" s="9"/>
      <c r="J80" s="9"/>
      <c r="K80" s="9"/>
      <c r="L80" s="9"/>
      <c r="M80" s="9"/>
    </row>
    <row r="81" spans="2:14" ht="15.75" customHeight="1">
      <c r="B81" s="114" t="s">
        <v>107</v>
      </c>
      <c r="C81" s="9">
        <v>87</v>
      </c>
      <c r="D81" s="9" t="s">
        <v>272</v>
      </c>
      <c r="E81" s="9" t="str">
        <f>IF($B81 = "Mutant",VLOOKUP($C81,Mutants!$A$2:$L$560,12,FALSE),IF($B81 = "Test",VLOOKUP($C81,Tests!$A$2:$L$841,12,FALSE),VLOOKUP($C81,Questions!$A$3:$N$174,9,FALSE)))</f>
        <v>Y</v>
      </c>
      <c r="F81" s="187" t="str">
        <f>IF($B81 = "Mutant",VLOOKUP($C81,Mutants!$A$2:$L$560,11,FALSE),IF($B81 = "Test",VLOOKUP($C81,Tests!$A$2:$L$841,11,FALSE),VLOOKUP($C81,Questions!$A$3:$N$174,13,FALSE)))</f>
        <v xml:space="preserve">getMatchingOptions
</v>
      </c>
      <c r="G81" s="187"/>
      <c r="H81" s="202"/>
      <c r="I81" s="9"/>
      <c r="J81" s="9"/>
      <c r="K81" s="9"/>
      <c r="L81" s="9"/>
      <c r="M81" s="9"/>
      <c r="N81" s="9"/>
    </row>
    <row r="82" spans="2:14" ht="15.75" customHeight="1">
      <c r="B82" s="133" t="s">
        <v>4590</v>
      </c>
      <c r="C82" s="130">
        <v>467</v>
      </c>
      <c r="D82" s="130" t="s">
        <v>1732</v>
      </c>
      <c r="E82" s="130" t="str">
        <f>IF($B82 = "Mutant",VLOOKUP($C82,Mutants!$A$2:$L$560,12,FALSE),IF($B82 = "Test",VLOOKUP($C82,Tests!$A$2:$L$841,12,FALSE),VLOOKUP($C82,Questions!$A$3:$N$174,9,FALSE)))</f>
        <v>Y</v>
      </c>
      <c r="F82" s="203" t="str">
        <f>IF($B82 = "Mutant",VLOOKUP($C82,Mutants!$A$2:$L$560,11,FALSE),IF($B82 = "Test",VLOOKUP($C82,Tests!$A$2:$L$841,11,FALSE),VLOOKUP($C82,Questions!$A$3:$N$174,13,FALSE)))</f>
        <v xml:space="preserve">addOption, getMatchingOptions, stripLeadingHyphens
</v>
      </c>
      <c r="G82" s="203"/>
      <c r="H82" s="204"/>
      <c r="I82" s="9"/>
      <c r="J82" s="9"/>
      <c r="K82" s="9"/>
      <c r="L82" s="9"/>
      <c r="M82" s="9"/>
    </row>
    <row r="83" spans="2:14" ht="15.75" customHeight="1">
      <c r="F83" s="188"/>
      <c r="G83" s="188"/>
      <c r="H83" s="188"/>
    </row>
    <row r="84" spans="2:14" ht="15.75" customHeight="1">
      <c r="F84" s="188"/>
      <c r="G84" s="188"/>
      <c r="H84" s="188"/>
    </row>
    <row r="85" spans="2:14" ht="15.75" customHeight="1" thickBot="1">
      <c r="B85" s="219" t="s">
        <v>4604</v>
      </c>
      <c r="C85" s="201"/>
      <c r="D85" s="45">
        <v>152</v>
      </c>
      <c r="F85" s="207"/>
      <c r="G85" s="207"/>
      <c r="H85" s="207"/>
    </row>
    <row r="86" spans="2:14" ht="15.75" customHeight="1" thickTop="1">
      <c r="B86" s="134" t="s">
        <v>4594</v>
      </c>
      <c r="C86" s="135" t="s">
        <v>44</v>
      </c>
      <c r="D86" s="135" t="s">
        <v>110</v>
      </c>
      <c r="E86" s="136" t="s">
        <v>2</v>
      </c>
      <c r="F86" s="229" t="s">
        <v>4612</v>
      </c>
      <c r="G86" s="229"/>
      <c r="H86" s="230"/>
      <c r="I86" s="9"/>
      <c r="J86" s="9"/>
      <c r="K86" s="9"/>
      <c r="L86" s="9"/>
      <c r="M86" s="9"/>
    </row>
    <row r="87" spans="2:14" ht="15.75" customHeight="1">
      <c r="B87" s="137" t="s">
        <v>4589</v>
      </c>
      <c r="C87" s="93">
        <v>125</v>
      </c>
      <c r="D87" s="93" t="s">
        <v>3162</v>
      </c>
      <c r="E87" s="93" t="str">
        <f>IF($B87 = "Mutant",VLOOKUP($C87,Mutants!$A$2:$L$560,12,FALSE),IF($B87 = "Test",VLOOKUP($C87,Tests!$A$2:$L$841,12,FALSE),VLOOKUP($C87,Questions!$A$3:$N$174,9,FALSE)))</f>
        <v>N</v>
      </c>
      <c r="F87" s="205" t="str">
        <f>IF($B87 = "Mutant",VLOOKUP($C87,Mutants!$A$2:$L$560,11,FALSE),IF($B87 = "Test",VLOOKUP($C87,Tests!$A$2:$L$841,11,FALSE),VLOOKUP($C87,Questions!$A$3:$N$174,13,FALSE)))</f>
        <v xml:space="preserve">
</v>
      </c>
      <c r="G87" s="205"/>
      <c r="H87" s="206"/>
      <c r="I87" s="9"/>
      <c r="J87" s="9"/>
      <c r="K87" s="9"/>
      <c r="L87" s="9"/>
      <c r="M87" s="9"/>
    </row>
    <row r="88" spans="2:14" ht="15.75" customHeight="1">
      <c r="B88" s="114" t="s">
        <v>4589</v>
      </c>
      <c r="C88" s="9">
        <v>169</v>
      </c>
      <c r="D88" s="9" t="s">
        <v>3290</v>
      </c>
      <c r="E88" s="9" t="str">
        <f>IF($B88 = "Mutant",VLOOKUP($C88,Mutants!$A$2:$L$560,12,FALSE),IF($B88 = "Test",VLOOKUP($C88,Tests!$A$2:$L$841,12,FALSE),VLOOKUP($C88,Questions!$A$3:$N$174,9,FALSE)))</f>
        <v>Y</v>
      </c>
      <c r="F88" s="187" t="str">
        <f>IF($B88 = "Mutant",VLOOKUP($C88,Mutants!$A$2:$L$560,11,FALSE),IF($B88 = "Test",VLOOKUP($C88,Tests!$A$2:$L$841,11,FALSE),VLOOKUP($C88,Questions!$A$3:$N$174,13,FALSE)))</f>
        <v xml:space="preserve">stripLeadingHyphens
</v>
      </c>
      <c r="G88" s="187"/>
      <c r="H88" s="202"/>
      <c r="I88" s="9"/>
      <c r="J88" s="9"/>
      <c r="K88" s="9"/>
      <c r="L88" s="9"/>
      <c r="M88" s="9"/>
    </row>
    <row r="89" spans="2:14" ht="15.75" customHeight="1">
      <c r="B89" s="114" t="s">
        <v>107</v>
      </c>
      <c r="C89" s="9">
        <v>18</v>
      </c>
      <c r="D89" s="9" t="s">
        <v>206</v>
      </c>
      <c r="E89" s="9" t="str">
        <f>IF($B89 = "Mutant",VLOOKUP($C89,Mutants!$A$2:$L$560,12,FALSE),IF($B89 = "Test",VLOOKUP($C89,Tests!$A$2:$L$841,12,FALSE),VLOOKUP($C89,Questions!$A$3:$N$174,9,FALSE)))</f>
        <v>Y</v>
      </c>
      <c r="F89" s="187" t="str">
        <f>IF($B89 = "Mutant",VLOOKUP($C89,Mutants!$A$2:$L$560,11,FALSE),IF($B89 = "Test",VLOOKUP($C89,Tests!$A$2:$L$841,11,FALSE),VLOOKUP($C89,Questions!$A$3:$N$174,13,FALSE)))</f>
        <v>toString</v>
      </c>
      <c r="G89" s="187"/>
      <c r="H89" s="202"/>
      <c r="I89" s="9"/>
      <c r="J89" s="9"/>
      <c r="K89" s="9"/>
      <c r="L89" s="9"/>
      <c r="M89" s="9"/>
      <c r="N89" s="9"/>
    </row>
    <row r="90" spans="2:14" ht="15.75" customHeight="1">
      <c r="B90" s="114" t="s">
        <v>107</v>
      </c>
      <c r="C90" s="9">
        <v>24</v>
      </c>
      <c r="D90" s="9" t="s">
        <v>277</v>
      </c>
      <c r="E90" s="9" t="str">
        <f>IF($B90 = "Mutant",VLOOKUP($C90,Mutants!$A$2:$L$560,12,FALSE),IF($B90 = "Test",VLOOKUP($C90,Tests!$A$2:$L$841,12,FALSE),VLOOKUP($C90,Questions!$A$3:$N$174,9,FALSE)))</f>
        <v>Y</v>
      </c>
      <c r="F90" s="187" t="str">
        <f>IF($B90 = "Mutant",VLOOKUP($C90,Mutants!$A$2:$L$560,11,FALSE),IF($B90 = "Test",VLOOKUP($C90,Tests!$A$2:$L$841,11,FALSE),VLOOKUP($C90,Questions!$A$3:$N$174,13,FALSE)))</f>
        <v>toString</v>
      </c>
      <c r="G90" s="187"/>
      <c r="H90" s="202"/>
      <c r="I90" s="9"/>
      <c r="J90" s="9"/>
      <c r="K90" s="9"/>
      <c r="L90" s="9"/>
      <c r="M90" s="9"/>
      <c r="N90" s="9"/>
    </row>
    <row r="91" spans="2:14" ht="15.75" customHeight="1">
      <c r="B91" s="114" t="s">
        <v>107</v>
      </c>
      <c r="C91" s="9">
        <v>28</v>
      </c>
      <c r="D91" s="9" t="s">
        <v>280</v>
      </c>
      <c r="E91" s="9" t="str">
        <f>IF($B91 = "Mutant",VLOOKUP($C91,Mutants!$A$2:$L$560,12,FALSE),IF($B91 = "Test",VLOOKUP($C91,Tests!$A$2:$L$841,12,FALSE),VLOOKUP($C91,Questions!$A$3:$N$174,9,FALSE)))</f>
        <v>Y</v>
      </c>
      <c r="F91" s="187" t="str">
        <f>IF($B91 = "Mutant",VLOOKUP($C91,Mutants!$A$2:$L$560,11,FALSE),IF($B91 = "Test",VLOOKUP($C91,Tests!$A$2:$L$841,11,FALSE),VLOOKUP($C91,Questions!$A$3:$N$174,13,FALSE)))</f>
        <v>toString</v>
      </c>
      <c r="G91" s="187"/>
      <c r="H91" s="202"/>
      <c r="I91" s="9"/>
      <c r="J91" s="9"/>
      <c r="K91" s="9"/>
      <c r="L91" s="9"/>
      <c r="M91" s="9"/>
      <c r="N91" s="9"/>
    </row>
    <row r="92" spans="2:14" ht="15.75" customHeight="1">
      <c r="B92" s="114" t="s">
        <v>4590</v>
      </c>
      <c r="C92" s="9">
        <v>132</v>
      </c>
      <c r="D92" s="9" t="s">
        <v>776</v>
      </c>
      <c r="E92" s="9" t="str">
        <f>IF($B92 = "Mutant",VLOOKUP($C92,Mutants!$A$2:$L$560,12,FALSE),IF($B92 = "Test",VLOOKUP($C92,Tests!$A$2:$L$841,12,FALSE),VLOOKUP($C92,Questions!$A$3:$N$174,9,FALSE)))</f>
        <v>N</v>
      </c>
      <c r="F92" s="187" t="str">
        <f>IF($B92 = "Mutant",VLOOKUP($C92,Mutants!$A$2:$L$560,11,FALSE),IF($B92 = "Test",VLOOKUP($C92,Tests!$A$2:$L$841,11,FALSE),VLOOKUP($C92,Questions!$A$3:$N$174,13,FALSE)))</f>
        <v xml:space="preserve">
</v>
      </c>
      <c r="G92" s="187"/>
      <c r="H92" s="202"/>
      <c r="I92" s="9"/>
      <c r="J92" s="9"/>
      <c r="K92" s="9"/>
      <c r="L92" s="9"/>
      <c r="M92" s="9"/>
    </row>
    <row r="93" spans="2:14" ht="15.75" customHeight="1">
      <c r="B93" s="114" t="s">
        <v>4590</v>
      </c>
      <c r="C93" s="9">
        <v>134</v>
      </c>
      <c r="D93" s="9" t="s">
        <v>786</v>
      </c>
      <c r="E93" s="9" t="str">
        <f>IF($B93 = "Mutant",VLOOKUP($C93,Mutants!$A$2:$L$560,12,FALSE),IF($B93 = "Test",VLOOKUP($C93,Tests!$A$2:$L$841,12,FALSE),VLOOKUP($C93,Questions!$A$3:$N$174,9,FALSE)))</f>
        <v>Y</v>
      </c>
      <c r="F93" s="187" t="str">
        <f>IF($B93 = "Mutant",VLOOKUP($C93,Mutants!$A$2:$L$560,11,FALSE),IF($B93 = "Test",VLOOKUP($C93,Tests!$A$2:$L$841,11,FALSE),VLOOKUP($C93,Questions!$A$3:$N$174,13,FALSE)))</f>
        <v xml:space="preserve">toString
</v>
      </c>
      <c r="G93" s="187"/>
      <c r="H93" s="202"/>
      <c r="I93" s="9"/>
      <c r="J93" s="9"/>
      <c r="K93" s="9"/>
      <c r="L93" s="9"/>
      <c r="M93" s="9"/>
    </row>
    <row r="94" spans="2:14" ht="15.75" customHeight="1">
      <c r="B94" s="114" t="s">
        <v>4590</v>
      </c>
      <c r="C94" s="9">
        <v>136</v>
      </c>
      <c r="D94" s="9" t="s">
        <v>791</v>
      </c>
      <c r="E94" s="9" t="str">
        <f>IF($B94 = "Mutant",VLOOKUP($C94,Mutants!$A$2:$L$560,12,FALSE),IF($B94 = "Test",VLOOKUP($C94,Tests!$A$2:$L$841,12,FALSE),VLOOKUP($C94,Questions!$A$3:$N$174,9,FALSE)))</f>
        <v>Y</v>
      </c>
      <c r="F94" s="187" t="str">
        <f>IF($B94 = "Mutant",VLOOKUP($C94,Mutants!$A$2:$L$560,11,FALSE),IF($B94 = "Test",VLOOKUP($C94,Tests!$A$2:$L$841,11,FALSE),VLOOKUP($C94,Questions!$A$3:$N$174,13,FALSE)))</f>
        <v xml:space="preserve">toString
</v>
      </c>
      <c r="G94" s="187"/>
      <c r="H94" s="202"/>
      <c r="I94" s="9"/>
      <c r="J94" s="9"/>
      <c r="K94" s="9"/>
      <c r="L94" s="9"/>
      <c r="M94" s="9"/>
    </row>
    <row r="95" spans="2:14" ht="15.75" customHeight="1">
      <c r="B95" s="114" t="s">
        <v>4590</v>
      </c>
      <c r="C95" s="9">
        <v>142</v>
      </c>
      <c r="D95" s="9" t="s">
        <v>805</v>
      </c>
      <c r="E95" s="9" t="str">
        <f>IF($B95 = "Mutant",VLOOKUP($C95,Mutants!$A$2:$L$560,12,FALSE),IF($B95 = "Test",VLOOKUP($C95,Tests!$A$2:$L$841,12,FALSE),VLOOKUP($C95,Questions!$A$3:$N$174,9,FALSE)))</f>
        <v>Y</v>
      </c>
      <c r="F95" s="187" t="str">
        <f>IF($B95 = "Mutant",VLOOKUP($C95,Mutants!$A$2:$L$560,11,FALSE),IF($B95 = "Test",VLOOKUP($C95,Tests!$A$2:$L$841,11,FALSE),VLOOKUP($C95,Questions!$A$3:$N$174,13,FALSE)))</f>
        <v xml:space="preserve">toString
</v>
      </c>
      <c r="G95" s="187"/>
      <c r="H95" s="202"/>
      <c r="I95" s="9"/>
      <c r="J95" s="9"/>
      <c r="K95" s="9"/>
      <c r="L95" s="9"/>
      <c r="M95" s="9"/>
    </row>
    <row r="96" spans="2:14" ht="15.75" customHeight="1">
      <c r="B96" s="114" t="s">
        <v>4590</v>
      </c>
      <c r="C96" s="9">
        <v>157</v>
      </c>
      <c r="D96" s="9" t="s">
        <v>838</v>
      </c>
      <c r="E96" s="9" t="str">
        <f>IF($B96 = "Mutant",VLOOKUP($C96,Mutants!$A$2:$L$560,12,FALSE),IF($B96 = "Test",VLOOKUP($C96,Tests!$A$2:$L$841,12,FALSE),VLOOKUP($C96,Questions!$A$3:$N$174,9,FALSE)))</f>
        <v>N</v>
      </c>
      <c r="F96" s="187" t="str">
        <f>IF($B96 = "Mutant",VLOOKUP($C96,Mutants!$A$2:$L$560,11,FALSE),IF($B96 = "Test",VLOOKUP($C96,Tests!$A$2:$L$841,11,FALSE),VLOOKUP($C96,Questions!$A$3:$N$174,13,FALSE)))</f>
        <v xml:space="preserve">
</v>
      </c>
      <c r="G96" s="187"/>
      <c r="H96" s="202"/>
      <c r="I96" s="9"/>
      <c r="J96" s="9"/>
      <c r="K96" s="9"/>
      <c r="L96" s="9"/>
      <c r="M96" s="9"/>
    </row>
    <row r="97" spans="2:13" ht="15.75" customHeight="1">
      <c r="B97" s="114" t="s">
        <v>107</v>
      </c>
      <c r="C97" s="9">
        <v>49</v>
      </c>
      <c r="D97" s="9" t="s">
        <v>283</v>
      </c>
      <c r="E97" s="9" t="str">
        <f>IF($B97 = "Mutant",VLOOKUP($C97,Mutants!$A$2:$L$560,12,FALSE),IF($B97 = "Test",VLOOKUP($C97,Tests!$A$2:$L$841,12,FALSE),VLOOKUP($C97,Questions!$A$3:$N$174,9,FALSE)))</f>
        <v>Y</v>
      </c>
      <c r="F97" s="187" t="str">
        <f>IF($B97 = "Mutant",VLOOKUP($C97,Mutants!$A$2:$L$560,11,FALSE),IF($B97 = "Test",VLOOKUP($C97,Tests!$A$2:$L$841,11,FALSE),VLOOKUP($C97,Questions!$A$3:$N$174,13,FALSE)))</f>
        <v xml:space="preserve"> </v>
      </c>
      <c r="G97" s="187"/>
      <c r="H97" s="202"/>
      <c r="I97" s="9"/>
      <c r="J97" s="9"/>
      <c r="K97" s="9"/>
      <c r="L97" s="9"/>
      <c r="M97" s="9"/>
    </row>
    <row r="98" spans="2:13" ht="15.75" customHeight="1">
      <c r="B98" s="114" t="s">
        <v>4590</v>
      </c>
      <c r="C98" s="9">
        <v>200</v>
      </c>
      <c r="D98" s="9" t="s">
        <v>955</v>
      </c>
      <c r="E98" s="9" t="str">
        <f>IF($B98 = "Mutant",VLOOKUP($C98,Mutants!$A$2:$L$560,12,FALSE),IF($B98 = "Test",VLOOKUP($C98,Tests!$A$2:$L$841,12,FALSE),VLOOKUP($C98,Questions!$A$3:$N$174,9,FALSE)))</f>
        <v>N</v>
      </c>
      <c r="F98" s="187" t="str">
        <f>IF($B98 = "Mutant",VLOOKUP($C98,Mutants!$A$2:$L$560,11,FALSE),IF($B98 = "Test",VLOOKUP($C98,Tests!$A$2:$L$841,11,FALSE),VLOOKUP($C98,Questions!$A$3:$N$174,13,FALSE)))</f>
        <v xml:space="preserve">
</v>
      </c>
      <c r="G98" s="187"/>
      <c r="H98" s="202"/>
      <c r="I98" s="9"/>
      <c r="J98" s="9"/>
      <c r="K98" s="9"/>
      <c r="L98" s="9"/>
      <c r="M98" s="9"/>
    </row>
    <row r="99" spans="2:13" ht="15.75" customHeight="1">
      <c r="B99" s="114" t="s">
        <v>4590</v>
      </c>
      <c r="C99" s="9">
        <v>214</v>
      </c>
      <c r="D99" s="9" t="s">
        <v>993</v>
      </c>
      <c r="E99" s="9" t="str">
        <f>IF($B99 = "Mutant",VLOOKUP($C99,Mutants!$A$2:$L$560,12,FALSE),IF($B99 = "Test",VLOOKUP($C99,Tests!$A$2:$L$841,12,FALSE),VLOOKUP($C99,Questions!$A$3:$N$174,9,FALSE)))</f>
        <v>N</v>
      </c>
      <c r="F99" s="187" t="str">
        <f>IF($B99 = "Mutant",VLOOKUP($C99,Mutants!$A$2:$L$560,11,FALSE),IF($B99 = "Test",VLOOKUP($C99,Tests!$A$2:$L$841,11,FALSE),VLOOKUP($C99,Questions!$A$3:$N$174,13,FALSE)))</f>
        <v xml:space="preserve">
</v>
      </c>
      <c r="G99" s="187"/>
      <c r="H99" s="202"/>
      <c r="I99" s="9"/>
      <c r="J99" s="9"/>
      <c r="K99" s="9"/>
      <c r="L99" s="9"/>
      <c r="M99" s="9"/>
    </row>
    <row r="100" spans="2:13" ht="15.75" customHeight="1">
      <c r="B100" s="114" t="s">
        <v>4590</v>
      </c>
      <c r="C100" s="9">
        <v>224</v>
      </c>
      <c r="D100" s="9" t="s">
        <v>1022</v>
      </c>
      <c r="E100" s="9" t="str">
        <f>IF($B100 = "Mutant",VLOOKUP($C100,Mutants!$A$2:$L$560,12,FALSE),IF($B100 = "Test",VLOOKUP($C100,Tests!$A$2:$L$841,12,FALSE),VLOOKUP($C100,Questions!$A$3:$N$174,9,FALSE)))</f>
        <v>N</v>
      </c>
      <c r="F100" s="187" t="str">
        <f>IF($B100 = "Mutant",VLOOKUP($C100,Mutants!$A$2:$L$560,11,FALSE),IF($B100 = "Test",VLOOKUP($C100,Tests!$A$2:$L$841,11,FALSE),VLOOKUP($C100,Questions!$A$3:$N$174,13,FALSE)))</f>
        <v xml:space="preserve">
</v>
      </c>
      <c r="G100" s="187"/>
      <c r="H100" s="202"/>
      <c r="I100" s="9"/>
      <c r="J100" s="9"/>
      <c r="K100" s="9"/>
      <c r="L100" s="9"/>
      <c r="M100" s="9"/>
    </row>
    <row r="101" spans="2:13" ht="15.75" customHeight="1">
      <c r="B101" s="114" t="s">
        <v>107</v>
      </c>
      <c r="C101" s="9">
        <v>62</v>
      </c>
      <c r="D101" s="9" t="s">
        <v>286</v>
      </c>
      <c r="E101" s="9" t="str">
        <f>IF($B101 = "Mutant",VLOOKUP($C101,Mutants!$A$2:$L$560,12,FALSE),IF($B101 = "Test",VLOOKUP($C101,Tests!$A$2:$L$841,12,FALSE),VLOOKUP($C101,Questions!$A$3:$N$174,9,FALSE)))</f>
        <v>Y</v>
      </c>
      <c r="F101" s="187" t="str">
        <f>IF($B101 = "Mutant",VLOOKUP($C101,Mutants!$A$2:$L$560,11,FALSE),IF($B101 = "Test",VLOOKUP($C101,Tests!$A$2:$L$841,11,FALSE),VLOOKUP($C101,Questions!$A$3:$N$174,13,FALSE)))</f>
        <v xml:space="preserve"> </v>
      </c>
      <c r="G101" s="187"/>
      <c r="H101" s="202"/>
      <c r="I101" s="9"/>
      <c r="J101" s="9"/>
      <c r="K101" s="9"/>
      <c r="L101" s="9"/>
      <c r="M101" s="9"/>
    </row>
    <row r="102" spans="2:13" ht="15.75" customHeight="1">
      <c r="B102" s="114" t="s">
        <v>4590</v>
      </c>
      <c r="C102" s="9">
        <v>271</v>
      </c>
      <c r="D102" s="9" t="s">
        <v>1148</v>
      </c>
      <c r="E102" s="9" t="str">
        <f>IF($B102 = "Mutant",VLOOKUP($C102,Mutants!$A$2:$L$560,12,FALSE),IF($B102 = "Test",VLOOKUP($C102,Tests!$A$2:$L$841,12,FALSE),VLOOKUP($C102,Questions!$A$3:$N$174,9,FALSE)))</f>
        <v>N</v>
      </c>
      <c r="F102" s="187" t="str">
        <f>IF($B102 = "Mutant",VLOOKUP($C102,Mutants!$A$2:$L$560,11,FALSE),IF($B102 = "Test",VLOOKUP($C102,Tests!$A$2:$L$841,11,FALSE),VLOOKUP($C102,Questions!$A$3:$N$174,13,FALSE)))</f>
        <v xml:space="preserve">
</v>
      </c>
      <c r="G102" s="187"/>
      <c r="H102" s="202"/>
      <c r="I102" s="9"/>
      <c r="J102" s="9"/>
      <c r="K102" s="9"/>
      <c r="L102" s="9"/>
      <c r="M102" s="9"/>
    </row>
    <row r="103" spans="2:13" ht="15.75" customHeight="1">
      <c r="B103" s="114" t="s">
        <v>107</v>
      </c>
      <c r="C103" s="9">
        <v>69</v>
      </c>
      <c r="D103" s="9" t="s">
        <v>289</v>
      </c>
      <c r="E103" s="9" t="str">
        <f>IF($B103 = "Mutant",VLOOKUP($C103,Mutants!$A$2:$L$560,12,FALSE),IF($B103 = "Test",VLOOKUP($C103,Tests!$A$2:$L$841,12,FALSE),VLOOKUP($C103,Questions!$A$3:$N$174,9,FALSE)))</f>
        <v>Y</v>
      </c>
      <c r="F103" s="187" t="str">
        <f>IF($B103 = "Mutant",VLOOKUP($C103,Mutants!$A$2:$L$560,11,FALSE),IF($B103 = "Test",VLOOKUP($C103,Tests!$A$2:$L$841,11,FALSE),VLOOKUP($C103,Questions!$A$3:$N$174,13,FALSE)))</f>
        <v xml:space="preserve"> </v>
      </c>
      <c r="G103" s="187"/>
      <c r="H103" s="202"/>
      <c r="I103" s="9"/>
      <c r="J103" s="9"/>
      <c r="K103" s="9"/>
      <c r="L103" s="9"/>
      <c r="M103" s="9"/>
    </row>
    <row r="104" spans="2:13" ht="15.75" customHeight="1">
      <c r="B104" s="114" t="s">
        <v>107</v>
      </c>
      <c r="C104" s="9">
        <v>74</v>
      </c>
      <c r="D104" s="9" t="s">
        <v>292</v>
      </c>
      <c r="E104" s="9" t="str">
        <f>IF($B104 = "Mutant",VLOOKUP($C104,Mutants!$A$2:$L$560,12,FALSE),IF($B104 = "Test",VLOOKUP($C104,Tests!$A$2:$L$841,12,FALSE),VLOOKUP($C104,Questions!$A$3:$N$174,9,FALSE)))</f>
        <v>Y</v>
      </c>
      <c r="F104" s="187" t="str">
        <f>IF($B104 = "Mutant",VLOOKUP($C104,Mutants!$A$2:$L$560,11,FALSE),IF($B104 = "Test",VLOOKUP($C104,Tests!$A$2:$L$841,11,FALSE),VLOOKUP($C104,Questions!$A$3:$N$174,13,FALSE)))</f>
        <v xml:space="preserve"> </v>
      </c>
      <c r="G104" s="187"/>
      <c r="H104" s="202"/>
      <c r="I104" s="9"/>
      <c r="J104" s="9"/>
      <c r="K104" s="9"/>
      <c r="L104" s="9"/>
      <c r="M104" s="9"/>
    </row>
    <row r="105" spans="2:13" ht="15.75" customHeight="1">
      <c r="B105" s="114" t="s">
        <v>4590</v>
      </c>
      <c r="C105" s="9">
        <v>378</v>
      </c>
      <c r="D105" s="9" t="s">
        <v>1464</v>
      </c>
      <c r="E105" s="9" t="str">
        <f>IF($B105 = "Mutant",VLOOKUP($C105,Mutants!$A$2:$L$560,12,FALSE),IF($B105 = "Test",VLOOKUP($C105,Tests!$A$2:$L$841,12,FALSE),VLOOKUP($C105,Questions!$A$3:$N$174,9,FALSE)))</f>
        <v>N</v>
      </c>
      <c r="F105" s="187" t="str">
        <f>IF($B105 = "Mutant",VLOOKUP($C105,Mutants!$A$2:$L$560,11,FALSE),IF($B105 = "Test",VLOOKUP($C105,Tests!$A$2:$L$841,11,FALSE),VLOOKUP($C105,Questions!$A$3:$N$174,13,FALSE)))</f>
        <v xml:space="preserve">
</v>
      </c>
      <c r="G105" s="187"/>
      <c r="H105" s="202"/>
      <c r="I105" s="9"/>
      <c r="J105" s="9"/>
      <c r="K105" s="9"/>
      <c r="L105" s="9"/>
      <c r="M105" s="9"/>
    </row>
    <row r="106" spans="2:13" ht="15.75" customHeight="1">
      <c r="B106" s="114" t="s">
        <v>4590</v>
      </c>
      <c r="C106" s="9">
        <v>409</v>
      </c>
      <c r="D106" s="9" t="s">
        <v>1555</v>
      </c>
      <c r="E106" s="9" t="str">
        <f>IF($B106 = "Mutant",VLOOKUP($C106,Mutants!$A$2:$L$560,12,FALSE),IF($B106 = "Test",VLOOKUP($C106,Tests!$A$2:$L$841,12,FALSE),VLOOKUP($C106,Questions!$A$3:$N$174,9,FALSE)))</f>
        <v>Y</v>
      </c>
      <c r="F106" s="187" t="str">
        <f>IF($B106 = "Mutant",VLOOKUP($C106,Mutants!$A$2:$L$560,11,FALSE),IF($B106 = "Test",VLOOKUP($C106,Tests!$A$2:$L$841,11,FALSE),VLOOKUP($C106,Questions!$A$3:$N$174,13,FALSE)))</f>
        <v xml:space="preserve">addOption, toString
</v>
      </c>
      <c r="G106" s="187"/>
      <c r="H106" s="202"/>
      <c r="I106" s="9"/>
      <c r="J106" s="9"/>
      <c r="K106" s="9"/>
      <c r="L106" s="9"/>
      <c r="M106" s="9"/>
    </row>
    <row r="107" spans="2:13" ht="15.75" customHeight="1">
      <c r="B107" s="114" t="s">
        <v>4590</v>
      </c>
      <c r="C107" s="9">
        <v>420</v>
      </c>
      <c r="D107" s="9" t="s">
        <v>1591</v>
      </c>
      <c r="E107" s="9" t="str">
        <f>IF($B107 = "Mutant",VLOOKUP($C107,Mutants!$A$2:$L$560,12,FALSE),IF($B107 = "Test",VLOOKUP($C107,Tests!$A$2:$L$841,12,FALSE),VLOOKUP($C107,Questions!$A$3:$N$174,9,FALSE)))</f>
        <v>Y</v>
      </c>
      <c r="F107" s="187" t="str">
        <f>IF($B107 = "Mutant",VLOOKUP($C107,Mutants!$A$2:$L$560,11,FALSE),IF($B107 = "Test",VLOOKUP($C107,Tests!$A$2:$L$841,11,FALSE),VLOOKUP($C107,Questions!$A$3:$N$174,13,FALSE)))</f>
        <v xml:space="preserve">addOption, toString
</v>
      </c>
      <c r="G107" s="187"/>
      <c r="H107" s="202"/>
      <c r="I107" s="9"/>
      <c r="J107" s="9"/>
      <c r="K107" s="9"/>
      <c r="L107" s="9"/>
      <c r="M107" s="9"/>
    </row>
    <row r="108" spans="2:13" ht="15.75" customHeight="1">
      <c r="B108" s="114" t="s">
        <v>4590</v>
      </c>
      <c r="C108" s="9">
        <v>427</v>
      </c>
      <c r="D108" s="9" t="s">
        <v>1611</v>
      </c>
      <c r="E108" s="9" t="str">
        <f>IF($B108 = "Mutant",VLOOKUP($C108,Mutants!$A$2:$L$560,12,FALSE),IF($B108 = "Test",VLOOKUP($C108,Tests!$A$2:$L$841,12,FALSE),VLOOKUP($C108,Questions!$A$3:$N$174,9,FALSE)))</f>
        <v>Y</v>
      </c>
      <c r="F108" s="187" t="str">
        <f>IF($B108 = "Mutant",VLOOKUP($C108,Mutants!$A$2:$L$560,11,FALSE),IF($B108 = "Test",VLOOKUP($C108,Tests!$A$2:$L$841,11,FALSE),VLOOKUP($C108,Questions!$A$3:$N$174,13,FALSE)))</f>
        <v xml:space="preserve">addOption, toString
</v>
      </c>
      <c r="G108" s="187"/>
      <c r="H108" s="202"/>
      <c r="I108" s="9"/>
      <c r="J108" s="9"/>
      <c r="K108" s="9"/>
      <c r="L108" s="9"/>
      <c r="M108" s="9"/>
    </row>
    <row r="109" spans="2:13" ht="15.75" customHeight="1">
      <c r="B109" s="114" t="s">
        <v>4590</v>
      </c>
      <c r="C109" s="9">
        <v>434</v>
      </c>
      <c r="D109" s="9" t="s">
        <v>1638</v>
      </c>
      <c r="E109" s="9" t="str">
        <f>IF($B109 = "Mutant",VLOOKUP($C109,Mutants!$A$2:$L$560,12,FALSE),IF($B109 = "Test",VLOOKUP($C109,Tests!$A$2:$L$841,12,FALSE),VLOOKUP($C109,Questions!$A$3:$N$174,9,FALSE)))</f>
        <v>Y</v>
      </c>
      <c r="F109" s="187" t="str">
        <f>IF($B109 = "Mutant",VLOOKUP($C109,Mutants!$A$2:$L$560,11,FALSE),IF($B109 = "Test",VLOOKUP($C109,Tests!$A$2:$L$841,11,FALSE),VLOOKUP($C109,Questions!$A$3:$N$174,13,FALSE)))</f>
        <v xml:space="preserve">addOption, toString
</v>
      </c>
      <c r="G109" s="187"/>
      <c r="H109" s="202"/>
      <c r="I109" s="9"/>
      <c r="J109" s="9"/>
      <c r="K109" s="9"/>
      <c r="L109" s="9"/>
      <c r="M109" s="9"/>
    </row>
    <row r="110" spans="2:13" ht="15.75" customHeight="1">
      <c r="B110" s="133" t="s">
        <v>4590</v>
      </c>
      <c r="C110" s="130">
        <v>443</v>
      </c>
      <c r="D110" s="130" t="s">
        <v>1662</v>
      </c>
      <c r="E110" s="130" t="str">
        <f>IF($B110 = "Mutant",VLOOKUP($C110,Mutants!$A$2:$L$560,12,FALSE),IF($B110 = "Test",VLOOKUP($C110,Tests!$A$2:$L$841,12,FALSE),VLOOKUP($C110,Questions!$A$3:$N$174,9,FALSE)))</f>
        <v>Y</v>
      </c>
      <c r="F110" s="203" t="str">
        <f>IF($B110 = "Mutant",VLOOKUP($C110,Mutants!$A$2:$L$560,11,FALSE),IF($B110 = "Test",VLOOKUP($C110,Tests!$A$2:$L$841,11,FALSE),VLOOKUP($C110,Questions!$A$3:$N$174,13,FALSE)))</f>
        <v xml:space="preserve">addOption, toString
</v>
      </c>
      <c r="G110" s="203"/>
      <c r="H110" s="204"/>
      <c r="I110" s="9"/>
      <c r="J110" s="9"/>
      <c r="K110" s="9"/>
      <c r="L110" s="9"/>
      <c r="M110" s="9"/>
    </row>
    <row r="111" spans="2:13" ht="15.75" customHeight="1">
      <c r="F111" s="188"/>
      <c r="G111" s="188"/>
      <c r="H111" s="188"/>
    </row>
    <row r="112" spans="2:13" ht="15.75" customHeight="1">
      <c r="F112" s="188"/>
      <c r="G112" s="188"/>
      <c r="H112" s="188"/>
    </row>
    <row r="113" spans="2:13" ht="15.75" customHeight="1" thickBot="1">
      <c r="B113" s="219" t="s">
        <v>4604</v>
      </c>
      <c r="C113" s="201"/>
      <c r="D113" s="45">
        <v>189</v>
      </c>
      <c r="F113" s="207"/>
      <c r="G113" s="207"/>
      <c r="H113" s="207"/>
    </row>
    <row r="114" spans="2:13" ht="15.75" customHeight="1" thickTop="1">
      <c r="B114" s="134" t="s">
        <v>4594</v>
      </c>
      <c r="C114" s="135" t="s">
        <v>44</v>
      </c>
      <c r="D114" s="135" t="s">
        <v>110</v>
      </c>
      <c r="E114" s="136" t="s">
        <v>2</v>
      </c>
      <c r="F114" s="229" t="s">
        <v>4612</v>
      </c>
      <c r="G114" s="229"/>
      <c r="H114" s="230"/>
      <c r="I114" s="9"/>
      <c r="J114" s="9"/>
      <c r="K114" s="9"/>
      <c r="L114" s="9"/>
      <c r="M114" s="9"/>
    </row>
    <row r="115" spans="2:13" ht="15.75" customHeight="1">
      <c r="B115" s="137" t="s">
        <v>4589</v>
      </c>
      <c r="C115" s="93">
        <v>183</v>
      </c>
      <c r="D115" s="93" t="s">
        <v>3328</v>
      </c>
      <c r="E115" s="93" t="str">
        <f>IF($B115 = "Mutant",VLOOKUP($C115,Mutants!$A$2:$L$560,12,FALSE),IF($B115 = "Test",VLOOKUP($C115,Tests!$A$2:$L$841,12,FALSE),VLOOKUP($C115,Questions!$A$3:$N$174,9,FALSE)))</f>
        <v>Y</v>
      </c>
      <c r="F115" s="205" t="str">
        <f>IF($B115 = "Mutant",VLOOKUP($C115,Mutants!$A$2:$L$560,11,FALSE),IF($B115 = "Test",VLOOKUP($C115,Tests!$A$2:$L$841,11,FALSE),VLOOKUP($C115,Questions!$A$3:$N$174,13,FALSE)))</f>
        <v xml:space="preserve">addOption
</v>
      </c>
      <c r="G115" s="205"/>
      <c r="H115" s="206"/>
      <c r="I115" s="9"/>
      <c r="J115" s="9"/>
      <c r="K115" s="9"/>
      <c r="L115" s="9"/>
      <c r="M115" s="9"/>
    </row>
    <row r="116" spans="2:13" ht="15.75" customHeight="1">
      <c r="B116" s="114" t="s">
        <v>4589</v>
      </c>
      <c r="C116" s="9">
        <v>228</v>
      </c>
      <c r="D116" s="9" t="s">
        <v>3455</v>
      </c>
      <c r="E116" s="9" t="str">
        <f>IF($B116 = "Mutant",VLOOKUP($C116,Mutants!$A$2:$L$560,12,FALSE),IF($B116 = "Test",VLOOKUP($C116,Tests!$A$2:$L$841,12,FALSE),VLOOKUP($C116,Questions!$A$3:$N$174,9,FALSE)))</f>
        <v>Y</v>
      </c>
      <c r="F116" s="187" t="str">
        <f>IF($B116 = "Mutant",VLOOKUP($C116,Mutants!$A$2:$L$560,11,FALSE),IF($B116 = "Test",VLOOKUP($C116,Tests!$A$2:$L$841,11,FALSE),VLOOKUP($C116,Questions!$A$3:$N$174,13,FALSE)))</f>
        <v xml:space="preserve">stripLeadingHyphens
</v>
      </c>
      <c r="G116" s="187"/>
      <c r="H116" s="202"/>
      <c r="I116" s="9"/>
      <c r="J116" s="9"/>
      <c r="K116" s="9"/>
      <c r="L116" s="9"/>
      <c r="M116" s="9"/>
    </row>
    <row r="117" spans="2:13" ht="15.75" customHeight="1">
      <c r="B117" s="114" t="s">
        <v>4590</v>
      </c>
      <c r="C117" s="9">
        <v>296</v>
      </c>
      <c r="D117" s="9" t="s">
        <v>1226</v>
      </c>
      <c r="E117" s="9" t="str">
        <f>IF($B117 = "Mutant",VLOOKUP($C117,Mutants!$A$2:$L$560,12,FALSE),IF($B117 = "Test",VLOOKUP($C117,Tests!$A$2:$L$841,12,FALSE),VLOOKUP($C117,Questions!$A$3:$N$174,9,FALSE)))</f>
        <v>N</v>
      </c>
      <c r="F117" s="187" t="str">
        <f>IF($B117 = "Mutant",VLOOKUP($C117,Mutants!$A$2:$L$560,11,FALSE),IF($B117 = "Test",VLOOKUP($C117,Tests!$A$2:$L$841,11,FALSE),VLOOKUP($C117,Questions!$A$3:$N$174,13,FALSE)))</f>
        <v xml:space="preserve">
</v>
      </c>
      <c r="G117" s="187"/>
      <c r="H117" s="202"/>
      <c r="I117" s="9"/>
      <c r="J117" s="9"/>
      <c r="K117" s="9"/>
      <c r="L117" s="9"/>
      <c r="M117" s="9"/>
    </row>
    <row r="118" spans="2:13" ht="15.75" customHeight="1">
      <c r="B118" s="114" t="s">
        <v>4590</v>
      </c>
      <c r="C118" s="9">
        <v>316</v>
      </c>
      <c r="D118" s="9" t="s">
        <v>1286</v>
      </c>
      <c r="E118" s="9" t="str">
        <f>IF($B118 = "Mutant",VLOOKUP($C118,Mutants!$A$2:$L$560,12,FALSE),IF($B118 = "Test",VLOOKUP($C118,Tests!$A$2:$L$841,12,FALSE),VLOOKUP($C118,Questions!$A$3:$N$174,9,FALSE)))</f>
        <v>Y</v>
      </c>
      <c r="F118" s="187" t="str">
        <f>IF($B118 = "Mutant",VLOOKUP($C118,Mutants!$A$2:$L$560,11,FALSE),IF($B118 = "Test",VLOOKUP($C118,Tests!$A$2:$L$841,11,FALSE),VLOOKUP($C118,Questions!$A$3:$N$174,13,FALSE)))</f>
        <v xml:space="preserve">toString
</v>
      </c>
      <c r="G118" s="187"/>
      <c r="H118" s="202"/>
      <c r="I118" s="9"/>
      <c r="J118" s="9"/>
      <c r="K118" s="9"/>
      <c r="L118" s="9"/>
      <c r="M118" s="9"/>
    </row>
    <row r="119" spans="2:13" ht="15.75" customHeight="1">
      <c r="B119" s="114" t="s">
        <v>4590</v>
      </c>
      <c r="C119" s="9">
        <v>395</v>
      </c>
      <c r="D119" s="9" t="s">
        <v>1510</v>
      </c>
      <c r="E119" s="9" t="str">
        <f>IF($B119 = "Mutant",VLOOKUP($C119,Mutants!$A$2:$L$560,12,FALSE),IF($B119 = "Test",VLOOKUP($C119,Tests!$A$2:$L$841,12,FALSE),VLOOKUP($C119,Questions!$A$3:$N$174,9,FALSE)))</f>
        <v>N</v>
      </c>
      <c r="F119" s="187" t="str">
        <f>IF($B119 = "Mutant",VLOOKUP($C119,Mutants!$A$2:$L$560,11,FALSE),IF($B119 = "Test",VLOOKUP($C119,Tests!$A$2:$L$841,11,FALSE),VLOOKUP($C119,Questions!$A$3:$N$174,13,FALSE)))</f>
        <v xml:space="preserve">
</v>
      </c>
      <c r="G119" s="187"/>
      <c r="H119" s="202"/>
      <c r="I119" s="9"/>
      <c r="J119" s="9"/>
      <c r="K119" s="9"/>
      <c r="L119" s="9"/>
      <c r="M119" s="9"/>
    </row>
    <row r="120" spans="2:13" ht="15.75" customHeight="1">
      <c r="B120" s="114" t="s">
        <v>4590</v>
      </c>
      <c r="C120" s="9">
        <v>396</v>
      </c>
      <c r="D120" s="9" t="s">
        <v>1513</v>
      </c>
      <c r="E120" s="9" t="str">
        <f>IF($B120 = "Mutant",VLOOKUP($C120,Mutants!$A$2:$L$560,12,FALSE),IF($B120 = "Test",VLOOKUP($C120,Tests!$A$2:$L$841,12,FALSE),VLOOKUP($C120,Questions!$A$3:$N$174,9,FALSE)))</f>
        <v>Y</v>
      </c>
      <c r="F120" s="187" t="str">
        <f>IF($B120 = "Mutant",VLOOKUP($C120,Mutants!$A$2:$L$560,11,FALSE),IF($B120 = "Test",VLOOKUP($C120,Tests!$A$2:$L$841,11,FALSE),VLOOKUP($C120,Questions!$A$3:$N$174,13,FALSE)))</f>
        <v xml:space="preserve">addOption, getOptions, helpOptions
</v>
      </c>
      <c r="G120" s="187"/>
      <c r="H120" s="202"/>
      <c r="I120" s="9"/>
      <c r="J120" s="9"/>
      <c r="K120" s="9"/>
      <c r="L120" s="9"/>
      <c r="M120" s="9"/>
    </row>
    <row r="121" spans="2:13" ht="15.75" customHeight="1">
      <c r="B121" s="114" t="s">
        <v>107</v>
      </c>
      <c r="C121" s="9">
        <v>82</v>
      </c>
      <c r="D121" s="9" t="s">
        <v>368</v>
      </c>
      <c r="E121" s="9" t="str">
        <f>IF($B121 = "Mutant",VLOOKUP($C121,Mutants!$A$2:$L$560,12,FALSE),IF($B121 = "Test",VLOOKUP($C121,Tests!$A$2:$L$841,12,FALSE),VLOOKUP($C121,Questions!$A$3:$N$174,9,FALSE)))</f>
        <v>Y</v>
      </c>
      <c r="F121" s="187" t="str">
        <f>IF($B121 = "Mutant",VLOOKUP($C121,Mutants!$A$2:$L$560,11,FALSE),IF($B121 = "Test",VLOOKUP($C121,Tests!$A$2:$L$841,11,FALSE),VLOOKUP($C121,Questions!$A$3:$N$174,13,FALSE)))</f>
        <v xml:space="preserve"> </v>
      </c>
      <c r="G121" s="187"/>
      <c r="H121" s="202"/>
      <c r="I121" s="9"/>
      <c r="J121" s="9"/>
      <c r="K121" s="9"/>
      <c r="L121" s="9"/>
      <c r="M121" s="9"/>
    </row>
    <row r="122" spans="2:13" ht="15.75" customHeight="1">
      <c r="B122" s="114" t="s">
        <v>107</v>
      </c>
      <c r="C122" s="9">
        <v>86</v>
      </c>
      <c r="D122" s="9" t="s">
        <v>371</v>
      </c>
      <c r="E122" s="9" t="str">
        <f>IF($B122 = "Mutant",VLOOKUP($C122,Mutants!$A$2:$L$560,12,FALSE),IF($B122 = "Test",VLOOKUP($C122,Tests!$A$2:$L$841,12,FALSE),VLOOKUP($C122,Questions!$A$3:$N$174,9,FALSE)))</f>
        <v>Y</v>
      </c>
      <c r="F122" s="187" t="str">
        <f>IF($B122 = "Mutant",VLOOKUP($C122,Mutants!$A$2:$L$560,11,FALSE),IF($B122 = "Test",VLOOKUP($C122,Tests!$A$2:$L$841,11,FALSE),VLOOKUP($C122,Questions!$A$3:$N$174,13,FALSE)))</f>
        <v xml:space="preserve"> </v>
      </c>
      <c r="G122" s="187"/>
      <c r="H122" s="202"/>
      <c r="I122" s="9"/>
      <c r="J122" s="9"/>
      <c r="K122" s="9"/>
      <c r="L122" s="9"/>
      <c r="M122" s="9"/>
    </row>
    <row r="123" spans="2:13" ht="15.75" customHeight="1">
      <c r="B123" s="133" t="s">
        <v>4589</v>
      </c>
      <c r="C123" s="130">
        <v>359</v>
      </c>
      <c r="D123" s="130" t="s">
        <v>3807</v>
      </c>
      <c r="E123" s="130" t="str">
        <f>IF($B123 = "Mutant",VLOOKUP($C123,Mutants!$A$2:$L$560,12,FALSE),IF($B123 = "Test",VLOOKUP($C123,Tests!$A$2:$L$841,12,FALSE),VLOOKUP($C123,Questions!$A$3:$N$174,9,FALSE)))</f>
        <v>N</v>
      </c>
      <c r="F123" s="203" t="str">
        <f>IF($B123 = "Mutant",VLOOKUP($C123,Mutants!$A$2:$L$560,11,FALSE),IF($B123 = "Test",VLOOKUP($C123,Tests!$A$2:$L$841,11,FALSE),VLOOKUP($C123,Questions!$A$3:$N$174,13,FALSE)))</f>
        <v xml:space="preserve">
</v>
      </c>
      <c r="G123" s="203"/>
      <c r="H123" s="204"/>
      <c r="I123" s="9"/>
      <c r="J123" s="9"/>
      <c r="K123" s="9"/>
      <c r="L123" s="9"/>
      <c r="M123" s="9"/>
    </row>
  </sheetData>
  <mergeCells count="105">
    <mergeCell ref="B113:C113"/>
    <mergeCell ref="B85:C85"/>
    <mergeCell ref="B68:C68"/>
    <mergeCell ref="B59:C59"/>
    <mergeCell ref="B30:C30"/>
    <mergeCell ref="B13:C13"/>
    <mergeCell ref="B5:C5"/>
    <mergeCell ref="B6:C6"/>
    <mergeCell ref="B7:C7"/>
    <mergeCell ref="B8:C8"/>
    <mergeCell ref="B9:C9"/>
    <mergeCell ref="B10:C10"/>
    <mergeCell ref="F43:H43"/>
    <mergeCell ref="F44:H44"/>
    <mergeCell ref="F45:H45"/>
    <mergeCell ref="F46:H46"/>
    <mergeCell ref="F47:H47"/>
    <mergeCell ref="F31:H31"/>
    <mergeCell ref="F60:H60"/>
    <mergeCell ref="F69:H69"/>
    <mergeCell ref="F86:H86"/>
    <mergeCell ref="F32:H32"/>
    <mergeCell ref="F33:H33"/>
    <mergeCell ref="F34:H34"/>
    <mergeCell ref="F35:H35"/>
    <mergeCell ref="F36:H36"/>
    <mergeCell ref="F37:H37"/>
    <mergeCell ref="F38:H38"/>
    <mergeCell ref="F39:H39"/>
    <mergeCell ref="F40:H40"/>
    <mergeCell ref="F41:H41"/>
    <mergeCell ref="F42:H42"/>
    <mergeCell ref="F53:H53"/>
    <mergeCell ref="F54:H54"/>
    <mergeCell ref="F55:H55"/>
    <mergeCell ref="F56:H56"/>
    <mergeCell ref="F57:H57"/>
    <mergeCell ref="F48:H48"/>
    <mergeCell ref="F49:H49"/>
    <mergeCell ref="F50:H50"/>
    <mergeCell ref="F51:H51"/>
    <mergeCell ref="F52:H52"/>
    <mergeCell ref="F64:H64"/>
    <mergeCell ref="F65:H65"/>
    <mergeCell ref="F66:H66"/>
    <mergeCell ref="F67:H67"/>
    <mergeCell ref="F68:H68"/>
    <mergeCell ref="F58:H58"/>
    <mergeCell ref="F59:H59"/>
    <mergeCell ref="F61:H61"/>
    <mergeCell ref="F62:H62"/>
    <mergeCell ref="F63:H63"/>
    <mergeCell ref="F75:H75"/>
    <mergeCell ref="F76:H76"/>
    <mergeCell ref="F77:H77"/>
    <mergeCell ref="F78:H78"/>
    <mergeCell ref="F79:H79"/>
    <mergeCell ref="F70:H70"/>
    <mergeCell ref="F71:H71"/>
    <mergeCell ref="F72:H72"/>
    <mergeCell ref="F73:H73"/>
    <mergeCell ref="F74:H74"/>
    <mergeCell ref="F85:H85"/>
    <mergeCell ref="F87:H87"/>
    <mergeCell ref="F88:H88"/>
    <mergeCell ref="F89:H89"/>
    <mergeCell ref="F90:H90"/>
    <mergeCell ref="F80:H80"/>
    <mergeCell ref="F81:H81"/>
    <mergeCell ref="F82:H82"/>
    <mergeCell ref="F83:H83"/>
    <mergeCell ref="F84:H84"/>
    <mergeCell ref="F96:H96"/>
    <mergeCell ref="F97:H97"/>
    <mergeCell ref="F98:H98"/>
    <mergeCell ref="F99:H99"/>
    <mergeCell ref="F100:H100"/>
    <mergeCell ref="F91:H91"/>
    <mergeCell ref="F92:H92"/>
    <mergeCell ref="F93:H93"/>
    <mergeCell ref="F94:H94"/>
    <mergeCell ref="F95:H95"/>
    <mergeCell ref="F106:H106"/>
    <mergeCell ref="F107:H107"/>
    <mergeCell ref="F108:H108"/>
    <mergeCell ref="F109:H109"/>
    <mergeCell ref="F110:H110"/>
    <mergeCell ref="F101:H101"/>
    <mergeCell ref="F102:H102"/>
    <mergeCell ref="F103:H103"/>
    <mergeCell ref="F104:H104"/>
    <mergeCell ref="F105:H105"/>
    <mergeCell ref="F122:H122"/>
    <mergeCell ref="F123:H123"/>
    <mergeCell ref="F117:H117"/>
    <mergeCell ref="F118:H118"/>
    <mergeCell ref="F119:H119"/>
    <mergeCell ref="F120:H120"/>
    <mergeCell ref="F121:H121"/>
    <mergeCell ref="F111:H111"/>
    <mergeCell ref="F112:H112"/>
    <mergeCell ref="F113:H113"/>
    <mergeCell ref="F115:H115"/>
    <mergeCell ref="F116:H116"/>
    <mergeCell ref="F114:H114"/>
  </mergeCells>
  <conditionalFormatting sqref="A30:B30">
    <cfRule type="cellIs" dxfId="404" priority="16" operator="equal">
      <formula>"NO_KILL"</formula>
    </cfRule>
    <cfRule type="cellIs" dxfId="403" priority="17" operator="equal">
      <formula>"KILL"</formula>
    </cfRule>
    <cfRule type="cellIs" dxfId="402" priority="18" operator="equal">
      <formula>"ERROR"</formula>
    </cfRule>
  </conditionalFormatting>
  <conditionalFormatting sqref="A59:B59">
    <cfRule type="cellIs" dxfId="401" priority="22" operator="equal">
      <formula>"NO_KILL"</formula>
    </cfRule>
    <cfRule type="cellIs" dxfId="400" priority="23" operator="equal">
      <formula>"KILL"</formula>
    </cfRule>
    <cfRule type="cellIs" dxfId="399" priority="24" operator="equal">
      <formula>"ERROR"</formula>
    </cfRule>
  </conditionalFormatting>
  <conditionalFormatting sqref="A68:B68">
    <cfRule type="cellIs" dxfId="398" priority="28" operator="equal">
      <formula>"NO_KILL"</formula>
    </cfRule>
    <cfRule type="cellIs" dxfId="397" priority="29" operator="equal">
      <formula>"KILL"</formula>
    </cfRule>
    <cfRule type="cellIs" dxfId="396" priority="30" operator="equal">
      <formula>"ERROR"</formula>
    </cfRule>
  </conditionalFormatting>
  <conditionalFormatting sqref="A85:B85">
    <cfRule type="cellIs" dxfId="395" priority="34" operator="equal">
      <formula>"NO_KILL"</formula>
    </cfRule>
    <cfRule type="cellIs" dxfId="394" priority="35" operator="equal">
      <formula>"KILL"</formula>
    </cfRule>
    <cfRule type="cellIs" dxfId="393" priority="36" operator="equal">
      <formula>"ERROR"</formula>
    </cfRule>
  </conditionalFormatting>
  <conditionalFormatting sqref="A113:B113">
    <cfRule type="cellIs" dxfId="392" priority="40" operator="equal">
      <formula>"NO_KILL"</formula>
    </cfRule>
    <cfRule type="cellIs" dxfId="391" priority="41" operator="equal">
      <formula>"KILL"</formula>
    </cfRule>
    <cfRule type="cellIs" dxfId="390" priority="42" operator="equal">
      <formula>"ERROR"</formula>
    </cfRule>
  </conditionalFormatting>
  <conditionalFormatting sqref="A31:F58">
    <cfRule type="cellIs" dxfId="389" priority="13" operator="equal">
      <formula>"NO_KILL"</formula>
    </cfRule>
    <cfRule type="cellIs" dxfId="388" priority="14" operator="equal">
      <formula>"KILL"</formula>
    </cfRule>
    <cfRule type="cellIs" dxfId="387" priority="15" operator="equal">
      <formula>"ERROR"</formula>
    </cfRule>
  </conditionalFormatting>
  <conditionalFormatting sqref="A60:F67">
    <cfRule type="cellIs" dxfId="386" priority="10" operator="equal">
      <formula>"NO_KILL"</formula>
    </cfRule>
    <cfRule type="cellIs" dxfId="385" priority="11" operator="equal">
      <formula>"KILL"</formula>
    </cfRule>
    <cfRule type="cellIs" dxfId="384" priority="12" operator="equal">
      <formula>"ERROR"</formula>
    </cfRule>
  </conditionalFormatting>
  <conditionalFormatting sqref="A69:F84">
    <cfRule type="cellIs" dxfId="383" priority="7" operator="equal">
      <formula>"NO_KILL"</formula>
    </cfRule>
    <cfRule type="cellIs" dxfId="382" priority="8" operator="equal">
      <formula>"KILL"</formula>
    </cfRule>
    <cfRule type="cellIs" dxfId="381" priority="9" operator="equal">
      <formula>"ERROR"</formula>
    </cfRule>
  </conditionalFormatting>
  <conditionalFormatting sqref="A86:F112">
    <cfRule type="cellIs" dxfId="380" priority="4" operator="equal">
      <formula>"NO_KILL"</formula>
    </cfRule>
    <cfRule type="cellIs" dxfId="379" priority="5" operator="equal">
      <formula>"KILL"</formula>
    </cfRule>
    <cfRule type="cellIs" dxfId="378" priority="6" operator="equal">
      <formula>"ERROR"</formula>
    </cfRule>
  </conditionalFormatting>
  <conditionalFormatting sqref="A114:F123">
    <cfRule type="cellIs" dxfId="377" priority="2" operator="equal">
      <formula>"KILL"</formula>
    </cfRule>
    <cfRule type="cellIs" dxfId="376" priority="3" operator="equal">
      <formula>"ERROR"</formula>
    </cfRule>
    <cfRule type="cellIs" dxfId="375" priority="1" operator="equal">
      <formula>"NO_KILL"</formula>
    </cfRule>
  </conditionalFormatting>
  <conditionalFormatting sqref="A1:Z4 A5:B10 D5:Z10 A11:Z29 D30:Z30 I31:Z123 D59:F59 D68:F68 D85:F85 D113:F113 A124:Z1061">
    <cfRule type="cellIs" dxfId="374" priority="48" operator="equal">
      <formula>"ERROR"</formula>
    </cfRule>
    <cfRule type="cellIs" dxfId="373" priority="46" operator="equal">
      <formula>"NO_KILL"</formula>
    </cfRule>
    <cfRule type="cellIs" dxfId="372" priority="47" operator="equal">
      <formula>"KILL"</formula>
    </cfRule>
  </conditionalFormatting>
  <conditionalFormatting sqref="B28:B1061">
    <cfRule type="cellIs" dxfId="371" priority="20" operator="equal">
      <formula>"Mutant"</formula>
    </cfRule>
    <cfRule type="cellIs" dxfId="370" priority="21" operator="equal">
      <formula>"Question"</formula>
    </cfRule>
    <cfRule type="cellIs" dxfId="369" priority="19" operator="equal">
      <formula>"Test"</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B2:R181"/>
  <sheetViews>
    <sheetView topLeftCell="A47" workbookViewId="0">
      <selection activeCell="F84" sqref="F84:H84"/>
    </sheetView>
  </sheetViews>
  <sheetFormatPr defaultColWidth="12.5703125" defaultRowHeight="15.75" customHeight="1"/>
  <cols>
    <col min="4" max="4" width="18.140625" bestFit="1" customWidth="1"/>
    <col min="6" max="6" width="13.42578125" customWidth="1"/>
    <col min="14" max="14" width="13.42578125" customWidth="1"/>
  </cols>
  <sheetData>
    <row r="2" spans="2:18" ht="12.75">
      <c r="B2" s="29" t="s">
        <v>4</v>
      </c>
      <c r="C2" s="29" t="s">
        <v>45</v>
      </c>
      <c r="D2" s="29" t="s">
        <v>46</v>
      </c>
    </row>
    <row r="3" spans="2:18" ht="12.75">
      <c r="B3" s="29">
        <v>112</v>
      </c>
      <c r="C3" s="29" t="s">
        <v>59</v>
      </c>
      <c r="D3" s="127" t="s">
        <v>18</v>
      </c>
    </row>
    <row r="5" spans="2:18" ht="12.75">
      <c r="B5" s="221" t="s">
        <v>3</v>
      </c>
      <c r="C5" s="222"/>
      <c r="D5" s="44" t="s">
        <v>5</v>
      </c>
      <c r="E5" s="43" t="s">
        <v>6</v>
      </c>
      <c r="F5" s="43" t="s">
        <v>7</v>
      </c>
      <c r="G5" s="43" t="s">
        <v>8</v>
      </c>
      <c r="H5" s="44" t="s">
        <v>9</v>
      </c>
      <c r="I5" s="43" t="s">
        <v>10</v>
      </c>
      <c r="J5" s="43" t="s">
        <v>11</v>
      </c>
      <c r="K5" s="44" t="s">
        <v>12</v>
      </c>
      <c r="L5" s="43" t="s">
        <v>13</v>
      </c>
      <c r="M5" s="43" t="s">
        <v>14</v>
      </c>
      <c r="N5" s="61" t="s">
        <v>15</v>
      </c>
    </row>
    <row r="6" spans="2:18" ht="12.75">
      <c r="B6" s="223">
        <v>155</v>
      </c>
      <c r="C6" s="224"/>
      <c r="D6" s="47">
        <f ca="1">COUNTIF(Valid_questions!F$1:F1123, B6)</f>
        <v>3</v>
      </c>
      <c r="E6" s="40">
        <v>7</v>
      </c>
      <c r="F6" s="40">
        <v>22</v>
      </c>
      <c r="G6" s="40">
        <v>0</v>
      </c>
      <c r="H6" s="47">
        <v>29</v>
      </c>
      <c r="I6" s="40">
        <f>COUNTIFS(Tests!E$1:E1123,B6,Tests!D$1:D1123,"&lt;&gt;\N")</f>
        <v>10</v>
      </c>
      <c r="J6" s="40">
        <f>COUNTIFS(Tests!E$1:E1123,B6,Tests!D$1:D1123,"=\N")</f>
        <v>7</v>
      </c>
      <c r="K6" s="47">
        <v>7</v>
      </c>
      <c r="L6" s="40">
        <f>COUNTIFS(Mutants!E$1:E1123,B6,Mutants!D$1:D1123,"&lt;&gt;\N")</f>
        <v>15</v>
      </c>
      <c r="M6" s="40">
        <f>COUNTIFS(Mutants!E$1:E1123,B6,Mutants!D$1:D1123,"=\N")</f>
        <v>0</v>
      </c>
      <c r="N6" s="45">
        <v>10</v>
      </c>
    </row>
    <row r="7" spans="2:18" ht="12.75">
      <c r="B7" s="225">
        <v>156</v>
      </c>
      <c r="C7" s="226"/>
      <c r="D7" s="10">
        <f ca="1">COUNTIF(Valid_questions!F$1:F1123, B7)</f>
        <v>7</v>
      </c>
      <c r="E7" s="9">
        <v>0</v>
      </c>
      <c r="F7" s="9">
        <v>17</v>
      </c>
      <c r="G7" s="9">
        <v>2</v>
      </c>
      <c r="H7" s="10">
        <v>19</v>
      </c>
      <c r="I7" s="9">
        <f>COUNTIFS(Tests!E$1:E1123,B7,Tests!D$1:D1123,"&lt;&gt;\N")</f>
        <v>10</v>
      </c>
      <c r="J7" s="9">
        <f>COUNTIFS(Tests!E$1:E1123,B7,Tests!D$1:D1123,"=\N")</f>
        <v>5</v>
      </c>
      <c r="K7" s="10">
        <v>7</v>
      </c>
      <c r="L7" s="9">
        <f>COUNTIFS(Mutants!E$1:E1123,B7,Mutants!D$1:D1123,"&lt;&gt;\N")</f>
        <v>2</v>
      </c>
      <c r="M7" s="9">
        <f>COUNTIFS(Mutants!E$1:E1123,B7,Mutants!D$1:D1123,"=\N")</f>
        <v>0</v>
      </c>
      <c r="N7" s="14">
        <v>2</v>
      </c>
    </row>
    <row r="8" spans="2:18" ht="12.75">
      <c r="B8" s="225">
        <v>157</v>
      </c>
      <c r="C8" s="226"/>
      <c r="D8" s="10">
        <f ca="1">COUNTIF(Valid_questions!F$1:F1123, B8)</f>
        <v>9</v>
      </c>
      <c r="E8" s="9">
        <v>35</v>
      </c>
      <c r="F8" s="9">
        <v>1</v>
      </c>
      <c r="G8" s="9">
        <v>0</v>
      </c>
      <c r="H8" s="10">
        <v>36</v>
      </c>
      <c r="I8" s="9">
        <f>COUNTIFS(Tests!E$1:E1123,B8,Tests!D$1:D1123,"&lt;&gt;\N")</f>
        <v>2</v>
      </c>
      <c r="J8" s="9">
        <f>COUNTIFS(Tests!E$1:E1123,B8,Tests!D$1:D1123,"=\N")</f>
        <v>8</v>
      </c>
      <c r="K8" s="10">
        <v>1</v>
      </c>
      <c r="L8" s="9">
        <f>COUNTIFS(Mutants!E$1:E1123,B8,Mutants!D$1:D1123,"&lt;&gt;\N")</f>
        <v>10</v>
      </c>
      <c r="M8" s="9">
        <f>COUNTIFS(Mutants!E$1:E1123,B8,Mutants!D$1:D1123,"=\N")</f>
        <v>0</v>
      </c>
      <c r="N8" s="14">
        <v>6</v>
      </c>
    </row>
    <row r="9" spans="2:18" ht="12.75">
      <c r="B9" s="227">
        <v>158</v>
      </c>
      <c r="C9" s="228"/>
      <c r="D9" s="22">
        <f ca="1">COUNTIF(Valid_questions!F$1:F1123, B9)</f>
        <v>3</v>
      </c>
      <c r="E9" s="21">
        <v>8</v>
      </c>
      <c r="F9" s="21">
        <v>0</v>
      </c>
      <c r="G9" s="21">
        <v>0</v>
      </c>
      <c r="H9" s="22">
        <v>8</v>
      </c>
      <c r="I9" s="21">
        <f>COUNTIFS(Tests!E$1:E1123,B9,Tests!D$1:D1123,"&lt;&gt;\N")</f>
        <v>0</v>
      </c>
      <c r="J9" s="21">
        <f>COUNTIFS(Tests!E$1:E1123,B9,Tests!D$1:D1123,"=\N")</f>
        <v>0</v>
      </c>
      <c r="K9" s="22">
        <v>0</v>
      </c>
      <c r="L9" s="21">
        <f>COUNTIFS(Mutants!E$1:E1123,B9,Mutants!D$1:D1123,"&lt;&gt;\N")</f>
        <v>13</v>
      </c>
      <c r="M9" s="21">
        <f>COUNTIFS(Mutants!E$1:E1123,B9,Mutants!D$1:D1123,"=\N")</f>
        <v>1</v>
      </c>
      <c r="N9" s="38">
        <v>13</v>
      </c>
    </row>
    <row r="12" spans="2:18" ht="27" customHeight="1">
      <c r="B12" s="220" t="s">
        <v>4588</v>
      </c>
      <c r="C12" s="173"/>
    </row>
    <row r="14" spans="2:18" ht="12.75">
      <c r="C14" s="29" t="s">
        <v>4589</v>
      </c>
    </row>
    <row r="15" spans="2:18" ht="12.75">
      <c r="B15" s="29" t="s">
        <v>4590</v>
      </c>
      <c r="C15" s="29"/>
      <c r="D15" s="43">
        <v>187</v>
      </c>
      <c r="E15" s="43">
        <v>239</v>
      </c>
      <c r="F15" s="43">
        <v>248</v>
      </c>
      <c r="G15" s="43">
        <v>250</v>
      </c>
      <c r="H15" s="43">
        <v>297</v>
      </c>
      <c r="I15" s="43">
        <v>373</v>
      </c>
      <c r="J15" s="43">
        <v>375</v>
      </c>
      <c r="K15" s="43">
        <v>377</v>
      </c>
      <c r="L15" s="43">
        <v>386</v>
      </c>
      <c r="M15" s="43">
        <v>400</v>
      </c>
      <c r="N15" s="43">
        <v>412</v>
      </c>
      <c r="O15" s="43">
        <v>413</v>
      </c>
      <c r="P15" s="43">
        <v>421</v>
      </c>
      <c r="Q15" s="43">
        <v>431</v>
      </c>
      <c r="R15" s="61">
        <v>470</v>
      </c>
    </row>
    <row r="16" spans="2:18" ht="12.75">
      <c r="B16" s="9"/>
      <c r="C16" s="81">
        <v>111</v>
      </c>
      <c r="D16" s="9" t="s">
        <v>4591</v>
      </c>
      <c r="E16" s="9" t="s">
        <v>4591</v>
      </c>
      <c r="F16" s="9" t="s">
        <v>4591</v>
      </c>
      <c r="G16" s="9" t="s">
        <v>4591</v>
      </c>
      <c r="H16" s="9" t="s">
        <v>4591</v>
      </c>
      <c r="I16" s="9" t="s">
        <v>4591</v>
      </c>
      <c r="J16" s="9" t="s">
        <v>4591</v>
      </c>
      <c r="K16" s="9" t="s">
        <v>4591</v>
      </c>
      <c r="L16" s="9" t="s">
        <v>4591</v>
      </c>
      <c r="M16" s="9" t="s">
        <v>4591</v>
      </c>
      <c r="N16" s="9" t="s">
        <v>4591</v>
      </c>
      <c r="O16" s="9" t="s">
        <v>4591</v>
      </c>
      <c r="P16" s="9" t="s">
        <v>4591</v>
      </c>
      <c r="Q16" s="9" t="s">
        <v>4591</v>
      </c>
      <c r="R16" s="14" t="s">
        <v>4591</v>
      </c>
    </row>
    <row r="17" spans="2:18" ht="12.75">
      <c r="B17" s="9"/>
      <c r="C17" s="81">
        <v>126</v>
      </c>
      <c r="D17" s="9" t="s">
        <v>4592</v>
      </c>
      <c r="E17" s="9" t="s">
        <v>4592</v>
      </c>
      <c r="F17" s="9" t="s">
        <v>4592</v>
      </c>
      <c r="G17" s="9" t="s">
        <v>4592</v>
      </c>
      <c r="H17" s="9" t="s">
        <v>4592</v>
      </c>
      <c r="I17" s="9" t="s">
        <v>4592</v>
      </c>
      <c r="J17" s="9" t="s">
        <v>4591</v>
      </c>
      <c r="K17" s="9" t="s">
        <v>4592</v>
      </c>
      <c r="L17" s="9" t="s">
        <v>4592</v>
      </c>
      <c r="M17" s="9" t="s">
        <v>4592</v>
      </c>
      <c r="N17" s="9" t="s">
        <v>4592</v>
      </c>
      <c r="O17" s="9" t="s">
        <v>4592</v>
      </c>
      <c r="P17" s="9" t="s">
        <v>4592</v>
      </c>
      <c r="Q17" s="9" t="s">
        <v>4592</v>
      </c>
      <c r="R17" s="14" t="s">
        <v>4592</v>
      </c>
    </row>
    <row r="18" spans="2:18" ht="12.75">
      <c r="B18" s="9"/>
      <c r="C18" s="81">
        <v>137</v>
      </c>
      <c r="D18" s="9" t="s">
        <v>4591</v>
      </c>
      <c r="E18" s="9" t="s">
        <v>4591</v>
      </c>
      <c r="F18" s="9" t="s">
        <v>4591</v>
      </c>
      <c r="G18" s="9" t="s">
        <v>4591</v>
      </c>
      <c r="H18" s="9" t="s">
        <v>4592</v>
      </c>
      <c r="I18" s="9" t="s">
        <v>4591</v>
      </c>
      <c r="J18" s="9" t="s">
        <v>4591</v>
      </c>
      <c r="K18" s="9" t="s">
        <v>4591</v>
      </c>
      <c r="L18" s="9" t="s">
        <v>4591</v>
      </c>
      <c r="M18" s="9" t="s">
        <v>4591</v>
      </c>
      <c r="N18" s="9" t="s">
        <v>4591</v>
      </c>
      <c r="O18" s="9" t="s">
        <v>4591</v>
      </c>
      <c r="P18" s="9" t="s">
        <v>4591</v>
      </c>
      <c r="Q18" s="9" t="s">
        <v>4591</v>
      </c>
      <c r="R18" s="14" t="s">
        <v>4591</v>
      </c>
    </row>
    <row r="19" spans="2:18" ht="12.75">
      <c r="B19" s="9"/>
      <c r="C19" s="81">
        <v>153</v>
      </c>
      <c r="D19" s="9" t="s">
        <v>4592</v>
      </c>
      <c r="E19" s="9" t="s">
        <v>4592</v>
      </c>
      <c r="F19" s="9" t="s">
        <v>4592</v>
      </c>
      <c r="G19" s="9" t="s">
        <v>4592</v>
      </c>
      <c r="H19" s="9" t="s">
        <v>4592</v>
      </c>
      <c r="I19" s="9" t="s">
        <v>4592</v>
      </c>
      <c r="J19" s="9" t="s">
        <v>4592</v>
      </c>
      <c r="K19" s="9" t="s">
        <v>4592</v>
      </c>
      <c r="L19" s="9" t="s">
        <v>4593</v>
      </c>
      <c r="M19" s="9" t="s">
        <v>4591</v>
      </c>
      <c r="N19" s="9" t="s">
        <v>4593</v>
      </c>
      <c r="O19" s="9" t="s">
        <v>4591</v>
      </c>
      <c r="P19" s="9" t="s">
        <v>4593</v>
      </c>
      <c r="Q19" s="9" t="s">
        <v>4591</v>
      </c>
      <c r="R19" s="14" t="s">
        <v>4592</v>
      </c>
    </row>
    <row r="20" spans="2:18" ht="12.75">
      <c r="B20" s="9"/>
      <c r="C20" s="81">
        <v>172</v>
      </c>
      <c r="D20" s="9" t="s">
        <v>4593</v>
      </c>
      <c r="E20" s="9" t="s">
        <v>4593</v>
      </c>
      <c r="F20" s="9" t="s">
        <v>4593</v>
      </c>
      <c r="G20" s="9" t="s">
        <v>4593</v>
      </c>
      <c r="H20" s="9" t="s">
        <v>4592</v>
      </c>
      <c r="I20" s="9" t="s">
        <v>4593</v>
      </c>
      <c r="J20" s="9" t="s">
        <v>4592</v>
      </c>
      <c r="K20" s="9" t="s">
        <v>4593</v>
      </c>
      <c r="L20" s="9" t="s">
        <v>4593</v>
      </c>
      <c r="M20" s="9" t="s">
        <v>4591</v>
      </c>
      <c r="N20" s="9" t="s">
        <v>4593</v>
      </c>
      <c r="O20" s="9" t="s">
        <v>4591</v>
      </c>
      <c r="P20" s="9" t="s">
        <v>4593</v>
      </c>
      <c r="Q20" s="9" t="s">
        <v>4595</v>
      </c>
      <c r="R20" s="14" t="s">
        <v>4593</v>
      </c>
    </row>
    <row r="21" spans="2:18" ht="12.75">
      <c r="B21" s="9"/>
      <c r="C21" s="81">
        <v>173</v>
      </c>
      <c r="D21" s="9" t="s">
        <v>4591</v>
      </c>
      <c r="E21" s="9" t="s">
        <v>4591</v>
      </c>
      <c r="F21" s="9" t="s">
        <v>4591</v>
      </c>
      <c r="G21" s="9" t="s">
        <v>4591</v>
      </c>
      <c r="H21" s="9" t="s">
        <v>4591</v>
      </c>
      <c r="I21" s="9" t="s">
        <v>4591</v>
      </c>
      <c r="J21" s="9" t="s">
        <v>4591</v>
      </c>
      <c r="K21" s="9" t="s">
        <v>4593</v>
      </c>
      <c r="L21" s="9" t="s">
        <v>4591</v>
      </c>
      <c r="M21" s="9" t="s">
        <v>4591</v>
      </c>
      <c r="N21" s="9" t="s">
        <v>4591</v>
      </c>
      <c r="O21" s="9" t="s">
        <v>4591</v>
      </c>
      <c r="P21" s="9" t="s">
        <v>4591</v>
      </c>
      <c r="Q21" s="9" t="s">
        <v>4591</v>
      </c>
      <c r="R21" s="14" t="s">
        <v>4591</v>
      </c>
    </row>
    <row r="22" spans="2:18" ht="12.75">
      <c r="B22" s="9"/>
      <c r="C22" s="81">
        <v>177</v>
      </c>
      <c r="D22" s="9" t="s">
        <v>4592</v>
      </c>
      <c r="E22" s="9" t="s">
        <v>4592</v>
      </c>
      <c r="F22" s="9" t="s">
        <v>4592</v>
      </c>
      <c r="G22" s="9" t="s">
        <v>4592</v>
      </c>
      <c r="H22" s="9" t="s">
        <v>4592</v>
      </c>
      <c r="I22" s="9" t="s">
        <v>4592</v>
      </c>
      <c r="J22" s="9" t="s">
        <v>4592</v>
      </c>
      <c r="K22" s="9" t="s">
        <v>4593</v>
      </c>
      <c r="L22" s="9" t="s">
        <v>4592</v>
      </c>
      <c r="M22" s="9" t="s">
        <v>4591</v>
      </c>
      <c r="N22" s="9" t="s">
        <v>4592</v>
      </c>
      <c r="O22" s="9" t="s">
        <v>4591</v>
      </c>
      <c r="P22" s="9" t="s">
        <v>4592</v>
      </c>
      <c r="Q22" s="9" t="s">
        <v>4591</v>
      </c>
      <c r="R22" s="14" t="s">
        <v>4592</v>
      </c>
    </row>
    <row r="23" spans="2:18" ht="12.75">
      <c r="B23" s="9"/>
      <c r="C23" s="81">
        <v>182</v>
      </c>
      <c r="D23" s="9" t="s">
        <v>4591</v>
      </c>
      <c r="E23" s="9" t="s">
        <v>4591</v>
      </c>
      <c r="F23" s="9" t="s">
        <v>4591</v>
      </c>
      <c r="G23" s="9" t="s">
        <v>4591</v>
      </c>
      <c r="H23" s="9" t="s">
        <v>4591</v>
      </c>
      <c r="I23" s="9" t="s">
        <v>4591</v>
      </c>
      <c r="J23" s="9" t="s">
        <v>4591</v>
      </c>
      <c r="K23" s="9" t="s">
        <v>4591</v>
      </c>
      <c r="L23" s="9" t="s">
        <v>4593</v>
      </c>
      <c r="M23" s="9" t="s">
        <v>4591</v>
      </c>
      <c r="N23" s="9" t="s">
        <v>4593</v>
      </c>
      <c r="O23" s="9" t="s">
        <v>4591</v>
      </c>
      <c r="P23" s="9" t="s">
        <v>4593</v>
      </c>
      <c r="Q23" s="9" t="s">
        <v>4591</v>
      </c>
      <c r="R23" s="14" t="s">
        <v>4591</v>
      </c>
    </row>
    <row r="24" spans="2:18" ht="12.75">
      <c r="B24" s="9"/>
      <c r="C24" s="81">
        <v>189</v>
      </c>
      <c r="D24" s="9" t="s">
        <v>4591</v>
      </c>
      <c r="E24" s="9" t="s">
        <v>4591</v>
      </c>
      <c r="F24" s="9" t="s">
        <v>4591</v>
      </c>
      <c r="G24" s="9" t="s">
        <v>4591</v>
      </c>
      <c r="H24" s="9" t="s">
        <v>4591</v>
      </c>
      <c r="I24" s="9" t="s">
        <v>4591</v>
      </c>
      <c r="J24" s="9" t="s">
        <v>4593</v>
      </c>
      <c r="K24" s="9" t="s">
        <v>4591</v>
      </c>
      <c r="L24" s="9" t="s">
        <v>4591</v>
      </c>
      <c r="M24" s="9" t="s">
        <v>4591</v>
      </c>
      <c r="N24" s="9" t="s">
        <v>4591</v>
      </c>
      <c r="O24" s="9" t="s">
        <v>4591</v>
      </c>
      <c r="P24" s="9" t="s">
        <v>4591</v>
      </c>
      <c r="Q24" s="9" t="s">
        <v>4591</v>
      </c>
      <c r="R24" s="14" t="s">
        <v>4591</v>
      </c>
    </row>
    <row r="25" spans="2:18" ht="12.75">
      <c r="B25" s="9"/>
      <c r="C25" s="81">
        <v>191</v>
      </c>
      <c r="D25" s="9" t="s">
        <v>4591</v>
      </c>
      <c r="E25" s="9" t="s">
        <v>4591</v>
      </c>
      <c r="F25" s="9" t="s">
        <v>4591</v>
      </c>
      <c r="G25" s="9" t="s">
        <v>4591</v>
      </c>
      <c r="H25" s="9" t="s">
        <v>4591</v>
      </c>
      <c r="I25" s="9" t="s">
        <v>4591</v>
      </c>
      <c r="J25" s="9" t="s">
        <v>4591</v>
      </c>
      <c r="K25" s="9" t="s">
        <v>4591</v>
      </c>
      <c r="L25" s="9" t="s">
        <v>4591</v>
      </c>
      <c r="M25" s="9" t="s">
        <v>4591</v>
      </c>
      <c r="N25" s="9" t="s">
        <v>4591</v>
      </c>
      <c r="O25" s="9" t="s">
        <v>4591</v>
      </c>
      <c r="P25" s="9" t="s">
        <v>4591</v>
      </c>
      <c r="Q25" s="9" t="s">
        <v>4591</v>
      </c>
      <c r="R25" s="14" t="s">
        <v>4591</v>
      </c>
    </row>
    <row r="26" spans="2:18" ht="12.75">
      <c r="B26" s="9"/>
      <c r="C26" s="81">
        <v>195</v>
      </c>
      <c r="D26" s="9" t="s">
        <v>4593</v>
      </c>
      <c r="E26" s="9" t="s">
        <v>4593</v>
      </c>
      <c r="F26" s="9" t="s">
        <v>4593</v>
      </c>
      <c r="G26" s="9" t="s">
        <v>4593</v>
      </c>
      <c r="H26" s="9" t="s">
        <v>4592</v>
      </c>
      <c r="I26" s="9" t="s">
        <v>4593</v>
      </c>
      <c r="J26" s="9" t="s">
        <v>4592</v>
      </c>
      <c r="K26" s="9" t="s">
        <v>4591</v>
      </c>
      <c r="L26" s="9" t="s">
        <v>4591</v>
      </c>
      <c r="M26" s="9" t="s">
        <v>4591</v>
      </c>
      <c r="N26" s="9" t="s">
        <v>4591</v>
      </c>
      <c r="O26" s="9" t="s">
        <v>4591</v>
      </c>
      <c r="P26" s="9" t="s">
        <v>4591</v>
      </c>
      <c r="Q26" s="9" t="s">
        <v>4591</v>
      </c>
      <c r="R26" s="14" t="s">
        <v>4593</v>
      </c>
    </row>
    <row r="27" spans="2:18" ht="12.75">
      <c r="B27" s="9"/>
      <c r="C27" s="81">
        <v>207</v>
      </c>
      <c r="D27" s="9" t="s">
        <v>4592</v>
      </c>
      <c r="E27" s="9" t="s">
        <v>4592</v>
      </c>
      <c r="F27" s="9" t="s">
        <v>4592</v>
      </c>
      <c r="G27" s="9" t="s">
        <v>4592</v>
      </c>
      <c r="H27" s="9" t="s">
        <v>4592</v>
      </c>
      <c r="I27" s="9" t="s">
        <v>4592</v>
      </c>
      <c r="J27" s="9" t="s">
        <v>4591</v>
      </c>
      <c r="K27" s="9" t="s">
        <v>4592</v>
      </c>
      <c r="L27" s="9" t="s">
        <v>4592</v>
      </c>
      <c r="M27" s="9" t="s">
        <v>4592</v>
      </c>
      <c r="N27" s="9" t="s">
        <v>4592</v>
      </c>
      <c r="O27" s="9" t="s">
        <v>4593</v>
      </c>
      <c r="P27" s="9" t="s">
        <v>4592</v>
      </c>
      <c r="Q27" s="9" t="s">
        <v>4592</v>
      </c>
      <c r="R27" s="14" t="s">
        <v>4592</v>
      </c>
    </row>
    <row r="28" spans="2:18" ht="12.75">
      <c r="B28" s="9"/>
      <c r="C28" s="81">
        <v>211</v>
      </c>
      <c r="D28" s="9" t="s">
        <v>4591</v>
      </c>
      <c r="E28" s="9" t="s">
        <v>4591</v>
      </c>
      <c r="F28" s="9" t="s">
        <v>4593</v>
      </c>
      <c r="G28" s="9" t="s">
        <v>4593</v>
      </c>
      <c r="H28" s="9" t="s">
        <v>4591</v>
      </c>
      <c r="I28" s="9" t="s">
        <v>4591</v>
      </c>
      <c r="J28" s="9" t="s">
        <v>4591</v>
      </c>
      <c r="K28" s="9" t="s">
        <v>4591</v>
      </c>
      <c r="L28" s="9" t="s">
        <v>4591</v>
      </c>
      <c r="M28" s="9" t="s">
        <v>4591</v>
      </c>
      <c r="N28" s="9" t="s">
        <v>4591</v>
      </c>
      <c r="O28" s="9" t="s">
        <v>4591</v>
      </c>
      <c r="P28" s="9" t="s">
        <v>4593</v>
      </c>
      <c r="Q28" s="9" t="s">
        <v>4591</v>
      </c>
      <c r="R28" s="14" t="s">
        <v>4593</v>
      </c>
    </row>
    <row r="29" spans="2:18" ht="12.75">
      <c r="B29" s="9"/>
      <c r="C29" s="81">
        <v>215</v>
      </c>
      <c r="D29" s="9" t="s">
        <v>4591</v>
      </c>
      <c r="E29" s="9" t="s">
        <v>4591</v>
      </c>
      <c r="F29" s="9" t="s">
        <v>4591</v>
      </c>
      <c r="G29" s="9" t="s">
        <v>4591</v>
      </c>
      <c r="H29" s="9" t="s">
        <v>4591</v>
      </c>
      <c r="I29" s="9" t="s">
        <v>4591</v>
      </c>
      <c r="J29" s="9" t="s">
        <v>4591</v>
      </c>
      <c r="K29" s="9" t="s">
        <v>4591</v>
      </c>
      <c r="L29" s="9" t="s">
        <v>4591</v>
      </c>
      <c r="M29" s="9" t="s">
        <v>4591</v>
      </c>
      <c r="N29" s="9" t="s">
        <v>4591</v>
      </c>
      <c r="O29" s="9" t="s">
        <v>4591</v>
      </c>
      <c r="P29" s="9" t="s">
        <v>4591</v>
      </c>
      <c r="Q29" s="9" t="s">
        <v>4592</v>
      </c>
      <c r="R29" s="14" t="s">
        <v>4591</v>
      </c>
    </row>
    <row r="30" spans="2:18" ht="12.75">
      <c r="B30" s="9"/>
      <c r="C30" s="81">
        <v>217</v>
      </c>
      <c r="D30" s="9" t="s">
        <v>4592</v>
      </c>
      <c r="E30" s="9" t="s">
        <v>4593</v>
      </c>
      <c r="F30" s="9" t="s">
        <v>4592</v>
      </c>
      <c r="G30" s="9" t="s">
        <v>4592</v>
      </c>
      <c r="H30" s="9" t="s">
        <v>4592</v>
      </c>
      <c r="I30" s="9" t="s">
        <v>4593</v>
      </c>
      <c r="J30" s="9" t="s">
        <v>4592</v>
      </c>
      <c r="K30" s="9" t="s">
        <v>4593</v>
      </c>
      <c r="L30" s="9" t="s">
        <v>4593</v>
      </c>
      <c r="M30" s="9" t="s">
        <v>4592</v>
      </c>
      <c r="N30" s="9" t="s">
        <v>4593</v>
      </c>
      <c r="O30" s="9" t="s">
        <v>4592</v>
      </c>
      <c r="P30" s="9" t="s">
        <v>4592</v>
      </c>
      <c r="Q30" s="9" t="s">
        <v>4593</v>
      </c>
      <c r="R30" s="14" t="s">
        <v>4592</v>
      </c>
    </row>
    <row r="31" spans="2:18" ht="12.75">
      <c r="B31" s="9"/>
      <c r="C31" s="81">
        <v>224</v>
      </c>
      <c r="D31" s="9" t="s">
        <v>4592</v>
      </c>
      <c r="E31" s="9" t="s">
        <v>4592</v>
      </c>
      <c r="F31" s="9" t="s">
        <v>4595</v>
      </c>
      <c r="G31" s="9" t="s">
        <v>4593</v>
      </c>
      <c r="H31" s="9" t="s">
        <v>4595</v>
      </c>
      <c r="I31" s="9" t="s">
        <v>4595</v>
      </c>
      <c r="J31" s="9" t="s">
        <v>4591</v>
      </c>
      <c r="K31" s="9" t="s">
        <v>4595</v>
      </c>
      <c r="L31" s="9" t="s">
        <v>4595</v>
      </c>
      <c r="M31" s="9" t="s">
        <v>4595</v>
      </c>
      <c r="N31" s="9" t="s">
        <v>4592</v>
      </c>
      <c r="O31" s="9" t="s">
        <v>4595</v>
      </c>
      <c r="P31" s="9" t="s">
        <v>4593</v>
      </c>
      <c r="Q31" s="9" t="s">
        <v>4592</v>
      </c>
      <c r="R31" s="14" t="s">
        <v>4595</v>
      </c>
    </row>
    <row r="32" spans="2:18" ht="12.75">
      <c r="B32" s="9"/>
      <c r="C32" s="81">
        <v>245</v>
      </c>
      <c r="D32" s="9" t="s">
        <v>4593</v>
      </c>
      <c r="E32" s="9" t="s">
        <v>4591</v>
      </c>
      <c r="F32" s="9" t="s">
        <v>4593</v>
      </c>
      <c r="G32" s="9" t="s">
        <v>4591</v>
      </c>
      <c r="H32" s="9" t="s">
        <v>4593</v>
      </c>
      <c r="I32" s="9" t="s">
        <v>4591</v>
      </c>
      <c r="J32" s="9" t="s">
        <v>4591</v>
      </c>
      <c r="K32" s="9" t="s">
        <v>4591</v>
      </c>
      <c r="L32" s="9" t="s">
        <v>4591</v>
      </c>
      <c r="M32" s="9" t="s">
        <v>4591</v>
      </c>
      <c r="N32" s="9" t="s">
        <v>4591</v>
      </c>
      <c r="O32" s="9" t="s">
        <v>4591</v>
      </c>
      <c r="P32" s="9" t="s">
        <v>4591</v>
      </c>
      <c r="Q32" s="9" t="s">
        <v>4591</v>
      </c>
      <c r="R32" s="14" t="s">
        <v>4593</v>
      </c>
    </row>
    <row r="33" spans="2:18" ht="12.75">
      <c r="B33" s="9"/>
      <c r="C33" s="81">
        <v>254</v>
      </c>
      <c r="D33" s="9" t="s">
        <v>4591</v>
      </c>
      <c r="E33" s="9" t="s">
        <v>4591</v>
      </c>
      <c r="F33" s="9" t="s">
        <v>4591</v>
      </c>
      <c r="G33" s="9" t="s">
        <v>4591</v>
      </c>
      <c r="H33" s="9" t="s">
        <v>4591</v>
      </c>
      <c r="I33" s="9" t="s">
        <v>4591</v>
      </c>
      <c r="J33" s="9" t="s">
        <v>4593</v>
      </c>
      <c r="K33" s="9" t="s">
        <v>4591</v>
      </c>
      <c r="L33" s="9" t="s">
        <v>4591</v>
      </c>
      <c r="M33" s="9" t="s">
        <v>4591</v>
      </c>
      <c r="N33" s="9" t="s">
        <v>4591</v>
      </c>
      <c r="O33" s="9" t="s">
        <v>4591</v>
      </c>
      <c r="P33" s="9" t="s">
        <v>4591</v>
      </c>
      <c r="Q33" s="9" t="s">
        <v>4591</v>
      </c>
      <c r="R33" s="14" t="s">
        <v>4591</v>
      </c>
    </row>
    <row r="34" spans="2:18" ht="12.75">
      <c r="B34" s="9"/>
      <c r="C34" s="81">
        <v>266</v>
      </c>
      <c r="D34" s="9" t="s">
        <v>4591</v>
      </c>
      <c r="E34" s="9" t="s">
        <v>4591</v>
      </c>
      <c r="F34" s="9" t="s">
        <v>4591</v>
      </c>
      <c r="G34" s="9" t="s">
        <v>4591</v>
      </c>
      <c r="H34" s="9" t="s">
        <v>4591</v>
      </c>
      <c r="I34" s="9" t="s">
        <v>4591</v>
      </c>
      <c r="J34" s="9" t="s">
        <v>4593</v>
      </c>
      <c r="K34" s="9" t="s">
        <v>4591</v>
      </c>
      <c r="L34" s="9" t="s">
        <v>4591</v>
      </c>
      <c r="M34" s="9" t="s">
        <v>4591</v>
      </c>
      <c r="N34" s="9" t="s">
        <v>4591</v>
      </c>
      <c r="O34" s="9" t="s">
        <v>4591</v>
      </c>
      <c r="P34" s="9" t="s">
        <v>4591</v>
      </c>
      <c r="Q34" s="9" t="s">
        <v>4591</v>
      </c>
      <c r="R34" s="14" t="s">
        <v>4591</v>
      </c>
    </row>
    <row r="35" spans="2:18" ht="12.75">
      <c r="B35" s="9"/>
      <c r="C35" s="81">
        <v>272</v>
      </c>
      <c r="D35" s="9" t="s">
        <v>4591</v>
      </c>
      <c r="E35" s="9" t="s">
        <v>4591</v>
      </c>
      <c r="F35" s="9" t="s">
        <v>4591</v>
      </c>
      <c r="G35" s="9" t="s">
        <v>4591</v>
      </c>
      <c r="H35" s="9" t="s">
        <v>4591</v>
      </c>
      <c r="I35" s="9" t="s">
        <v>4591</v>
      </c>
      <c r="J35" s="9" t="s">
        <v>4591</v>
      </c>
      <c r="K35" s="9" t="s">
        <v>4591</v>
      </c>
      <c r="L35" s="9" t="s">
        <v>4591</v>
      </c>
      <c r="M35" s="9" t="s">
        <v>4591</v>
      </c>
      <c r="N35" s="9" t="s">
        <v>4591</v>
      </c>
      <c r="O35" s="9" t="s">
        <v>4591</v>
      </c>
      <c r="P35" s="9" t="s">
        <v>4591</v>
      </c>
      <c r="Q35" s="9" t="s">
        <v>4591</v>
      </c>
      <c r="R35" s="14" t="s">
        <v>4591</v>
      </c>
    </row>
    <row r="36" spans="2:18" ht="12.75">
      <c r="B36" s="9"/>
      <c r="C36" s="81">
        <v>288</v>
      </c>
      <c r="D36" s="9" t="s">
        <v>4593</v>
      </c>
      <c r="E36" s="9" t="s">
        <v>4593</v>
      </c>
      <c r="F36" s="9" t="s">
        <v>4593</v>
      </c>
      <c r="G36" s="9" t="s">
        <v>4593</v>
      </c>
      <c r="H36" s="9" t="s">
        <v>4592</v>
      </c>
      <c r="I36" s="9" t="s">
        <v>4593</v>
      </c>
      <c r="J36" s="9" t="s">
        <v>4592</v>
      </c>
      <c r="K36" s="9" t="s">
        <v>4591</v>
      </c>
      <c r="L36" s="9" t="s">
        <v>4591</v>
      </c>
      <c r="M36" s="9" t="s">
        <v>4591</v>
      </c>
      <c r="N36" s="9" t="s">
        <v>4591</v>
      </c>
      <c r="O36" s="9" t="s">
        <v>4591</v>
      </c>
      <c r="P36" s="9" t="s">
        <v>4591</v>
      </c>
      <c r="Q36" s="9" t="s">
        <v>4591</v>
      </c>
      <c r="R36" s="14" t="s">
        <v>4593</v>
      </c>
    </row>
    <row r="37" spans="2:18" ht="12.75">
      <c r="B37" s="9"/>
      <c r="C37" s="81">
        <v>290</v>
      </c>
      <c r="D37" s="9" t="s">
        <v>4591</v>
      </c>
      <c r="E37" s="9" t="s">
        <v>4593</v>
      </c>
      <c r="F37" s="9" t="s">
        <v>4591</v>
      </c>
      <c r="G37" s="9" t="s">
        <v>4591</v>
      </c>
      <c r="H37" s="9" t="s">
        <v>4591</v>
      </c>
      <c r="I37" s="9" t="s">
        <v>4593</v>
      </c>
      <c r="J37" s="9" t="s">
        <v>4592</v>
      </c>
      <c r="K37" s="9" t="s">
        <v>4593</v>
      </c>
      <c r="L37" s="9" t="s">
        <v>4593</v>
      </c>
      <c r="M37" s="9" t="s">
        <v>4591</v>
      </c>
      <c r="N37" s="9" t="s">
        <v>4593</v>
      </c>
      <c r="O37" s="9" t="s">
        <v>4591</v>
      </c>
      <c r="P37" s="9" t="s">
        <v>4591</v>
      </c>
      <c r="Q37" s="9" t="s">
        <v>4592</v>
      </c>
      <c r="R37" s="14" t="s">
        <v>4591</v>
      </c>
    </row>
    <row r="38" spans="2:18" ht="12.75">
      <c r="B38" s="9"/>
      <c r="C38" s="81">
        <v>312</v>
      </c>
      <c r="D38" s="9" t="s">
        <v>4593</v>
      </c>
      <c r="E38" s="9" t="s">
        <v>4593</v>
      </c>
      <c r="F38" s="9" t="s">
        <v>4593</v>
      </c>
      <c r="G38" s="9" t="s">
        <v>4592</v>
      </c>
      <c r="H38" s="9" t="s">
        <v>4592</v>
      </c>
      <c r="I38" s="9" t="s">
        <v>4593</v>
      </c>
      <c r="J38" s="9" t="s">
        <v>4591</v>
      </c>
      <c r="K38" s="9" t="s">
        <v>4593</v>
      </c>
      <c r="L38" s="9" t="s">
        <v>4593</v>
      </c>
      <c r="M38" s="9" t="s">
        <v>4592</v>
      </c>
      <c r="N38" s="9" t="s">
        <v>4593</v>
      </c>
      <c r="O38" s="9" t="s">
        <v>4592</v>
      </c>
      <c r="P38" s="9" t="s">
        <v>4592</v>
      </c>
      <c r="Q38" s="9" t="s">
        <v>4592</v>
      </c>
      <c r="R38" s="14" t="s">
        <v>4593</v>
      </c>
    </row>
    <row r="39" spans="2:18" ht="12.75">
      <c r="B39" s="9"/>
      <c r="C39" s="81">
        <v>321</v>
      </c>
      <c r="D39" s="9" t="s">
        <v>4591</v>
      </c>
      <c r="E39" s="9" t="s">
        <v>4591</v>
      </c>
      <c r="F39" s="9" t="s">
        <v>4592</v>
      </c>
      <c r="G39" s="9" t="s">
        <v>4591</v>
      </c>
      <c r="H39" s="9" t="s">
        <v>4591</v>
      </c>
      <c r="I39" s="9" t="s">
        <v>4592</v>
      </c>
      <c r="J39" s="9" t="s">
        <v>4591</v>
      </c>
      <c r="K39" s="9" t="s">
        <v>4592</v>
      </c>
      <c r="L39" s="9" t="s">
        <v>4592</v>
      </c>
      <c r="M39" s="9" t="s">
        <v>4592</v>
      </c>
      <c r="N39" s="9" t="s">
        <v>4591</v>
      </c>
      <c r="O39" s="9" t="s">
        <v>4592</v>
      </c>
      <c r="P39" s="9" t="s">
        <v>4591</v>
      </c>
      <c r="Q39" s="9" t="s">
        <v>4591</v>
      </c>
      <c r="R39" s="14" t="s">
        <v>4592</v>
      </c>
    </row>
    <row r="40" spans="2:18" ht="12.75">
      <c r="B40" s="9"/>
      <c r="C40" s="81">
        <v>327</v>
      </c>
      <c r="D40" s="9" t="s">
        <v>4591</v>
      </c>
      <c r="E40" s="9" t="s">
        <v>4591</v>
      </c>
      <c r="F40" s="9" t="s">
        <v>4591</v>
      </c>
      <c r="G40" s="9" t="s">
        <v>4591</v>
      </c>
      <c r="H40" s="9" t="s">
        <v>4591</v>
      </c>
      <c r="I40" s="9" t="s">
        <v>4591</v>
      </c>
      <c r="J40" s="9" t="s">
        <v>4593</v>
      </c>
      <c r="K40" s="9" t="s">
        <v>4591</v>
      </c>
      <c r="L40" s="9" t="s">
        <v>4591</v>
      </c>
      <c r="M40" s="9" t="s">
        <v>4591</v>
      </c>
      <c r="N40" s="9" t="s">
        <v>4591</v>
      </c>
      <c r="O40" s="9" t="s">
        <v>4591</v>
      </c>
      <c r="P40" s="9" t="s">
        <v>4591</v>
      </c>
      <c r="Q40" s="9" t="s">
        <v>4591</v>
      </c>
      <c r="R40" s="14" t="s">
        <v>4591</v>
      </c>
    </row>
    <row r="41" spans="2:18" ht="12.75">
      <c r="B41" s="9"/>
      <c r="C41" s="81">
        <v>330</v>
      </c>
      <c r="D41" s="9" t="s">
        <v>4592</v>
      </c>
      <c r="E41" s="9" t="s">
        <v>4592</v>
      </c>
      <c r="F41" s="9" t="s">
        <v>4592</v>
      </c>
      <c r="G41" s="9" t="s">
        <v>4592</v>
      </c>
      <c r="H41" s="9" t="s">
        <v>4592</v>
      </c>
      <c r="I41" s="9" t="s">
        <v>4592</v>
      </c>
      <c r="J41" s="9" t="s">
        <v>4592</v>
      </c>
      <c r="K41" s="9" t="s">
        <v>4593</v>
      </c>
      <c r="L41" s="9" t="s">
        <v>4592</v>
      </c>
      <c r="M41" s="9" t="s">
        <v>4591</v>
      </c>
      <c r="N41" s="9" t="s">
        <v>4592</v>
      </c>
      <c r="O41" s="9" t="s">
        <v>4591</v>
      </c>
      <c r="P41" s="9" t="s">
        <v>4592</v>
      </c>
      <c r="Q41" s="9" t="s">
        <v>4591</v>
      </c>
      <c r="R41" s="14" t="s">
        <v>4592</v>
      </c>
    </row>
    <row r="42" spans="2:18" ht="12.75">
      <c r="B42" s="9"/>
      <c r="C42" s="81">
        <v>335</v>
      </c>
      <c r="D42" s="9" t="s">
        <v>4591</v>
      </c>
      <c r="E42" s="9" t="s">
        <v>4591</v>
      </c>
      <c r="F42" s="9" t="s">
        <v>4592</v>
      </c>
      <c r="G42" s="9" t="s">
        <v>4592</v>
      </c>
      <c r="H42" s="9" t="s">
        <v>4591</v>
      </c>
      <c r="I42" s="9" t="s">
        <v>4591</v>
      </c>
      <c r="J42" s="9" t="s">
        <v>4591</v>
      </c>
      <c r="K42" s="9" t="s">
        <v>4591</v>
      </c>
      <c r="L42" s="9" t="s">
        <v>4591</v>
      </c>
      <c r="M42" s="9" t="s">
        <v>4591</v>
      </c>
      <c r="N42" s="9" t="s">
        <v>4591</v>
      </c>
      <c r="O42" s="9" t="s">
        <v>4591</v>
      </c>
      <c r="P42" s="9" t="s">
        <v>4593</v>
      </c>
      <c r="Q42" s="9" t="s">
        <v>4591</v>
      </c>
      <c r="R42" s="14" t="s">
        <v>4592</v>
      </c>
    </row>
    <row r="43" spans="2:18" ht="12.75">
      <c r="B43" s="9"/>
      <c r="C43" s="81">
        <v>336</v>
      </c>
      <c r="D43" s="9" t="s">
        <v>4591</v>
      </c>
      <c r="E43" s="9" t="s">
        <v>4591</v>
      </c>
      <c r="F43" s="9" t="s">
        <v>4591</v>
      </c>
      <c r="G43" s="9" t="s">
        <v>4591</v>
      </c>
      <c r="H43" s="9" t="s">
        <v>4591</v>
      </c>
      <c r="I43" s="9" t="s">
        <v>4591</v>
      </c>
      <c r="J43" s="9" t="s">
        <v>4591</v>
      </c>
      <c r="K43" s="9" t="s">
        <v>4591</v>
      </c>
      <c r="L43" s="9" t="s">
        <v>4591</v>
      </c>
      <c r="M43" s="9" t="s">
        <v>4591</v>
      </c>
      <c r="N43" s="9" t="s">
        <v>4591</v>
      </c>
      <c r="O43" s="9" t="s">
        <v>4595</v>
      </c>
      <c r="P43" s="9" t="s">
        <v>4591</v>
      </c>
      <c r="Q43" s="9" t="s">
        <v>4591</v>
      </c>
      <c r="R43" s="14" t="s">
        <v>4591</v>
      </c>
    </row>
    <row r="44" spans="2:18" ht="12.75">
      <c r="B44" s="9"/>
      <c r="C44" s="81">
        <v>337</v>
      </c>
      <c r="D44" s="9" t="s">
        <v>4591</v>
      </c>
      <c r="E44" s="9" t="s">
        <v>4591</v>
      </c>
      <c r="F44" s="9" t="s">
        <v>4591</v>
      </c>
      <c r="G44" s="9" t="s">
        <v>4591</v>
      </c>
      <c r="H44" s="9" t="s">
        <v>4591</v>
      </c>
      <c r="I44" s="9" t="s">
        <v>4591</v>
      </c>
      <c r="J44" s="9" t="s">
        <v>4591</v>
      </c>
      <c r="K44" s="9" t="s">
        <v>4591</v>
      </c>
      <c r="L44" s="9" t="s">
        <v>4591</v>
      </c>
      <c r="M44" s="9" t="s">
        <v>4591</v>
      </c>
      <c r="N44" s="9" t="s">
        <v>4591</v>
      </c>
      <c r="O44" s="9" t="s">
        <v>4592</v>
      </c>
      <c r="P44" s="9" t="s">
        <v>4591</v>
      </c>
      <c r="Q44" s="9" t="s">
        <v>4591</v>
      </c>
      <c r="R44" s="14" t="s">
        <v>4591</v>
      </c>
    </row>
    <row r="45" spans="2:18" ht="12.75">
      <c r="B45" s="9"/>
      <c r="C45" s="81">
        <v>339</v>
      </c>
      <c r="D45" s="9" t="s">
        <v>4591</v>
      </c>
      <c r="E45" s="9" t="s">
        <v>4591</v>
      </c>
      <c r="F45" s="9" t="s">
        <v>4591</v>
      </c>
      <c r="G45" s="9" t="s">
        <v>4591</v>
      </c>
      <c r="H45" s="9" t="s">
        <v>4591</v>
      </c>
      <c r="I45" s="9" t="s">
        <v>4591</v>
      </c>
      <c r="J45" s="9" t="s">
        <v>4591</v>
      </c>
      <c r="K45" s="9" t="s">
        <v>4591</v>
      </c>
      <c r="L45" s="9" t="s">
        <v>4591</v>
      </c>
      <c r="M45" s="9" t="s">
        <v>4591</v>
      </c>
      <c r="N45" s="9" t="s">
        <v>4591</v>
      </c>
      <c r="O45" s="9" t="s">
        <v>4591</v>
      </c>
      <c r="P45" s="9" t="s">
        <v>4591</v>
      </c>
      <c r="Q45" s="9" t="s">
        <v>4591</v>
      </c>
      <c r="R45" s="14" t="s">
        <v>4591</v>
      </c>
    </row>
    <row r="46" spans="2:18" ht="12.75">
      <c r="B46" s="9"/>
      <c r="C46" s="81">
        <v>340</v>
      </c>
      <c r="D46" s="9" t="s">
        <v>4591</v>
      </c>
      <c r="E46" s="9" t="s">
        <v>4591</v>
      </c>
      <c r="F46" s="9" t="s">
        <v>4591</v>
      </c>
      <c r="G46" s="9" t="s">
        <v>4591</v>
      </c>
      <c r="H46" s="9" t="s">
        <v>4591</v>
      </c>
      <c r="I46" s="9" t="s">
        <v>4591</v>
      </c>
      <c r="J46" s="9" t="s">
        <v>4591</v>
      </c>
      <c r="K46" s="9" t="s">
        <v>4591</v>
      </c>
      <c r="L46" s="9" t="s">
        <v>4591</v>
      </c>
      <c r="M46" s="9" t="s">
        <v>4591</v>
      </c>
      <c r="N46" s="9" t="s">
        <v>4591</v>
      </c>
      <c r="O46" s="9" t="s">
        <v>4591</v>
      </c>
      <c r="P46" s="9" t="s">
        <v>4591</v>
      </c>
      <c r="Q46" s="9" t="s">
        <v>4591</v>
      </c>
      <c r="R46" s="14" t="s">
        <v>4591</v>
      </c>
    </row>
    <row r="47" spans="2:18" ht="12.75">
      <c r="B47" s="9"/>
      <c r="C47" s="81">
        <v>341</v>
      </c>
      <c r="D47" s="9" t="s">
        <v>4591</v>
      </c>
      <c r="E47" s="9" t="s">
        <v>4591</v>
      </c>
      <c r="F47" s="9" t="s">
        <v>4591</v>
      </c>
      <c r="G47" s="9" t="s">
        <v>4591</v>
      </c>
      <c r="H47" s="9" t="s">
        <v>4591</v>
      </c>
      <c r="I47" s="9" t="s">
        <v>4591</v>
      </c>
      <c r="J47" s="9" t="s">
        <v>4591</v>
      </c>
      <c r="K47" s="9" t="s">
        <v>4591</v>
      </c>
      <c r="L47" s="9" t="s">
        <v>4591</v>
      </c>
      <c r="M47" s="9" t="s">
        <v>4591</v>
      </c>
      <c r="N47" s="9" t="s">
        <v>4591</v>
      </c>
      <c r="O47" s="9" t="s">
        <v>4591</v>
      </c>
      <c r="P47" s="9" t="s">
        <v>4591</v>
      </c>
      <c r="Q47" s="9" t="s">
        <v>4591</v>
      </c>
      <c r="R47" s="14" t="s">
        <v>4591</v>
      </c>
    </row>
    <row r="48" spans="2:18" ht="12.75">
      <c r="B48" s="9"/>
      <c r="C48" s="81">
        <v>342</v>
      </c>
      <c r="D48" s="9" t="s">
        <v>4591</v>
      </c>
      <c r="E48" s="9" t="s">
        <v>4591</v>
      </c>
      <c r="F48" s="9" t="s">
        <v>4591</v>
      </c>
      <c r="G48" s="9" t="s">
        <v>4591</v>
      </c>
      <c r="H48" s="9" t="s">
        <v>4591</v>
      </c>
      <c r="I48" s="9" t="s">
        <v>4591</v>
      </c>
      <c r="J48" s="9" t="s">
        <v>4593</v>
      </c>
      <c r="K48" s="9" t="s">
        <v>4591</v>
      </c>
      <c r="L48" s="9" t="s">
        <v>4591</v>
      </c>
      <c r="M48" s="9" t="s">
        <v>4591</v>
      </c>
      <c r="N48" s="9" t="s">
        <v>4591</v>
      </c>
      <c r="O48" s="9" t="s">
        <v>4591</v>
      </c>
      <c r="P48" s="9" t="s">
        <v>4591</v>
      </c>
      <c r="Q48" s="9" t="s">
        <v>4591</v>
      </c>
      <c r="R48" s="14" t="s">
        <v>4591</v>
      </c>
    </row>
    <row r="49" spans="2:18" ht="12.75">
      <c r="B49" s="9"/>
      <c r="C49" s="81">
        <v>343</v>
      </c>
      <c r="D49" s="9" t="s">
        <v>4592</v>
      </c>
      <c r="E49" s="9" t="s">
        <v>4591</v>
      </c>
      <c r="F49" s="9" t="s">
        <v>4592</v>
      </c>
      <c r="G49" s="9" t="s">
        <v>4591</v>
      </c>
      <c r="H49" s="9" t="s">
        <v>4591</v>
      </c>
      <c r="I49" s="9" t="s">
        <v>4591</v>
      </c>
      <c r="J49" s="9" t="s">
        <v>4591</v>
      </c>
      <c r="K49" s="9" t="s">
        <v>4591</v>
      </c>
      <c r="L49" s="9" t="s">
        <v>4591</v>
      </c>
      <c r="M49" s="9" t="s">
        <v>4591</v>
      </c>
      <c r="N49" s="9" t="s">
        <v>4591</v>
      </c>
      <c r="O49" s="9" t="s">
        <v>4591</v>
      </c>
      <c r="P49" s="9" t="s">
        <v>4591</v>
      </c>
      <c r="Q49" s="9" t="s">
        <v>4591</v>
      </c>
      <c r="R49" s="14" t="s">
        <v>4592</v>
      </c>
    </row>
    <row r="50" spans="2:18" ht="12.75">
      <c r="B50" s="9"/>
      <c r="C50" s="81">
        <v>345</v>
      </c>
      <c r="D50" s="9" t="s">
        <v>4591</v>
      </c>
      <c r="E50" s="9" t="s">
        <v>4592</v>
      </c>
      <c r="F50" s="9" t="s">
        <v>4593</v>
      </c>
      <c r="G50" s="9" t="s">
        <v>4593</v>
      </c>
      <c r="H50" s="9" t="s">
        <v>4591</v>
      </c>
      <c r="I50" s="9" t="s">
        <v>4592</v>
      </c>
      <c r="J50" s="9" t="s">
        <v>4591</v>
      </c>
      <c r="K50" s="9" t="s">
        <v>4592</v>
      </c>
      <c r="L50" s="9" t="s">
        <v>4592</v>
      </c>
      <c r="M50" s="9" t="s">
        <v>4592</v>
      </c>
      <c r="N50" s="9" t="s">
        <v>4592</v>
      </c>
      <c r="O50" s="9" t="s">
        <v>4592</v>
      </c>
      <c r="P50" s="9" t="s">
        <v>4593</v>
      </c>
      <c r="Q50" s="9" t="s">
        <v>4592</v>
      </c>
      <c r="R50" s="14" t="s">
        <v>4593</v>
      </c>
    </row>
    <row r="51" spans="2:18" ht="12.75">
      <c r="B51" s="9"/>
      <c r="C51" s="81">
        <v>347</v>
      </c>
      <c r="D51" s="9" t="s">
        <v>4593</v>
      </c>
      <c r="E51" s="9" t="s">
        <v>4593</v>
      </c>
      <c r="F51" s="9" t="s">
        <v>4593</v>
      </c>
      <c r="G51" s="9" t="s">
        <v>4592</v>
      </c>
      <c r="H51" s="9" t="s">
        <v>4592</v>
      </c>
      <c r="I51" s="9" t="s">
        <v>4593</v>
      </c>
      <c r="J51" s="9" t="s">
        <v>4591</v>
      </c>
      <c r="K51" s="9" t="s">
        <v>4593</v>
      </c>
      <c r="L51" s="9" t="s">
        <v>4593</v>
      </c>
      <c r="M51" s="9" t="s">
        <v>4592</v>
      </c>
      <c r="N51" s="9" t="s">
        <v>4593</v>
      </c>
      <c r="O51" s="9" t="s">
        <v>4592</v>
      </c>
      <c r="P51" s="9" t="s">
        <v>4592</v>
      </c>
      <c r="Q51" s="9" t="s">
        <v>4592</v>
      </c>
      <c r="R51" s="14" t="s">
        <v>4593</v>
      </c>
    </row>
    <row r="52" spans="2:18" ht="12.75">
      <c r="B52" s="9"/>
      <c r="C52" s="81">
        <v>348</v>
      </c>
      <c r="D52" s="9" t="s">
        <v>4591</v>
      </c>
      <c r="E52" s="9" t="s">
        <v>4591</v>
      </c>
      <c r="F52" s="9" t="s">
        <v>4591</v>
      </c>
      <c r="G52" s="9" t="s">
        <v>4591</v>
      </c>
      <c r="H52" s="9" t="s">
        <v>4593</v>
      </c>
      <c r="I52" s="9" t="s">
        <v>4591</v>
      </c>
      <c r="J52" s="9" t="s">
        <v>4591</v>
      </c>
      <c r="K52" s="9" t="s">
        <v>4591</v>
      </c>
      <c r="L52" s="9" t="s">
        <v>4591</v>
      </c>
      <c r="M52" s="9" t="s">
        <v>4591</v>
      </c>
      <c r="N52" s="9" t="s">
        <v>4591</v>
      </c>
      <c r="O52" s="9" t="s">
        <v>4591</v>
      </c>
      <c r="P52" s="9" t="s">
        <v>4591</v>
      </c>
      <c r="Q52" s="9" t="s">
        <v>4591</v>
      </c>
      <c r="R52" s="14" t="s">
        <v>4591</v>
      </c>
    </row>
    <row r="53" spans="2:18" ht="12.75">
      <c r="B53" s="9"/>
      <c r="C53" s="81">
        <v>352</v>
      </c>
      <c r="D53" s="9" t="s">
        <v>4592</v>
      </c>
      <c r="E53" s="9" t="s">
        <v>4591</v>
      </c>
      <c r="F53" s="9" t="s">
        <v>4592</v>
      </c>
      <c r="G53" s="9" t="s">
        <v>4591</v>
      </c>
      <c r="H53" s="9" t="s">
        <v>4591</v>
      </c>
      <c r="I53" s="9" t="s">
        <v>4591</v>
      </c>
      <c r="J53" s="9" t="s">
        <v>4591</v>
      </c>
      <c r="K53" s="9" t="s">
        <v>4591</v>
      </c>
      <c r="L53" s="9" t="s">
        <v>4591</v>
      </c>
      <c r="M53" s="9" t="s">
        <v>4591</v>
      </c>
      <c r="N53" s="9" t="s">
        <v>4591</v>
      </c>
      <c r="O53" s="9" t="s">
        <v>4591</v>
      </c>
      <c r="P53" s="9" t="s">
        <v>4591</v>
      </c>
      <c r="Q53" s="9" t="s">
        <v>4591</v>
      </c>
      <c r="R53" s="14" t="s">
        <v>4592</v>
      </c>
    </row>
    <row r="54" spans="2:18" ht="12.75">
      <c r="B54" s="9"/>
      <c r="C54" s="81">
        <v>353</v>
      </c>
      <c r="D54" s="9" t="s">
        <v>4592</v>
      </c>
      <c r="E54" s="9" t="s">
        <v>4591</v>
      </c>
      <c r="F54" s="9" t="s">
        <v>4592</v>
      </c>
      <c r="G54" s="9" t="s">
        <v>4591</v>
      </c>
      <c r="H54" s="9" t="s">
        <v>4591</v>
      </c>
      <c r="I54" s="9" t="s">
        <v>4591</v>
      </c>
      <c r="J54" s="9" t="s">
        <v>4591</v>
      </c>
      <c r="K54" s="9" t="s">
        <v>4591</v>
      </c>
      <c r="L54" s="9" t="s">
        <v>4591</v>
      </c>
      <c r="M54" s="9" t="s">
        <v>4591</v>
      </c>
      <c r="N54" s="9" t="s">
        <v>4591</v>
      </c>
      <c r="O54" s="9" t="s">
        <v>4591</v>
      </c>
      <c r="P54" s="9" t="s">
        <v>4591</v>
      </c>
      <c r="Q54" s="9" t="s">
        <v>4591</v>
      </c>
      <c r="R54" s="14" t="s">
        <v>4592</v>
      </c>
    </row>
    <row r="55" spans="2:18" ht="12.75">
      <c r="B55" s="9"/>
      <c r="C55" s="82">
        <v>364</v>
      </c>
      <c r="D55" s="21" t="s">
        <v>4591</v>
      </c>
      <c r="E55" s="21" t="s">
        <v>4591</v>
      </c>
      <c r="F55" s="21" t="s">
        <v>4591</v>
      </c>
      <c r="G55" s="21" t="s">
        <v>4591</v>
      </c>
      <c r="H55" s="21" t="s">
        <v>4591</v>
      </c>
      <c r="I55" s="21" t="s">
        <v>4591</v>
      </c>
      <c r="J55" s="21" t="s">
        <v>4591</v>
      </c>
      <c r="K55" s="21" t="s">
        <v>4591</v>
      </c>
      <c r="L55" s="21" t="s">
        <v>4591</v>
      </c>
      <c r="M55" s="21" t="s">
        <v>4591</v>
      </c>
      <c r="N55" s="21" t="s">
        <v>4591</v>
      </c>
      <c r="O55" s="21" t="s">
        <v>4591</v>
      </c>
      <c r="P55" s="21" t="s">
        <v>4591</v>
      </c>
      <c r="Q55" s="21" t="s">
        <v>4591</v>
      </c>
      <c r="R55" s="38" t="s">
        <v>4591</v>
      </c>
    </row>
    <row r="58" spans="2:18" ht="15.75" customHeight="1" thickBot="1">
      <c r="B58" s="219" t="s">
        <v>4604</v>
      </c>
      <c r="C58" s="201"/>
      <c r="D58" s="45">
        <v>155</v>
      </c>
    </row>
    <row r="59" spans="2:18" ht="15.75" customHeight="1" thickTop="1">
      <c r="B59" s="134" t="s">
        <v>4594</v>
      </c>
      <c r="C59" s="135" t="s">
        <v>44</v>
      </c>
      <c r="D59" s="135" t="s">
        <v>110</v>
      </c>
      <c r="E59" s="136" t="s">
        <v>2</v>
      </c>
      <c r="F59" s="229" t="s">
        <v>4612</v>
      </c>
      <c r="G59" s="229"/>
      <c r="H59" s="230"/>
      <c r="I59" s="9"/>
      <c r="J59" s="9"/>
      <c r="K59" s="9"/>
      <c r="L59" s="9"/>
      <c r="M59" s="9"/>
      <c r="O59" s="9"/>
      <c r="P59" s="9"/>
    </row>
    <row r="60" spans="2:18" ht="15.75" customHeight="1">
      <c r="B60" s="137" t="s">
        <v>107</v>
      </c>
      <c r="C60" s="93">
        <v>7</v>
      </c>
      <c r="D60" s="93" t="s">
        <v>295</v>
      </c>
      <c r="E60" s="93" t="str">
        <f>IF($B60 = "Mutant",VLOOKUP($C60,Mutants!$A$2:$L$560,12,FALSE),IF($B60 = "Test",VLOOKUP($C60,Tests!$A$2:$L$841,12,FALSE),VLOOKUP($C60,Questions!$A$3:$N$174,9,FALSE)))</f>
        <v>Y</v>
      </c>
      <c r="F60" s="205" t="str">
        <f>IF($B60 = "Mutant",VLOOKUP($C60,Mutants!$A$2:$L$560,11,FALSE),IF($B60 = "Test",VLOOKUP($C60,Tests!$A$2:$L$841,11,FALSE),VLOOKUP($C60,Questions!$A$3:$N$174,13,FALSE)))</f>
        <v xml:space="preserve"> </v>
      </c>
      <c r="G60" s="205"/>
      <c r="H60" s="206"/>
      <c r="I60" s="9"/>
      <c r="J60" s="9"/>
      <c r="K60" s="9"/>
      <c r="L60" s="9"/>
      <c r="M60" s="9"/>
    </row>
    <row r="61" spans="2:18" ht="15.75" customHeight="1">
      <c r="B61" s="114" t="s">
        <v>4590</v>
      </c>
      <c r="C61" s="9">
        <v>103</v>
      </c>
      <c r="D61" s="9" t="s">
        <v>698</v>
      </c>
      <c r="E61" s="9" t="str">
        <f>IF($B61 = "Mutant",VLOOKUP($C61,Mutants!$A$2:$L$560,12,FALSE),IF($B61 = "Test",VLOOKUP($C61,Tests!$A$2:$L$841,12,FALSE),VLOOKUP($C61,Questions!$A$3:$N$174,9,FALSE)))</f>
        <v>N</v>
      </c>
      <c r="F61" s="187" t="str">
        <f>IF($B61 = "Mutant",VLOOKUP($C61,Mutants!$A$2:$L$560,11,FALSE),IF($B61 = "Test",VLOOKUP($C61,Tests!$A$2:$L$841,11,FALSE),VLOOKUP($C61,Questions!$A$3:$N$174,13,FALSE)))</f>
        <v xml:space="preserve">
</v>
      </c>
      <c r="G61" s="187"/>
      <c r="H61" s="202"/>
      <c r="I61" s="9"/>
      <c r="J61" s="9"/>
      <c r="K61" s="9"/>
      <c r="L61" s="9"/>
      <c r="M61" s="9"/>
    </row>
    <row r="62" spans="2:18" ht="15.75" customHeight="1">
      <c r="B62" s="114" t="s">
        <v>4589</v>
      </c>
      <c r="C62" s="9">
        <v>172</v>
      </c>
      <c r="D62" s="9" t="s">
        <v>3299</v>
      </c>
      <c r="E62" s="9" t="str">
        <f>IF($B62 = "Mutant",VLOOKUP($C62,Mutants!$A$2:$L$560,12,FALSE),IF($B62 = "Test",VLOOKUP($C62,Tests!$A$2:$L$841,12,FALSE),VLOOKUP($C62,Questions!$A$3:$N$174,9,FALSE)))</f>
        <v>Y</v>
      </c>
      <c r="F62" s="187" t="str">
        <f>IF($B62 = "Mutant",VLOOKUP($C62,Mutants!$A$2:$L$560,11,FALSE),IF($B62 = "Test",VLOOKUP($C62,Tests!$A$2:$L$841,11,FALSE),VLOOKUP($C62,Questions!$A$3:$N$174,13,FALSE)))</f>
        <v xml:space="preserve">stripLeadingHyphens
</v>
      </c>
      <c r="G62" s="187"/>
      <c r="H62" s="202"/>
      <c r="I62" s="9"/>
      <c r="J62" s="9"/>
      <c r="K62" s="9"/>
      <c r="L62" s="9"/>
      <c r="M62" s="9"/>
    </row>
    <row r="63" spans="2:18" ht="15.75" customHeight="1">
      <c r="B63" s="114" t="s">
        <v>4589</v>
      </c>
      <c r="C63" s="9">
        <v>177</v>
      </c>
      <c r="D63" s="9" t="s">
        <v>3310</v>
      </c>
      <c r="E63" s="9" t="str">
        <f>IF($B63 = "Mutant",VLOOKUP($C63,Mutants!$A$2:$L$560,12,FALSE),IF($B63 = "Test",VLOOKUP($C63,Tests!$A$2:$L$841,12,FALSE),VLOOKUP($C63,Questions!$A$3:$N$174,9,FALSE)))</f>
        <v>Y</v>
      </c>
      <c r="F63" s="187" t="str">
        <f>IF($B63 = "Mutant",VLOOKUP($C63,Mutants!$A$2:$L$560,11,FALSE),IF($B63 = "Test",VLOOKUP($C63,Tests!$A$2:$L$841,11,FALSE),VLOOKUP($C63,Questions!$A$3:$N$174,13,FALSE)))</f>
        <v xml:space="preserve">stripLeadingHyphens
</v>
      </c>
      <c r="G63" s="187"/>
      <c r="H63" s="202"/>
      <c r="I63" s="9"/>
      <c r="J63" s="9"/>
      <c r="K63" s="9"/>
      <c r="L63" s="9"/>
      <c r="M63" s="9"/>
    </row>
    <row r="64" spans="2:18" ht="15.75" customHeight="1">
      <c r="B64" s="114" t="s">
        <v>4589</v>
      </c>
      <c r="C64" s="9">
        <v>182</v>
      </c>
      <c r="D64" s="9" t="s">
        <v>3325</v>
      </c>
      <c r="E64" s="9" t="str">
        <f>IF($B64 = "Mutant",VLOOKUP($C64,Mutants!$A$2:$L$560,12,FALSE),IF($B64 = "Test",VLOOKUP($C64,Tests!$A$2:$L$841,12,FALSE),VLOOKUP($C64,Questions!$A$3:$N$174,9,FALSE)))</f>
        <v>Y</v>
      </c>
      <c r="F64" s="187" t="str">
        <f>IF($B64 = "Mutant",VLOOKUP($C64,Mutants!$A$2:$L$560,11,FALSE),IF($B64 = "Test",VLOOKUP($C64,Tests!$A$2:$L$841,11,FALSE),VLOOKUP($C64,Questions!$A$3:$N$174,13,FALSE)))</f>
        <v xml:space="preserve">stripLeadingHyphens
</v>
      </c>
      <c r="G64" s="187"/>
      <c r="H64" s="202"/>
      <c r="I64" s="9"/>
      <c r="J64" s="9"/>
      <c r="K64" s="9"/>
      <c r="L64" s="9"/>
      <c r="M64" s="9"/>
    </row>
    <row r="65" spans="2:13" ht="15.75" customHeight="1">
      <c r="B65" s="114" t="s">
        <v>4589</v>
      </c>
      <c r="C65" s="9">
        <v>189</v>
      </c>
      <c r="D65" s="9" t="s">
        <v>3345</v>
      </c>
      <c r="E65" s="9" t="str">
        <f>IF($B65 = "Mutant",VLOOKUP($C65,Mutants!$A$2:$L$560,12,FALSE),IF($B65 = "Test",VLOOKUP($C65,Tests!$A$2:$L$841,12,FALSE),VLOOKUP($C65,Questions!$A$3:$N$174,9,FALSE)))</f>
        <v>Y</v>
      </c>
      <c r="F65" s="187" t="str">
        <f>IF($B65 = "Mutant",VLOOKUP($C65,Mutants!$A$2:$L$560,11,FALSE),IF($B65 = "Test",VLOOKUP($C65,Tests!$A$2:$L$841,11,FALSE),VLOOKUP($C65,Questions!$A$3:$N$174,13,FALSE)))</f>
        <v xml:space="preserve">toString
</v>
      </c>
      <c r="G65" s="187"/>
      <c r="H65" s="202"/>
      <c r="I65" s="9"/>
      <c r="J65" s="9"/>
      <c r="K65" s="9"/>
      <c r="L65" s="9"/>
      <c r="M65" s="9"/>
    </row>
    <row r="66" spans="2:13" ht="15.75" customHeight="1">
      <c r="B66" s="114" t="s">
        <v>4589</v>
      </c>
      <c r="C66" s="9">
        <v>195</v>
      </c>
      <c r="D66" s="9" t="s">
        <v>3363</v>
      </c>
      <c r="E66" s="9" t="str">
        <f>IF($B66 = "Mutant",VLOOKUP($C66,Mutants!$A$2:$L$560,12,FALSE),IF($B66 = "Test",VLOOKUP($C66,Tests!$A$2:$L$841,12,FALSE),VLOOKUP($C66,Questions!$A$3:$N$174,9,FALSE)))</f>
        <v>Y</v>
      </c>
      <c r="F66" s="187" t="str">
        <f>IF($B66 = "Mutant",VLOOKUP($C66,Mutants!$A$2:$L$560,11,FALSE),IF($B66 = "Test",VLOOKUP($C66,Tests!$A$2:$L$841,11,FALSE),VLOOKUP($C66,Questions!$A$3:$N$174,13,FALSE)))</f>
        <v xml:space="preserve">stripLeadingHyphens
</v>
      </c>
      <c r="G66" s="187"/>
      <c r="H66" s="202"/>
      <c r="I66" s="9"/>
      <c r="J66" s="9"/>
      <c r="K66" s="9"/>
      <c r="L66" s="9"/>
      <c r="M66" s="9"/>
    </row>
    <row r="67" spans="2:13" ht="15.75" customHeight="1">
      <c r="B67" s="114" t="s">
        <v>4589</v>
      </c>
      <c r="C67" s="9">
        <v>207</v>
      </c>
      <c r="D67" s="9" t="s">
        <v>3393</v>
      </c>
      <c r="E67" s="9" t="str">
        <f>IF($B67 = "Mutant",VLOOKUP($C67,Mutants!$A$2:$L$560,12,FALSE),IF($B67 = "Test",VLOOKUP($C67,Tests!$A$2:$L$841,12,FALSE),VLOOKUP($C67,Questions!$A$3:$N$174,9,FALSE)))</f>
        <v>Y</v>
      </c>
      <c r="F67" s="187" t="str">
        <f>IF($B67 = "Mutant",VLOOKUP($C67,Mutants!$A$2:$L$560,11,FALSE),IF($B67 = "Test",VLOOKUP($C67,Tests!$A$2:$L$841,11,FALSE),VLOOKUP($C67,Questions!$A$3:$N$174,13,FALSE)))</f>
        <v xml:space="preserve">addOption
</v>
      </c>
      <c r="G67" s="187"/>
      <c r="H67" s="202"/>
      <c r="I67" s="9"/>
      <c r="J67" s="9"/>
      <c r="K67" s="9"/>
      <c r="L67" s="9"/>
      <c r="M67" s="9"/>
    </row>
    <row r="68" spans="2:13" ht="15.75" customHeight="1">
      <c r="B68" s="114" t="s">
        <v>4589</v>
      </c>
      <c r="C68" s="9">
        <v>211</v>
      </c>
      <c r="D68" s="9" t="s">
        <v>3407</v>
      </c>
      <c r="E68" s="9" t="str">
        <f>IF($B68 = "Mutant",VLOOKUP($C68,Mutants!$A$2:$L$560,12,FALSE),IF($B68 = "Test",VLOOKUP($C68,Tests!$A$2:$L$841,12,FALSE),VLOOKUP($C68,Questions!$A$3:$N$174,9,FALSE)))</f>
        <v>Y</v>
      </c>
      <c r="F68" s="187" t="str">
        <f>IF($B68 = "Mutant",VLOOKUP($C68,Mutants!$A$2:$L$560,11,FALSE),IF($B68 = "Test",VLOOKUP($C68,Tests!$A$2:$L$841,11,FALSE),VLOOKUP($C68,Questions!$A$3:$N$174,13,FALSE)))</f>
        <v xml:space="preserve">hasLongOption
</v>
      </c>
      <c r="G68" s="187"/>
      <c r="H68" s="202"/>
      <c r="I68" s="9"/>
      <c r="J68" s="9"/>
      <c r="K68" s="9"/>
      <c r="L68" s="9"/>
      <c r="M68" s="9"/>
    </row>
    <row r="69" spans="2:13" ht="15.75" customHeight="1">
      <c r="B69" s="114" t="s">
        <v>4589</v>
      </c>
      <c r="C69" s="9">
        <v>215</v>
      </c>
      <c r="D69" s="9" t="s">
        <v>3419</v>
      </c>
      <c r="E69" s="9" t="str">
        <f>IF($B69 = "Mutant",VLOOKUP($C69,Mutants!$A$2:$L$560,12,FALSE),IF($B69 = "Test",VLOOKUP($C69,Tests!$A$2:$L$841,12,FALSE),VLOOKUP($C69,Questions!$A$3:$N$174,9,FALSE)))</f>
        <v>Y</v>
      </c>
      <c r="F69" s="187" t="str">
        <f>IF($B69 = "Mutant",VLOOKUP($C69,Mutants!$A$2:$L$560,11,FALSE),IF($B69 = "Test",VLOOKUP($C69,Tests!$A$2:$L$841,11,FALSE),VLOOKUP($C69,Questions!$A$3:$N$174,13,FALSE)))</f>
        <v xml:space="preserve">stripLeadingHyphens
</v>
      </c>
      <c r="G69" s="187"/>
      <c r="H69" s="202"/>
      <c r="I69" s="9"/>
      <c r="J69" s="9"/>
      <c r="K69" s="9"/>
      <c r="L69" s="9"/>
      <c r="M69" s="9"/>
    </row>
    <row r="70" spans="2:13" ht="15.75" customHeight="1">
      <c r="B70" s="114" t="s">
        <v>107</v>
      </c>
      <c r="C70" s="9">
        <v>48</v>
      </c>
      <c r="D70" s="9" t="s">
        <v>298</v>
      </c>
      <c r="E70" s="9" t="str">
        <f>IF($B70 = "Mutant",VLOOKUP($C70,Mutants!$A$2:$L$560,12,FALSE),IF($B70 = "Test",VLOOKUP($C70,Tests!$A$2:$L$841,12,FALSE),VLOOKUP($C70,Questions!$A$3:$N$174,9,FALSE)))</f>
        <v>Y</v>
      </c>
      <c r="F70" s="187" t="str">
        <f>IF($B70 = "Mutant",VLOOKUP($C70,Mutants!$A$2:$L$560,11,FALSE),IF($B70 = "Test",VLOOKUP($C70,Tests!$A$2:$L$841,11,FALSE),VLOOKUP($C70,Questions!$A$3:$N$174,13,FALSE)))</f>
        <v xml:space="preserve"> </v>
      </c>
      <c r="G70" s="187"/>
      <c r="H70" s="202"/>
      <c r="I70" s="9"/>
      <c r="J70" s="9"/>
      <c r="K70" s="9"/>
      <c r="L70" s="9"/>
      <c r="M70" s="9"/>
    </row>
    <row r="71" spans="2:13" ht="15.75" customHeight="1">
      <c r="B71" s="114" t="s">
        <v>107</v>
      </c>
      <c r="C71" s="9">
        <v>51</v>
      </c>
      <c r="D71" s="9" t="s">
        <v>301</v>
      </c>
      <c r="E71" s="9" t="str">
        <f>IF($B71 = "Mutant",VLOOKUP($C71,Mutants!$A$2:$L$560,12,FALSE),IF($B71 = "Test",VLOOKUP($C71,Tests!$A$2:$L$841,12,FALSE),VLOOKUP($C71,Questions!$A$3:$N$174,9,FALSE)))</f>
        <v>Y</v>
      </c>
      <c r="F71" s="187" t="str">
        <f>IF($B71 = "Mutant",VLOOKUP($C71,Mutants!$A$2:$L$560,11,FALSE),IF($B71 = "Test",VLOOKUP($C71,Tests!$A$2:$L$841,11,FALSE),VLOOKUP($C71,Questions!$A$3:$N$174,13,FALSE)))</f>
        <v xml:space="preserve"> </v>
      </c>
      <c r="G71" s="187"/>
      <c r="H71" s="202"/>
      <c r="I71" s="9"/>
      <c r="J71" s="9"/>
      <c r="K71" s="9"/>
      <c r="L71" s="9"/>
      <c r="M71" s="9"/>
    </row>
    <row r="72" spans="2:13" ht="15.75" customHeight="1">
      <c r="B72" s="114" t="s">
        <v>4590</v>
      </c>
      <c r="C72" s="9">
        <v>223</v>
      </c>
      <c r="D72" s="9" t="s">
        <v>1020</v>
      </c>
      <c r="E72" s="9" t="str">
        <f>IF($B72 = "Mutant",VLOOKUP($C72,Mutants!$A$2:$L$560,12,FALSE),IF($B72 = "Test",VLOOKUP($C72,Tests!$A$2:$L$841,12,FALSE),VLOOKUP($C72,Questions!$A$3:$N$174,9,FALSE)))</f>
        <v>N</v>
      </c>
      <c r="F72" s="187" t="str">
        <f>IF($B72 = "Mutant",VLOOKUP($C72,Mutants!$A$2:$L$560,11,FALSE),IF($B72 = "Test",VLOOKUP($C72,Tests!$A$2:$L$841,11,FALSE),VLOOKUP($C72,Questions!$A$3:$N$174,13,FALSE)))</f>
        <v xml:space="preserve">
</v>
      </c>
      <c r="G72" s="187"/>
      <c r="H72" s="202"/>
      <c r="I72" s="9"/>
      <c r="J72" s="9"/>
      <c r="K72" s="9"/>
      <c r="L72" s="9"/>
      <c r="M72" s="9"/>
    </row>
    <row r="73" spans="2:13" ht="15.75" customHeight="1">
      <c r="B73" s="114" t="s">
        <v>4590</v>
      </c>
      <c r="C73" s="9">
        <v>228</v>
      </c>
      <c r="D73" s="9" t="s">
        <v>361</v>
      </c>
      <c r="E73" s="9" t="str">
        <f>IF($B73 = "Mutant",VLOOKUP($C73,Mutants!$A$2:$L$560,12,FALSE),IF($B73 = "Test",VLOOKUP($C73,Tests!$A$2:$L$841,12,FALSE),VLOOKUP($C73,Questions!$A$3:$N$174,9,FALSE)))</f>
        <v>N</v>
      </c>
      <c r="F73" s="187" t="str">
        <f>IF($B73 = "Mutant",VLOOKUP($C73,Mutants!$A$2:$L$560,11,FALSE),IF($B73 = "Test",VLOOKUP($C73,Tests!$A$2:$L$841,11,FALSE),VLOOKUP($C73,Questions!$A$3:$N$174,13,FALSE)))</f>
        <v xml:space="preserve">
</v>
      </c>
      <c r="G73" s="187"/>
      <c r="H73" s="202"/>
      <c r="I73" s="9"/>
      <c r="J73" s="9"/>
      <c r="K73" s="9"/>
      <c r="L73" s="9"/>
      <c r="M73" s="9"/>
    </row>
    <row r="74" spans="2:13" ht="15.75" customHeight="1">
      <c r="B74" s="114" t="s">
        <v>4590</v>
      </c>
      <c r="C74" s="9">
        <v>234</v>
      </c>
      <c r="D74" s="9" t="s">
        <v>1049</v>
      </c>
      <c r="E74" s="9" t="str">
        <f>IF($B74 = "Mutant",VLOOKUP($C74,Mutants!$A$2:$L$560,12,FALSE),IF($B74 = "Test",VLOOKUP($C74,Tests!$A$2:$L$841,12,FALSE),VLOOKUP($C74,Questions!$A$3:$N$174,9,FALSE)))</f>
        <v>N</v>
      </c>
      <c r="F74" s="187" t="str">
        <f>IF($B74 = "Mutant",VLOOKUP($C74,Mutants!$A$2:$L$560,11,FALSE),IF($B74 = "Test",VLOOKUP($C74,Tests!$A$2:$L$841,11,FALSE),VLOOKUP($C74,Questions!$A$3:$N$174,13,FALSE)))</f>
        <v xml:space="preserve">
</v>
      </c>
      <c r="G74" s="187"/>
      <c r="H74" s="202"/>
      <c r="I74" s="9"/>
      <c r="J74" s="9"/>
      <c r="K74" s="9"/>
      <c r="L74" s="9"/>
      <c r="M74" s="9"/>
    </row>
    <row r="75" spans="2:13" ht="15.75" customHeight="1">
      <c r="B75" s="114" t="s">
        <v>4590</v>
      </c>
      <c r="C75" s="9">
        <v>246</v>
      </c>
      <c r="D75" s="9" t="s">
        <v>1080</v>
      </c>
      <c r="E75" s="9" t="str">
        <f>IF($B75 = "Mutant",VLOOKUP($C75,Mutants!$A$2:$L$560,12,FALSE),IF($B75 = "Test",VLOOKUP($C75,Tests!$A$2:$L$841,12,FALSE),VLOOKUP($C75,Questions!$A$3:$N$174,9,FALSE)))</f>
        <v>N</v>
      </c>
      <c r="F75" s="187" t="str">
        <f>IF($B75 = "Mutant",VLOOKUP($C75,Mutants!$A$2:$L$560,11,FALSE),IF($B75 = "Test",VLOOKUP($C75,Tests!$A$2:$L$841,11,FALSE),VLOOKUP($C75,Questions!$A$3:$N$174,13,FALSE)))</f>
        <v xml:space="preserve">
</v>
      </c>
      <c r="G75" s="187"/>
      <c r="H75" s="202"/>
      <c r="I75" s="9"/>
      <c r="J75" s="9"/>
      <c r="K75" s="9"/>
      <c r="L75" s="9"/>
      <c r="M75" s="9"/>
    </row>
    <row r="76" spans="2:13" ht="15.75" customHeight="1">
      <c r="B76" s="114" t="s">
        <v>4590</v>
      </c>
      <c r="C76" s="9">
        <v>248</v>
      </c>
      <c r="D76" s="9" t="s">
        <v>1088</v>
      </c>
      <c r="E76" s="9" t="str">
        <f>IF($B76 = "Mutant",VLOOKUP($C76,Mutants!$A$2:$L$560,12,FALSE),IF($B76 = "Test",VLOOKUP($C76,Tests!$A$2:$L$841,12,FALSE),VLOOKUP($C76,Questions!$A$3:$N$174,9,FALSE)))</f>
        <v>Y</v>
      </c>
      <c r="F76" s="187" t="str">
        <f>IF($B76 = "Mutant",VLOOKUP($C76,Mutants!$A$2:$L$560,11,FALSE),IF($B76 = "Test",VLOOKUP($C76,Tests!$A$2:$L$841,11,FALSE),VLOOKUP($C76,Questions!$A$3:$N$174,13,FALSE)))</f>
        <v xml:space="preserve">addOption, hasOption, hasLongOption, stripLeadingHyphens
</v>
      </c>
      <c r="G76" s="187"/>
      <c r="H76" s="202"/>
      <c r="I76" s="9"/>
      <c r="J76" s="9"/>
      <c r="K76" s="9"/>
      <c r="L76" s="9"/>
      <c r="M76" s="9"/>
    </row>
    <row r="77" spans="2:13" ht="15.75" customHeight="1">
      <c r="B77" s="114" t="s">
        <v>4590</v>
      </c>
      <c r="C77" s="9">
        <v>272</v>
      </c>
      <c r="D77" s="9" t="s">
        <v>1148</v>
      </c>
      <c r="E77" s="9" t="str">
        <f>IF($B77 = "Mutant",VLOOKUP($C77,Mutants!$A$2:$L$560,12,FALSE),IF($B77 = "Test",VLOOKUP($C77,Tests!$A$2:$L$841,12,FALSE),VLOOKUP($C77,Questions!$A$3:$N$174,9,FALSE)))</f>
        <v>N</v>
      </c>
      <c r="F77" s="187" t="str">
        <f>IF($B77 = "Mutant",VLOOKUP($C77,Mutants!$A$2:$L$560,11,FALSE),IF($B77 = "Test",VLOOKUP($C77,Tests!$A$2:$L$841,11,FALSE),VLOOKUP($C77,Questions!$A$3:$N$174,13,FALSE)))</f>
        <v xml:space="preserve">
</v>
      </c>
      <c r="G77" s="187"/>
      <c r="H77" s="202"/>
      <c r="I77" s="9"/>
      <c r="J77" s="9"/>
      <c r="K77" s="9"/>
      <c r="L77" s="9"/>
      <c r="M77" s="9"/>
    </row>
    <row r="78" spans="2:13" ht="15.75" customHeight="1">
      <c r="B78" s="114" t="s">
        <v>4590</v>
      </c>
      <c r="C78" s="9">
        <v>274</v>
      </c>
      <c r="D78" s="9" t="s">
        <v>1152</v>
      </c>
      <c r="E78" s="9" t="str">
        <f>IF($B78 = "Mutant",VLOOKUP($C78,Mutants!$A$2:$L$560,12,FALSE),IF($B78 = "Test",VLOOKUP($C78,Tests!$A$2:$L$841,12,FALSE),VLOOKUP($C78,Questions!$A$3:$N$174,9,FALSE)))</f>
        <v>N</v>
      </c>
      <c r="F78" s="187" t="str">
        <f>IF($B78 = "Mutant",VLOOKUP($C78,Mutants!$A$2:$L$560,11,FALSE),IF($B78 = "Test",VLOOKUP($C78,Tests!$A$2:$L$841,11,FALSE),VLOOKUP($C78,Questions!$A$3:$N$174,13,FALSE)))</f>
        <v xml:space="preserve">
</v>
      </c>
      <c r="G78" s="187"/>
      <c r="H78" s="202"/>
      <c r="I78" s="9"/>
      <c r="J78" s="9"/>
      <c r="K78" s="9"/>
      <c r="L78" s="9"/>
      <c r="M78" s="9"/>
    </row>
    <row r="79" spans="2:13" ht="15.75" customHeight="1">
      <c r="B79" s="114" t="s">
        <v>4590</v>
      </c>
      <c r="C79" s="9">
        <v>289</v>
      </c>
      <c r="D79" s="9" t="s">
        <v>1201</v>
      </c>
      <c r="E79" s="9" t="str">
        <f>IF($B79 = "Mutant",VLOOKUP($C79,Mutants!$A$2:$L$560,12,FALSE),IF($B79 = "Test",VLOOKUP($C79,Tests!$A$2:$L$841,12,FALSE),VLOOKUP($C79,Questions!$A$3:$N$174,9,FALSE)))</f>
        <v>Y</v>
      </c>
      <c r="F79" s="187" t="str">
        <f>IF($B79 = "Mutant",VLOOKUP($C79,Mutants!$A$2:$L$560,11,FALSE),IF($B79 = "Test",VLOOKUP($C79,Tests!$A$2:$L$841,11,FALSE),VLOOKUP($C79,Questions!$A$3:$N$174,13,FALSE)))</f>
        <v xml:space="preserve">addOption, toString
</v>
      </c>
      <c r="G79" s="187"/>
      <c r="H79" s="202"/>
      <c r="I79" s="9"/>
      <c r="J79" s="9"/>
      <c r="K79" s="9"/>
      <c r="L79" s="9"/>
      <c r="M79" s="9"/>
    </row>
    <row r="80" spans="2:13" ht="15.75" customHeight="1">
      <c r="B80" s="114" t="s">
        <v>4590</v>
      </c>
      <c r="C80" s="9">
        <v>301</v>
      </c>
      <c r="D80" s="9" t="s">
        <v>1240</v>
      </c>
      <c r="E80" s="9" t="str">
        <f>IF($B80 = "Mutant",VLOOKUP($C80,Mutants!$A$2:$L$560,12,FALSE),IF($B80 = "Test",VLOOKUP($C80,Tests!$A$2:$L$841,12,FALSE),VLOOKUP($C80,Questions!$A$3:$N$174,9,FALSE)))</f>
        <v>Y</v>
      </c>
      <c r="F80" s="187" t="str">
        <f>IF($B80 = "Mutant",VLOOKUP($C80,Mutants!$A$2:$L$560,11,FALSE),IF($B80 = "Test",VLOOKUP($C80,Tests!$A$2:$L$841,11,FALSE),VLOOKUP($C80,Questions!$A$3:$N$174,13,FALSE)))</f>
        <v xml:space="preserve">addOption, toString
</v>
      </c>
      <c r="G80" s="187"/>
      <c r="H80" s="202"/>
      <c r="I80" s="9"/>
      <c r="J80" s="9"/>
      <c r="K80" s="9"/>
      <c r="L80" s="9"/>
      <c r="M80" s="9"/>
    </row>
    <row r="81" spans="2:13" ht="15.75" customHeight="1">
      <c r="B81" s="114" t="s">
        <v>4590</v>
      </c>
      <c r="C81" s="9">
        <v>334</v>
      </c>
      <c r="D81" s="9" t="s">
        <v>1332</v>
      </c>
      <c r="E81" s="9" t="str">
        <f>IF($B81 = "Mutant",VLOOKUP($C81,Mutants!$A$2:$L$560,12,FALSE),IF($B81 = "Test",VLOOKUP($C81,Tests!$A$2:$L$841,12,FALSE),VLOOKUP($C81,Questions!$A$3:$N$174,9,FALSE)))</f>
        <v>Y</v>
      </c>
      <c r="F81" s="187" t="str">
        <f>IF($B81 = "Mutant",VLOOKUP($C81,Mutants!$A$2:$L$560,11,FALSE),IF($B81 = "Test",VLOOKUP($C81,Tests!$A$2:$L$841,11,FALSE),VLOOKUP($C81,Questions!$A$3:$N$174,13,FALSE)))</f>
        <v xml:space="preserve">addOption, toString
</v>
      </c>
      <c r="G81" s="187"/>
      <c r="H81" s="202"/>
      <c r="I81" s="9"/>
      <c r="J81" s="9"/>
      <c r="K81" s="9"/>
      <c r="L81" s="9"/>
      <c r="M81" s="9"/>
    </row>
    <row r="82" spans="2:13" ht="15.75" customHeight="1">
      <c r="B82" s="114" t="s">
        <v>4589</v>
      </c>
      <c r="C82" s="9">
        <v>327</v>
      </c>
      <c r="D82" s="9" t="s">
        <v>3723</v>
      </c>
      <c r="E82" s="9" t="str">
        <f>IF($B82 = "Mutant",VLOOKUP($C82,Mutants!$A$2:$L$560,12,FALSE),IF($B82 = "Test",VLOOKUP($C82,Tests!$A$2:$L$841,12,FALSE),VLOOKUP($C82,Questions!$A$3:$N$174,9,FALSE)))</f>
        <v>Y</v>
      </c>
      <c r="F82" s="187" t="str">
        <f>IF($B82 = "Mutant",VLOOKUP($C82,Mutants!$A$2:$L$560,11,FALSE),IF($B82 = "Test",VLOOKUP($C82,Tests!$A$2:$L$841,11,FALSE),VLOOKUP($C82,Questions!$A$3:$N$174,13,FALSE)))</f>
        <v xml:space="preserve">toString
</v>
      </c>
      <c r="G82" s="187"/>
      <c r="H82" s="202"/>
      <c r="I82" s="9"/>
      <c r="J82" s="9"/>
      <c r="K82" s="9"/>
      <c r="L82" s="9"/>
      <c r="M82" s="9"/>
    </row>
    <row r="83" spans="2:13" ht="15.75" customHeight="1">
      <c r="B83" s="114" t="s">
        <v>4590</v>
      </c>
      <c r="C83" s="9">
        <v>373</v>
      </c>
      <c r="D83" s="9" t="s">
        <v>1447</v>
      </c>
      <c r="E83" s="9" t="str">
        <f>IF($B83 = "Mutant",VLOOKUP($C83,Mutants!$A$2:$L$560,12,FALSE),IF($B83 = "Test",VLOOKUP($C83,Tests!$A$2:$L$841,12,FALSE),VLOOKUP($C83,Questions!$A$3:$N$174,9,FALSE)))</f>
        <v>Y</v>
      </c>
      <c r="F83" s="187" t="str">
        <f>IF($B83 = "Mutant",VLOOKUP($C83,Mutants!$A$2:$L$560,11,FALSE),IF($B83 = "Test",VLOOKUP($C83,Tests!$A$2:$L$841,11,FALSE),VLOOKUP($C83,Questions!$A$3:$N$174,13,FALSE)))</f>
        <v xml:space="preserve">addOption, hasShortOption, stripLeadingHyphens
</v>
      </c>
      <c r="G83" s="187"/>
      <c r="H83" s="202"/>
      <c r="I83" s="9"/>
      <c r="J83" s="9"/>
      <c r="K83" s="9"/>
      <c r="L83" s="9"/>
      <c r="M83" s="9"/>
    </row>
    <row r="84" spans="2:13" ht="15.75" customHeight="1">
      <c r="B84" s="114" t="s">
        <v>4590</v>
      </c>
      <c r="C84" s="9">
        <v>377</v>
      </c>
      <c r="D84" s="9" t="s">
        <v>1460</v>
      </c>
      <c r="E84" s="9" t="str">
        <f>IF($B84 = "Mutant",VLOOKUP($C84,Mutants!$A$2:$L$560,12,FALSE),IF($B84 = "Test",VLOOKUP($C84,Tests!$A$2:$L$841,12,FALSE),VLOOKUP($C84,Questions!$A$3:$N$174,9,FALSE)))</f>
        <v>Y</v>
      </c>
      <c r="F84" s="187" t="str">
        <f>IF($B84 = "Mutant",VLOOKUP($C84,Mutants!$A$2:$L$560,11,FALSE),IF($B84 = "Test",VLOOKUP($C84,Tests!$A$2:$L$841,11,FALSE),VLOOKUP($C84,Questions!$A$3:$N$174,13,FALSE)))</f>
        <v xml:space="preserve">addOption, hasShortOption, stripLeadingHyphens
</v>
      </c>
      <c r="G84" s="187"/>
      <c r="H84" s="202"/>
      <c r="I84" s="9"/>
      <c r="J84" s="9"/>
      <c r="K84" s="9"/>
      <c r="L84" s="9"/>
      <c r="M84" s="9"/>
    </row>
    <row r="85" spans="2:13" ht="15.75" customHeight="1">
      <c r="B85" s="114" t="s">
        <v>4590</v>
      </c>
      <c r="C85" s="9">
        <v>386</v>
      </c>
      <c r="D85" s="9" t="s">
        <v>1479</v>
      </c>
      <c r="E85" s="9" t="str">
        <f>IF($B85 = "Mutant",VLOOKUP($C85,Mutants!$A$2:$L$560,12,FALSE),IF($B85 = "Test",VLOOKUP($C85,Tests!$A$2:$L$841,12,FALSE),VLOOKUP($C85,Questions!$A$3:$N$174,9,FALSE)))</f>
        <v>Y</v>
      </c>
      <c r="F85" s="187" t="str">
        <f>IF($B85 = "Mutant",VLOOKUP($C85,Mutants!$A$2:$L$560,11,FALSE),IF($B85 = "Test",VLOOKUP($C85,Tests!$A$2:$L$841,11,FALSE),VLOOKUP($C85,Questions!$A$3:$N$174,13,FALSE)))</f>
        <v xml:space="preserve">addOption, hasShortOption, stripLeadingHyphens
</v>
      </c>
      <c r="G85" s="187"/>
      <c r="H85" s="202"/>
      <c r="I85" s="9"/>
      <c r="J85" s="9"/>
      <c r="K85" s="9"/>
      <c r="L85" s="9"/>
      <c r="M85" s="9"/>
    </row>
    <row r="86" spans="2:13" ht="15.75" customHeight="1">
      <c r="B86" s="114" t="s">
        <v>4590</v>
      </c>
      <c r="C86" s="9">
        <v>400</v>
      </c>
      <c r="D86" s="9" t="s">
        <v>1526</v>
      </c>
      <c r="E86" s="9" t="str">
        <f>IF($B86 = "Mutant",VLOOKUP($C86,Mutants!$A$2:$L$560,12,FALSE),IF($B86 = "Test",VLOOKUP($C86,Tests!$A$2:$L$841,12,FALSE),VLOOKUP($C86,Questions!$A$3:$N$174,9,FALSE)))</f>
        <v>Y</v>
      </c>
      <c r="F86" s="187" t="str">
        <f>IF($B86 = "Mutant",VLOOKUP($C86,Mutants!$A$2:$L$560,11,FALSE),IF($B86 = "Test",VLOOKUP($C86,Tests!$A$2:$L$841,11,FALSE),VLOOKUP($C86,Questions!$A$3:$N$174,13,FALSE)))</f>
        <v xml:space="preserve">addOption, getOptions, helpOptions
</v>
      </c>
      <c r="G86" s="187"/>
      <c r="H86" s="202"/>
      <c r="I86" s="9"/>
      <c r="J86" s="9"/>
      <c r="K86" s="9"/>
      <c r="L86" s="9"/>
      <c r="M86" s="9"/>
    </row>
    <row r="87" spans="2:13" ht="15.75" customHeight="1">
      <c r="B87" s="114" t="s">
        <v>4590</v>
      </c>
      <c r="C87" s="9">
        <v>413</v>
      </c>
      <c r="D87" s="9" t="s">
        <v>1569</v>
      </c>
      <c r="E87" s="9" t="str">
        <f>IF($B87 = "Mutant",VLOOKUP($C87,Mutants!$A$2:$L$560,12,FALSE),IF($B87 = "Test",VLOOKUP($C87,Tests!$A$2:$L$841,12,FALSE),VLOOKUP($C87,Questions!$A$3:$N$174,9,FALSE)))</f>
        <v>Y</v>
      </c>
      <c r="F87" s="187" t="str">
        <f>IF($B87 = "Mutant",VLOOKUP($C87,Mutants!$A$2:$L$560,11,FALSE),IF($B87 = "Test",VLOOKUP($C87,Tests!$A$2:$L$841,11,FALSE),VLOOKUP($C87,Questions!$A$3:$N$174,13,FALSE)))</f>
        <v xml:space="preserve">addOption
</v>
      </c>
      <c r="G87" s="187"/>
      <c r="H87" s="202"/>
      <c r="I87" s="9"/>
      <c r="J87" s="9"/>
      <c r="K87" s="9"/>
      <c r="L87" s="9"/>
      <c r="M87" s="9"/>
    </row>
    <row r="88" spans="2:13" ht="15.75" customHeight="1">
      <c r="B88" s="114" t="s">
        <v>4589</v>
      </c>
      <c r="C88" s="9">
        <v>336</v>
      </c>
      <c r="D88" s="9" t="s">
        <v>3746</v>
      </c>
      <c r="E88" s="9" t="str">
        <f>IF($B88 = "Mutant",VLOOKUP($C88,Mutants!$A$2:$L$560,12,FALSE),IF($B88 = "Test",VLOOKUP($C88,Tests!$A$2:$L$841,12,FALSE),VLOOKUP($C88,Questions!$A$3:$N$174,9,FALSE)))</f>
        <v>Y</v>
      </c>
      <c r="F88" s="187" t="str">
        <f>IF($B88 = "Mutant",VLOOKUP($C88,Mutants!$A$2:$L$560,11,FALSE),IF($B88 = "Test",VLOOKUP($C88,Tests!$A$2:$L$841,11,FALSE),VLOOKUP($C88,Questions!$A$3:$N$174,13,FALSE)))</f>
        <v xml:space="preserve">addOption
</v>
      </c>
      <c r="G88" s="187"/>
      <c r="H88" s="202"/>
      <c r="I88" s="9"/>
      <c r="J88" s="9"/>
      <c r="K88" s="9"/>
      <c r="L88" s="9"/>
      <c r="M88" s="9"/>
    </row>
    <row r="89" spans="2:13" ht="15.75" customHeight="1">
      <c r="B89" s="114" t="s">
        <v>4589</v>
      </c>
      <c r="C89" s="9">
        <v>337</v>
      </c>
      <c r="D89" s="9" t="s">
        <v>3749</v>
      </c>
      <c r="E89" s="9" t="str">
        <f>IF($B89 = "Mutant",VLOOKUP($C89,Mutants!$A$2:$L$560,12,FALSE),IF($B89 = "Test",VLOOKUP($C89,Tests!$A$2:$L$841,12,FALSE),VLOOKUP($C89,Questions!$A$3:$N$174,9,FALSE)))</f>
        <v>Y</v>
      </c>
      <c r="F89" s="187" t="str">
        <f>IF($B89 = "Mutant",VLOOKUP($C89,Mutants!$A$2:$L$560,11,FALSE),IF($B89 = "Test",VLOOKUP($C89,Tests!$A$2:$L$841,11,FALSE),VLOOKUP($C89,Questions!$A$3:$N$174,13,FALSE)))</f>
        <v xml:space="preserve">addOption
</v>
      </c>
      <c r="G89" s="187"/>
      <c r="H89" s="202"/>
      <c r="I89" s="9"/>
      <c r="J89" s="9"/>
      <c r="K89" s="9"/>
      <c r="L89" s="9"/>
      <c r="M89" s="9"/>
    </row>
    <row r="90" spans="2:13" ht="15.75" customHeight="1">
      <c r="B90" s="114" t="s">
        <v>4589</v>
      </c>
      <c r="C90" s="9">
        <v>339</v>
      </c>
      <c r="D90" s="9" t="s">
        <v>3753</v>
      </c>
      <c r="E90" s="9" t="str">
        <f>IF($B90 = "Mutant",VLOOKUP($C90,Mutants!$A$2:$L$560,12,FALSE),IF($B90 = "Test",VLOOKUP($C90,Tests!$A$2:$L$841,12,FALSE),VLOOKUP($C90,Questions!$A$3:$N$174,9,FALSE)))</f>
        <v>Y</v>
      </c>
      <c r="F90" s="187" t="str">
        <f>IF($B90 = "Mutant",VLOOKUP($C90,Mutants!$A$2:$L$560,11,FALSE),IF($B90 = "Test",VLOOKUP($C90,Tests!$A$2:$L$841,11,FALSE),VLOOKUP($C90,Questions!$A$3:$N$174,13,FALSE)))</f>
        <v xml:space="preserve">addOptionGroup
</v>
      </c>
      <c r="G90" s="187"/>
      <c r="H90" s="202"/>
      <c r="I90" s="9"/>
      <c r="J90" s="9"/>
      <c r="K90" s="9"/>
      <c r="L90" s="9"/>
      <c r="M90" s="9"/>
    </row>
    <row r="91" spans="2:13" ht="15.75" customHeight="1">
      <c r="B91" s="114" t="s">
        <v>4589</v>
      </c>
      <c r="C91" s="9">
        <v>341</v>
      </c>
      <c r="D91" s="9" t="s">
        <v>3758</v>
      </c>
      <c r="E91" s="9" t="str">
        <f>IF($B91 = "Mutant",VLOOKUP($C91,Mutants!$A$2:$L$560,12,FALSE),IF($B91 = "Test",VLOOKUP($C91,Tests!$A$2:$L$841,12,FALSE),VLOOKUP($C91,Questions!$A$3:$N$174,9,FALSE)))</f>
        <v>Y</v>
      </c>
      <c r="F91" s="187" t="str">
        <f>IF($B91 = "Mutant",VLOOKUP($C91,Mutants!$A$2:$L$560,11,FALSE),IF($B91 = "Test",VLOOKUP($C91,Tests!$A$2:$L$841,11,FALSE),VLOOKUP($C91,Questions!$A$3:$N$174,13,FALSE)))</f>
        <v xml:space="preserve">getOption
</v>
      </c>
      <c r="G91" s="187"/>
      <c r="H91" s="202"/>
      <c r="I91" s="9"/>
      <c r="J91" s="9"/>
      <c r="K91" s="9"/>
      <c r="L91" s="9"/>
      <c r="M91" s="9"/>
    </row>
    <row r="92" spans="2:13" ht="15.75" customHeight="1">
      <c r="B92" s="114" t="s">
        <v>4589</v>
      </c>
      <c r="C92" s="9">
        <v>345</v>
      </c>
      <c r="D92" s="9" t="s">
        <v>3770</v>
      </c>
      <c r="E92" s="9" t="str">
        <f>IF($B92 = "Mutant",VLOOKUP($C92,Mutants!$A$2:$L$560,12,FALSE),IF($B92 = "Test",VLOOKUP($C92,Tests!$A$2:$L$841,12,FALSE),VLOOKUP($C92,Questions!$A$3:$N$174,9,FALSE)))</f>
        <v>Y</v>
      </c>
      <c r="F92" s="187" t="str">
        <f>IF($B92 = "Mutant",VLOOKUP($C92,Mutants!$A$2:$L$560,11,FALSE),IF($B92 = "Test",VLOOKUP($C92,Tests!$A$2:$L$841,11,FALSE),VLOOKUP($C92,Questions!$A$3:$N$174,13,FALSE)))</f>
        <v xml:space="preserve">addOption
</v>
      </c>
      <c r="G92" s="187"/>
      <c r="H92" s="202"/>
      <c r="I92" s="9"/>
      <c r="J92" s="9"/>
      <c r="K92" s="9"/>
      <c r="L92" s="9"/>
      <c r="M92" s="9"/>
    </row>
    <row r="93" spans="2:13" ht="15.75" customHeight="1">
      <c r="B93" s="114" t="s">
        <v>4589</v>
      </c>
      <c r="C93" s="9">
        <v>348</v>
      </c>
      <c r="D93" s="9" t="s">
        <v>1662</v>
      </c>
      <c r="E93" s="9" t="str">
        <f>IF($B93 = "Mutant",VLOOKUP($C93,Mutants!$A$2:$L$560,12,FALSE),IF($B93 = "Test",VLOOKUP($C93,Tests!$A$2:$L$841,12,FALSE),VLOOKUP($C93,Questions!$A$3:$N$174,9,FALSE)))</f>
        <v>Y</v>
      </c>
      <c r="F93" s="187" t="str">
        <f>IF($B93 = "Mutant",VLOOKUP($C93,Mutants!$A$2:$L$560,11,FALSE),IF($B93 = "Test",VLOOKUP($C93,Tests!$A$2:$L$841,11,FALSE),VLOOKUP($C93,Questions!$A$3:$N$174,13,FALSE)))</f>
        <v xml:space="preserve">getMatchingOptions
</v>
      </c>
      <c r="G93" s="187"/>
      <c r="H93" s="202"/>
      <c r="I93" s="9"/>
      <c r="J93" s="9"/>
      <c r="K93" s="9"/>
      <c r="L93" s="9"/>
      <c r="M93" s="9"/>
    </row>
    <row r="94" spans="2:13" ht="15.75" customHeight="1">
      <c r="B94" s="133" t="s">
        <v>4590</v>
      </c>
      <c r="C94" s="130">
        <v>470</v>
      </c>
      <c r="D94" s="130" t="s">
        <v>1741</v>
      </c>
      <c r="E94" s="130" t="str">
        <f>IF($B94 = "Mutant",VLOOKUP($C94,Mutants!$A$2:$L$560,12,FALSE),IF($B94 = "Test",VLOOKUP($C94,Tests!$A$2:$L$841,12,FALSE),VLOOKUP($C94,Questions!$A$3:$N$174,9,FALSE)))</f>
        <v>Y</v>
      </c>
      <c r="F94" s="203" t="str">
        <f>IF($B94 = "Mutant",VLOOKUP($C94,Mutants!$A$2:$L$560,11,FALSE),IF($B94 = "Test",VLOOKUP($C94,Tests!$A$2:$L$841,11,FALSE),VLOOKUP($C94,Questions!$A$3:$N$174,13,FALSE)))</f>
        <v xml:space="preserve">addOption, hasOption, hasLongOption, stripLeadingHyphens
</v>
      </c>
      <c r="G94" s="203"/>
      <c r="H94" s="204"/>
      <c r="I94" s="9"/>
      <c r="J94" s="9"/>
      <c r="K94" s="9"/>
      <c r="L94" s="9"/>
      <c r="M94" s="9"/>
    </row>
    <row r="95" spans="2:13" ht="15.75" customHeight="1">
      <c r="F95" s="188"/>
      <c r="G95" s="188"/>
      <c r="H95" s="188"/>
    </row>
    <row r="96" spans="2:13" ht="15.75" customHeight="1">
      <c r="F96" s="188"/>
      <c r="G96" s="188"/>
      <c r="H96" s="188"/>
    </row>
    <row r="97" spans="2:14" ht="15.75" customHeight="1" thickBot="1">
      <c r="B97" s="219" t="s">
        <v>4604</v>
      </c>
      <c r="C97" s="201"/>
      <c r="D97" s="45">
        <v>156</v>
      </c>
      <c r="F97" s="207"/>
      <c r="G97" s="207"/>
      <c r="H97" s="207"/>
    </row>
    <row r="98" spans="2:14" ht="15.75" customHeight="1" thickTop="1">
      <c r="B98" s="134" t="s">
        <v>4594</v>
      </c>
      <c r="C98" s="135" t="s">
        <v>44</v>
      </c>
      <c r="D98" s="135" t="s">
        <v>110</v>
      </c>
      <c r="E98" s="136" t="s">
        <v>2</v>
      </c>
      <c r="F98" s="229" t="s">
        <v>4612</v>
      </c>
      <c r="G98" s="229"/>
      <c r="H98" s="230"/>
      <c r="I98" s="9"/>
      <c r="J98" s="9"/>
      <c r="K98" s="9"/>
      <c r="L98" s="9"/>
      <c r="M98" s="9"/>
    </row>
    <row r="99" spans="2:14" ht="15.75" customHeight="1">
      <c r="B99" s="137" t="s">
        <v>4589</v>
      </c>
      <c r="C99" s="93">
        <v>111</v>
      </c>
      <c r="D99" s="93" t="s">
        <v>3121</v>
      </c>
      <c r="E99" s="93" t="str">
        <f>IF($B99 = "Mutant",VLOOKUP($C99,Mutants!$A$2:$L$560,12,FALSE),IF($B99 = "Test",VLOOKUP($C99,Tests!$A$2:$L$841,12,FALSE),VLOOKUP($C99,Questions!$A$3:$N$174,9,FALSE)))</f>
        <v>Y</v>
      </c>
      <c r="F99" s="205" t="str">
        <f>IF($B99 = "Mutant",VLOOKUP($C99,Mutants!$A$2:$L$560,11,FALSE),IF($B99 = "Test",VLOOKUP($C99,Tests!$A$2:$L$841,11,FALSE),VLOOKUP($C99,Questions!$A$3:$N$174,13,FALSE)))</f>
        <v xml:space="preserve">getOptionGroups
</v>
      </c>
      <c r="G99" s="205"/>
      <c r="H99" s="206"/>
      <c r="I99" s="9"/>
      <c r="J99" s="9"/>
      <c r="K99" s="9"/>
      <c r="L99" s="9"/>
      <c r="M99" s="9"/>
    </row>
    <row r="100" spans="2:14" ht="15.75" customHeight="1">
      <c r="B100" s="114" t="s">
        <v>107</v>
      </c>
      <c r="C100" s="9">
        <v>14</v>
      </c>
      <c r="D100" s="9" t="s">
        <v>304</v>
      </c>
      <c r="E100" s="9" t="str">
        <f>IF($B100 = "Mutant",VLOOKUP($C100,Mutants!$A$2:$L$560,12,FALSE),IF($B100 = "Test",VLOOKUP($C100,Tests!$A$2:$L$841,12,FALSE),VLOOKUP($C100,Questions!$A$3:$N$174,9,FALSE)))</f>
        <v>N</v>
      </c>
      <c r="F100" s="187" t="str">
        <f>IF($B100 = "Mutant",VLOOKUP($C100,Mutants!$A$2:$L$560,11,FALSE),IF($B100 = "Test",VLOOKUP($C100,Tests!$A$2:$L$841,11,FALSE),VLOOKUP($C100,Questions!$A$3:$N$174,13,FALSE)))</f>
        <v xml:space="preserve"> </v>
      </c>
      <c r="G100" s="187"/>
      <c r="H100" s="202"/>
      <c r="I100" s="9"/>
      <c r="J100" s="9"/>
      <c r="K100" s="9"/>
      <c r="L100" s="9"/>
      <c r="M100" s="9"/>
    </row>
    <row r="101" spans="2:14" ht="15.75" customHeight="1">
      <c r="B101" s="114" t="s">
        <v>107</v>
      </c>
      <c r="C101" s="9">
        <v>21</v>
      </c>
      <c r="D101" s="9" t="s">
        <v>251</v>
      </c>
      <c r="E101" s="9" t="str">
        <f>IF($B101 = "Mutant",VLOOKUP($C101,Mutants!$A$2:$L$560,12,FALSE),IF($B101 = "Test",VLOOKUP($C101,Tests!$A$2:$L$841,12,FALSE),VLOOKUP($C101,Questions!$A$3:$N$174,9,FALSE)))</f>
        <v>N</v>
      </c>
      <c r="F101" s="187" t="str">
        <f>IF($B101 = "Mutant",VLOOKUP($C101,Mutants!$A$2:$L$560,11,FALSE),IF($B101 = "Test",VLOOKUP($C101,Tests!$A$2:$L$841,11,FALSE),VLOOKUP($C101,Questions!$A$3:$N$174,13,FALSE)))</f>
        <v xml:space="preserve"> </v>
      </c>
      <c r="G101" s="187"/>
      <c r="H101" s="202"/>
      <c r="I101" s="9"/>
      <c r="J101" s="9"/>
      <c r="K101" s="9"/>
      <c r="L101" s="9"/>
      <c r="M101" s="9"/>
    </row>
    <row r="102" spans="2:14" ht="15.75" customHeight="1">
      <c r="B102" s="114" t="s">
        <v>107</v>
      </c>
      <c r="C102" s="9">
        <v>25</v>
      </c>
      <c r="D102" s="9" t="s">
        <v>305</v>
      </c>
      <c r="E102" s="9" t="str">
        <f>IF($B102 = "Mutant",VLOOKUP($C102,Mutants!$A$2:$L$560,12,FALSE),IF($B102 = "Test",VLOOKUP($C102,Tests!$A$2:$L$841,12,FALSE),VLOOKUP($C102,Questions!$A$3:$N$174,9,FALSE)))</f>
        <v>Y</v>
      </c>
      <c r="F102" s="187" t="str">
        <f>IF($B102 = "Mutant",VLOOKUP($C102,Mutants!$A$2:$L$560,11,FALSE),IF($B102 = "Test",VLOOKUP($C102,Tests!$A$2:$L$841,11,FALSE),VLOOKUP($C102,Questions!$A$3:$N$174,13,FALSE)))</f>
        <v>addOption</v>
      </c>
      <c r="G102" s="187"/>
      <c r="H102" s="202"/>
      <c r="I102" s="9"/>
      <c r="J102" s="9"/>
      <c r="K102" s="9"/>
      <c r="L102" s="9"/>
      <c r="M102" s="9"/>
      <c r="N102" s="9"/>
    </row>
    <row r="103" spans="2:14" ht="15.75" customHeight="1">
      <c r="B103" s="114" t="s">
        <v>107</v>
      </c>
      <c r="C103" s="9">
        <v>31</v>
      </c>
      <c r="D103" s="9" t="s">
        <v>309</v>
      </c>
      <c r="E103" s="9" t="str">
        <f>IF($B103 = "Mutant",VLOOKUP($C103,Mutants!$A$2:$L$560,12,FALSE),IF($B103 = "Test",VLOOKUP($C103,Tests!$A$2:$L$841,12,FALSE),VLOOKUP($C103,Questions!$A$3:$N$174,9,FALSE)))</f>
        <v>Y</v>
      </c>
      <c r="F103" s="187" t="str">
        <f>IF($B103 = "Mutant",VLOOKUP($C103,Mutants!$A$2:$L$560,11,FALSE),IF($B103 = "Test",VLOOKUP($C103,Tests!$A$2:$L$841,11,FALSE),VLOOKUP($C103,Questions!$A$3:$N$174,13,FALSE)))</f>
        <v xml:space="preserve"> </v>
      </c>
      <c r="G103" s="187"/>
      <c r="H103" s="202"/>
      <c r="I103" s="9"/>
      <c r="J103" s="9"/>
      <c r="K103" s="9"/>
      <c r="L103" s="9"/>
      <c r="M103" s="9"/>
    </row>
    <row r="104" spans="2:14" ht="15.75" customHeight="1">
      <c r="B104" s="114" t="s">
        <v>107</v>
      </c>
      <c r="C104" s="9">
        <v>34</v>
      </c>
      <c r="D104" s="9" t="s">
        <v>312</v>
      </c>
      <c r="E104" s="9" t="str">
        <f>IF($B104 = "Mutant",VLOOKUP($C104,Mutants!$A$2:$L$560,12,FALSE),IF($B104 = "Test",VLOOKUP($C104,Tests!$A$2:$L$841,12,FALSE),VLOOKUP($C104,Questions!$A$3:$N$174,9,FALSE)))</f>
        <v>Y</v>
      </c>
      <c r="F104" s="187" t="str">
        <f>IF($B104 = "Mutant",VLOOKUP($C104,Mutants!$A$2:$L$560,11,FALSE),IF($B104 = "Test",VLOOKUP($C104,Tests!$A$2:$L$841,11,FALSE),VLOOKUP($C104,Questions!$A$3:$N$174,13,FALSE)))</f>
        <v xml:space="preserve"> </v>
      </c>
      <c r="G104" s="187"/>
      <c r="H104" s="202"/>
      <c r="I104" s="9"/>
      <c r="J104" s="9"/>
      <c r="K104" s="9"/>
      <c r="L104" s="9"/>
      <c r="M104" s="9"/>
    </row>
    <row r="105" spans="2:14" ht="15.75" customHeight="1">
      <c r="B105" s="114" t="s">
        <v>107</v>
      </c>
      <c r="C105" s="9">
        <v>38</v>
      </c>
      <c r="D105" s="9" t="s">
        <v>315</v>
      </c>
      <c r="E105" s="9" t="str">
        <f>IF($B105 = "Mutant",VLOOKUP($C105,Mutants!$A$2:$L$560,12,FALSE),IF($B105 = "Test",VLOOKUP($C105,Tests!$A$2:$L$841,12,FALSE),VLOOKUP($C105,Questions!$A$3:$N$174,9,FALSE)))</f>
        <v>N</v>
      </c>
      <c r="F105" s="187" t="str">
        <f>IF($B105 = "Mutant",VLOOKUP($C105,Mutants!$A$2:$L$560,11,FALSE),IF($B105 = "Test",VLOOKUP($C105,Tests!$A$2:$L$841,11,FALSE),VLOOKUP($C105,Questions!$A$3:$N$174,13,FALSE)))</f>
        <v xml:space="preserve"> </v>
      </c>
      <c r="G105" s="187"/>
      <c r="H105" s="202"/>
      <c r="I105" s="9"/>
      <c r="J105" s="9"/>
      <c r="K105" s="9"/>
      <c r="L105" s="9"/>
      <c r="M105" s="9"/>
    </row>
    <row r="106" spans="2:14" ht="15.75" customHeight="1">
      <c r="B106" s="114" t="s">
        <v>107</v>
      </c>
      <c r="C106" s="9">
        <v>40</v>
      </c>
      <c r="D106" s="9" t="s">
        <v>316</v>
      </c>
      <c r="E106" s="9" t="str">
        <f>IF($B106 = "Mutant",VLOOKUP($C106,Mutants!$A$2:$L$560,12,FALSE),IF($B106 = "Test",VLOOKUP($C106,Tests!$A$2:$L$841,12,FALSE),VLOOKUP($C106,Questions!$A$3:$N$174,9,FALSE)))</f>
        <v>Y</v>
      </c>
      <c r="F106" s="187" t="str">
        <f>IF($B106 = "Mutant",VLOOKUP($C106,Mutants!$A$2:$L$560,11,FALSE),IF($B106 = "Test",VLOOKUP($C106,Tests!$A$2:$L$841,11,FALSE),VLOOKUP($C106,Questions!$A$3:$N$174,13,FALSE)))</f>
        <v xml:space="preserve"> </v>
      </c>
      <c r="G106" s="187"/>
      <c r="H106" s="202"/>
      <c r="I106" s="9"/>
      <c r="J106" s="9"/>
      <c r="K106" s="9"/>
      <c r="L106" s="9"/>
      <c r="M106" s="9"/>
    </row>
    <row r="107" spans="2:14" ht="15.75" customHeight="1">
      <c r="B107" s="114" t="s">
        <v>4590</v>
      </c>
      <c r="C107" s="9">
        <v>150</v>
      </c>
      <c r="D107" s="9" t="s">
        <v>822</v>
      </c>
      <c r="E107" s="9" t="str">
        <f>IF($B107 = "Mutant",VLOOKUP($C107,Mutants!$A$2:$L$560,12,FALSE),IF($B107 = "Test",VLOOKUP($C107,Tests!$A$2:$L$841,12,FALSE),VLOOKUP($C107,Questions!$A$3:$N$174,9,FALSE)))</f>
        <v>N</v>
      </c>
      <c r="F107" s="187" t="str">
        <f>IF($B107 = "Mutant",VLOOKUP($C107,Mutants!$A$2:$L$560,11,FALSE),IF($B107 = "Test",VLOOKUP($C107,Tests!$A$2:$L$841,11,FALSE),VLOOKUP($C107,Questions!$A$3:$N$174,13,FALSE)))</f>
        <v xml:space="preserve">
</v>
      </c>
      <c r="G107" s="187"/>
      <c r="H107" s="202"/>
      <c r="I107" s="9"/>
      <c r="J107" s="9"/>
      <c r="K107" s="9"/>
      <c r="L107" s="9"/>
      <c r="M107" s="9"/>
    </row>
    <row r="108" spans="2:14" ht="15.75" customHeight="1">
      <c r="B108" s="114" t="s">
        <v>4590</v>
      </c>
      <c r="C108" s="9">
        <v>153</v>
      </c>
      <c r="D108" s="9" t="s">
        <v>828</v>
      </c>
      <c r="E108" s="9" t="str">
        <f>IF($B108 = "Mutant",VLOOKUP($C108,Mutants!$A$2:$L$560,12,FALSE),IF($B108 = "Test",VLOOKUP($C108,Tests!$A$2:$L$841,12,FALSE),VLOOKUP($C108,Questions!$A$3:$N$174,9,FALSE)))</f>
        <v>N</v>
      </c>
      <c r="F108" s="187" t="str">
        <f>IF($B108 = "Mutant",VLOOKUP($C108,Mutants!$A$2:$L$560,11,FALSE),IF($B108 = "Test",VLOOKUP($C108,Tests!$A$2:$L$841,11,FALSE),VLOOKUP($C108,Questions!$A$3:$N$174,13,FALSE)))</f>
        <v xml:space="preserve">
</v>
      </c>
      <c r="G108" s="187"/>
      <c r="H108" s="202"/>
      <c r="I108" s="9"/>
      <c r="J108" s="9"/>
      <c r="K108" s="9"/>
      <c r="L108" s="9"/>
      <c r="M108" s="9"/>
    </row>
    <row r="109" spans="2:14" ht="15.75" customHeight="1">
      <c r="B109" s="114" t="s">
        <v>4590</v>
      </c>
      <c r="C109" s="9">
        <v>155</v>
      </c>
      <c r="D109" s="9" t="s">
        <v>835</v>
      </c>
      <c r="E109" s="9" t="str">
        <f>IF($B109 = "Mutant",VLOOKUP($C109,Mutants!$A$2:$L$560,12,FALSE),IF($B109 = "Test",VLOOKUP($C109,Tests!$A$2:$L$841,12,FALSE),VLOOKUP($C109,Questions!$A$3:$N$174,9,FALSE)))</f>
        <v>N</v>
      </c>
      <c r="F109" s="187" t="str">
        <f>IF($B109 = "Mutant",VLOOKUP($C109,Mutants!$A$2:$L$560,11,FALSE),IF($B109 = "Test",VLOOKUP($C109,Tests!$A$2:$L$841,11,FALSE),VLOOKUP($C109,Questions!$A$3:$N$174,13,FALSE)))</f>
        <v xml:space="preserve">
</v>
      </c>
      <c r="G109" s="187"/>
      <c r="H109" s="202"/>
      <c r="I109" s="9"/>
      <c r="J109" s="9"/>
      <c r="K109" s="9"/>
      <c r="L109" s="9"/>
      <c r="M109" s="9"/>
    </row>
    <row r="110" spans="2:14" ht="15.75" customHeight="1">
      <c r="B110" s="114" t="s">
        <v>4590</v>
      </c>
      <c r="C110" s="9">
        <v>161</v>
      </c>
      <c r="D110" s="9" t="s">
        <v>847</v>
      </c>
      <c r="E110" s="9" t="str">
        <f>IF($B110 = "Mutant",VLOOKUP($C110,Mutants!$A$2:$L$560,12,FALSE),IF($B110 = "Test",VLOOKUP($C110,Tests!$A$2:$L$841,12,FALSE),VLOOKUP($C110,Questions!$A$3:$N$174,9,FALSE)))</f>
        <v>N</v>
      </c>
      <c r="F110" s="187" t="str">
        <f>IF($B110 = "Mutant",VLOOKUP($C110,Mutants!$A$2:$L$560,11,FALSE),IF($B110 = "Test",VLOOKUP($C110,Tests!$A$2:$L$841,11,FALSE),VLOOKUP($C110,Questions!$A$3:$N$174,13,FALSE)))</f>
        <v xml:space="preserve">
</v>
      </c>
      <c r="G110" s="187"/>
      <c r="H110" s="202"/>
      <c r="I110" s="9"/>
      <c r="J110" s="9"/>
      <c r="K110" s="9"/>
      <c r="L110" s="9"/>
      <c r="M110" s="9"/>
    </row>
    <row r="111" spans="2:14" ht="15.75" customHeight="1">
      <c r="B111" s="114" t="s">
        <v>4590</v>
      </c>
      <c r="C111" s="9">
        <v>166</v>
      </c>
      <c r="D111" s="9" t="s">
        <v>864</v>
      </c>
      <c r="E111" s="9" t="str">
        <f>IF($B111 = "Mutant",VLOOKUP($C111,Mutants!$A$2:$L$560,12,FALSE),IF($B111 = "Test",VLOOKUP($C111,Tests!$A$2:$L$841,12,FALSE),VLOOKUP($C111,Questions!$A$3:$N$174,9,FALSE)))</f>
        <v>Y</v>
      </c>
      <c r="F111" s="187" t="str">
        <f>IF($B111 = "Mutant",VLOOKUP($C111,Mutants!$A$2:$L$560,11,FALSE),IF($B111 = "Test",VLOOKUP($C111,Tests!$A$2:$L$841,11,FALSE),VLOOKUP($C111,Questions!$A$3:$N$174,13,FALSE)))</f>
        <v xml:space="preserve">addOption, hasOption, stripLeadingHyphens
</v>
      </c>
      <c r="G111" s="187"/>
      <c r="H111" s="202"/>
      <c r="I111" s="9"/>
      <c r="J111" s="9"/>
      <c r="K111" s="9"/>
      <c r="L111" s="9"/>
      <c r="M111" s="9"/>
    </row>
    <row r="112" spans="2:14" ht="15.75" customHeight="1">
      <c r="B112" s="114" t="s">
        <v>107</v>
      </c>
      <c r="C112" s="9">
        <v>45</v>
      </c>
      <c r="D112" s="9" t="s">
        <v>319</v>
      </c>
      <c r="E112" s="9" t="str">
        <f>IF($B112 = "Mutant",VLOOKUP($C112,Mutants!$A$2:$L$560,12,FALSE),IF($B112 = "Test",VLOOKUP($C112,Tests!$A$2:$L$841,12,FALSE),VLOOKUP($C112,Questions!$A$3:$N$174,9,FALSE)))</f>
        <v>Y</v>
      </c>
      <c r="F112" s="187" t="str">
        <f>IF($B112 = "Mutant",VLOOKUP($C112,Mutants!$A$2:$L$560,11,FALSE),IF($B112 = "Test",VLOOKUP($C112,Tests!$A$2:$L$841,11,FALSE),VLOOKUP($C112,Questions!$A$3:$N$174,13,FALSE)))</f>
        <v xml:space="preserve"> </v>
      </c>
      <c r="G112" s="187"/>
      <c r="H112" s="202"/>
      <c r="I112" s="9"/>
      <c r="J112" s="9"/>
      <c r="K112" s="9"/>
      <c r="L112" s="9"/>
      <c r="M112" s="9"/>
    </row>
    <row r="113" spans="2:13" ht="15.75" customHeight="1">
      <c r="B113" s="114" t="s">
        <v>4590</v>
      </c>
      <c r="C113" s="9">
        <v>187</v>
      </c>
      <c r="D113" s="9" t="s">
        <v>918</v>
      </c>
      <c r="E113" s="9" t="str">
        <f>IF($B113 = "Mutant",VLOOKUP($C113,Mutants!$A$2:$L$560,12,FALSE),IF($B113 = "Test",VLOOKUP($C113,Tests!$A$2:$L$841,12,FALSE),VLOOKUP($C113,Questions!$A$3:$N$174,9,FALSE)))</f>
        <v>Y</v>
      </c>
      <c r="F113" s="187" t="str">
        <f>IF($B113 = "Mutant",VLOOKUP($C113,Mutants!$A$2:$L$560,11,FALSE),IF($B113 = "Test",VLOOKUP($C113,Tests!$A$2:$L$841,11,FALSE),VLOOKUP($C113,Questions!$A$3:$N$174,13,FALSE)))</f>
        <v xml:space="preserve">addOption, hasOption, stripLeadingHyphens
</v>
      </c>
      <c r="G113" s="187"/>
      <c r="H113" s="202"/>
      <c r="I113" s="9"/>
      <c r="J113" s="9"/>
      <c r="K113" s="9"/>
      <c r="L113" s="9"/>
      <c r="M113" s="9"/>
    </row>
    <row r="114" spans="2:13" ht="15.75" customHeight="1">
      <c r="B114" s="114" t="s">
        <v>4589</v>
      </c>
      <c r="C114" s="9">
        <v>290</v>
      </c>
      <c r="D114" s="9" t="s">
        <v>945</v>
      </c>
      <c r="E114" s="9" t="str">
        <f>IF($B114 = "Mutant",VLOOKUP($C114,Mutants!$A$2:$L$560,12,FALSE),IF($B114 = "Test",VLOOKUP($C114,Tests!$A$2:$L$841,12,FALSE),VLOOKUP($C114,Questions!$A$3:$N$174,9,FALSE)))</f>
        <v>Y</v>
      </c>
      <c r="F114" s="187" t="str">
        <f>IF($B114 = "Mutant",VLOOKUP($C114,Mutants!$A$2:$L$560,11,FALSE),IF($B114 = "Test",VLOOKUP($C114,Tests!$A$2:$L$841,11,FALSE),VLOOKUP($C114,Questions!$A$3:$N$174,13,FALSE)))</f>
        <v xml:space="preserve">hasShortOption
</v>
      </c>
      <c r="G114" s="187"/>
      <c r="H114" s="202"/>
      <c r="I114" s="9"/>
      <c r="J114" s="9"/>
      <c r="K114" s="9"/>
      <c r="L114" s="9"/>
      <c r="M114" s="9"/>
    </row>
    <row r="115" spans="2:13" ht="15.75" customHeight="1">
      <c r="B115" s="114" t="s">
        <v>4590</v>
      </c>
      <c r="C115" s="9">
        <v>239</v>
      </c>
      <c r="D115" s="9" t="s">
        <v>1060</v>
      </c>
      <c r="E115" s="9" t="str">
        <f>IF($B115 = "Mutant",VLOOKUP($C115,Mutants!$A$2:$L$560,12,FALSE),IF($B115 = "Test",VLOOKUP($C115,Tests!$A$2:$L$841,12,FALSE),VLOOKUP($C115,Questions!$A$3:$N$174,9,FALSE)))</f>
        <v>Y</v>
      </c>
      <c r="F115" s="187" t="str">
        <f>IF($B115 = "Mutant",VLOOKUP($C115,Mutants!$A$2:$L$560,11,FALSE),IF($B115 = "Test",VLOOKUP($C115,Tests!$A$2:$L$841,11,FALSE),VLOOKUP($C115,Questions!$A$3:$N$174,13,FALSE)))</f>
        <v xml:space="preserve">addOption, hasShortOption, stripLeadingHyphens
</v>
      </c>
      <c r="G115" s="187"/>
      <c r="H115" s="202"/>
      <c r="I115" s="9"/>
      <c r="J115" s="9"/>
      <c r="K115" s="9"/>
      <c r="L115" s="9"/>
      <c r="M115" s="9"/>
    </row>
    <row r="116" spans="2:13" ht="15.75" customHeight="1">
      <c r="B116" s="114" t="s">
        <v>4590</v>
      </c>
      <c r="C116" s="9">
        <v>250</v>
      </c>
      <c r="D116" s="9" t="s">
        <v>1096</v>
      </c>
      <c r="E116" s="9" t="str">
        <f>IF($B116 = "Mutant",VLOOKUP($C116,Mutants!$A$2:$L$560,12,FALSE),IF($B116 = "Test",VLOOKUP($C116,Tests!$A$2:$L$841,12,FALSE),VLOOKUP($C116,Questions!$A$3:$N$174,9,FALSE)))</f>
        <v>Y</v>
      </c>
      <c r="F116" s="187" t="str">
        <f>IF($B116 = "Mutant",VLOOKUP($C116,Mutants!$A$2:$L$560,11,FALSE),IF($B116 = "Test",VLOOKUP($C116,Tests!$A$2:$L$841,11,FALSE),VLOOKUP($C116,Questions!$A$3:$N$174,13,FALSE)))</f>
        <v xml:space="preserve">addOption, hasLongOption, stripLeadingHyphens
</v>
      </c>
      <c r="G116" s="187"/>
      <c r="H116" s="202"/>
      <c r="I116" s="9"/>
      <c r="J116" s="9"/>
      <c r="K116" s="9"/>
      <c r="L116" s="9"/>
      <c r="M116" s="9"/>
    </row>
    <row r="117" spans="2:13" ht="15.75" customHeight="1">
      <c r="B117" s="114" t="s">
        <v>107</v>
      </c>
      <c r="C117" s="9">
        <v>65</v>
      </c>
      <c r="D117" s="9" t="s">
        <v>322</v>
      </c>
      <c r="E117" s="9" t="str">
        <f>IF($B117 = "Mutant",VLOOKUP($C117,Mutants!$A$2:$L$560,12,FALSE),IF($B117 = "Test",VLOOKUP($C117,Tests!$A$2:$L$841,12,FALSE),VLOOKUP($C117,Questions!$A$3:$N$174,9,FALSE)))</f>
        <v>N</v>
      </c>
      <c r="F117" s="187" t="str">
        <f>IF($B117 = "Mutant",VLOOKUP($C117,Mutants!$A$2:$L$560,11,FALSE),IF($B117 = "Test",VLOOKUP($C117,Tests!$A$2:$L$841,11,FALSE),VLOOKUP($C117,Questions!$A$3:$N$174,13,FALSE)))</f>
        <v xml:space="preserve"> </v>
      </c>
      <c r="G117" s="187"/>
      <c r="H117" s="202"/>
      <c r="I117" s="9"/>
      <c r="J117" s="9"/>
      <c r="K117" s="9"/>
      <c r="L117" s="9"/>
      <c r="M117" s="9"/>
    </row>
    <row r="118" spans="2:13" ht="15.75" customHeight="1">
      <c r="B118" s="114" t="s">
        <v>107</v>
      </c>
      <c r="C118" s="9">
        <v>67</v>
      </c>
      <c r="D118" s="9" t="s">
        <v>323</v>
      </c>
      <c r="E118" s="9" t="str">
        <f>IF($B118 = "Mutant",VLOOKUP($C118,Mutants!$A$2:$L$560,12,FALSE),IF($B118 = "Test",VLOOKUP($C118,Tests!$A$2:$L$841,12,FALSE),VLOOKUP($C118,Questions!$A$3:$N$174,9,FALSE)))</f>
        <v>Y</v>
      </c>
      <c r="F118" s="187" t="str">
        <f>IF($B118 = "Mutant",VLOOKUP($C118,Mutants!$A$2:$L$560,11,FALSE),IF($B118 = "Test",VLOOKUP($C118,Tests!$A$2:$L$841,11,FALSE),VLOOKUP($C118,Questions!$A$3:$N$174,13,FALSE)))</f>
        <v xml:space="preserve"> </v>
      </c>
      <c r="G118" s="187"/>
      <c r="H118" s="202"/>
      <c r="I118" s="9"/>
      <c r="J118" s="9"/>
      <c r="K118" s="9"/>
      <c r="L118" s="9"/>
      <c r="M118" s="9"/>
    </row>
    <row r="119" spans="2:13" ht="15.75" customHeight="1">
      <c r="B119" s="114" t="s">
        <v>107</v>
      </c>
      <c r="C119" s="9">
        <v>71</v>
      </c>
      <c r="D119" s="9" t="s">
        <v>326</v>
      </c>
      <c r="E119" s="9" t="str">
        <f>IF($B119 = "Mutant",VLOOKUP($C119,Mutants!$A$2:$L$560,12,FALSE),IF($B119 = "Test",VLOOKUP($C119,Tests!$A$2:$L$841,12,FALSE),VLOOKUP($C119,Questions!$A$3:$N$174,9,FALSE)))</f>
        <v>Y</v>
      </c>
      <c r="F119" s="187" t="str">
        <f>IF($B119 = "Mutant",VLOOKUP($C119,Mutants!$A$2:$L$560,11,FALSE),IF($B119 = "Test",VLOOKUP($C119,Tests!$A$2:$L$841,11,FALSE),VLOOKUP($C119,Questions!$A$3:$N$174,13,FALSE)))</f>
        <v xml:space="preserve"> </v>
      </c>
      <c r="G119" s="187"/>
      <c r="H119" s="202"/>
      <c r="I119" s="9"/>
      <c r="J119" s="9"/>
      <c r="K119" s="9"/>
      <c r="L119" s="9"/>
      <c r="M119" s="9"/>
    </row>
    <row r="120" spans="2:13" ht="15.75" customHeight="1">
      <c r="B120" s="114" t="s">
        <v>4590</v>
      </c>
      <c r="C120" s="9">
        <v>329</v>
      </c>
      <c r="D120" s="9" t="s">
        <v>1319</v>
      </c>
      <c r="E120" s="9" t="str">
        <f>IF($B120 = "Mutant",VLOOKUP($C120,Mutants!$A$2:$L$560,12,FALSE),IF($B120 = "Test",VLOOKUP($C120,Tests!$A$2:$L$841,12,FALSE),VLOOKUP($C120,Questions!$A$3:$N$174,9,FALSE)))</f>
        <v>Y</v>
      </c>
      <c r="F120" s="187" t="str">
        <f>IF($B120 = "Mutant",VLOOKUP($C120,Mutants!$A$2:$L$560,11,FALSE),IF($B120 = "Test",VLOOKUP($C120,Tests!$A$2:$L$841,11,FALSE),VLOOKUP($C120,Questions!$A$3:$N$174,13,FALSE)))</f>
        <v xml:space="preserve">addOption, hasShortOption, toString, stripLeadingHyphens
</v>
      </c>
      <c r="G120" s="187"/>
      <c r="H120" s="202"/>
      <c r="I120" s="9"/>
      <c r="J120" s="9"/>
      <c r="K120" s="9"/>
      <c r="L120" s="9"/>
      <c r="M120" s="9"/>
    </row>
    <row r="121" spans="2:13" ht="15.75" customHeight="1">
      <c r="B121" s="114" t="s">
        <v>4590</v>
      </c>
      <c r="C121" s="9">
        <v>368</v>
      </c>
      <c r="D121" s="9" t="s">
        <v>1428</v>
      </c>
      <c r="E121" s="9" t="str">
        <f>IF($B121 = "Mutant",VLOOKUP($C121,Mutants!$A$2:$L$560,12,FALSE),IF($B121 = "Test",VLOOKUP($C121,Tests!$A$2:$L$841,12,FALSE),VLOOKUP($C121,Questions!$A$3:$N$174,9,FALSE)))</f>
        <v>Y</v>
      </c>
      <c r="F121" s="187" t="str">
        <f>IF($B121 = "Mutant",VLOOKUP($C121,Mutants!$A$2:$L$560,11,FALSE),IF($B121 = "Test",VLOOKUP($C121,Tests!$A$2:$L$841,11,FALSE),VLOOKUP($C121,Questions!$A$3:$N$174,13,FALSE)))</f>
        <v xml:space="preserve">hasShortOption, toString, stripLeadingHyphens
</v>
      </c>
      <c r="G121" s="187"/>
      <c r="H121" s="202"/>
      <c r="I121" s="9"/>
      <c r="J121" s="9"/>
      <c r="K121" s="9"/>
      <c r="L121" s="9"/>
      <c r="M121" s="9"/>
    </row>
    <row r="122" spans="2:13" ht="15.75" customHeight="1">
      <c r="B122" s="114" t="s">
        <v>4590</v>
      </c>
      <c r="C122" s="9">
        <v>375</v>
      </c>
      <c r="D122" s="9" t="s">
        <v>1452</v>
      </c>
      <c r="E122" s="9" t="str">
        <f>IF($B122 = "Mutant",VLOOKUP($C122,Mutants!$A$2:$L$560,12,FALSE),IF($B122 = "Test",VLOOKUP($C122,Tests!$A$2:$L$841,12,FALSE),VLOOKUP($C122,Questions!$A$3:$N$174,9,FALSE)))</f>
        <v>Y</v>
      </c>
      <c r="F122" s="187" t="str">
        <f>IF($B122 = "Mutant",VLOOKUP($C122,Mutants!$A$2:$L$560,11,FALSE),IF($B122 = "Test",VLOOKUP($C122,Tests!$A$2:$L$841,11,FALSE),VLOOKUP($C122,Questions!$A$3:$N$174,13,FALSE)))</f>
        <v xml:space="preserve">hasShortOption, toString, stripLeadingHyphens
</v>
      </c>
      <c r="G122" s="187"/>
      <c r="H122" s="202"/>
      <c r="I122" s="9"/>
      <c r="J122" s="9"/>
      <c r="K122" s="9"/>
      <c r="L122" s="9"/>
      <c r="M122" s="9"/>
    </row>
    <row r="123" spans="2:13" ht="15.75" customHeight="1">
      <c r="B123" s="114" t="s">
        <v>4590</v>
      </c>
      <c r="C123" s="9">
        <v>399</v>
      </c>
      <c r="D123" s="9" t="s">
        <v>1523</v>
      </c>
      <c r="E123" s="9" t="str">
        <f>IF($B123 = "Mutant",VLOOKUP($C123,Mutants!$A$2:$L$560,12,FALSE),IF($B123 = "Test",VLOOKUP($C123,Tests!$A$2:$L$841,12,FALSE),VLOOKUP($C123,Questions!$A$3:$N$174,9,FALSE)))</f>
        <v>N</v>
      </c>
      <c r="F123" s="187" t="str">
        <f>IF($B123 = "Mutant",VLOOKUP($C123,Mutants!$A$2:$L$560,11,FALSE),IF($B123 = "Test",VLOOKUP($C123,Tests!$A$2:$L$841,11,FALSE),VLOOKUP($C123,Questions!$A$3:$N$174,13,FALSE)))</f>
        <v xml:space="preserve">
</v>
      </c>
      <c r="G123" s="187"/>
      <c r="H123" s="202"/>
      <c r="I123" s="9"/>
      <c r="J123" s="9"/>
      <c r="K123" s="9"/>
      <c r="L123" s="9"/>
      <c r="M123" s="9"/>
    </row>
    <row r="124" spans="2:13" ht="15.75" customHeight="1">
      <c r="B124" s="114" t="s">
        <v>4590</v>
      </c>
      <c r="C124" s="9">
        <v>412</v>
      </c>
      <c r="D124" s="9" t="s">
        <v>1562</v>
      </c>
      <c r="E124" s="9" t="str">
        <f>IF($B124 = "Mutant",VLOOKUP($C124,Mutants!$A$2:$L$560,12,FALSE),IF($B124 = "Test",VLOOKUP($C124,Tests!$A$2:$L$841,12,FALSE),VLOOKUP($C124,Questions!$A$3:$N$174,9,FALSE)))</f>
        <v>Y</v>
      </c>
      <c r="F124" s="187" t="str">
        <f>IF($B124 = "Mutant",VLOOKUP($C124,Mutants!$A$2:$L$560,11,FALSE),IF($B124 = "Test",VLOOKUP($C124,Tests!$A$2:$L$841,11,FALSE),VLOOKUP($C124,Questions!$A$3:$N$174,13,FALSE)))</f>
        <v xml:space="preserve">addOption, hasShortOption, stripLeadingHyphens
</v>
      </c>
      <c r="G124" s="187"/>
      <c r="H124" s="202"/>
      <c r="I124" s="9"/>
      <c r="J124" s="9"/>
      <c r="K124" s="9"/>
      <c r="L124" s="9"/>
      <c r="M124" s="9"/>
    </row>
    <row r="125" spans="2:13" ht="15.75" customHeight="1">
      <c r="B125" s="114" t="s">
        <v>4590</v>
      </c>
      <c r="C125" s="9">
        <v>421</v>
      </c>
      <c r="D125" s="9" t="s">
        <v>1594</v>
      </c>
      <c r="E125" s="9" t="str">
        <f>IF($B125 = "Mutant",VLOOKUP($C125,Mutants!$A$2:$L$560,12,FALSE),IF($B125 = "Test",VLOOKUP($C125,Tests!$A$2:$L$841,12,FALSE),VLOOKUP($C125,Questions!$A$3:$N$174,9,FALSE)))</f>
        <v>Y</v>
      </c>
      <c r="F125" s="187" t="str">
        <f>IF($B125 = "Mutant",VLOOKUP($C125,Mutants!$A$2:$L$560,11,FALSE),IF($B125 = "Test",VLOOKUP($C125,Tests!$A$2:$L$841,11,FALSE),VLOOKUP($C125,Questions!$A$3:$N$174,13,FALSE)))</f>
        <v xml:space="preserve">addOption, hasLongOption, stripLeadingHyphens
</v>
      </c>
      <c r="G125" s="187"/>
      <c r="H125" s="202"/>
      <c r="I125" s="9"/>
      <c r="J125" s="9"/>
      <c r="K125" s="9"/>
      <c r="L125" s="9"/>
      <c r="M125" s="9"/>
    </row>
    <row r="126" spans="2:13" ht="15.75" customHeight="1">
      <c r="B126" s="133" t="s">
        <v>4590</v>
      </c>
      <c r="C126" s="130">
        <v>431</v>
      </c>
      <c r="D126" s="130" t="s">
        <v>1628</v>
      </c>
      <c r="E126" s="130" t="str">
        <f>IF($B126 = "Mutant",VLOOKUP($C126,Mutants!$A$2:$L$560,12,FALSE),IF($B126 = "Test",VLOOKUP($C126,Tests!$A$2:$L$841,12,FALSE),VLOOKUP($C126,Questions!$A$3:$N$174,9,FALSE)))</f>
        <v>Y</v>
      </c>
      <c r="F126" s="203" t="str">
        <f>IF($B126 = "Mutant",VLOOKUP($C126,Mutants!$A$2:$L$560,11,FALSE),IF($B126 = "Test",VLOOKUP($C126,Tests!$A$2:$L$841,11,FALSE),VLOOKUP($C126,Questions!$A$3:$N$174,13,FALSE)))</f>
        <v xml:space="preserve">addOption, hasShortOption, stripLeadingHyphens
</v>
      </c>
      <c r="G126" s="203"/>
      <c r="H126" s="204"/>
      <c r="I126" s="9"/>
      <c r="J126" s="9"/>
      <c r="K126" s="9"/>
      <c r="L126" s="9"/>
      <c r="M126" s="9"/>
    </row>
    <row r="127" spans="2:13" ht="15.75" customHeight="1">
      <c r="F127" s="188"/>
      <c r="G127" s="188"/>
      <c r="H127" s="188"/>
    </row>
    <row r="128" spans="2:13" ht="15.75" customHeight="1">
      <c r="F128" s="188"/>
      <c r="G128" s="188"/>
      <c r="H128" s="188"/>
    </row>
    <row r="129" spans="2:13" ht="15.75" customHeight="1" thickBot="1">
      <c r="B129" s="219" t="s">
        <v>4604</v>
      </c>
      <c r="C129" s="201"/>
      <c r="D129" s="45">
        <v>157</v>
      </c>
      <c r="F129" s="207"/>
      <c r="G129" s="207"/>
      <c r="H129" s="207"/>
    </row>
    <row r="130" spans="2:13" ht="15.75" customHeight="1" thickTop="1">
      <c r="B130" s="134" t="s">
        <v>4594</v>
      </c>
      <c r="C130" s="135" t="s">
        <v>44</v>
      </c>
      <c r="D130" s="135" t="s">
        <v>110</v>
      </c>
      <c r="E130" s="136" t="s">
        <v>2</v>
      </c>
      <c r="F130" s="229" t="s">
        <v>4612</v>
      </c>
      <c r="G130" s="229"/>
      <c r="H130" s="230"/>
      <c r="I130" s="9"/>
      <c r="J130" s="9"/>
      <c r="K130" s="9"/>
      <c r="L130" s="9"/>
      <c r="M130" s="9"/>
    </row>
    <row r="131" spans="2:13" ht="15.75" customHeight="1">
      <c r="B131" s="137" t="s">
        <v>4589</v>
      </c>
      <c r="C131" s="93">
        <v>126</v>
      </c>
      <c r="D131" s="93" t="s">
        <v>3165</v>
      </c>
      <c r="E131" s="93" t="str">
        <f>IF($B131 = "Mutant",VLOOKUP($C131,Mutants!$A$2:$L$560,12,FALSE),IF($B131 = "Test",VLOOKUP($C131,Tests!$A$2:$L$841,12,FALSE),VLOOKUP($C131,Questions!$A$3:$N$174,9,FALSE)))</f>
        <v>Y</v>
      </c>
      <c r="F131" s="205" t="str">
        <f>IF($B131 = "Mutant",VLOOKUP($C131,Mutants!$A$2:$L$560,11,FALSE),IF($B131 = "Test",VLOOKUP($C131,Tests!$A$2:$L$841,11,FALSE),VLOOKUP($C131,Questions!$A$3:$N$174,13,FALSE)))</f>
        <v xml:space="preserve">addOption
</v>
      </c>
      <c r="G131" s="205"/>
      <c r="H131" s="206"/>
      <c r="I131" s="9"/>
      <c r="J131" s="9"/>
      <c r="K131" s="9"/>
      <c r="L131" s="9"/>
      <c r="M131" s="9"/>
    </row>
    <row r="132" spans="2:13" ht="15.75" customHeight="1">
      <c r="B132" s="114" t="s">
        <v>4589</v>
      </c>
      <c r="C132" s="9">
        <v>137</v>
      </c>
      <c r="D132" s="9" t="s">
        <v>3197</v>
      </c>
      <c r="E132" s="9" t="str">
        <f>IF($B132 = "Mutant",VLOOKUP($C132,Mutants!$A$2:$L$560,12,FALSE),IF($B132 = "Test",VLOOKUP($C132,Tests!$A$2:$L$841,12,FALSE),VLOOKUP($C132,Questions!$A$3:$N$174,9,FALSE)))</f>
        <v>Y</v>
      </c>
      <c r="F132" s="187" t="str">
        <f>IF($B132 = "Mutant",VLOOKUP($C132,Mutants!$A$2:$L$560,11,FALSE),IF($B132 = "Test",VLOOKUP($C132,Tests!$A$2:$L$841,11,FALSE),VLOOKUP($C132,Questions!$A$3:$N$174,13,FALSE)))</f>
        <v xml:space="preserve">getMatchingOptions
</v>
      </c>
      <c r="G132" s="187"/>
      <c r="H132" s="202"/>
      <c r="I132" s="9"/>
      <c r="J132" s="9"/>
      <c r="K132" s="9"/>
      <c r="L132" s="9"/>
      <c r="M132" s="9"/>
    </row>
    <row r="133" spans="2:13" ht="15.75" customHeight="1">
      <c r="B133" s="114" t="s">
        <v>4589</v>
      </c>
      <c r="C133" s="9">
        <v>153</v>
      </c>
      <c r="D133" s="9" t="s">
        <v>3241</v>
      </c>
      <c r="E133" s="9" t="str">
        <f>IF($B133 = "Mutant",VLOOKUP($C133,Mutants!$A$2:$L$560,12,FALSE),IF($B133 = "Test",VLOOKUP($C133,Tests!$A$2:$L$841,12,FALSE),VLOOKUP($C133,Questions!$A$3:$N$174,9,FALSE)))</f>
        <v>Y</v>
      </c>
      <c r="F133" s="187" t="str">
        <f>IF($B133 = "Mutant",VLOOKUP($C133,Mutants!$A$2:$L$560,11,FALSE),IF($B133 = "Test",VLOOKUP($C133,Tests!$A$2:$L$841,11,FALSE),VLOOKUP($C133,Questions!$A$3:$N$174,13,FALSE)))</f>
        <v xml:space="preserve">stripLeadingHyphens
</v>
      </c>
      <c r="G133" s="187"/>
      <c r="H133" s="202"/>
      <c r="I133" s="9"/>
      <c r="J133" s="9"/>
      <c r="K133" s="9"/>
      <c r="L133" s="9"/>
      <c r="M133" s="9"/>
    </row>
    <row r="134" spans="2:13" ht="15.75" customHeight="1">
      <c r="B134" s="114" t="s">
        <v>4589</v>
      </c>
      <c r="C134" s="9">
        <v>173</v>
      </c>
      <c r="D134" s="9" t="s">
        <v>3302</v>
      </c>
      <c r="E134" s="9" t="str">
        <f>IF($B134 = "Mutant",VLOOKUP($C134,Mutants!$A$2:$L$560,12,FALSE),IF($B134 = "Test",VLOOKUP($C134,Tests!$A$2:$L$841,12,FALSE),VLOOKUP($C134,Questions!$A$3:$N$174,9,FALSE)))</f>
        <v>Y</v>
      </c>
      <c r="F134" s="187" t="str">
        <f>IF($B134 = "Mutant",VLOOKUP($C134,Mutants!$A$2:$L$560,11,FALSE),IF($B134 = "Test",VLOOKUP($C134,Tests!$A$2:$L$841,11,FALSE),VLOOKUP($C134,Questions!$A$3:$N$174,13,FALSE)))</f>
        <v xml:space="preserve">stripLeadingHyphens
</v>
      </c>
      <c r="G134" s="187"/>
      <c r="H134" s="202"/>
      <c r="I134" s="9"/>
      <c r="J134" s="9"/>
      <c r="K134" s="9"/>
      <c r="L134" s="9"/>
      <c r="M134" s="9"/>
    </row>
    <row r="135" spans="2:13" ht="15.75" customHeight="1">
      <c r="B135" s="114" t="s">
        <v>4589</v>
      </c>
      <c r="C135" s="9">
        <v>191</v>
      </c>
      <c r="D135" s="9" t="s">
        <v>3351</v>
      </c>
      <c r="E135" s="9" t="str">
        <f>IF($B135 = "Mutant",VLOOKUP($C135,Mutants!$A$2:$L$560,12,FALSE),IF($B135 = "Test",VLOOKUP($C135,Tests!$A$2:$L$841,12,FALSE),VLOOKUP($C135,Questions!$A$3:$N$174,9,FALSE)))</f>
        <v>Y</v>
      </c>
      <c r="F135" s="187" t="str">
        <f>IF($B135 = "Mutant",VLOOKUP($C135,Mutants!$A$2:$L$560,11,FALSE),IF($B135 = "Test",VLOOKUP($C135,Tests!$A$2:$L$841,11,FALSE),VLOOKUP($C135,Questions!$A$3:$N$174,13,FALSE)))</f>
        <v xml:space="preserve">getMatchingOptions
</v>
      </c>
      <c r="G135" s="187"/>
      <c r="H135" s="202"/>
      <c r="I135" s="9"/>
      <c r="J135" s="9"/>
      <c r="K135" s="9"/>
      <c r="L135" s="9"/>
      <c r="M135" s="9"/>
    </row>
    <row r="136" spans="2:13" ht="15.75" customHeight="1">
      <c r="B136" s="114" t="s">
        <v>107</v>
      </c>
      <c r="C136" s="9">
        <v>16</v>
      </c>
      <c r="D136" s="9" t="s">
        <v>329</v>
      </c>
      <c r="E136" s="9" t="str">
        <f>IF($B136 = "Mutant",VLOOKUP($C136,Mutants!$A$2:$L$560,12,FALSE),IF($B136 = "Test",VLOOKUP($C136,Tests!$A$2:$L$841,12,FALSE),VLOOKUP($C136,Questions!$A$3:$N$174,9,FALSE)))</f>
        <v>Y</v>
      </c>
      <c r="F136" s="187" t="str">
        <f>IF($B136 = "Mutant",VLOOKUP($C136,Mutants!$A$2:$L$560,11,FALSE),IF($B136 = "Test",VLOOKUP($C136,Tests!$A$2:$L$841,11,FALSE),VLOOKUP($C136,Questions!$A$3:$N$174,13,FALSE)))</f>
        <v xml:space="preserve"> </v>
      </c>
      <c r="G136" s="187"/>
      <c r="H136" s="202"/>
      <c r="I136" s="9"/>
      <c r="J136" s="9"/>
      <c r="K136" s="9"/>
      <c r="L136" s="9"/>
      <c r="M136" s="9"/>
    </row>
    <row r="137" spans="2:13" ht="15.75" customHeight="1">
      <c r="B137" s="114" t="s">
        <v>107</v>
      </c>
      <c r="C137" s="9">
        <v>30</v>
      </c>
      <c r="D137" s="9" t="s">
        <v>332</v>
      </c>
      <c r="E137" s="9" t="str">
        <f>IF($B137 = "Mutant",VLOOKUP($C137,Mutants!$A$2:$L$560,12,FALSE),IF($B137 = "Test",VLOOKUP($C137,Tests!$A$2:$L$841,12,FALSE),VLOOKUP($C137,Questions!$A$3:$N$174,9,FALSE)))</f>
        <v>Y</v>
      </c>
      <c r="F137" s="187" t="str">
        <f>IF($B137 = "Mutant",VLOOKUP($C137,Mutants!$A$2:$L$560,11,FALSE),IF($B137 = "Test",VLOOKUP($C137,Tests!$A$2:$L$841,11,FALSE),VLOOKUP($C137,Questions!$A$3:$N$174,13,FALSE)))</f>
        <v xml:space="preserve"> </v>
      </c>
      <c r="G137" s="187"/>
      <c r="H137" s="202"/>
      <c r="I137" s="9"/>
      <c r="J137" s="9"/>
      <c r="K137" s="9"/>
      <c r="L137" s="9"/>
      <c r="M137" s="9"/>
    </row>
    <row r="138" spans="2:13" ht="15.75" customHeight="1">
      <c r="B138" s="114" t="s">
        <v>107</v>
      </c>
      <c r="C138" s="9">
        <v>37</v>
      </c>
      <c r="D138" s="9" t="s">
        <v>335</v>
      </c>
      <c r="E138" s="9" t="str">
        <f>IF($B138 = "Mutant",VLOOKUP($C138,Mutants!$A$2:$L$560,12,FALSE),IF($B138 = "Test",VLOOKUP($C138,Tests!$A$2:$L$841,12,FALSE),VLOOKUP($C138,Questions!$A$3:$N$174,9,FALSE)))</f>
        <v>Y</v>
      </c>
      <c r="F138" s="187" t="str">
        <f>IF($B138 = "Mutant",VLOOKUP($C138,Mutants!$A$2:$L$560,11,FALSE),IF($B138 = "Test",VLOOKUP($C138,Tests!$A$2:$L$841,11,FALSE),VLOOKUP($C138,Questions!$A$3:$N$174,13,FALSE)))</f>
        <v xml:space="preserve"> </v>
      </c>
      <c r="G138" s="187"/>
      <c r="H138" s="202"/>
      <c r="I138" s="9"/>
      <c r="J138" s="9"/>
      <c r="K138" s="9"/>
      <c r="L138" s="9"/>
      <c r="M138" s="9"/>
    </row>
    <row r="139" spans="2:13" ht="15.75" customHeight="1">
      <c r="B139" s="114" t="s">
        <v>4590</v>
      </c>
      <c r="C139" s="9">
        <v>186</v>
      </c>
      <c r="D139" s="9" t="s">
        <v>915</v>
      </c>
      <c r="E139" s="9" t="str">
        <f>IF($B139 = "Mutant",VLOOKUP($C139,Mutants!$A$2:$L$560,12,FALSE),IF($B139 = "Test",VLOOKUP($C139,Tests!$A$2:$L$841,12,FALSE),VLOOKUP($C139,Questions!$A$3:$N$174,9,FALSE)))</f>
        <v>N</v>
      </c>
      <c r="F139" s="187" t="str">
        <f>IF($B139 = "Mutant",VLOOKUP($C139,Mutants!$A$2:$L$560,11,FALSE),IF($B139 = "Test",VLOOKUP($C139,Tests!$A$2:$L$841,11,FALSE),VLOOKUP($C139,Questions!$A$3:$N$174,13,FALSE)))</f>
        <v xml:space="preserve">
</v>
      </c>
      <c r="G139" s="187"/>
      <c r="H139" s="202"/>
      <c r="I139" s="9"/>
      <c r="J139" s="9"/>
      <c r="K139" s="9"/>
      <c r="L139" s="9"/>
      <c r="M139" s="9"/>
    </row>
    <row r="140" spans="2:13" ht="15.75" customHeight="1">
      <c r="B140" s="114" t="s">
        <v>4590</v>
      </c>
      <c r="C140" s="9">
        <v>193</v>
      </c>
      <c r="D140" s="9" t="s">
        <v>933</v>
      </c>
      <c r="E140" s="9" t="str">
        <f>IF($B140 = "Mutant",VLOOKUP($C140,Mutants!$A$2:$L$560,12,FALSE),IF($B140 = "Test",VLOOKUP($C140,Tests!$A$2:$L$841,12,FALSE),VLOOKUP($C140,Questions!$A$3:$N$174,9,FALSE)))</f>
        <v>N</v>
      </c>
      <c r="F140" s="187" t="str">
        <f>IF($B140 = "Mutant",VLOOKUP($C140,Mutants!$A$2:$L$560,11,FALSE),IF($B140 = "Test",VLOOKUP($C140,Tests!$A$2:$L$841,11,FALSE),VLOOKUP($C140,Questions!$A$3:$N$174,13,FALSE)))</f>
        <v xml:space="preserve">
</v>
      </c>
      <c r="G140" s="187"/>
      <c r="H140" s="202"/>
      <c r="I140" s="9"/>
      <c r="J140" s="9"/>
      <c r="K140" s="9"/>
      <c r="L140" s="9"/>
      <c r="M140" s="9"/>
    </row>
    <row r="141" spans="2:13" ht="15.75" customHeight="1">
      <c r="B141" s="114" t="s">
        <v>4590</v>
      </c>
      <c r="C141" s="9">
        <v>196</v>
      </c>
      <c r="D141" s="9" t="s">
        <v>939</v>
      </c>
      <c r="E141" s="9" t="str">
        <f>IF($B141 = "Mutant",VLOOKUP($C141,Mutants!$A$2:$L$560,12,FALSE),IF($B141 = "Test",VLOOKUP($C141,Tests!$A$2:$L$841,12,FALSE),VLOOKUP($C141,Questions!$A$3:$N$174,9,FALSE)))</f>
        <v>N</v>
      </c>
      <c r="F141" s="187" t="str">
        <f>IF($B141 = "Mutant",VLOOKUP($C141,Mutants!$A$2:$L$560,11,FALSE),IF($B141 = "Test",VLOOKUP($C141,Tests!$A$2:$L$841,11,FALSE),VLOOKUP($C141,Questions!$A$3:$N$174,13,FALSE)))</f>
        <v xml:space="preserve">
</v>
      </c>
      <c r="G141" s="187"/>
      <c r="H141" s="202"/>
      <c r="I141" s="9"/>
      <c r="J141" s="9"/>
      <c r="K141" s="9"/>
      <c r="L141" s="9"/>
      <c r="M141" s="9"/>
    </row>
    <row r="142" spans="2:13" ht="15.75" customHeight="1">
      <c r="B142" s="114" t="s">
        <v>4590</v>
      </c>
      <c r="C142" s="9">
        <v>208</v>
      </c>
      <c r="D142" s="9" t="s">
        <v>977</v>
      </c>
      <c r="E142" s="9" t="str">
        <f>IF($B142 = "Mutant",VLOOKUP($C142,Mutants!$A$2:$L$560,12,FALSE),IF($B142 = "Test",VLOOKUP($C142,Tests!$A$2:$L$841,12,FALSE),VLOOKUP($C142,Questions!$A$3:$N$174,9,FALSE)))</f>
        <v>N</v>
      </c>
      <c r="F142" s="187" t="str">
        <f>IF($B142 = "Mutant",VLOOKUP($C142,Mutants!$A$2:$L$560,11,FALSE),IF($B142 = "Test",VLOOKUP($C142,Tests!$A$2:$L$841,11,FALSE),VLOOKUP($C142,Questions!$A$3:$N$174,13,FALSE)))</f>
        <v xml:space="preserve">
</v>
      </c>
      <c r="G142" s="187"/>
      <c r="H142" s="202"/>
      <c r="I142" s="9"/>
      <c r="J142" s="9"/>
      <c r="K142" s="9"/>
      <c r="L142" s="9"/>
      <c r="M142" s="9"/>
    </row>
    <row r="143" spans="2:13" ht="15.75" customHeight="1">
      <c r="B143" s="114" t="s">
        <v>107</v>
      </c>
      <c r="C143" s="9">
        <v>56</v>
      </c>
      <c r="D143" s="9" t="s">
        <v>338</v>
      </c>
      <c r="E143" s="9" t="str">
        <f>IF($B143 = "Mutant",VLOOKUP($C143,Mutants!$A$2:$L$560,12,FALSE),IF($B143 = "Test",VLOOKUP($C143,Tests!$A$2:$L$841,12,FALSE),VLOOKUP($C143,Questions!$A$3:$N$174,9,FALSE)))</f>
        <v>N</v>
      </c>
      <c r="F143" s="187" t="str">
        <f>IF($B143 = "Mutant",VLOOKUP($C143,Mutants!$A$2:$L$560,11,FALSE),IF($B143 = "Test",VLOOKUP($C143,Tests!$A$2:$L$841,11,FALSE),VLOOKUP($C143,Questions!$A$3:$N$174,13,FALSE)))</f>
        <v xml:space="preserve"> </v>
      </c>
      <c r="G143" s="187"/>
      <c r="H143" s="202"/>
      <c r="I143" s="9"/>
      <c r="J143" s="9"/>
      <c r="K143" s="9"/>
      <c r="L143" s="9"/>
      <c r="M143" s="9"/>
    </row>
    <row r="144" spans="2:13" ht="15.75" customHeight="1">
      <c r="B144" s="114" t="s">
        <v>107</v>
      </c>
      <c r="C144" s="9">
        <v>59</v>
      </c>
      <c r="D144" s="9" t="s">
        <v>340</v>
      </c>
      <c r="E144" s="9" t="str">
        <f>IF($B144 = "Mutant",VLOOKUP($C144,Mutants!$A$2:$L$560,12,FALSE),IF($B144 = "Test",VLOOKUP($C144,Tests!$A$2:$L$841,12,FALSE),VLOOKUP($C144,Questions!$A$3:$N$174,9,FALSE)))</f>
        <v>Y</v>
      </c>
      <c r="F144" s="187" t="str">
        <f>IF($B144 = "Mutant",VLOOKUP($C144,Mutants!$A$2:$L$560,11,FALSE),IF($B144 = "Test",VLOOKUP($C144,Tests!$A$2:$L$841,11,FALSE),VLOOKUP($C144,Questions!$A$3:$N$174,13,FALSE)))</f>
        <v xml:space="preserve"> </v>
      </c>
      <c r="G144" s="187"/>
      <c r="H144" s="202"/>
      <c r="I144" s="9"/>
      <c r="J144" s="9"/>
      <c r="K144" s="9"/>
      <c r="L144" s="9"/>
      <c r="M144" s="9"/>
    </row>
    <row r="145" spans="2:14" ht="15.75" customHeight="1">
      <c r="B145" s="114" t="s">
        <v>4590</v>
      </c>
      <c r="C145" s="9">
        <v>264</v>
      </c>
      <c r="D145" s="9" t="s">
        <v>1133</v>
      </c>
      <c r="E145" s="9" t="str">
        <f>IF($B145 = "Mutant",VLOOKUP($C145,Mutants!$A$2:$L$560,12,FALSE),IF($B145 = "Test",VLOOKUP($C145,Tests!$A$2:$L$841,12,FALSE),VLOOKUP($C145,Questions!$A$3:$N$174,9,FALSE)))</f>
        <v>N</v>
      </c>
      <c r="F145" s="187" t="str">
        <f>IF($B145 = "Mutant",VLOOKUP($C145,Mutants!$A$2:$L$560,11,FALSE),IF($B145 = "Test",VLOOKUP($C145,Tests!$A$2:$L$841,11,FALSE),VLOOKUP($C145,Questions!$A$3:$N$174,13,FALSE)))</f>
        <v xml:space="preserve">
</v>
      </c>
      <c r="G145" s="187"/>
      <c r="H145" s="202"/>
      <c r="I145" s="9"/>
      <c r="J145" s="9"/>
      <c r="K145" s="9"/>
      <c r="L145" s="9"/>
      <c r="M145" s="9"/>
    </row>
    <row r="146" spans="2:14" ht="15.75" customHeight="1">
      <c r="B146" s="114" t="s">
        <v>4590</v>
      </c>
      <c r="C146" s="9">
        <v>282</v>
      </c>
      <c r="D146" s="9" t="s">
        <v>1179</v>
      </c>
      <c r="E146" s="9" t="str">
        <f>IF($B146 = "Mutant",VLOOKUP($C146,Mutants!$A$2:$L$560,12,FALSE),IF($B146 = "Test",VLOOKUP($C146,Tests!$A$2:$L$841,12,FALSE),VLOOKUP($C146,Questions!$A$3:$N$174,9,FALSE)))</f>
        <v>N</v>
      </c>
      <c r="F146" s="187" t="str">
        <f>IF($B146 = "Mutant",VLOOKUP($C146,Mutants!$A$2:$L$560,11,FALSE),IF($B146 = "Test",VLOOKUP($C146,Tests!$A$2:$L$841,11,FALSE),VLOOKUP($C146,Questions!$A$3:$N$174,13,FALSE)))</f>
        <v xml:space="preserve">
</v>
      </c>
      <c r="G146" s="187"/>
      <c r="H146" s="202"/>
      <c r="I146" s="9"/>
      <c r="J146" s="9"/>
      <c r="K146" s="9"/>
      <c r="L146" s="9"/>
      <c r="M146" s="9"/>
    </row>
    <row r="147" spans="2:14" ht="15.75" customHeight="1">
      <c r="B147" s="114" t="s">
        <v>4590</v>
      </c>
      <c r="C147" s="9">
        <v>294</v>
      </c>
      <c r="D147" s="9" t="s">
        <v>1218</v>
      </c>
      <c r="E147" s="9" t="str">
        <f>IF($B147 = "Mutant",VLOOKUP($C147,Mutants!$A$2:$L$560,12,FALSE),IF($B147 = "Test",VLOOKUP($C147,Tests!$A$2:$L$841,12,FALSE),VLOOKUP($C147,Questions!$A$3:$N$174,9,FALSE)))</f>
        <v>Y</v>
      </c>
      <c r="F147" s="187" t="str">
        <f>IF($B147 = "Mutant",VLOOKUP($C147,Mutants!$A$2:$L$560,11,FALSE),IF($B147 = "Test",VLOOKUP($C147,Tests!$A$2:$L$841,11,FALSE),VLOOKUP($C147,Questions!$A$3:$N$174,13,FALSE)))</f>
        <v xml:space="preserve">addOption, getMatchingOptions, stripLeadingHyphens
</v>
      </c>
      <c r="G147" s="187"/>
      <c r="H147" s="202"/>
      <c r="I147" s="9"/>
      <c r="J147" s="9"/>
      <c r="K147" s="9"/>
      <c r="L147" s="9"/>
      <c r="M147" s="9"/>
    </row>
    <row r="148" spans="2:14" ht="15.75" customHeight="1">
      <c r="B148" s="114" t="s">
        <v>4590</v>
      </c>
      <c r="C148" s="9">
        <v>297</v>
      </c>
      <c r="D148" s="9" t="s">
        <v>1229</v>
      </c>
      <c r="E148" s="9" t="str">
        <f>IF($B148 = "Mutant",VLOOKUP($C148,Mutants!$A$2:$L$560,12,FALSE),IF($B148 = "Test",VLOOKUP($C148,Tests!$A$2:$L$841,12,FALSE),VLOOKUP($C148,Questions!$A$3:$N$174,9,FALSE)))</f>
        <v>Y</v>
      </c>
      <c r="F148" s="187" t="str">
        <f>IF($B148 = "Mutant",VLOOKUP($C148,Mutants!$A$2:$L$560,11,FALSE),IF($B148 = "Test",VLOOKUP($C148,Tests!$A$2:$L$841,11,FALSE),VLOOKUP($C148,Questions!$A$3:$N$174,13,FALSE)))</f>
        <v xml:space="preserve">addOption, getMatchingOptions, stripLeadingHyphens
</v>
      </c>
      <c r="G148" s="187"/>
      <c r="H148" s="202"/>
      <c r="I148" s="9"/>
      <c r="J148" s="9"/>
      <c r="K148" s="9"/>
      <c r="L148" s="9"/>
      <c r="M148" s="9"/>
    </row>
    <row r="149" spans="2:14" ht="15.75" customHeight="1">
      <c r="B149" s="114" t="s">
        <v>107</v>
      </c>
      <c r="C149" s="9">
        <v>72</v>
      </c>
      <c r="D149" s="9" t="s">
        <v>343</v>
      </c>
      <c r="E149" s="9" t="str">
        <f>IF($B149 = "Mutant",VLOOKUP($C149,Mutants!$A$2:$L$560,12,FALSE),IF($B149 = "Test",VLOOKUP($C149,Tests!$A$2:$L$841,12,FALSE),VLOOKUP($C149,Questions!$A$3:$N$174,9,FALSE)))</f>
        <v>Y</v>
      </c>
      <c r="F149" s="187" t="str">
        <f>IF($B149 = "Mutant",VLOOKUP($C149,Mutants!$A$2:$L$560,11,FALSE),IF($B149 = "Test",VLOOKUP($C149,Tests!$A$2:$L$841,11,FALSE),VLOOKUP($C149,Questions!$A$3:$N$174,13,FALSE)))</f>
        <v>toString</v>
      </c>
      <c r="G149" s="187"/>
      <c r="H149" s="202"/>
      <c r="I149" s="9"/>
      <c r="J149" s="9"/>
      <c r="K149" s="9"/>
      <c r="L149" s="9"/>
      <c r="M149" s="9"/>
      <c r="N149" s="9"/>
    </row>
    <row r="150" spans="2:14" ht="15.75" customHeight="1">
      <c r="B150" s="114" t="s">
        <v>4590</v>
      </c>
      <c r="C150" s="9">
        <v>328</v>
      </c>
      <c r="D150" s="9" t="s">
        <v>1316</v>
      </c>
      <c r="E150" s="9" t="str">
        <f>IF($B150 = "Mutant",VLOOKUP($C150,Mutants!$A$2:$L$560,12,FALSE),IF($B150 = "Test",VLOOKUP($C150,Tests!$A$2:$L$841,12,FALSE),VLOOKUP($C150,Questions!$A$3:$N$174,9,FALSE)))</f>
        <v>N</v>
      </c>
      <c r="F150" s="187" t="str">
        <f>IF($B150 = "Mutant",VLOOKUP($C150,Mutants!$A$2:$L$560,11,FALSE),IF($B150 = "Test",VLOOKUP($C150,Tests!$A$2:$L$841,11,FALSE),VLOOKUP($C150,Questions!$A$3:$N$174,13,FALSE)))</f>
        <v xml:space="preserve">
</v>
      </c>
      <c r="G150" s="187"/>
      <c r="H150" s="202"/>
      <c r="I150" s="9"/>
      <c r="J150" s="9"/>
      <c r="K150" s="9"/>
      <c r="L150" s="9"/>
      <c r="M150" s="9"/>
    </row>
    <row r="151" spans="2:14" ht="15.75" customHeight="1">
      <c r="B151" s="114" t="s">
        <v>4590</v>
      </c>
      <c r="C151" s="9">
        <v>336</v>
      </c>
      <c r="D151" s="9" t="s">
        <v>1339</v>
      </c>
      <c r="E151" s="9" t="str">
        <f>IF($B151 = "Mutant",VLOOKUP($C151,Mutants!$A$2:$L$560,12,FALSE),IF($B151 = "Test",VLOOKUP($C151,Tests!$A$2:$L$841,12,FALSE),VLOOKUP($C151,Questions!$A$3:$N$174,9,FALSE)))</f>
        <v>N</v>
      </c>
      <c r="F151" s="187" t="str">
        <f>IF($B151 = "Mutant",VLOOKUP($C151,Mutants!$A$2:$L$560,11,FALSE),IF($B151 = "Test",VLOOKUP($C151,Tests!$A$2:$L$841,11,FALSE),VLOOKUP($C151,Questions!$A$3:$N$174,13,FALSE)))</f>
        <v xml:space="preserve">
</v>
      </c>
      <c r="G151" s="187"/>
      <c r="H151" s="202"/>
      <c r="I151" s="9"/>
      <c r="J151" s="9"/>
      <c r="K151" s="9"/>
      <c r="L151" s="9"/>
      <c r="M151" s="9"/>
    </row>
    <row r="152" spans="2:14" ht="15.75" customHeight="1">
      <c r="B152" s="114" t="s">
        <v>4589</v>
      </c>
      <c r="C152" s="9">
        <v>321</v>
      </c>
      <c r="D152" s="9" t="s">
        <v>3706</v>
      </c>
      <c r="E152" s="9" t="str">
        <f>IF($B152 = "Mutant",VLOOKUP($C152,Mutants!$A$2:$L$560,12,FALSE),IF($B152 = "Test",VLOOKUP($C152,Tests!$A$2:$L$841,12,FALSE),VLOOKUP($C152,Questions!$A$3:$N$174,9,FALSE)))</f>
        <v>Y</v>
      </c>
      <c r="F152" s="187" t="str">
        <f>IF($B152 = "Mutant",VLOOKUP($C152,Mutants!$A$2:$L$560,11,FALSE),IF($B152 = "Test",VLOOKUP($C152,Tests!$A$2:$L$841,11,FALSE),VLOOKUP($C152,Questions!$A$3:$N$174,13,FALSE)))</f>
        <v xml:space="preserve">addOption
</v>
      </c>
      <c r="G152" s="187"/>
      <c r="H152" s="202"/>
      <c r="I152" s="9"/>
      <c r="J152" s="9"/>
      <c r="K152" s="9"/>
      <c r="L152" s="9"/>
      <c r="M152" s="9"/>
    </row>
    <row r="153" spans="2:14" ht="15.75" customHeight="1">
      <c r="B153" s="114" t="s">
        <v>4589</v>
      </c>
      <c r="C153" s="9">
        <v>330</v>
      </c>
      <c r="D153" s="9" t="s">
        <v>3730</v>
      </c>
      <c r="E153" s="9" t="str">
        <f>IF($B153 = "Mutant",VLOOKUP($C153,Mutants!$A$2:$L$560,12,FALSE),IF($B153 = "Test",VLOOKUP($C153,Tests!$A$2:$L$841,12,FALSE),VLOOKUP($C153,Questions!$A$3:$N$174,9,FALSE)))</f>
        <v>Y</v>
      </c>
      <c r="F153" s="187" t="str">
        <f>IF($B153 = "Mutant",VLOOKUP($C153,Mutants!$A$2:$L$560,11,FALSE),IF($B153 = "Test",VLOOKUP($C153,Tests!$A$2:$L$841,11,FALSE),VLOOKUP($C153,Questions!$A$3:$N$174,13,FALSE)))</f>
        <v xml:space="preserve">stripLeadingHyphens
</v>
      </c>
      <c r="G153" s="187"/>
      <c r="H153" s="202"/>
      <c r="I153" s="9"/>
      <c r="J153" s="9"/>
      <c r="K153" s="9"/>
      <c r="L153" s="9"/>
      <c r="M153" s="9"/>
    </row>
    <row r="154" spans="2:14" ht="15.75" customHeight="1">
      <c r="B154" s="114" t="s">
        <v>107</v>
      </c>
      <c r="C154" s="9">
        <v>81</v>
      </c>
      <c r="D154" s="9" t="s">
        <v>346</v>
      </c>
      <c r="E154" s="9" t="str">
        <f>IF($B154 = "Mutant",VLOOKUP($C154,Mutants!$A$2:$L$560,12,FALSE),IF($B154 = "Test",VLOOKUP($C154,Tests!$A$2:$L$841,12,FALSE),VLOOKUP($C154,Questions!$A$3:$N$174,9,FALSE)))</f>
        <v>Y</v>
      </c>
      <c r="F154" s="187" t="str">
        <f>IF($B154 = "Mutant",VLOOKUP($C154,Mutants!$A$2:$L$560,11,FALSE),IF($B154 = "Test",VLOOKUP($C154,Tests!$A$2:$L$841,11,FALSE),VLOOKUP($C154,Questions!$A$3:$N$174,13,FALSE)))</f>
        <v>stripLeadingHyphens</v>
      </c>
      <c r="G154" s="187"/>
      <c r="H154" s="202"/>
      <c r="I154" s="9"/>
      <c r="J154" s="9"/>
      <c r="K154" s="9"/>
      <c r="L154" s="9"/>
      <c r="M154" s="9"/>
      <c r="N154" s="9"/>
    </row>
    <row r="155" spans="2:14" ht="15.75" customHeight="1">
      <c r="B155" s="114" t="s">
        <v>4589</v>
      </c>
      <c r="C155" s="9">
        <v>335</v>
      </c>
      <c r="D155" s="9" t="s">
        <v>1581</v>
      </c>
      <c r="E155" s="9" t="str">
        <f>IF($B155 = "Mutant",VLOOKUP($C155,Mutants!$A$2:$L$560,12,FALSE),IF($B155 = "Test",VLOOKUP($C155,Tests!$A$2:$L$841,12,FALSE),VLOOKUP($C155,Questions!$A$3:$N$174,9,FALSE)))</f>
        <v>Y</v>
      </c>
      <c r="F155" s="187" t="str">
        <f>IF($B155 = "Mutant",VLOOKUP($C155,Mutants!$A$2:$L$560,11,FALSE),IF($B155 = "Test",VLOOKUP($C155,Tests!$A$2:$L$841,11,FALSE),VLOOKUP($C155,Questions!$A$3:$N$174,13,FALSE)))</f>
        <v xml:space="preserve">hasLongOption
</v>
      </c>
      <c r="G155" s="187"/>
      <c r="H155" s="202"/>
      <c r="I155" s="9"/>
      <c r="J155" s="9"/>
      <c r="K155" s="9"/>
      <c r="L155" s="9"/>
      <c r="M155" s="9"/>
    </row>
    <row r="156" spans="2:14" ht="15.75" customHeight="1">
      <c r="B156" s="114" t="s">
        <v>4589</v>
      </c>
      <c r="C156" s="9">
        <v>340</v>
      </c>
      <c r="D156" s="9" t="s">
        <v>1611</v>
      </c>
      <c r="E156" s="9" t="str">
        <f>IF($B156 = "Mutant",VLOOKUP($C156,Mutants!$A$2:$L$560,12,FALSE),IF($B156 = "Test",VLOOKUP($C156,Tests!$A$2:$L$841,12,FALSE),VLOOKUP($C156,Questions!$A$3:$N$174,9,FALSE)))</f>
        <v>Y</v>
      </c>
      <c r="F156" s="187" t="str">
        <f>IF($B156 = "Mutant",VLOOKUP($C156,Mutants!$A$2:$L$560,11,FALSE),IF($B156 = "Test",VLOOKUP($C156,Tests!$A$2:$L$841,11,FALSE),VLOOKUP($C156,Questions!$A$3:$N$174,13,FALSE)))</f>
        <v xml:space="preserve">getOption
</v>
      </c>
      <c r="G156" s="187"/>
      <c r="H156" s="202"/>
      <c r="I156" s="9"/>
      <c r="J156" s="9"/>
      <c r="K156" s="9"/>
      <c r="L156" s="9"/>
      <c r="M156" s="9"/>
    </row>
    <row r="157" spans="2:14" ht="15.75" customHeight="1">
      <c r="B157" s="114" t="s">
        <v>4589</v>
      </c>
      <c r="C157" s="9">
        <v>343</v>
      </c>
      <c r="D157" s="9" t="s">
        <v>3764</v>
      </c>
      <c r="E157" s="9" t="str">
        <f>IF($B157 = "Mutant",VLOOKUP($C157,Mutants!$A$2:$L$560,12,FALSE),IF($B157 = "Test",VLOOKUP($C157,Tests!$A$2:$L$841,12,FALSE),VLOOKUP($C157,Questions!$A$3:$N$174,9,FALSE)))</f>
        <v>Y</v>
      </c>
      <c r="F157" s="187" t="str">
        <f>IF($B157 = "Mutant",VLOOKUP($C157,Mutants!$A$2:$L$560,11,FALSE),IF($B157 = "Test",VLOOKUP($C157,Tests!$A$2:$L$841,11,FALSE),VLOOKUP($C157,Questions!$A$3:$N$174,13,FALSE)))</f>
        <v xml:space="preserve">hasOption
</v>
      </c>
      <c r="G157" s="187"/>
      <c r="H157" s="202"/>
      <c r="I157" s="9"/>
      <c r="J157" s="9"/>
      <c r="K157" s="9"/>
      <c r="L157" s="9"/>
      <c r="M157" s="9"/>
    </row>
    <row r="158" spans="2:14" ht="15.75" customHeight="1">
      <c r="B158" s="114" t="s">
        <v>107</v>
      </c>
      <c r="C158" s="9">
        <v>88</v>
      </c>
      <c r="D158" s="9" t="s">
        <v>349</v>
      </c>
      <c r="E158" s="9" t="str">
        <f>IF($B158 = "Mutant",VLOOKUP($C158,Mutants!$A$2:$L$560,12,FALSE),IF($B158 = "Test",VLOOKUP($C158,Tests!$A$2:$L$841,12,FALSE),VLOOKUP($C158,Questions!$A$3:$N$174,9,FALSE)))</f>
        <v>Y</v>
      </c>
      <c r="F158" s="187" t="str">
        <f>IF($B158 = "Mutant",VLOOKUP($C158,Mutants!$A$2:$L$560,11,FALSE),IF($B158 = "Test",VLOOKUP($C158,Tests!$A$2:$L$841,11,FALSE),VLOOKUP($C158,Questions!$A$3:$N$174,13,FALSE)))</f>
        <v xml:space="preserve">stripLeadingHyphens
</v>
      </c>
      <c r="G158" s="187"/>
      <c r="H158" s="202"/>
      <c r="I158" s="9"/>
      <c r="J158" s="9"/>
      <c r="K158" s="9"/>
      <c r="L158" s="9"/>
      <c r="M158" s="9"/>
      <c r="N158" s="9"/>
    </row>
    <row r="159" spans="2:14" ht="15.75" customHeight="1">
      <c r="B159" s="114" t="s">
        <v>107</v>
      </c>
      <c r="C159" s="9">
        <v>90</v>
      </c>
      <c r="D159" s="9" t="s">
        <v>352</v>
      </c>
      <c r="E159" s="9" t="str">
        <f>IF($B159 = "Mutant",VLOOKUP($C159,Mutants!$A$2:$L$560,12,FALSE),IF($B159 = "Test",VLOOKUP($C159,Tests!$A$2:$L$841,12,FALSE),VLOOKUP($C159,Questions!$A$3:$N$174,9,FALSE)))</f>
        <v>Y</v>
      </c>
      <c r="F159" s="187" t="str">
        <f>IF($B159 = "Mutant",VLOOKUP($C159,Mutants!$A$2:$L$560,11,FALSE),IF($B159 = "Test",VLOOKUP($C159,Tests!$A$2:$L$841,11,FALSE),VLOOKUP($C159,Questions!$A$3:$N$174,13,FALSE)))</f>
        <v xml:space="preserve">stripLeadingHyphens
</v>
      </c>
      <c r="G159" s="187"/>
      <c r="H159" s="202"/>
      <c r="I159" s="9"/>
      <c r="J159" s="9"/>
      <c r="K159" s="9"/>
      <c r="L159" s="9"/>
      <c r="M159" s="9"/>
      <c r="N159" s="9"/>
    </row>
    <row r="160" spans="2:14" ht="15.75" customHeight="1">
      <c r="B160" s="133" t="s">
        <v>107</v>
      </c>
      <c r="C160" s="130">
        <v>93</v>
      </c>
      <c r="D160" s="130" t="s">
        <v>355</v>
      </c>
      <c r="E160" s="130" t="str">
        <f>IF($B160 = "Mutant",VLOOKUP($C160,Mutants!$A$2:$L$560,12,FALSE),IF($B160 = "Test",VLOOKUP($C160,Tests!$A$2:$L$841,12,FALSE),VLOOKUP($C160,Questions!$A$3:$N$174,9,FALSE)))</f>
        <v>Y</v>
      </c>
      <c r="F160" s="203" t="str">
        <f>IF($B160 = "Mutant",VLOOKUP($C160,Mutants!$A$2:$L$560,11,FALSE),IF($B160 = "Test",VLOOKUP($C160,Tests!$A$2:$L$841,11,FALSE),VLOOKUP($C160,Questions!$A$3:$N$174,13,FALSE)))</f>
        <v xml:space="preserve">stripLeadingHyphens
</v>
      </c>
      <c r="G160" s="203"/>
      <c r="H160" s="204"/>
      <c r="I160" s="9"/>
      <c r="J160" s="9"/>
      <c r="K160" s="9"/>
      <c r="L160" s="9"/>
      <c r="M160" s="9"/>
      <c r="N160" s="9"/>
    </row>
    <row r="161" spans="2:14" ht="15.75" customHeight="1">
      <c r="F161" s="188"/>
      <c r="G161" s="188"/>
      <c r="H161" s="188"/>
    </row>
    <row r="162" spans="2:14" ht="15.75" customHeight="1">
      <c r="F162" s="188"/>
      <c r="G162" s="188"/>
      <c r="H162" s="188"/>
    </row>
    <row r="163" spans="2:14" ht="15.75" customHeight="1" thickBot="1">
      <c r="B163" s="219" t="s">
        <v>4604</v>
      </c>
      <c r="C163" s="201"/>
      <c r="D163" s="45">
        <v>158</v>
      </c>
      <c r="F163" s="207"/>
      <c r="G163" s="207"/>
      <c r="H163" s="207"/>
    </row>
    <row r="164" spans="2:14" ht="15.75" customHeight="1" thickTop="1">
      <c r="B164" s="134" t="s">
        <v>4594</v>
      </c>
      <c r="C164" s="135" t="s">
        <v>44</v>
      </c>
      <c r="D164" s="135" t="s">
        <v>110</v>
      </c>
      <c r="E164" s="136" t="s">
        <v>2</v>
      </c>
      <c r="F164" s="229" t="s">
        <v>4612</v>
      </c>
      <c r="G164" s="229"/>
      <c r="H164" s="230"/>
      <c r="I164" s="9"/>
      <c r="J164" s="9"/>
      <c r="K164" s="9"/>
      <c r="L164" s="9"/>
      <c r="M164" s="9"/>
    </row>
    <row r="165" spans="2:14" ht="15.75" customHeight="1">
      <c r="B165" s="137" t="s">
        <v>107</v>
      </c>
      <c r="C165" s="93">
        <v>9</v>
      </c>
      <c r="D165" s="93" t="s">
        <v>358</v>
      </c>
      <c r="E165" s="93" t="str">
        <f>IF($B165 = "Mutant",VLOOKUP($C165,Mutants!$A$2:$L$560,12,FALSE),IF($B165 = "Test",VLOOKUP($C165,Tests!$A$2:$L$841,12,FALSE),VLOOKUP($C165,Questions!$A$3:$N$174,9,FALSE)))</f>
        <v>Y</v>
      </c>
      <c r="F165" s="205" t="str">
        <f>IF($B165 = "Mutant",VLOOKUP($C165,Mutants!$A$2:$L$560,11,FALSE),IF($B165 = "Test",VLOOKUP($C165,Tests!$A$2:$L$841,11,FALSE),VLOOKUP($C165,Questions!$A$3:$N$174,13,FALSE)))</f>
        <v xml:space="preserve"> </v>
      </c>
      <c r="G165" s="205"/>
      <c r="H165" s="206"/>
      <c r="I165" s="9"/>
      <c r="J165" s="9"/>
      <c r="K165" s="9"/>
      <c r="L165" s="9"/>
      <c r="M165" s="9"/>
    </row>
    <row r="166" spans="2:14" ht="15.75" customHeight="1">
      <c r="B166" s="114" t="s">
        <v>4589</v>
      </c>
      <c r="C166" s="9">
        <v>217</v>
      </c>
      <c r="D166" s="9" t="s">
        <v>3422</v>
      </c>
      <c r="E166" s="9" t="str">
        <f>IF($B166 = "Mutant",VLOOKUP($C166,Mutants!$A$2:$L$560,12,FALSE),IF($B166 = "Test",VLOOKUP($C166,Tests!$A$2:$L$841,12,FALSE),VLOOKUP($C166,Questions!$A$3:$N$174,9,FALSE)))</f>
        <v>Y</v>
      </c>
      <c r="F166" s="187" t="str">
        <f>IF($B166 = "Mutant",VLOOKUP($C166,Mutants!$A$2:$L$560,11,FALSE),IF($B166 = "Test",VLOOKUP($C166,Tests!$A$2:$L$841,11,FALSE),VLOOKUP($C166,Questions!$A$3:$N$174,13,FALSE)))</f>
        <v xml:space="preserve">addOption, hasShortOption
</v>
      </c>
      <c r="G166" s="187"/>
      <c r="H166" s="202"/>
      <c r="I166" s="9"/>
      <c r="J166" s="9"/>
      <c r="K166" s="9"/>
      <c r="L166" s="9"/>
      <c r="M166" s="9"/>
    </row>
    <row r="167" spans="2:14" ht="15.75" customHeight="1">
      <c r="B167" s="114" t="s">
        <v>4589</v>
      </c>
      <c r="C167" s="9">
        <v>224</v>
      </c>
      <c r="D167" s="9" t="s">
        <v>251</v>
      </c>
      <c r="E167" s="9" t="str">
        <f>IF($B167 = "Mutant",VLOOKUP($C167,Mutants!$A$2:$L$560,12,FALSE),IF($B167 = "Test",VLOOKUP($C167,Tests!$A$2:$L$841,12,FALSE),VLOOKUP($C167,Questions!$A$3:$N$174,9,FALSE)))</f>
        <v>Y</v>
      </c>
      <c r="F167" s="187" t="str">
        <f>IF($B167 = "Mutant",VLOOKUP($C167,Mutants!$A$2:$L$560,11,FALSE),IF($B167 = "Test",VLOOKUP($C167,Tests!$A$2:$L$841,11,FALSE),VLOOKUP($C167,Questions!$A$3:$N$174,13,FALSE)))</f>
        <v xml:space="preserve">addOption
</v>
      </c>
      <c r="G167" s="187"/>
      <c r="H167" s="202"/>
      <c r="I167" s="9"/>
      <c r="J167" s="9"/>
      <c r="K167" s="9"/>
      <c r="L167" s="9"/>
      <c r="M167" s="9"/>
    </row>
    <row r="168" spans="2:14" ht="15.75" customHeight="1">
      <c r="B168" s="114" t="s">
        <v>4589</v>
      </c>
      <c r="C168" s="9">
        <v>245</v>
      </c>
      <c r="D168" s="9" t="s">
        <v>3499</v>
      </c>
      <c r="E168" s="9" t="str">
        <f>IF($B168 = "Mutant",VLOOKUP($C168,Mutants!$A$2:$L$560,12,FALSE),IF($B168 = "Test",VLOOKUP($C168,Tests!$A$2:$L$841,12,FALSE),VLOOKUP($C168,Questions!$A$3:$N$174,9,FALSE)))</f>
        <v>Y</v>
      </c>
      <c r="F168" s="187" t="str">
        <f>IF($B168 = "Mutant",VLOOKUP($C168,Mutants!$A$2:$L$560,11,FALSE),IF($B168 = "Test",VLOOKUP($C168,Tests!$A$2:$L$841,11,FALSE),VLOOKUP($C168,Questions!$A$3:$N$174,13,FALSE)))</f>
        <v xml:space="preserve">getOption, getMatchingOptions, hasOption
</v>
      </c>
      <c r="G168" s="187"/>
      <c r="H168" s="202"/>
      <c r="I168" s="9"/>
      <c r="J168" s="9"/>
      <c r="K168" s="9"/>
      <c r="L168" s="9"/>
      <c r="M168" s="9"/>
    </row>
    <row r="169" spans="2:14" ht="15.75" customHeight="1">
      <c r="B169" s="114" t="s">
        <v>4589</v>
      </c>
      <c r="C169" s="9">
        <v>254</v>
      </c>
      <c r="D169" s="9" t="s">
        <v>3526</v>
      </c>
      <c r="E169" s="9" t="str">
        <f>IF($B169 = "Mutant",VLOOKUP($C169,Mutants!$A$2:$L$560,12,FALSE),IF($B169 = "Test",VLOOKUP($C169,Tests!$A$2:$L$841,12,FALSE),VLOOKUP($C169,Questions!$A$3:$N$174,9,FALSE)))</f>
        <v>Y</v>
      </c>
      <c r="F169" s="187" t="str">
        <f>IF($B169 = "Mutant",VLOOKUP($C169,Mutants!$A$2:$L$560,11,FALSE),IF($B169 = "Test",VLOOKUP($C169,Tests!$A$2:$L$841,11,FALSE),VLOOKUP($C169,Questions!$A$3:$N$174,13,FALSE)))</f>
        <v xml:space="preserve">toString
</v>
      </c>
      <c r="G169" s="187"/>
      <c r="H169" s="202"/>
      <c r="I169" s="9"/>
      <c r="J169" s="9"/>
      <c r="K169" s="9"/>
      <c r="L169" s="9"/>
      <c r="M169" s="9"/>
    </row>
    <row r="170" spans="2:14" ht="15.75" customHeight="1">
      <c r="B170" s="114" t="s">
        <v>4589</v>
      </c>
      <c r="C170" s="9">
        <v>266</v>
      </c>
      <c r="D170" s="9" t="s">
        <v>3557</v>
      </c>
      <c r="E170" s="9" t="str">
        <f>IF($B170 = "Mutant",VLOOKUP($C170,Mutants!$A$2:$L$560,12,FALSE),IF($B170 = "Test",VLOOKUP($C170,Tests!$A$2:$L$841,12,FALSE),VLOOKUP($C170,Questions!$A$3:$N$174,9,FALSE)))</f>
        <v>Y</v>
      </c>
      <c r="F170" s="187" t="str">
        <f>IF($B170 = "Mutant",VLOOKUP($C170,Mutants!$A$2:$L$560,11,FALSE),IF($B170 = "Test",VLOOKUP($C170,Tests!$A$2:$L$841,11,FALSE),VLOOKUP($C170,Questions!$A$3:$N$174,13,FALSE)))</f>
        <v xml:space="preserve">toString
</v>
      </c>
      <c r="G170" s="187"/>
      <c r="H170" s="202"/>
      <c r="I170" s="9"/>
      <c r="J170" s="9"/>
      <c r="K170" s="9"/>
      <c r="L170" s="9"/>
      <c r="M170" s="9"/>
    </row>
    <row r="171" spans="2:14" ht="15.75" customHeight="1">
      <c r="B171" s="114" t="s">
        <v>4589</v>
      </c>
      <c r="C171" s="9">
        <v>272</v>
      </c>
      <c r="D171" s="9" t="s">
        <v>3574</v>
      </c>
      <c r="E171" s="9" t="str">
        <f>IF($B171 = "Mutant",VLOOKUP($C171,Mutants!$A$2:$L$560,12,FALSE),IF($B171 = "Test",VLOOKUP($C171,Tests!$A$2:$L$841,12,FALSE),VLOOKUP($C171,Questions!$A$3:$N$174,9,FALSE)))</f>
        <v>Y</v>
      </c>
      <c r="F171" s="187" t="str">
        <f>IF($B171 = "Mutant",VLOOKUP($C171,Mutants!$A$2:$L$560,11,FALSE),IF($B171 = "Test",VLOOKUP($C171,Tests!$A$2:$L$841,11,FALSE),VLOOKUP($C171,Questions!$A$3:$N$174,13,FALSE)))</f>
        <v xml:space="preserve">addOptionGroup
</v>
      </c>
      <c r="G171" s="187"/>
      <c r="H171" s="202"/>
      <c r="I171" s="9"/>
      <c r="J171" s="9"/>
      <c r="K171" s="9"/>
      <c r="L171" s="9"/>
      <c r="M171" s="9"/>
    </row>
    <row r="172" spans="2:14" ht="15.75" customHeight="1">
      <c r="B172" s="114" t="s">
        <v>4589</v>
      </c>
      <c r="C172" s="9">
        <v>284</v>
      </c>
      <c r="D172" s="9" t="s">
        <v>3608</v>
      </c>
      <c r="E172" s="9" t="str">
        <f>IF($B172 = "Mutant",VLOOKUP($C172,Mutants!$A$2:$L$560,12,FALSE),IF($B172 = "Test",VLOOKUP($C172,Tests!$A$2:$L$841,12,FALSE),VLOOKUP($C172,Questions!$A$3:$N$174,9,FALSE)))</f>
        <v>N</v>
      </c>
      <c r="F172" s="187" t="str">
        <f>IF($B172 = "Mutant",VLOOKUP($C172,Mutants!$A$2:$L$560,11,FALSE),IF($B172 = "Test",VLOOKUP($C172,Tests!$A$2:$L$841,11,FALSE),VLOOKUP($C172,Questions!$A$3:$N$174,13,FALSE)))</f>
        <v xml:space="preserve">
</v>
      </c>
      <c r="G172" s="187"/>
      <c r="H172" s="202"/>
      <c r="I172" s="9"/>
      <c r="J172" s="9"/>
      <c r="K172" s="9"/>
      <c r="L172" s="9"/>
      <c r="M172" s="9"/>
    </row>
    <row r="173" spans="2:14" ht="15.75" customHeight="1">
      <c r="B173" s="114" t="s">
        <v>4589</v>
      </c>
      <c r="C173" s="9">
        <v>288</v>
      </c>
      <c r="D173" s="9" t="s">
        <v>3619</v>
      </c>
      <c r="E173" s="9" t="str">
        <f>IF($B173 = "Mutant",VLOOKUP($C173,Mutants!$A$2:$L$560,12,FALSE),IF($B173 = "Test",VLOOKUP($C173,Tests!$A$2:$L$841,12,FALSE),VLOOKUP($C173,Questions!$A$3:$N$174,9,FALSE)))</f>
        <v>Y</v>
      </c>
      <c r="F173" s="187" t="str">
        <f>IF($B173 = "Mutant",VLOOKUP($C173,Mutants!$A$2:$L$560,11,FALSE),IF($B173 = "Test",VLOOKUP($C173,Tests!$A$2:$L$841,11,FALSE),VLOOKUP($C173,Questions!$A$3:$N$174,13,FALSE)))</f>
        <v xml:space="preserve">stripLeadingHyphens
</v>
      </c>
      <c r="G173" s="187"/>
      <c r="H173" s="202"/>
      <c r="I173" s="9"/>
      <c r="J173" s="9"/>
      <c r="K173" s="9"/>
      <c r="L173" s="9"/>
      <c r="M173" s="9"/>
    </row>
    <row r="174" spans="2:14" ht="15.75" customHeight="1">
      <c r="B174" s="114" t="s">
        <v>107</v>
      </c>
      <c r="C174" s="9">
        <v>58</v>
      </c>
      <c r="D174" s="9" t="s">
        <v>361</v>
      </c>
      <c r="E174" s="9" t="str">
        <f>IF($B174 = "Mutant",VLOOKUP($C174,Mutants!$A$2:$L$560,12,FALSE),IF($B174 = "Test",VLOOKUP($C174,Tests!$A$2:$L$841,12,FALSE),VLOOKUP($C174,Questions!$A$3:$N$174,9,FALSE)))</f>
        <v>Y</v>
      </c>
      <c r="F174" s="187" t="str">
        <f>IF($B174 = "Mutant",VLOOKUP($C174,Mutants!$A$2:$L$560,11,FALSE),IF($B174 = "Test",VLOOKUP($C174,Tests!$A$2:$L$841,11,FALSE),VLOOKUP($C174,Questions!$A$3:$N$174,13,FALSE)))</f>
        <v>addOptionGroup</v>
      </c>
      <c r="G174" s="187"/>
      <c r="H174" s="202"/>
      <c r="I174" s="9"/>
      <c r="J174" s="9"/>
      <c r="K174" s="9"/>
      <c r="L174" s="9"/>
      <c r="M174" s="9"/>
      <c r="N174" s="9"/>
    </row>
    <row r="175" spans="2:14" ht="15.75" customHeight="1">
      <c r="B175" s="114" t="s">
        <v>107</v>
      </c>
      <c r="C175" s="9">
        <v>64</v>
      </c>
      <c r="D175" s="9" t="s">
        <v>365</v>
      </c>
      <c r="E175" s="9" t="str">
        <f>IF($B175 = "Mutant",VLOOKUP($C175,Mutants!$A$2:$L$560,12,FALSE),IF($B175 = "Test",VLOOKUP($C175,Tests!$A$2:$L$841,12,FALSE),VLOOKUP($C175,Questions!$A$3:$N$174,9,FALSE)))</f>
        <v>Y</v>
      </c>
      <c r="F175" s="187" t="str">
        <f>IF($B175 = "Mutant",VLOOKUP($C175,Mutants!$A$2:$L$560,11,FALSE),IF($B175 = "Test",VLOOKUP($C175,Tests!$A$2:$L$841,11,FALSE),VLOOKUP($C175,Questions!$A$3:$N$174,13,FALSE)))</f>
        <v xml:space="preserve"> </v>
      </c>
      <c r="G175" s="187"/>
      <c r="H175" s="202"/>
      <c r="I175" s="9"/>
      <c r="J175" s="9"/>
      <c r="K175" s="9"/>
      <c r="L175" s="9"/>
      <c r="M175" s="9"/>
    </row>
    <row r="176" spans="2:14" ht="15.75" customHeight="1">
      <c r="B176" s="114" t="s">
        <v>4589</v>
      </c>
      <c r="C176" s="9">
        <v>312</v>
      </c>
      <c r="D176" s="9" t="s">
        <v>3681</v>
      </c>
      <c r="E176" s="9" t="str">
        <f>IF($B176 = "Mutant",VLOOKUP($C176,Mutants!$A$2:$L$560,12,FALSE),IF($B176 = "Test",VLOOKUP($C176,Tests!$A$2:$L$841,12,FALSE),VLOOKUP($C176,Questions!$A$3:$N$174,9,FALSE)))</f>
        <v>Y</v>
      </c>
      <c r="F176" s="187" t="str">
        <f>IF($B176 = "Mutant",VLOOKUP($C176,Mutants!$A$2:$L$560,11,FALSE),IF($B176 = "Test",VLOOKUP($C176,Tests!$A$2:$L$841,11,FALSE),VLOOKUP($C176,Questions!$A$3:$N$174,13,FALSE)))</f>
        <v xml:space="preserve">addOption
</v>
      </c>
      <c r="G176" s="187"/>
      <c r="H176" s="202"/>
      <c r="I176" s="9"/>
      <c r="J176" s="9"/>
      <c r="K176" s="9"/>
      <c r="L176" s="9"/>
      <c r="M176" s="9"/>
    </row>
    <row r="177" spans="2:13" ht="15.75" customHeight="1">
      <c r="B177" s="114" t="s">
        <v>4589</v>
      </c>
      <c r="C177" s="9">
        <v>342</v>
      </c>
      <c r="D177" s="9" t="s">
        <v>3761</v>
      </c>
      <c r="E177" s="9" t="str">
        <f>IF($B177 = "Mutant",VLOOKUP($C177,Mutants!$A$2:$L$560,12,FALSE),IF($B177 = "Test",VLOOKUP($C177,Tests!$A$2:$L$841,12,FALSE),VLOOKUP($C177,Questions!$A$3:$N$174,9,FALSE)))</f>
        <v>Y</v>
      </c>
      <c r="F177" s="187" t="str">
        <f>IF($B177 = "Mutant",VLOOKUP($C177,Mutants!$A$2:$L$560,11,FALSE),IF($B177 = "Test",VLOOKUP($C177,Tests!$A$2:$L$841,11,FALSE),VLOOKUP($C177,Questions!$A$3:$N$174,13,FALSE)))</f>
        <v xml:space="preserve">toString
</v>
      </c>
      <c r="G177" s="187"/>
      <c r="H177" s="202"/>
      <c r="I177" s="9"/>
      <c r="J177" s="9"/>
      <c r="K177" s="9"/>
      <c r="L177" s="9"/>
      <c r="M177" s="9"/>
    </row>
    <row r="178" spans="2:13" ht="15.75" customHeight="1">
      <c r="B178" s="114" t="s">
        <v>4589</v>
      </c>
      <c r="C178" s="9">
        <v>347</v>
      </c>
      <c r="D178" s="9" t="s">
        <v>1657</v>
      </c>
      <c r="E178" s="9" t="str">
        <f>IF($B178 = "Mutant",VLOOKUP($C178,Mutants!$A$2:$L$560,12,FALSE),IF($B178 = "Test",VLOOKUP($C178,Tests!$A$2:$L$841,12,FALSE),VLOOKUP($C178,Questions!$A$3:$N$174,9,FALSE)))</f>
        <v>Y</v>
      </c>
      <c r="F178" s="187" t="str">
        <f>IF($B178 = "Mutant",VLOOKUP($C178,Mutants!$A$2:$L$560,11,FALSE),IF($B178 = "Test",VLOOKUP($C178,Tests!$A$2:$L$841,11,FALSE),VLOOKUP($C178,Questions!$A$3:$N$174,13,FALSE)))</f>
        <v xml:space="preserve">addOption
</v>
      </c>
      <c r="G178" s="187"/>
      <c r="H178" s="202"/>
      <c r="I178" s="9"/>
      <c r="J178" s="9"/>
      <c r="K178" s="9"/>
      <c r="L178" s="9"/>
      <c r="M178" s="9"/>
    </row>
    <row r="179" spans="2:13" ht="15.75" customHeight="1">
      <c r="B179" s="114" t="s">
        <v>4589</v>
      </c>
      <c r="C179" s="9">
        <v>352</v>
      </c>
      <c r="D179" s="9" t="s">
        <v>3787</v>
      </c>
      <c r="E179" s="9" t="str">
        <f>IF($B179 = "Mutant",VLOOKUP($C179,Mutants!$A$2:$L$560,12,FALSE),IF($B179 = "Test",VLOOKUP($C179,Tests!$A$2:$L$841,12,FALSE),VLOOKUP($C179,Questions!$A$3:$N$174,9,FALSE)))</f>
        <v>Y</v>
      </c>
      <c r="F179" s="187" t="str">
        <f>IF($B179 = "Mutant",VLOOKUP($C179,Mutants!$A$2:$L$560,11,FALSE),IF($B179 = "Test",VLOOKUP($C179,Tests!$A$2:$L$841,11,FALSE),VLOOKUP($C179,Questions!$A$3:$N$174,13,FALSE)))</f>
        <v xml:space="preserve">hasOption
</v>
      </c>
      <c r="G179" s="187"/>
      <c r="H179" s="202"/>
      <c r="I179" s="9"/>
      <c r="J179" s="9"/>
      <c r="K179" s="9"/>
      <c r="L179" s="9"/>
      <c r="M179" s="9"/>
    </row>
    <row r="180" spans="2:13" ht="15.75" customHeight="1">
      <c r="B180" s="114" t="s">
        <v>4589</v>
      </c>
      <c r="C180" s="9">
        <v>353</v>
      </c>
      <c r="D180" s="9" t="s">
        <v>3790</v>
      </c>
      <c r="E180" s="9" t="str">
        <f>IF($B180 = "Mutant",VLOOKUP($C180,Mutants!$A$2:$L$560,12,FALSE),IF($B180 = "Test",VLOOKUP($C180,Tests!$A$2:$L$841,12,FALSE),VLOOKUP($C180,Questions!$A$3:$N$174,9,FALSE)))</f>
        <v>Y</v>
      </c>
      <c r="F180" s="187" t="str">
        <f>IF($B180 = "Mutant",VLOOKUP($C180,Mutants!$A$2:$L$560,11,FALSE),IF($B180 = "Test",VLOOKUP($C180,Tests!$A$2:$L$841,11,FALSE),VLOOKUP($C180,Questions!$A$3:$N$174,13,FALSE)))</f>
        <v xml:space="preserve">hasOption
</v>
      </c>
      <c r="G180" s="187"/>
      <c r="H180" s="202"/>
      <c r="I180" s="9"/>
      <c r="J180" s="9"/>
      <c r="K180" s="9"/>
      <c r="L180" s="9"/>
      <c r="M180" s="9"/>
    </row>
    <row r="181" spans="2:13" ht="15.75" customHeight="1">
      <c r="B181" s="133" t="s">
        <v>4589</v>
      </c>
      <c r="C181" s="130">
        <v>364</v>
      </c>
      <c r="D181" s="130" t="s">
        <v>3819</v>
      </c>
      <c r="E181" s="130" t="str">
        <f>IF($B181 = "Mutant",VLOOKUP($C181,Mutants!$A$2:$L$560,12,FALSE),IF($B181 = "Test",VLOOKUP($C181,Tests!$A$2:$L$841,12,FALSE),VLOOKUP($C181,Questions!$A$3:$N$174,9,FALSE)))</f>
        <v>Y</v>
      </c>
      <c r="F181" s="203" t="str">
        <f>IF($B181 = "Mutant",VLOOKUP($C181,Mutants!$A$2:$L$560,11,FALSE),IF($B181 = "Test",VLOOKUP($C181,Tests!$A$2:$L$841,11,FALSE),VLOOKUP($C181,Questions!$A$3:$N$174,13,FALSE)))</f>
        <v xml:space="preserve">getOption
</v>
      </c>
      <c r="G181" s="203"/>
      <c r="H181" s="204"/>
      <c r="I181" s="9"/>
      <c r="J181" s="9"/>
      <c r="K181" s="9"/>
      <c r="L181" s="9"/>
      <c r="M181" s="9"/>
    </row>
  </sheetData>
  <mergeCells count="133">
    <mergeCell ref="B12:C12"/>
    <mergeCell ref="B5:C5"/>
    <mergeCell ref="B6:C6"/>
    <mergeCell ref="B7:C7"/>
    <mergeCell ref="B8:C8"/>
    <mergeCell ref="B9:C9"/>
    <mergeCell ref="B163:C163"/>
    <mergeCell ref="B129:C129"/>
    <mergeCell ref="B97:C97"/>
    <mergeCell ref="B58:C58"/>
    <mergeCell ref="F59:H59"/>
    <mergeCell ref="F98:H98"/>
    <mergeCell ref="F130:H130"/>
    <mergeCell ref="F74:H74"/>
    <mergeCell ref="F75:H75"/>
    <mergeCell ref="F76:H76"/>
    <mergeCell ref="F77:H77"/>
    <mergeCell ref="F78:H78"/>
    <mergeCell ref="F79:H79"/>
    <mergeCell ref="F80:H80"/>
    <mergeCell ref="F81:H81"/>
    <mergeCell ref="F82:H82"/>
    <mergeCell ref="F83:H83"/>
    <mergeCell ref="F84:H84"/>
    <mergeCell ref="F85:H85"/>
    <mergeCell ref="F86:H86"/>
    <mergeCell ref="F87:H87"/>
    <mergeCell ref="F164:H164"/>
    <mergeCell ref="F60:H60"/>
    <mergeCell ref="F61:H61"/>
    <mergeCell ref="F62:H62"/>
    <mergeCell ref="F63:H63"/>
    <mergeCell ref="F64:H64"/>
    <mergeCell ref="F65:H65"/>
    <mergeCell ref="F66:H66"/>
    <mergeCell ref="F67:H67"/>
    <mergeCell ref="F68:H68"/>
    <mergeCell ref="F69:H69"/>
    <mergeCell ref="F70:H70"/>
    <mergeCell ref="F71:H71"/>
    <mergeCell ref="F72:H72"/>
    <mergeCell ref="F73:H73"/>
    <mergeCell ref="F93:H93"/>
    <mergeCell ref="F94:H94"/>
    <mergeCell ref="F95:H95"/>
    <mergeCell ref="F96:H96"/>
    <mergeCell ref="F97:H97"/>
    <mergeCell ref="F88:H88"/>
    <mergeCell ref="F89:H89"/>
    <mergeCell ref="F90:H90"/>
    <mergeCell ref="F91:H91"/>
    <mergeCell ref="F92:H92"/>
    <mergeCell ref="F104:H104"/>
    <mergeCell ref="F105:H105"/>
    <mergeCell ref="F106:H106"/>
    <mergeCell ref="F107:H107"/>
    <mergeCell ref="F108:H108"/>
    <mergeCell ref="F99:H99"/>
    <mergeCell ref="F100:H100"/>
    <mergeCell ref="F101:H101"/>
    <mergeCell ref="F102:H102"/>
    <mergeCell ref="F103:H103"/>
    <mergeCell ref="F114:H114"/>
    <mergeCell ref="F115:H115"/>
    <mergeCell ref="F116:H116"/>
    <mergeCell ref="F117:H117"/>
    <mergeCell ref="F118:H118"/>
    <mergeCell ref="F109:H109"/>
    <mergeCell ref="F110:H110"/>
    <mergeCell ref="F111:H111"/>
    <mergeCell ref="F112:H112"/>
    <mergeCell ref="F113:H113"/>
    <mergeCell ref="F124:H124"/>
    <mergeCell ref="F125:H125"/>
    <mergeCell ref="F126:H126"/>
    <mergeCell ref="F127:H127"/>
    <mergeCell ref="F128:H128"/>
    <mergeCell ref="F119:H119"/>
    <mergeCell ref="F120:H120"/>
    <mergeCell ref="F121:H121"/>
    <mergeCell ref="F122:H122"/>
    <mergeCell ref="F123:H123"/>
    <mergeCell ref="F135:H135"/>
    <mergeCell ref="F136:H136"/>
    <mergeCell ref="F137:H137"/>
    <mergeCell ref="F138:H138"/>
    <mergeCell ref="F139:H139"/>
    <mergeCell ref="F129:H129"/>
    <mergeCell ref="F131:H131"/>
    <mergeCell ref="F132:H132"/>
    <mergeCell ref="F133:H133"/>
    <mergeCell ref="F134:H134"/>
    <mergeCell ref="F145:H145"/>
    <mergeCell ref="F146:H146"/>
    <mergeCell ref="F147:H147"/>
    <mergeCell ref="F148:H148"/>
    <mergeCell ref="F149:H149"/>
    <mergeCell ref="F140:H140"/>
    <mergeCell ref="F141:H141"/>
    <mergeCell ref="F142:H142"/>
    <mergeCell ref="F143:H143"/>
    <mergeCell ref="F144:H144"/>
    <mergeCell ref="F155:H155"/>
    <mergeCell ref="F156:H156"/>
    <mergeCell ref="F157:H157"/>
    <mergeCell ref="F158:H158"/>
    <mergeCell ref="F159:H159"/>
    <mergeCell ref="F150:H150"/>
    <mergeCell ref="F151:H151"/>
    <mergeCell ref="F152:H152"/>
    <mergeCell ref="F153:H153"/>
    <mergeCell ref="F154:H154"/>
    <mergeCell ref="F166:H166"/>
    <mergeCell ref="F167:H167"/>
    <mergeCell ref="F168:H168"/>
    <mergeCell ref="F169:H169"/>
    <mergeCell ref="F170:H170"/>
    <mergeCell ref="F160:H160"/>
    <mergeCell ref="F161:H161"/>
    <mergeCell ref="F162:H162"/>
    <mergeCell ref="F163:H163"/>
    <mergeCell ref="F165:H165"/>
    <mergeCell ref="F181:H181"/>
    <mergeCell ref="F176:H176"/>
    <mergeCell ref="F177:H177"/>
    <mergeCell ref="F178:H178"/>
    <mergeCell ref="F179:H179"/>
    <mergeCell ref="F180:H180"/>
    <mergeCell ref="F171:H171"/>
    <mergeCell ref="F172:H172"/>
    <mergeCell ref="F173:H173"/>
    <mergeCell ref="F174:H174"/>
    <mergeCell ref="F175:H175"/>
  </mergeCells>
  <conditionalFormatting sqref="A58:B58">
    <cfRule type="cellIs" dxfId="368" priority="13" operator="equal">
      <formula>"NO_KILL"</formula>
    </cfRule>
    <cfRule type="cellIs" dxfId="367" priority="14" operator="equal">
      <formula>"KILL"</formula>
    </cfRule>
    <cfRule type="cellIs" dxfId="366" priority="15" operator="equal">
      <formula>"ERROR"</formula>
    </cfRule>
  </conditionalFormatting>
  <conditionalFormatting sqref="A97:B97">
    <cfRule type="cellIs" dxfId="365" priority="19" operator="equal">
      <formula>"NO_KILL"</formula>
    </cfRule>
    <cfRule type="cellIs" dxfId="364" priority="20" operator="equal">
      <formula>"KILL"</formula>
    </cfRule>
    <cfRule type="cellIs" dxfId="363" priority="21" operator="equal">
      <formula>"ERROR"</formula>
    </cfRule>
  </conditionalFormatting>
  <conditionalFormatting sqref="A129:B129">
    <cfRule type="cellIs" dxfId="362" priority="26" operator="equal">
      <formula>"KILL"</formula>
    </cfRule>
    <cfRule type="cellIs" dxfId="361" priority="27" operator="equal">
      <formula>"ERROR"</formula>
    </cfRule>
    <cfRule type="cellIs" dxfId="360" priority="25" operator="equal">
      <formula>"NO_KILL"</formula>
    </cfRule>
  </conditionalFormatting>
  <conditionalFormatting sqref="A163:B163">
    <cfRule type="cellIs" dxfId="359" priority="31" operator="equal">
      <formula>"NO_KILL"</formula>
    </cfRule>
    <cfRule type="cellIs" dxfId="358" priority="32" operator="equal">
      <formula>"KILL"</formula>
    </cfRule>
    <cfRule type="cellIs" dxfId="357" priority="33" operator="equal">
      <formula>"ERROR"</formula>
    </cfRule>
  </conditionalFormatting>
  <conditionalFormatting sqref="A59:F96">
    <cfRule type="cellIs" dxfId="356" priority="11" operator="equal">
      <formula>"KILL"</formula>
    </cfRule>
    <cfRule type="cellIs" dxfId="355" priority="10" operator="equal">
      <formula>"NO_KILL"</formula>
    </cfRule>
    <cfRule type="cellIs" dxfId="354" priority="12" operator="equal">
      <formula>"ERROR"</formula>
    </cfRule>
  </conditionalFormatting>
  <conditionalFormatting sqref="A98:F128">
    <cfRule type="cellIs" dxfId="353" priority="7" operator="equal">
      <formula>"NO_KILL"</formula>
    </cfRule>
    <cfRule type="cellIs" dxfId="352" priority="8" operator="equal">
      <formula>"KILL"</formula>
    </cfRule>
    <cfRule type="cellIs" dxfId="351" priority="9" operator="equal">
      <formula>"ERROR"</formula>
    </cfRule>
  </conditionalFormatting>
  <conditionalFormatting sqref="A130:F162">
    <cfRule type="cellIs" dxfId="350" priority="4" operator="equal">
      <formula>"NO_KILL"</formula>
    </cfRule>
    <cfRule type="cellIs" dxfId="349" priority="5" operator="equal">
      <formula>"KILL"</formula>
    </cfRule>
    <cfRule type="cellIs" dxfId="348" priority="6" operator="equal">
      <formula>"ERROR"</formula>
    </cfRule>
  </conditionalFormatting>
  <conditionalFormatting sqref="A164:F181">
    <cfRule type="cellIs" dxfId="347" priority="2" operator="equal">
      <formula>"KILL"</formula>
    </cfRule>
    <cfRule type="cellIs" dxfId="346" priority="3" operator="equal">
      <formula>"ERROR"</formula>
    </cfRule>
    <cfRule type="cellIs" dxfId="345" priority="1" operator="equal">
      <formula>"NO_KILL"</formula>
    </cfRule>
  </conditionalFormatting>
  <conditionalFormatting sqref="A1:Z4 A5:B9 D5:Z9 A10:Z57 D58:Z58 I59:Z181 D97:F97 D129:F129 D163:F163 A182:Z1123">
    <cfRule type="cellIs" dxfId="344" priority="37" operator="equal">
      <formula>"NO_KILL"</formula>
    </cfRule>
    <cfRule type="cellIs" dxfId="343" priority="38" operator="equal">
      <formula>"KILL"</formula>
    </cfRule>
    <cfRule type="cellIs" dxfId="342" priority="39" operator="equal">
      <formula>"ERROR"</formula>
    </cfRule>
  </conditionalFormatting>
  <conditionalFormatting sqref="B56:B1123">
    <cfRule type="cellIs" dxfId="341" priority="18" operator="equal">
      <formula>"Question"</formula>
    </cfRule>
    <cfRule type="cellIs" dxfId="340" priority="17" operator="equal">
      <formula>"Mutant"</formula>
    </cfRule>
    <cfRule type="cellIs" dxfId="339" priority="16" operator="equal">
      <formula>"Test"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B2:Y141"/>
  <sheetViews>
    <sheetView topLeftCell="A106" workbookViewId="0">
      <selection activeCell="E119" sqref="E119:H119"/>
    </sheetView>
  </sheetViews>
  <sheetFormatPr defaultColWidth="12.5703125" defaultRowHeight="15.75" customHeight="1"/>
  <cols>
    <col min="4" max="4" width="18.140625" bestFit="1" customWidth="1"/>
    <col min="14" max="14" width="13.42578125" customWidth="1"/>
  </cols>
  <sheetData>
    <row r="2" spans="2:25" ht="12.75">
      <c r="B2" s="29" t="s">
        <v>4</v>
      </c>
      <c r="C2" s="29" t="s">
        <v>45</v>
      </c>
      <c r="D2" s="29" t="s">
        <v>46</v>
      </c>
    </row>
    <row r="3" spans="2:25" ht="12.75">
      <c r="B3" s="29">
        <v>113</v>
      </c>
      <c r="C3" s="29" t="s">
        <v>59</v>
      </c>
      <c r="D3" s="127" t="s">
        <v>19</v>
      </c>
    </row>
    <row r="5" spans="2:25" ht="12.75">
      <c r="B5" s="30" t="s">
        <v>3</v>
      </c>
      <c r="C5" s="44" t="s">
        <v>1</v>
      </c>
      <c r="D5" s="44" t="s">
        <v>5</v>
      </c>
      <c r="E5" s="43" t="s">
        <v>6</v>
      </c>
      <c r="F5" s="43" t="s">
        <v>7</v>
      </c>
      <c r="G5" s="43" t="s">
        <v>8</v>
      </c>
      <c r="H5" s="44" t="s">
        <v>9</v>
      </c>
      <c r="I5" s="43" t="s">
        <v>10</v>
      </c>
      <c r="J5" s="43" t="s">
        <v>11</v>
      </c>
      <c r="K5" s="44" t="s">
        <v>12</v>
      </c>
      <c r="L5" s="43" t="s">
        <v>13</v>
      </c>
      <c r="M5" s="43" t="s">
        <v>14</v>
      </c>
      <c r="N5" s="61" t="s">
        <v>15</v>
      </c>
    </row>
    <row r="6" spans="2:25" ht="12.75">
      <c r="B6" s="46">
        <v>161</v>
      </c>
      <c r="C6" s="47" t="s">
        <v>23</v>
      </c>
      <c r="D6" s="47">
        <f ca="1">COUNTIF(Valid_questions!F$1:F1083, B6)</f>
        <v>0</v>
      </c>
      <c r="E6" s="40">
        <v>13</v>
      </c>
      <c r="F6" s="40">
        <v>0</v>
      </c>
      <c r="G6" s="40">
        <v>0</v>
      </c>
      <c r="H6" s="47">
        <v>13</v>
      </c>
      <c r="I6" s="40">
        <f>COUNTIFS(Tests!E$1:E1083,B6,Tests!D$1:D1083,"&lt;&gt;\N")</f>
        <v>5</v>
      </c>
      <c r="J6" s="40">
        <f>COUNTIFS(Tests!E$1:E1083,B6,Tests!D$1:D1083,"=\N")</f>
        <v>6</v>
      </c>
      <c r="K6" s="47">
        <v>0</v>
      </c>
      <c r="L6" s="40">
        <f>COUNTIFS(Mutants!E$1:E1083,B6,Mutants!D$1:D1083,"&lt;&gt;\N")</f>
        <v>6</v>
      </c>
      <c r="M6" s="40">
        <f>COUNTIFS(Mutants!E$1:E1083,B6,Mutants!D$1:D1083,"=\N")</f>
        <v>0</v>
      </c>
      <c r="N6" s="45">
        <v>4</v>
      </c>
    </row>
    <row r="7" spans="2:25" ht="12.75">
      <c r="B7" s="8">
        <v>162</v>
      </c>
      <c r="C7" s="10" t="s">
        <v>24</v>
      </c>
      <c r="D7" s="10">
        <f ca="1">COUNTIF(Valid_questions!F$1:F1083, B7)</f>
        <v>0</v>
      </c>
      <c r="E7" s="9">
        <v>1</v>
      </c>
      <c r="F7" s="9">
        <v>14</v>
      </c>
      <c r="G7" s="9">
        <v>0</v>
      </c>
      <c r="H7" s="10">
        <v>15</v>
      </c>
      <c r="I7" s="9">
        <f>COUNTIFS(Tests!E$1:E1083,B7,Tests!D$1:D1083,"&lt;&gt;\N")</f>
        <v>14</v>
      </c>
      <c r="J7" s="9">
        <f>COUNTIFS(Tests!E$1:E1083,B7,Tests!D$1:D1083,"=\N")</f>
        <v>7</v>
      </c>
      <c r="K7" s="10">
        <v>7</v>
      </c>
      <c r="L7" s="9">
        <f>COUNTIFS(Mutants!E$1:E1083,B7,Mutants!D$1:D1083,"&lt;&gt;\N")</f>
        <v>6</v>
      </c>
      <c r="M7" s="9">
        <f>COUNTIFS(Mutants!E$1:E1083,B7,Mutants!D$1:D1083,"=\N")</f>
        <v>0</v>
      </c>
      <c r="N7" s="14">
        <v>5</v>
      </c>
    </row>
    <row r="8" spans="2:25" ht="12.75">
      <c r="B8" s="8">
        <v>163</v>
      </c>
      <c r="C8" s="10" t="s">
        <v>22</v>
      </c>
      <c r="D8" s="10">
        <f ca="1">COUNTIF(Valid_questions!F$1:F1083, B8)</f>
        <v>0</v>
      </c>
      <c r="E8" s="9">
        <v>7</v>
      </c>
      <c r="F8" s="9">
        <v>0</v>
      </c>
      <c r="G8" s="9">
        <v>0</v>
      </c>
      <c r="H8" s="10">
        <v>7</v>
      </c>
      <c r="I8" s="9">
        <f>COUNTIFS(Tests!E$1:E1083,B8,Tests!D$1:D1083,"&lt;&gt;\N")</f>
        <v>16</v>
      </c>
      <c r="J8" s="9">
        <f>COUNTIFS(Tests!E$1:E1083,B8,Tests!D$1:D1083,"=\N")</f>
        <v>13</v>
      </c>
      <c r="K8" s="10">
        <v>1</v>
      </c>
      <c r="L8" s="9">
        <f>COUNTIFS(Mutants!E$1:E1083,B8,Mutants!D$1:D1083,"&lt;&gt;\N")</f>
        <v>1</v>
      </c>
      <c r="M8" s="9">
        <f>COUNTIFS(Mutants!E$1:E1083,B8,Mutants!D$1:D1083,"=\N")</f>
        <v>0</v>
      </c>
      <c r="N8" s="14">
        <v>1</v>
      </c>
    </row>
    <row r="9" spans="2:25" ht="12.75">
      <c r="B9" s="20">
        <v>164</v>
      </c>
      <c r="C9" s="22" t="s">
        <v>21</v>
      </c>
      <c r="D9" s="22">
        <f ca="1">COUNTIF(Valid_questions!F$1:F1083, B9)</f>
        <v>0</v>
      </c>
      <c r="E9" s="21">
        <v>3</v>
      </c>
      <c r="F9" s="21">
        <v>6</v>
      </c>
      <c r="G9" s="21">
        <v>0</v>
      </c>
      <c r="H9" s="22">
        <v>9</v>
      </c>
      <c r="I9" s="21">
        <f>COUNTIFS(Tests!E$1:E1083,B9,Tests!D$1:D1083,"&lt;&gt;\N")</f>
        <v>14</v>
      </c>
      <c r="J9" s="21">
        <f>COUNTIFS(Tests!E$1:E1083,B9,Tests!D$1:D1083,"=\N")</f>
        <v>7</v>
      </c>
      <c r="K9" s="22">
        <v>8</v>
      </c>
      <c r="L9" s="21">
        <f>COUNTIFS(Mutants!E$1:E1083,B9,Mutants!D$1:D1083,"&lt;&gt;\N")</f>
        <v>1</v>
      </c>
      <c r="M9" s="21">
        <f>COUNTIFS(Mutants!E$1:E1083,B9,Mutants!D$1:D1083,"=\N")</f>
        <v>0</v>
      </c>
      <c r="N9" s="38">
        <v>1</v>
      </c>
    </row>
    <row r="12" spans="2:25" ht="27" customHeight="1">
      <c r="B12" s="220" t="s">
        <v>4588</v>
      </c>
      <c r="C12" s="173"/>
    </row>
    <row r="14" spans="2:25" ht="12.75">
      <c r="C14" s="29" t="s">
        <v>4589</v>
      </c>
    </row>
    <row r="15" spans="2:25" ht="12.75">
      <c r="B15" s="29" t="s">
        <v>4590</v>
      </c>
      <c r="C15" s="29"/>
      <c r="D15" s="43">
        <v>119</v>
      </c>
      <c r="E15" s="43">
        <v>127</v>
      </c>
      <c r="F15" s="43">
        <v>138</v>
      </c>
      <c r="G15" s="43">
        <v>169</v>
      </c>
      <c r="H15" s="43">
        <v>180</v>
      </c>
      <c r="I15" s="43">
        <v>197</v>
      </c>
      <c r="J15" s="43">
        <v>202</v>
      </c>
      <c r="K15" s="43">
        <v>256</v>
      </c>
      <c r="L15" s="43">
        <v>266</v>
      </c>
      <c r="M15" s="43">
        <v>273</v>
      </c>
      <c r="N15" s="43">
        <v>283</v>
      </c>
      <c r="O15" s="43">
        <v>288</v>
      </c>
      <c r="P15" s="43">
        <v>295</v>
      </c>
      <c r="Q15" s="43">
        <v>309</v>
      </c>
      <c r="R15" s="43">
        <v>312</v>
      </c>
      <c r="S15" s="43">
        <v>332</v>
      </c>
      <c r="T15" s="43">
        <v>358</v>
      </c>
      <c r="U15" s="43">
        <v>376</v>
      </c>
      <c r="V15" s="43">
        <v>430</v>
      </c>
      <c r="W15" s="43">
        <v>435</v>
      </c>
      <c r="X15" s="43">
        <v>448</v>
      </c>
      <c r="Y15" s="61">
        <v>464</v>
      </c>
    </row>
    <row r="16" spans="2:25" ht="12.75">
      <c r="B16" s="9"/>
      <c r="C16" s="81">
        <v>123</v>
      </c>
      <c r="D16" s="9" t="s">
        <v>4591</v>
      </c>
      <c r="E16" s="9" t="s">
        <v>4591</v>
      </c>
      <c r="F16" s="9" t="s">
        <v>4591</v>
      </c>
      <c r="G16" s="9" t="s">
        <v>4591</v>
      </c>
      <c r="H16" s="9" t="s">
        <v>4591</v>
      </c>
      <c r="I16" s="9" t="s">
        <v>4591</v>
      </c>
      <c r="J16" s="9" t="s">
        <v>4591</v>
      </c>
      <c r="K16" s="9" t="s">
        <v>4591</v>
      </c>
      <c r="L16" s="9" t="s">
        <v>4591</v>
      </c>
      <c r="M16" s="9" t="s">
        <v>4591</v>
      </c>
      <c r="N16" s="9" t="s">
        <v>4591</v>
      </c>
      <c r="O16" s="9" t="s">
        <v>4591</v>
      </c>
      <c r="P16" s="9" t="s">
        <v>4591</v>
      </c>
      <c r="Q16" s="9" t="s">
        <v>4591</v>
      </c>
      <c r="R16" s="9" t="s">
        <v>4591</v>
      </c>
      <c r="S16" s="9" t="s">
        <v>4591</v>
      </c>
      <c r="T16" s="9" t="s">
        <v>4591</v>
      </c>
      <c r="U16" s="9" t="s">
        <v>4591</v>
      </c>
      <c r="V16" s="9" t="s">
        <v>4591</v>
      </c>
      <c r="W16" s="9" t="s">
        <v>4591</v>
      </c>
      <c r="X16" s="9" t="s">
        <v>4591</v>
      </c>
      <c r="Y16" s="14" t="s">
        <v>4591</v>
      </c>
    </row>
    <row r="17" spans="2:25" ht="12.75">
      <c r="B17" s="9"/>
      <c r="C17" s="81">
        <v>142</v>
      </c>
      <c r="D17" s="9" t="s">
        <v>4591</v>
      </c>
      <c r="E17" s="9" t="s">
        <v>4591</v>
      </c>
      <c r="F17" s="9" t="s">
        <v>4591</v>
      </c>
      <c r="G17" s="9" t="s">
        <v>4591</v>
      </c>
      <c r="H17" s="9" t="s">
        <v>4591</v>
      </c>
      <c r="I17" s="9" t="s">
        <v>4591</v>
      </c>
      <c r="J17" s="9" t="s">
        <v>4591</v>
      </c>
      <c r="K17" s="9" t="s">
        <v>4591</v>
      </c>
      <c r="L17" s="9" t="s">
        <v>4591</v>
      </c>
      <c r="M17" s="9" t="s">
        <v>4591</v>
      </c>
      <c r="N17" s="9" t="s">
        <v>4591</v>
      </c>
      <c r="O17" s="9" t="s">
        <v>4591</v>
      </c>
      <c r="P17" s="9" t="s">
        <v>4591</v>
      </c>
      <c r="Q17" s="9" t="s">
        <v>4591</v>
      </c>
      <c r="R17" s="9" t="s">
        <v>4591</v>
      </c>
      <c r="S17" s="9" t="s">
        <v>4591</v>
      </c>
      <c r="T17" s="9" t="s">
        <v>4591</v>
      </c>
      <c r="U17" s="9" t="s">
        <v>4591</v>
      </c>
      <c r="V17" s="9" t="s">
        <v>4591</v>
      </c>
      <c r="W17" s="9" t="s">
        <v>4591</v>
      </c>
      <c r="X17" s="9" t="s">
        <v>4591</v>
      </c>
      <c r="Y17" s="14" t="s">
        <v>4591</v>
      </c>
    </row>
    <row r="18" spans="2:25" ht="12.75">
      <c r="B18" s="9"/>
      <c r="C18" s="81">
        <v>154</v>
      </c>
      <c r="D18" s="9" t="s">
        <v>4591</v>
      </c>
      <c r="E18" s="9" t="s">
        <v>4591</v>
      </c>
      <c r="F18" s="9" t="s">
        <v>4591</v>
      </c>
      <c r="G18" s="9" t="s">
        <v>4591</v>
      </c>
      <c r="H18" s="9" t="s">
        <v>4591</v>
      </c>
      <c r="I18" s="9" t="s">
        <v>4591</v>
      </c>
      <c r="J18" s="9" t="s">
        <v>4591</v>
      </c>
      <c r="K18" s="9" t="s">
        <v>4591</v>
      </c>
      <c r="L18" s="9" t="s">
        <v>4591</v>
      </c>
      <c r="M18" s="9" t="s">
        <v>4591</v>
      </c>
      <c r="N18" s="9" t="s">
        <v>4591</v>
      </c>
      <c r="O18" s="9" t="s">
        <v>4591</v>
      </c>
      <c r="P18" s="9" t="s">
        <v>4591</v>
      </c>
      <c r="Q18" s="9" t="s">
        <v>4591</v>
      </c>
      <c r="R18" s="9" t="s">
        <v>4591</v>
      </c>
      <c r="S18" s="9" t="s">
        <v>4591</v>
      </c>
      <c r="T18" s="9" t="s">
        <v>4591</v>
      </c>
      <c r="U18" s="9" t="s">
        <v>4591</v>
      </c>
      <c r="V18" s="9" t="s">
        <v>4591</v>
      </c>
      <c r="W18" s="9" t="s">
        <v>4591</v>
      </c>
      <c r="X18" s="9" t="s">
        <v>4591</v>
      </c>
      <c r="Y18" s="14" t="s">
        <v>4591</v>
      </c>
    </row>
    <row r="19" spans="2:25" ht="12.75">
      <c r="B19" s="9"/>
      <c r="C19" s="81">
        <v>167</v>
      </c>
      <c r="D19" s="9" t="s">
        <v>4591</v>
      </c>
      <c r="E19" s="9" t="s">
        <v>4591</v>
      </c>
      <c r="F19" s="9" t="s">
        <v>4591</v>
      </c>
      <c r="G19" s="9" t="s">
        <v>4591</v>
      </c>
      <c r="H19" s="9" t="s">
        <v>4592</v>
      </c>
      <c r="I19" s="9" t="s">
        <v>4591</v>
      </c>
      <c r="J19" s="9" t="s">
        <v>4592</v>
      </c>
      <c r="K19" s="9" t="s">
        <v>4591</v>
      </c>
      <c r="L19" s="9" t="s">
        <v>4592</v>
      </c>
      <c r="M19" s="9" t="s">
        <v>4592</v>
      </c>
      <c r="N19" s="9" t="s">
        <v>4591</v>
      </c>
      <c r="O19" s="9" t="s">
        <v>4591</v>
      </c>
      <c r="P19" s="9" t="s">
        <v>4592</v>
      </c>
      <c r="Q19" s="9" t="s">
        <v>4591</v>
      </c>
      <c r="R19" s="9" t="s">
        <v>4592</v>
      </c>
      <c r="S19" s="9" t="s">
        <v>4592</v>
      </c>
      <c r="T19" s="9" t="s">
        <v>4591</v>
      </c>
      <c r="U19" s="9" t="s">
        <v>4591</v>
      </c>
      <c r="V19" s="9" t="s">
        <v>4592</v>
      </c>
      <c r="W19" s="9" t="s">
        <v>4592</v>
      </c>
      <c r="X19" s="9" t="s">
        <v>4593</v>
      </c>
      <c r="Y19" s="14" t="s">
        <v>4593</v>
      </c>
    </row>
    <row r="20" spans="2:25" ht="12.75">
      <c r="B20" s="9"/>
      <c r="C20" s="81">
        <v>174</v>
      </c>
      <c r="D20" s="9" t="s">
        <v>4592</v>
      </c>
      <c r="E20" s="9" t="s">
        <v>4592</v>
      </c>
      <c r="F20" s="9" t="s">
        <v>4592</v>
      </c>
      <c r="G20" s="9" t="s">
        <v>4592</v>
      </c>
      <c r="H20" s="9" t="s">
        <v>4591</v>
      </c>
      <c r="I20" s="9" t="s">
        <v>4591</v>
      </c>
      <c r="J20" s="9" t="s">
        <v>4591</v>
      </c>
      <c r="K20" s="9" t="s">
        <v>4591</v>
      </c>
      <c r="L20" s="9" t="s">
        <v>4592</v>
      </c>
      <c r="M20" s="9" t="s">
        <v>4592</v>
      </c>
      <c r="N20" s="9" t="s">
        <v>4592</v>
      </c>
      <c r="O20" s="9" t="s">
        <v>4592</v>
      </c>
      <c r="P20" s="9" t="s">
        <v>4591</v>
      </c>
      <c r="Q20" s="9" t="s">
        <v>4592</v>
      </c>
      <c r="R20" s="9" t="s">
        <v>4591</v>
      </c>
      <c r="S20" s="9" t="s">
        <v>4591</v>
      </c>
      <c r="T20" s="9" t="s">
        <v>4591</v>
      </c>
      <c r="U20" s="9" t="s">
        <v>4591</v>
      </c>
      <c r="V20" s="9" t="s">
        <v>4592</v>
      </c>
      <c r="W20" s="9" t="s">
        <v>4595</v>
      </c>
      <c r="X20" s="9" t="s">
        <v>4591</v>
      </c>
      <c r="Y20" s="14" t="s">
        <v>4591</v>
      </c>
    </row>
    <row r="21" spans="2:25" ht="12.75">
      <c r="B21" s="9"/>
      <c r="C21" s="81">
        <v>178</v>
      </c>
      <c r="D21" s="9" t="s">
        <v>4591</v>
      </c>
      <c r="E21" s="9" t="s">
        <v>4591</v>
      </c>
      <c r="F21" s="9" t="s">
        <v>4591</v>
      </c>
      <c r="G21" s="9" t="s">
        <v>4591</v>
      </c>
      <c r="H21" s="9" t="s">
        <v>4591</v>
      </c>
      <c r="I21" s="9" t="s">
        <v>4593</v>
      </c>
      <c r="J21" s="9" t="s">
        <v>4591</v>
      </c>
      <c r="K21" s="9" t="s">
        <v>4593</v>
      </c>
      <c r="L21" s="9" t="s">
        <v>4591</v>
      </c>
      <c r="M21" s="9" t="s">
        <v>4591</v>
      </c>
      <c r="N21" s="9" t="s">
        <v>4591</v>
      </c>
      <c r="O21" s="9" t="s">
        <v>4591</v>
      </c>
      <c r="P21" s="9" t="s">
        <v>4591</v>
      </c>
      <c r="Q21" s="9" t="s">
        <v>4591</v>
      </c>
      <c r="R21" s="9" t="s">
        <v>4591</v>
      </c>
      <c r="S21" s="9" t="s">
        <v>4591</v>
      </c>
      <c r="T21" s="9" t="s">
        <v>4591</v>
      </c>
      <c r="U21" s="9" t="s">
        <v>4591</v>
      </c>
      <c r="V21" s="9" t="s">
        <v>4591</v>
      </c>
      <c r="W21" s="9" t="s">
        <v>4591</v>
      </c>
      <c r="X21" s="9" t="s">
        <v>4593</v>
      </c>
      <c r="Y21" s="14" t="s">
        <v>4593</v>
      </c>
    </row>
    <row r="22" spans="2:25" ht="12.75">
      <c r="B22" s="9"/>
      <c r="C22" s="81">
        <v>196</v>
      </c>
      <c r="D22" s="9" t="s">
        <v>4591</v>
      </c>
      <c r="E22" s="9" t="s">
        <v>4592</v>
      </c>
      <c r="F22" s="9" t="s">
        <v>4591</v>
      </c>
      <c r="G22" s="9" t="s">
        <v>4591</v>
      </c>
      <c r="H22" s="9" t="s">
        <v>4591</v>
      </c>
      <c r="I22" s="9" t="s">
        <v>4593</v>
      </c>
      <c r="J22" s="9" t="s">
        <v>4591</v>
      </c>
      <c r="K22" s="9" t="s">
        <v>4593</v>
      </c>
      <c r="L22" s="9" t="s">
        <v>4591</v>
      </c>
      <c r="M22" s="9" t="s">
        <v>4591</v>
      </c>
      <c r="N22" s="9" t="s">
        <v>4591</v>
      </c>
      <c r="O22" s="9" t="s">
        <v>4591</v>
      </c>
      <c r="P22" s="9" t="s">
        <v>4591</v>
      </c>
      <c r="Q22" s="9" t="s">
        <v>4591</v>
      </c>
      <c r="R22" s="9" t="s">
        <v>4591</v>
      </c>
      <c r="S22" s="9" t="s">
        <v>4591</v>
      </c>
      <c r="T22" s="9" t="s">
        <v>4591</v>
      </c>
      <c r="U22" s="9" t="s">
        <v>4591</v>
      </c>
      <c r="V22" s="9" t="s">
        <v>4595</v>
      </c>
      <c r="W22" s="9" t="s">
        <v>4591</v>
      </c>
      <c r="X22" s="9" t="s">
        <v>4593</v>
      </c>
      <c r="Y22" s="14" t="s">
        <v>4593</v>
      </c>
    </row>
    <row r="23" spans="2:25" ht="12.75">
      <c r="B23" s="9"/>
      <c r="C23" s="81">
        <v>200</v>
      </c>
      <c r="D23" s="9" t="s">
        <v>4591</v>
      </c>
      <c r="E23" s="9" t="s">
        <v>4591</v>
      </c>
      <c r="F23" s="9" t="s">
        <v>4591</v>
      </c>
      <c r="G23" s="9" t="s">
        <v>4591</v>
      </c>
      <c r="H23" s="9" t="s">
        <v>4592</v>
      </c>
      <c r="I23" s="9" t="s">
        <v>4591</v>
      </c>
      <c r="J23" s="9" t="s">
        <v>4593</v>
      </c>
      <c r="K23" s="9" t="s">
        <v>4591</v>
      </c>
      <c r="L23" s="9" t="s">
        <v>4591</v>
      </c>
      <c r="M23" s="9" t="s">
        <v>4591</v>
      </c>
      <c r="N23" s="9" t="s">
        <v>4591</v>
      </c>
      <c r="O23" s="9" t="s">
        <v>4591</v>
      </c>
      <c r="P23" s="9" t="s">
        <v>4592</v>
      </c>
      <c r="Q23" s="9" t="s">
        <v>4591</v>
      </c>
      <c r="R23" s="9" t="s">
        <v>4593</v>
      </c>
      <c r="S23" s="9" t="s">
        <v>4593</v>
      </c>
      <c r="T23" s="9" t="s">
        <v>4592</v>
      </c>
      <c r="U23" s="9" t="s">
        <v>4591</v>
      </c>
      <c r="V23" s="9" t="s">
        <v>4591</v>
      </c>
      <c r="W23" s="9" t="s">
        <v>4591</v>
      </c>
      <c r="X23" s="9" t="s">
        <v>4591</v>
      </c>
      <c r="Y23" s="14" t="s">
        <v>4591</v>
      </c>
    </row>
    <row r="24" spans="2:25" ht="12.75">
      <c r="B24" s="9"/>
      <c r="C24" s="81">
        <v>206</v>
      </c>
      <c r="D24" s="9" t="s">
        <v>4592</v>
      </c>
      <c r="E24" s="9" t="s">
        <v>4592</v>
      </c>
      <c r="F24" s="9" t="s">
        <v>4592</v>
      </c>
      <c r="G24" s="9" t="s">
        <v>4592</v>
      </c>
      <c r="H24" s="9" t="s">
        <v>4591</v>
      </c>
      <c r="I24" s="9" t="s">
        <v>4591</v>
      </c>
      <c r="J24" s="9" t="s">
        <v>4591</v>
      </c>
      <c r="K24" s="9" t="s">
        <v>4591</v>
      </c>
      <c r="L24" s="9" t="s">
        <v>4592</v>
      </c>
      <c r="M24" s="9" t="s">
        <v>4592</v>
      </c>
      <c r="N24" s="9" t="s">
        <v>4592</v>
      </c>
      <c r="O24" s="9" t="s">
        <v>4592</v>
      </c>
      <c r="P24" s="9" t="s">
        <v>4591</v>
      </c>
      <c r="Q24" s="9" t="s">
        <v>4592</v>
      </c>
      <c r="R24" s="9" t="s">
        <v>4591</v>
      </c>
      <c r="S24" s="9" t="s">
        <v>4591</v>
      </c>
      <c r="T24" s="9" t="s">
        <v>4591</v>
      </c>
      <c r="U24" s="9" t="s">
        <v>4591</v>
      </c>
      <c r="V24" s="9" t="s">
        <v>4592</v>
      </c>
      <c r="W24" s="9" t="s">
        <v>4592</v>
      </c>
      <c r="X24" s="9" t="s">
        <v>4591</v>
      </c>
      <c r="Y24" s="14" t="s">
        <v>4591</v>
      </c>
    </row>
    <row r="25" spans="2:25" ht="12.75">
      <c r="B25" s="9"/>
      <c r="C25" s="81">
        <v>210</v>
      </c>
      <c r="D25" s="9" t="s">
        <v>4591</v>
      </c>
      <c r="E25" s="9" t="s">
        <v>4591</v>
      </c>
      <c r="F25" s="9" t="s">
        <v>4591</v>
      </c>
      <c r="G25" s="9" t="s">
        <v>4591</v>
      </c>
      <c r="H25" s="9" t="s">
        <v>4591</v>
      </c>
      <c r="I25" s="9" t="s">
        <v>4591</v>
      </c>
      <c r="J25" s="9" t="s">
        <v>4591</v>
      </c>
      <c r="K25" s="9" t="s">
        <v>4591</v>
      </c>
      <c r="L25" s="9" t="s">
        <v>4591</v>
      </c>
      <c r="M25" s="9" t="s">
        <v>4591</v>
      </c>
      <c r="N25" s="9" t="s">
        <v>4591</v>
      </c>
      <c r="O25" s="9" t="s">
        <v>4593</v>
      </c>
      <c r="P25" s="9" t="s">
        <v>4591</v>
      </c>
      <c r="Q25" s="9" t="s">
        <v>4591</v>
      </c>
      <c r="R25" s="9" t="s">
        <v>4591</v>
      </c>
      <c r="S25" s="9" t="s">
        <v>4591</v>
      </c>
      <c r="T25" s="9" t="s">
        <v>4591</v>
      </c>
      <c r="U25" s="9" t="s">
        <v>4591</v>
      </c>
      <c r="V25" s="9" t="s">
        <v>4591</v>
      </c>
      <c r="W25" s="9" t="s">
        <v>4591</v>
      </c>
      <c r="X25" s="9" t="s">
        <v>4591</v>
      </c>
      <c r="Y25" s="14" t="s">
        <v>4591</v>
      </c>
    </row>
    <row r="26" spans="2:25" ht="12.75">
      <c r="B26" s="9"/>
      <c r="C26" s="81">
        <v>218</v>
      </c>
      <c r="D26" s="9" t="s">
        <v>4591</v>
      </c>
      <c r="E26" s="9" t="s">
        <v>4591</v>
      </c>
      <c r="F26" s="9" t="s">
        <v>4592</v>
      </c>
      <c r="G26" s="9" t="s">
        <v>4591</v>
      </c>
      <c r="H26" s="9" t="s">
        <v>4591</v>
      </c>
      <c r="I26" s="9" t="s">
        <v>4591</v>
      </c>
      <c r="J26" s="9" t="s">
        <v>4591</v>
      </c>
      <c r="K26" s="9" t="s">
        <v>4591</v>
      </c>
      <c r="L26" s="9" t="s">
        <v>4593</v>
      </c>
      <c r="M26" s="9" t="s">
        <v>4592</v>
      </c>
      <c r="N26" s="9" t="s">
        <v>4591</v>
      </c>
      <c r="O26" s="9" t="s">
        <v>4591</v>
      </c>
      <c r="P26" s="9" t="s">
        <v>4591</v>
      </c>
      <c r="Q26" s="9" t="s">
        <v>4591</v>
      </c>
      <c r="R26" s="9" t="s">
        <v>4591</v>
      </c>
      <c r="S26" s="9" t="s">
        <v>4591</v>
      </c>
      <c r="T26" s="9" t="s">
        <v>4591</v>
      </c>
      <c r="U26" s="9" t="s">
        <v>4591</v>
      </c>
      <c r="V26" s="9" t="s">
        <v>4591</v>
      </c>
      <c r="W26" s="9" t="s">
        <v>4591</v>
      </c>
      <c r="X26" s="9" t="s">
        <v>4591</v>
      </c>
      <c r="Y26" s="14" t="s">
        <v>4591</v>
      </c>
    </row>
    <row r="27" spans="2:25" ht="12.75">
      <c r="B27" s="9"/>
      <c r="C27" s="81">
        <v>315</v>
      </c>
      <c r="D27" s="9" t="s">
        <v>4592</v>
      </c>
      <c r="E27" s="9" t="s">
        <v>4592</v>
      </c>
      <c r="F27" s="9" t="s">
        <v>4591</v>
      </c>
      <c r="G27" s="9" t="s">
        <v>4592</v>
      </c>
      <c r="H27" s="9" t="s">
        <v>4591</v>
      </c>
      <c r="I27" s="9" t="s">
        <v>4591</v>
      </c>
      <c r="J27" s="9" t="s">
        <v>4591</v>
      </c>
      <c r="K27" s="9" t="s">
        <v>4591</v>
      </c>
      <c r="L27" s="9" t="s">
        <v>4591</v>
      </c>
      <c r="M27" s="9" t="s">
        <v>4591</v>
      </c>
      <c r="N27" s="9" t="s">
        <v>4591</v>
      </c>
      <c r="O27" s="9" t="s">
        <v>4591</v>
      </c>
      <c r="P27" s="9" t="s">
        <v>4591</v>
      </c>
      <c r="Q27" s="9" t="s">
        <v>4591</v>
      </c>
      <c r="R27" s="9" t="s">
        <v>4591</v>
      </c>
      <c r="S27" s="9" t="s">
        <v>4591</v>
      </c>
      <c r="T27" s="9" t="s">
        <v>4591</v>
      </c>
      <c r="U27" s="9" t="s">
        <v>4591</v>
      </c>
      <c r="V27" s="9" t="s">
        <v>4595</v>
      </c>
      <c r="W27" s="9" t="s">
        <v>4595</v>
      </c>
      <c r="X27" s="9" t="s">
        <v>4591</v>
      </c>
      <c r="Y27" s="14" t="s">
        <v>4591</v>
      </c>
    </row>
    <row r="28" spans="2:25" ht="12.75">
      <c r="B28" s="9"/>
      <c r="C28" s="81">
        <v>324</v>
      </c>
      <c r="D28" s="9" t="s">
        <v>4591</v>
      </c>
      <c r="E28" s="9" t="s">
        <v>4591</v>
      </c>
      <c r="F28" s="9" t="s">
        <v>4591</v>
      </c>
      <c r="G28" s="9" t="s">
        <v>4591</v>
      </c>
      <c r="H28" s="9" t="s">
        <v>4591</v>
      </c>
      <c r="I28" s="9" t="s">
        <v>4591</v>
      </c>
      <c r="J28" s="9" t="s">
        <v>4591</v>
      </c>
      <c r="K28" s="9" t="s">
        <v>4591</v>
      </c>
      <c r="L28" s="9" t="s">
        <v>4591</v>
      </c>
      <c r="M28" s="9" t="s">
        <v>4591</v>
      </c>
      <c r="N28" s="9" t="s">
        <v>4593</v>
      </c>
      <c r="O28" s="9" t="s">
        <v>4591</v>
      </c>
      <c r="P28" s="9" t="s">
        <v>4591</v>
      </c>
      <c r="Q28" s="9" t="s">
        <v>4591</v>
      </c>
      <c r="R28" s="9" t="s">
        <v>4591</v>
      </c>
      <c r="S28" s="9" t="s">
        <v>4591</v>
      </c>
      <c r="T28" s="9" t="s">
        <v>4591</v>
      </c>
      <c r="U28" s="9" t="s">
        <v>4591</v>
      </c>
      <c r="V28" s="9" t="s">
        <v>4591</v>
      </c>
      <c r="W28" s="9" t="s">
        <v>4591</v>
      </c>
      <c r="X28" s="9" t="s">
        <v>4591</v>
      </c>
      <c r="Y28" s="14" t="s">
        <v>4591</v>
      </c>
    </row>
    <row r="29" spans="2:25" ht="12.75">
      <c r="B29" s="9"/>
      <c r="C29" s="82">
        <v>332</v>
      </c>
      <c r="D29" s="21" t="s">
        <v>4591</v>
      </c>
      <c r="E29" s="21" t="s">
        <v>4591</v>
      </c>
      <c r="F29" s="21" t="s">
        <v>4591</v>
      </c>
      <c r="G29" s="21" t="s">
        <v>4591</v>
      </c>
      <c r="H29" s="21" t="s">
        <v>4591</v>
      </c>
      <c r="I29" s="21" t="s">
        <v>4591</v>
      </c>
      <c r="J29" s="21" t="s">
        <v>4591</v>
      </c>
      <c r="K29" s="21" t="s">
        <v>4591</v>
      </c>
      <c r="L29" s="21" t="s">
        <v>4591</v>
      </c>
      <c r="M29" s="21" t="s">
        <v>4591</v>
      </c>
      <c r="N29" s="21" t="s">
        <v>4591</v>
      </c>
      <c r="O29" s="21" t="s">
        <v>4591</v>
      </c>
      <c r="P29" s="21" t="s">
        <v>4591</v>
      </c>
      <c r="Q29" s="21" t="s">
        <v>4591</v>
      </c>
      <c r="R29" s="21" t="s">
        <v>4591</v>
      </c>
      <c r="S29" s="21" t="s">
        <v>4591</v>
      </c>
      <c r="T29" s="21" t="s">
        <v>4591</v>
      </c>
      <c r="U29" s="21" t="s">
        <v>4591</v>
      </c>
      <c r="V29" s="21" t="s">
        <v>4591</v>
      </c>
      <c r="W29" s="21" t="s">
        <v>4591</v>
      </c>
      <c r="X29" s="21" t="s">
        <v>4591</v>
      </c>
      <c r="Y29" s="38" t="s">
        <v>4591</v>
      </c>
    </row>
    <row r="32" spans="2:25" ht="13.5" thickBot="1">
      <c r="B32" s="219" t="s">
        <v>4604</v>
      </c>
      <c r="C32" s="201"/>
      <c r="D32" s="45">
        <v>161</v>
      </c>
    </row>
    <row r="33" spans="2:8" ht="13.5" thickTop="1">
      <c r="B33" s="134" t="s">
        <v>4594</v>
      </c>
      <c r="C33" s="135" t="s">
        <v>44</v>
      </c>
      <c r="D33" s="135" t="s">
        <v>110</v>
      </c>
      <c r="E33" s="136" t="s">
        <v>2</v>
      </c>
      <c r="F33" s="229" t="s">
        <v>4612</v>
      </c>
      <c r="G33" s="229"/>
      <c r="H33" s="230"/>
    </row>
    <row r="34" spans="2:8" ht="12.75">
      <c r="B34" s="137" t="s">
        <v>4589</v>
      </c>
      <c r="C34" s="93">
        <v>123</v>
      </c>
      <c r="D34" s="93" t="s">
        <v>3155</v>
      </c>
      <c r="E34" s="93" t="str">
        <f>IF($B34 = "Mutant",VLOOKUP($C34,Mutants!$A$2:$L$560,12,FALSE),IF($B34 = "Test",VLOOKUP($C34,Tests!$A$2:$L$841,12,FALSE),VLOOKUP($C34,Questions!$A$3:$N$174,9,FALSE)))</f>
        <v>Y</v>
      </c>
      <c r="F34" s="205" t="str">
        <f>IF($B34 = "Mutant",VLOOKUP($C34,Mutants!$A$2:$L$560,11,FALSE),IF($B34 = "Test",VLOOKUP($C34,Tests!$A$2:$L$841,11,FALSE),VLOOKUP($C34,Questions!$A$3:$N$174,13,FALSE)))</f>
        <v xml:space="preserve">addOptionGroup
</v>
      </c>
      <c r="G34" s="205"/>
      <c r="H34" s="206"/>
    </row>
    <row r="35" spans="2:8" ht="12.75">
      <c r="B35" s="114" t="s">
        <v>4589</v>
      </c>
      <c r="C35" s="9">
        <v>142</v>
      </c>
      <c r="D35" s="9" t="s">
        <v>3212</v>
      </c>
      <c r="E35" s="9" t="str">
        <f>IF($B35 = "Mutant",VLOOKUP($C35,Mutants!$A$2:$L$560,12,FALSE),IF($B35 = "Test",VLOOKUP($C35,Tests!$A$2:$L$841,12,FALSE),VLOOKUP($C35,Questions!$A$3:$N$174,9,FALSE)))</f>
        <v>Y</v>
      </c>
      <c r="F35" s="187" t="str">
        <f>IF($B35 = "Mutant",VLOOKUP($C35,Mutants!$A$2:$L$560,11,FALSE),IF($B35 = "Test",VLOOKUP($C35,Tests!$A$2:$L$841,11,FALSE),VLOOKUP($C35,Questions!$A$3:$N$174,13,FALSE)))</f>
        <v xml:space="preserve">addOptionGroup
</v>
      </c>
      <c r="G35" s="187"/>
      <c r="H35" s="202"/>
    </row>
    <row r="36" spans="2:8" ht="12.75">
      <c r="B36" s="114" t="s">
        <v>4589</v>
      </c>
      <c r="C36" s="9">
        <v>178</v>
      </c>
      <c r="D36" s="9" t="s">
        <v>3316</v>
      </c>
      <c r="E36" s="9" t="str">
        <f>IF($B36 = "Mutant",VLOOKUP($C36,Mutants!$A$2:$L$560,12,FALSE),IF($B36 = "Test",VLOOKUP($C36,Tests!$A$2:$L$841,12,FALSE),VLOOKUP($C36,Questions!$A$3:$N$174,9,FALSE)))</f>
        <v>Y</v>
      </c>
      <c r="F36" s="187" t="str">
        <f>IF($B36 = "Mutant",VLOOKUP($C36,Mutants!$A$2:$L$560,11,FALSE),IF($B36 = "Test",VLOOKUP($C36,Tests!$A$2:$L$841,11,FALSE),VLOOKUP($C36,Questions!$A$3:$N$174,13,FALSE)))</f>
        <v xml:space="preserve">toString
</v>
      </c>
      <c r="G36" s="187"/>
      <c r="H36" s="202"/>
    </row>
    <row r="37" spans="2:8" ht="12.75">
      <c r="B37" s="114" t="s">
        <v>4589</v>
      </c>
      <c r="C37" s="9">
        <v>196</v>
      </c>
      <c r="D37" s="9" t="s">
        <v>3366</v>
      </c>
      <c r="E37" s="9" t="str">
        <f>IF($B37 = "Mutant",VLOOKUP($C37,Mutants!$A$2:$L$560,12,FALSE),IF($B37 = "Test",VLOOKUP($C37,Tests!$A$2:$L$841,12,FALSE),VLOOKUP($C37,Questions!$A$3:$N$174,9,FALSE)))</f>
        <v>Y</v>
      </c>
      <c r="F37" s="187" t="str">
        <f>IF($B37 = "Mutant",VLOOKUP($C37,Mutants!$A$2:$L$560,11,FALSE),IF($B37 = "Test",VLOOKUP($C37,Tests!$A$2:$L$841,11,FALSE),VLOOKUP($C37,Questions!$A$3:$N$174,13,FALSE)))</f>
        <v xml:space="preserve">toString, stripLeadingHyphens
</v>
      </c>
      <c r="G37" s="187"/>
      <c r="H37" s="202"/>
    </row>
    <row r="38" spans="2:8" ht="12.75">
      <c r="B38" s="114" t="s">
        <v>4589</v>
      </c>
      <c r="C38" s="9">
        <v>206</v>
      </c>
      <c r="D38" s="9" t="s">
        <v>3393</v>
      </c>
      <c r="E38" s="9" t="str">
        <f>IF($B38 = "Mutant",VLOOKUP($C38,Mutants!$A$2:$L$560,12,FALSE),IF($B38 = "Test",VLOOKUP($C38,Tests!$A$2:$L$841,12,FALSE),VLOOKUP($C38,Questions!$A$3:$N$174,9,FALSE)))</f>
        <v>Y</v>
      </c>
      <c r="F38" s="187" t="str">
        <f>IF($B38 = "Mutant",VLOOKUP($C38,Mutants!$A$2:$L$560,11,FALSE),IF($B38 = "Test",VLOOKUP($C38,Tests!$A$2:$L$841,11,FALSE),VLOOKUP($C38,Questions!$A$3:$N$174,13,FALSE)))</f>
        <v xml:space="preserve">stripLeadingHyphens
</v>
      </c>
      <c r="G38" s="187"/>
      <c r="H38" s="202"/>
    </row>
    <row r="39" spans="2:8" ht="12.75">
      <c r="B39" s="114" t="s">
        <v>4589</v>
      </c>
      <c r="C39" s="9">
        <v>218</v>
      </c>
      <c r="D39" s="9" t="s">
        <v>3428</v>
      </c>
      <c r="E39" s="9" t="str">
        <f>IF($B39 = "Mutant",VLOOKUP($C39,Mutants!$A$2:$L$560,12,FALSE),IF($B39 = "Test",VLOOKUP($C39,Tests!$A$2:$L$841,12,FALSE),VLOOKUP($C39,Questions!$A$3:$N$174,9,FALSE)))</f>
        <v>Y</v>
      </c>
      <c r="F39" s="187" t="str">
        <f>IF($B39 = "Mutant",VLOOKUP($C39,Mutants!$A$2:$L$560,11,FALSE),IF($B39 = "Test",VLOOKUP($C39,Tests!$A$2:$L$841,11,FALSE),VLOOKUP($C39,Questions!$A$3:$N$174,13,FALSE)))</f>
        <v xml:space="preserve">hasOption
</v>
      </c>
      <c r="G39" s="187"/>
      <c r="H39" s="202"/>
    </row>
    <row r="40" spans="2:8" ht="12.75">
      <c r="B40" s="114" t="s">
        <v>4590</v>
      </c>
      <c r="C40" s="9">
        <v>171</v>
      </c>
      <c r="D40" s="9" t="s">
        <v>118</v>
      </c>
      <c r="E40" s="9" t="str">
        <f>IF($B40 = "Mutant",VLOOKUP($C40,Mutants!$A$2:$L$560,12,FALSE),IF($B40 = "Test",VLOOKUP($C40,Tests!$A$2:$L$841,12,FALSE),VLOOKUP($C40,Questions!$A$3:$N$174,9,FALSE)))</f>
        <v>N</v>
      </c>
      <c r="F40" s="187" t="str">
        <f>IF($B40 = "Mutant",VLOOKUP($C40,Mutants!$A$2:$L$560,11,FALSE),IF($B40 = "Test",VLOOKUP($C40,Tests!$A$2:$L$841,11,FALSE),VLOOKUP($C40,Questions!$A$3:$N$174,13,FALSE)))</f>
        <v xml:space="preserve">
</v>
      </c>
      <c r="G40" s="187"/>
      <c r="H40" s="202"/>
    </row>
    <row r="41" spans="2:8" ht="12.75">
      <c r="B41" s="114" t="s">
        <v>4590</v>
      </c>
      <c r="C41" s="9">
        <v>172</v>
      </c>
      <c r="D41" s="9" t="s">
        <v>881</v>
      </c>
      <c r="E41" s="9" t="str">
        <f>IF($B41 = "Mutant",VLOOKUP($C41,Mutants!$A$2:$L$560,12,FALSE),IF($B41 = "Test",VLOOKUP($C41,Tests!$A$2:$L$841,12,FALSE),VLOOKUP($C41,Questions!$A$3:$N$174,9,FALSE)))</f>
        <v>N</v>
      </c>
      <c r="F41" s="187" t="str">
        <f>IF($B41 = "Mutant",VLOOKUP($C41,Mutants!$A$2:$L$560,11,FALSE),IF($B41 = "Test",VLOOKUP($C41,Tests!$A$2:$L$841,11,FALSE),VLOOKUP($C41,Questions!$A$3:$N$174,13,FALSE)))</f>
        <v xml:space="preserve">
</v>
      </c>
      <c r="G41" s="187"/>
      <c r="H41" s="202"/>
    </row>
    <row r="42" spans="2:8" ht="12.75">
      <c r="B42" s="114" t="s">
        <v>4590</v>
      </c>
      <c r="C42" s="9">
        <v>188</v>
      </c>
      <c r="D42" s="9" t="s">
        <v>920</v>
      </c>
      <c r="E42" s="9" t="str">
        <f>IF($B42 = "Mutant",VLOOKUP($C42,Mutants!$A$2:$L$560,12,FALSE),IF($B42 = "Test",VLOOKUP($C42,Tests!$A$2:$L$841,12,FALSE),VLOOKUP($C42,Questions!$A$3:$N$174,9,FALSE)))</f>
        <v>N</v>
      </c>
      <c r="F42" s="187" t="str">
        <f>IF($B42 = "Mutant",VLOOKUP($C42,Mutants!$A$2:$L$560,11,FALSE),IF($B42 = "Test",VLOOKUP($C42,Tests!$A$2:$L$841,11,FALSE),VLOOKUP($C42,Questions!$A$3:$N$174,13,FALSE)))</f>
        <v xml:space="preserve">
</v>
      </c>
      <c r="G42" s="187"/>
      <c r="H42" s="202"/>
    </row>
    <row r="43" spans="2:8" ht="12.75">
      <c r="B43" s="114" t="s">
        <v>4590</v>
      </c>
      <c r="C43" s="9">
        <v>213</v>
      </c>
      <c r="D43" s="9" t="s">
        <v>991</v>
      </c>
      <c r="E43" s="9" t="str">
        <f>IF($B43 = "Mutant",VLOOKUP($C43,Mutants!$A$2:$L$560,12,FALSE),IF($B43 = "Test",VLOOKUP($C43,Tests!$A$2:$L$841,12,FALSE),VLOOKUP($C43,Questions!$A$3:$N$174,9,FALSE)))</f>
        <v>N</v>
      </c>
      <c r="F43" s="187" t="str">
        <f>IF($B43 = "Mutant",VLOOKUP($C43,Mutants!$A$2:$L$560,11,FALSE),IF($B43 = "Test",VLOOKUP($C43,Tests!$A$2:$L$841,11,FALSE),VLOOKUP($C43,Questions!$A$3:$N$174,13,FALSE)))</f>
        <v xml:space="preserve">
</v>
      </c>
      <c r="G43" s="187"/>
      <c r="H43" s="202"/>
    </row>
    <row r="44" spans="2:8" ht="12.75">
      <c r="B44" s="114" t="s">
        <v>4590</v>
      </c>
      <c r="C44" s="9">
        <v>237</v>
      </c>
      <c r="D44" s="9" t="s">
        <v>1055</v>
      </c>
      <c r="E44" s="9" t="str">
        <f>IF($B44 = "Mutant",VLOOKUP($C44,Mutants!$A$2:$L$560,12,FALSE),IF($B44 = "Test",VLOOKUP($C44,Tests!$A$2:$L$841,12,FALSE),VLOOKUP($C44,Questions!$A$3:$N$174,9,FALSE)))</f>
        <v>N</v>
      </c>
      <c r="F44" s="187" t="str">
        <f>IF($B44 = "Mutant",VLOOKUP($C44,Mutants!$A$2:$L$560,11,FALSE),IF($B44 = "Test",VLOOKUP($C44,Tests!$A$2:$L$841,11,FALSE),VLOOKUP($C44,Questions!$A$3:$N$174,13,FALSE)))</f>
        <v xml:space="preserve">
</v>
      </c>
      <c r="G44" s="187"/>
      <c r="H44" s="202"/>
    </row>
    <row r="45" spans="2:8" ht="12.75">
      <c r="B45" s="114" t="s">
        <v>4590</v>
      </c>
      <c r="C45" s="9">
        <v>321</v>
      </c>
      <c r="D45" s="9" t="s">
        <v>292</v>
      </c>
      <c r="E45" s="9" t="str">
        <f>IF($B45 = "Mutant",VLOOKUP($C45,Mutants!$A$2:$L$560,12,FALSE),IF($B45 = "Test",VLOOKUP($C45,Tests!$A$2:$L$841,12,FALSE),VLOOKUP($C45,Questions!$A$3:$N$174,9,FALSE)))</f>
        <v>Y</v>
      </c>
      <c r="F45" s="187" t="str">
        <f>IF($B45 = "Mutant",VLOOKUP($C45,Mutants!$A$2:$L$560,11,FALSE),IF($B45 = "Test",VLOOKUP($C45,Tests!$A$2:$L$841,11,FALSE),VLOOKUP($C45,Questions!$A$3:$N$174,13,FALSE)))</f>
        <v xml:space="preserve">
</v>
      </c>
      <c r="G45" s="187"/>
      <c r="H45" s="202"/>
    </row>
    <row r="46" spans="2:8" ht="12.75">
      <c r="B46" s="114" t="s">
        <v>4590</v>
      </c>
      <c r="C46" s="9">
        <v>340</v>
      </c>
      <c r="D46" s="9" t="s">
        <v>1348</v>
      </c>
      <c r="E46" s="9" t="str">
        <f>IF($B46 = "Mutant",VLOOKUP($C46,Mutants!$A$2:$L$560,12,FALSE),IF($B46 = "Test",VLOOKUP($C46,Tests!$A$2:$L$841,12,FALSE),VLOOKUP($C46,Questions!$A$3:$N$174,9,FALSE)))</f>
        <v>Y</v>
      </c>
      <c r="F46" s="187" t="str">
        <f>IF($B46 = "Mutant",VLOOKUP($C46,Mutants!$A$2:$L$560,11,FALSE),IF($B46 = "Test",VLOOKUP($C46,Tests!$A$2:$L$841,11,FALSE),VLOOKUP($C46,Questions!$A$3:$N$174,13,FALSE)))</f>
        <v xml:space="preserve">
</v>
      </c>
      <c r="G46" s="187"/>
      <c r="H46" s="202"/>
    </row>
    <row r="47" spans="2:8" ht="12.75">
      <c r="B47" s="114" t="s">
        <v>4590</v>
      </c>
      <c r="C47" s="9">
        <v>362</v>
      </c>
      <c r="D47" s="9" t="s">
        <v>1407</v>
      </c>
      <c r="E47" s="9" t="str">
        <f>IF($B47 = "Mutant",VLOOKUP($C47,Mutants!$A$2:$L$560,12,FALSE),IF($B47 = "Test",VLOOKUP($C47,Tests!$A$2:$L$841,12,FALSE),VLOOKUP($C47,Questions!$A$3:$N$174,9,FALSE)))</f>
        <v>Y</v>
      </c>
      <c r="F47" s="187" t="str">
        <f>IF($B47 = "Mutant",VLOOKUP($C47,Mutants!$A$2:$L$560,11,FALSE),IF($B47 = "Test",VLOOKUP($C47,Tests!$A$2:$L$841,11,FALSE),VLOOKUP($C47,Questions!$A$3:$N$174,13,FALSE)))</f>
        <v xml:space="preserve">
</v>
      </c>
      <c r="G47" s="187"/>
      <c r="H47" s="202"/>
    </row>
    <row r="48" spans="2:8" ht="12.75">
      <c r="B48" s="114" t="s">
        <v>4590</v>
      </c>
      <c r="C48" s="9">
        <v>376</v>
      </c>
      <c r="D48" s="9" t="s">
        <v>1457</v>
      </c>
      <c r="E48" s="9" t="str">
        <f>IF($B48 = "Mutant",VLOOKUP($C48,Mutants!$A$2:$L$560,12,FALSE),IF($B48 = "Test",VLOOKUP($C48,Tests!$A$2:$L$841,12,FALSE),VLOOKUP($C48,Questions!$A$3:$N$174,9,FALSE)))</f>
        <v>Y</v>
      </c>
      <c r="F48" s="187" t="str">
        <f>IF($B48 = "Mutant",VLOOKUP($C48,Mutants!$A$2:$L$560,11,FALSE),IF($B48 = "Test",VLOOKUP($C48,Tests!$A$2:$L$841,11,FALSE),VLOOKUP($C48,Questions!$A$3:$N$174,13,FALSE)))</f>
        <v xml:space="preserve">
</v>
      </c>
      <c r="G48" s="187"/>
      <c r="H48" s="202"/>
    </row>
    <row r="49" spans="2:8" ht="12.75">
      <c r="B49" s="114" t="s">
        <v>4590</v>
      </c>
      <c r="C49" s="9">
        <v>458</v>
      </c>
      <c r="D49" s="9" t="s">
        <v>1708</v>
      </c>
      <c r="E49" s="9" t="str">
        <f>IF($B49 = "Mutant",VLOOKUP($C49,Mutants!$A$2:$L$560,12,FALSE),IF($B49 = "Test",VLOOKUP($C49,Tests!$A$2:$L$841,12,FALSE),VLOOKUP($C49,Questions!$A$3:$N$174,9,FALSE)))</f>
        <v>N</v>
      </c>
      <c r="F49" s="187" t="str">
        <f>IF($B49 = "Mutant",VLOOKUP($C49,Mutants!$A$2:$L$560,11,FALSE),IF($B49 = "Test",VLOOKUP($C49,Tests!$A$2:$L$841,11,FALSE),VLOOKUP($C49,Questions!$A$3:$N$174,13,FALSE)))</f>
        <v xml:space="preserve">
</v>
      </c>
      <c r="G49" s="187"/>
      <c r="H49" s="202"/>
    </row>
    <row r="50" spans="2:8" ht="12.75">
      <c r="B50" s="133" t="s">
        <v>4590</v>
      </c>
      <c r="C50" s="130">
        <v>462</v>
      </c>
      <c r="D50" s="130" t="s">
        <v>352</v>
      </c>
      <c r="E50" s="130" t="str">
        <f>IF($B50 = "Mutant",VLOOKUP($C50,Mutants!$A$2:$L$560,12,FALSE),IF($B50 = "Test",VLOOKUP($C50,Tests!$A$2:$L$841,12,FALSE),VLOOKUP($C50,Questions!$A$3:$N$174,9,FALSE)))</f>
        <v>Y</v>
      </c>
      <c r="F50" s="203" t="str">
        <f>IF($B50 = "Mutant",VLOOKUP($C50,Mutants!$A$2:$L$560,11,FALSE),IF($B50 = "Test",VLOOKUP($C50,Tests!$A$2:$L$841,11,FALSE),VLOOKUP($C50,Questions!$A$3:$N$174,13,FALSE)))</f>
        <v xml:space="preserve">
</v>
      </c>
      <c r="G50" s="203"/>
      <c r="H50" s="204"/>
    </row>
    <row r="51" spans="2:8" ht="15.75" customHeight="1">
      <c r="E51" s="9"/>
      <c r="F51" s="187"/>
      <c r="G51" s="187"/>
      <c r="H51" s="187"/>
    </row>
    <row r="52" spans="2:8" ht="15.75" customHeight="1">
      <c r="E52" s="9"/>
      <c r="F52" s="187"/>
      <c r="G52" s="187"/>
      <c r="H52" s="187"/>
    </row>
    <row r="53" spans="2:8" ht="13.5" thickBot="1">
      <c r="B53" s="219" t="s">
        <v>4604</v>
      </c>
      <c r="C53" s="201"/>
      <c r="D53" s="45">
        <v>162</v>
      </c>
      <c r="E53" s="9"/>
      <c r="F53" s="187"/>
      <c r="G53" s="187"/>
      <c r="H53" s="187"/>
    </row>
    <row r="54" spans="2:8" ht="13.5" thickTop="1">
      <c r="B54" s="134" t="s">
        <v>4594</v>
      </c>
      <c r="C54" s="135" t="s">
        <v>44</v>
      </c>
      <c r="D54" s="135" t="s">
        <v>110</v>
      </c>
      <c r="E54" s="136" t="s">
        <v>2</v>
      </c>
      <c r="F54" s="229" t="s">
        <v>4612</v>
      </c>
      <c r="G54" s="229"/>
      <c r="H54" s="230"/>
    </row>
    <row r="55" spans="2:8" ht="12.75">
      <c r="B55" s="137" t="s">
        <v>4589</v>
      </c>
      <c r="C55" s="93">
        <v>154</v>
      </c>
      <c r="D55" s="93" t="s">
        <v>3246</v>
      </c>
      <c r="E55" s="93" t="str">
        <f>IF($B55 = "Mutant",VLOOKUP($C55,Mutants!$A$2:$L$560,12,FALSE),IF($B55 = "Test",VLOOKUP($C55,Tests!$A$2:$L$841,12,FALSE),VLOOKUP($C55,Questions!$A$3:$N$174,9,FALSE)))</f>
        <v>Y</v>
      </c>
      <c r="F55" s="205" t="str">
        <f>IF($B55 = "Mutant",VLOOKUP($C55,Mutants!$A$2:$L$560,11,FALSE),IF($B55 = "Test",VLOOKUP($C55,Tests!$A$2:$L$841,11,FALSE),VLOOKUP($C55,Questions!$A$3:$N$174,13,FALSE)))</f>
        <v xml:space="preserve">addOptionGroup
</v>
      </c>
      <c r="G55" s="205"/>
      <c r="H55" s="206"/>
    </row>
    <row r="56" spans="2:8" ht="12.75">
      <c r="B56" s="114" t="s">
        <v>4589</v>
      </c>
      <c r="C56" s="9">
        <v>167</v>
      </c>
      <c r="D56" s="9" t="s">
        <v>3284</v>
      </c>
      <c r="E56" s="9" t="str">
        <f>IF($B56 = "Mutant",VLOOKUP($C56,Mutants!$A$2:$L$560,12,FALSE),IF($B56 = "Test",VLOOKUP($C56,Tests!$A$2:$L$841,12,FALSE),VLOOKUP($C56,Questions!$A$3:$N$174,9,FALSE)))</f>
        <v>Y</v>
      </c>
      <c r="F56" s="187" t="str">
        <f>IF($B56 = "Mutant",VLOOKUP($C56,Mutants!$A$2:$L$560,11,FALSE),IF($B56 = "Test",VLOOKUP($C56,Tests!$A$2:$L$841,11,FALSE),VLOOKUP($C56,Questions!$A$3:$N$174,13,FALSE)))</f>
        <v xml:space="preserve">addOption
</v>
      </c>
      <c r="G56" s="187"/>
      <c r="H56" s="202"/>
    </row>
    <row r="57" spans="2:8" ht="12.75">
      <c r="B57" s="114" t="s">
        <v>4589</v>
      </c>
      <c r="C57" s="9">
        <v>200</v>
      </c>
      <c r="D57" s="9" t="s">
        <v>3376</v>
      </c>
      <c r="E57" s="9" t="str">
        <f>IF($B57 = "Mutant",VLOOKUP($C57,Mutants!$A$2:$L$560,12,FALSE),IF($B57 = "Test",VLOOKUP($C57,Tests!$A$2:$L$841,12,FALSE),VLOOKUP($C57,Questions!$A$3:$N$174,9,FALSE)))</f>
        <v>Y</v>
      </c>
      <c r="F57" s="187" t="str">
        <f>IF($B57 = "Mutant",VLOOKUP($C57,Mutants!$A$2:$L$560,11,FALSE),IF($B57 = "Test",VLOOKUP($C57,Tests!$A$2:$L$841,11,FALSE),VLOOKUP($C57,Questions!$A$3:$N$174,13,FALSE)))</f>
        <v xml:space="preserve">getRequiredOptions
</v>
      </c>
      <c r="G57" s="187"/>
      <c r="H57" s="202"/>
    </row>
    <row r="58" spans="2:8" ht="12.75">
      <c r="B58" s="114" t="s">
        <v>4589</v>
      </c>
      <c r="C58" s="9">
        <v>210</v>
      </c>
      <c r="D58" s="9" t="s">
        <v>3404</v>
      </c>
      <c r="E58" s="9" t="str">
        <f>IF($B58 = "Mutant",VLOOKUP($C58,Mutants!$A$2:$L$560,12,FALSE),IF($B58 = "Test",VLOOKUP($C58,Tests!$A$2:$L$841,12,FALSE),VLOOKUP($C58,Questions!$A$3:$N$174,9,FALSE)))</f>
        <v>Y</v>
      </c>
      <c r="F58" s="187" t="str">
        <f>IF($B58 = "Mutant",VLOOKUP($C58,Mutants!$A$2:$L$560,11,FALSE),IF($B58 = "Test",VLOOKUP($C58,Tests!$A$2:$L$841,11,FALSE),VLOOKUP($C58,Questions!$A$3:$N$174,13,FALSE)))</f>
        <v xml:space="preserve">hasShortOption
</v>
      </c>
      <c r="G58" s="187"/>
      <c r="H58" s="202"/>
    </row>
    <row r="59" spans="2:8" ht="12.75">
      <c r="B59" s="114" t="s">
        <v>4590</v>
      </c>
      <c r="C59" s="9">
        <v>173</v>
      </c>
      <c r="D59" s="9" t="s">
        <v>883</v>
      </c>
      <c r="E59" s="9" t="str">
        <f>IF($B59 = "Mutant",VLOOKUP($C59,Mutants!$A$2:$L$560,12,FALSE),IF($B59 = "Test",VLOOKUP($C59,Tests!$A$2:$L$841,12,FALSE),VLOOKUP($C59,Questions!$A$3:$N$174,9,FALSE)))</f>
        <v>N</v>
      </c>
      <c r="F59" s="187" t="str">
        <f>IF($B59 = "Mutant",VLOOKUP($C59,Mutants!$A$2:$L$560,11,FALSE),IF($B59 = "Test",VLOOKUP($C59,Tests!$A$2:$L$841,11,FALSE),VLOOKUP($C59,Questions!$A$3:$N$174,13,FALSE)))</f>
        <v xml:space="preserve">
</v>
      </c>
      <c r="G59" s="187"/>
      <c r="H59" s="202"/>
    </row>
    <row r="60" spans="2:8" ht="12.75">
      <c r="B60" s="114" t="s">
        <v>4590</v>
      </c>
      <c r="C60" s="9">
        <v>176</v>
      </c>
      <c r="D60" s="9" t="s">
        <v>889</v>
      </c>
      <c r="E60" s="9" t="str">
        <f>IF($B60 = "Mutant",VLOOKUP($C60,Mutants!$A$2:$L$560,12,FALSE),IF($B60 = "Test",VLOOKUP($C60,Tests!$A$2:$L$841,12,FALSE),VLOOKUP($C60,Questions!$A$3:$N$174,9,FALSE)))</f>
        <v>N</v>
      </c>
      <c r="F60" s="187" t="str">
        <f>IF($B60 = "Mutant",VLOOKUP($C60,Mutants!$A$2:$L$560,11,FALSE),IF($B60 = "Test",VLOOKUP($C60,Tests!$A$2:$L$841,11,FALSE),VLOOKUP($C60,Questions!$A$3:$N$174,13,FALSE)))</f>
        <v xml:space="preserve">
</v>
      </c>
      <c r="G60" s="187"/>
      <c r="H60" s="202"/>
    </row>
    <row r="61" spans="2:8" ht="12.75">
      <c r="B61" s="114" t="s">
        <v>4590</v>
      </c>
      <c r="C61" s="9">
        <v>180</v>
      </c>
      <c r="D61" s="9" t="s">
        <v>897</v>
      </c>
      <c r="E61" s="9" t="str">
        <f>IF($B61 = "Mutant",VLOOKUP($C61,Mutants!$A$2:$L$560,12,FALSE),IF($B61 = "Test",VLOOKUP($C61,Tests!$A$2:$L$841,12,FALSE),VLOOKUP($C61,Questions!$A$3:$N$174,9,FALSE)))</f>
        <v>Y</v>
      </c>
      <c r="F61" s="187" t="str">
        <f>IF($B61 = "Mutant",VLOOKUP($C61,Mutants!$A$2:$L$560,11,FALSE),IF($B61 = "Test",VLOOKUP($C61,Tests!$A$2:$L$841,11,FALSE),VLOOKUP($C61,Questions!$A$3:$N$174,13,FALSE)))</f>
        <v xml:space="preserve">addOption, getRequiredOptions
</v>
      </c>
      <c r="G61" s="187"/>
      <c r="H61" s="202"/>
    </row>
    <row r="62" spans="2:8" ht="12.75">
      <c r="B62" s="114" t="s">
        <v>4590</v>
      </c>
      <c r="C62" s="9">
        <v>191</v>
      </c>
      <c r="D62" s="9" t="s">
        <v>926</v>
      </c>
      <c r="E62" s="9" t="str">
        <f>IF($B62 = "Mutant",VLOOKUP($C62,Mutants!$A$2:$L$560,12,FALSE),IF($B62 = "Test",VLOOKUP($C62,Tests!$A$2:$L$841,12,FALSE),VLOOKUP($C62,Questions!$A$3:$N$174,9,FALSE)))</f>
        <v>Y</v>
      </c>
      <c r="F62" s="187" t="str">
        <f>IF($B62 = "Mutant",VLOOKUP($C62,Mutants!$A$2:$L$560,11,FALSE),IF($B62 = "Test",VLOOKUP($C62,Tests!$A$2:$L$841,11,FALSE),VLOOKUP($C62,Questions!$A$3:$N$174,13,FALSE)))</f>
        <v xml:space="preserve">addOption, getRequiredOptions
</v>
      </c>
      <c r="G62" s="187"/>
      <c r="H62" s="202"/>
    </row>
    <row r="63" spans="2:8" ht="12.75">
      <c r="B63" s="114" t="s">
        <v>4590</v>
      </c>
      <c r="C63" s="9">
        <v>202</v>
      </c>
      <c r="D63" s="9" t="s">
        <v>959</v>
      </c>
      <c r="E63" s="9" t="str">
        <f>IF($B63 = "Mutant",VLOOKUP($C63,Mutants!$A$2:$L$560,12,FALSE),IF($B63 = "Test",VLOOKUP($C63,Tests!$A$2:$L$841,12,FALSE),VLOOKUP($C63,Questions!$A$3:$N$174,9,FALSE)))</f>
        <v>Y</v>
      </c>
      <c r="F63" s="187" t="str">
        <f>IF($B63 = "Mutant",VLOOKUP($C63,Mutants!$A$2:$L$560,11,FALSE),IF($B63 = "Test",VLOOKUP($C63,Tests!$A$2:$L$841,11,FALSE),VLOOKUP($C63,Questions!$A$3:$N$174,13,FALSE)))</f>
        <v xml:space="preserve">addOption, getRequiredOptions
</v>
      </c>
      <c r="G63" s="187"/>
      <c r="H63" s="202"/>
    </row>
    <row r="64" spans="2:8" ht="12.75">
      <c r="B64" s="114" t="s">
        <v>4590</v>
      </c>
      <c r="C64" s="9">
        <v>258</v>
      </c>
      <c r="D64" s="9" t="s">
        <v>1118</v>
      </c>
      <c r="E64" s="9" t="str">
        <f>IF($B64 = "Mutant",VLOOKUP($C64,Mutants!$A$2:$L$560,12,FALSE),IF($B64 = "Test",VLOOKUP($C64,Tests!$A$2:$L$841,12,FALSE),VLOOKUP($C64,Questions!$A$3:$N$174,9,FALSE)))</f>
        <v>N</v>
      </c>
      <c r="F64" s="187" t="str">
        <f>IF($B64 = "Mutant",VLOOKUP($C64,Mutants!$A$2:$L$560,11,FALSE),IF($B64 = "Test",VLOOKUP($C64,Tests!$A$2:$L$841,11,FALSE),VLOOKUP($C64,Questions!$A$3:$N$174,13,FALSE)))</f>
        <v xml:space="preserve">
</v>
      </c>
      <c r="G64" s="187"/>
      <c r="H64" s="202"/>
    </row>
    <row r="65" spans="2:8" ht="12.75">
      <c r="B65" s="114" t="s">
        <v>4590</v>
      </c>
      <c r="C65" s="9">
        <v>262</v>
      </c>
      <c r="D65" s="9" t="s">
        <v>1130</v>
      </c>
      <c r="E65" s="9" t="str">
        <f>IF($B65 = "Mutant",VLOOKUP($C65,Mutants!$A$2:$L$560,12,FALSE),IF($B65 = "Test",VLOOKUP($C65,Tests!$A$2:$L$841,12,FALSE),VLOOKUP($C65,Questions!$A$3:$N$174,9,FALSE)))</f>
        <v>N</v>
      </c>
      <c r="F65" s="187" t="str">
        <f>IF($B65 = "Mutant",VLOOKUP($C65,Mutants!$A$2:$L$560,11,FALSE),IF($B65 = "Test",VLOOKUP($C65,Tests!$A$2:$L$841,11,FALSE),VLOOKUP($C65,Questions!$A$3:$N$174,13,FALSE)))</f>
        <v xml:space="preserve">
</v>
      </c>
      <c r="G65" s="187"/>
      <c r="H65" s="202"/>
    </row>
    <row r="66" spans="2:8" ht="12.75">
      <c r="B66" s="114" t="s">
        <v>4590</v>
      </c>
      <c r="C66" s="9">
        <v>266</v>
      </c>
      <c r="D66" s="9" t="s">
        <v>1138</v>
      </c>
      <c r="E66" s="9" t="str">
        <f>IF($B66 = "Mutant",VLOOKUP($C66,Mutants!$A$2:$L$560,12,FALSE),IF($B66 = "Test",VLOOKUP($C66,Tests!$A$2:$L$841,12,FALSE),VLOOKUP($C66,Questions!$A$3:$N$174,9,FALSE)))</f>
        <v>Y</v>
      </c>
      <c r="F66" s="187" t="str">
        <f>IF($B66 = "Mutant",VLOOKUP($C66,Mutants!$A$2:$L$560,11,FALSE),IF($B66 = "Test",VLOOKUP($C66,Tests!$A$2:$L$841,11,FALSE),VLOOKUP($C66,Questions!$A$3:$N$174,13,FALSE)))</f>
        <v xml:space="preserve">addOption, hasOption, stripLeadingHyphens
</v>
      </c>
      <c r="G66" s="187"/>
      <c r="H66" s="202"/>
    </row>
    <row r="67" spans="2:8" ht="12.75">
      <c r="B67" s="114" t="s">
        <v>4590</v>
      </c>
      <c r="C67" s="9">
        <v>273</v>
      </c>
      <c r="D67" s="9" t="s">
        <v>1152</v>
      </c>
      <c r="E67" s="9" t="str">
        <f>IF($B67 = "Mutant",VLOOKUP($C67,Mutants!$A$2:$L$560,12,FALSE),IF($B67 = "Test",VLOOKUP($C67,Tests!$A$2:$L$841,12,FALSE),VLOOKUP($C67,Questions!$A$3:$N$174,9,FALSE)))</f>
        <v>Y</v>
      </c>
      <c r="F67" s="187" t="str">
        <f>IF($B67 = "Mutant",VLOOKUP($C67,Mutants!$A$2:$L$560,11,FALSE),IF($B67 = "Test",VLOOKUP($C67,Tests!$A$2:$L$841,11,FALSE),VLOOKUP($C67,Questions!$A$3:$N$174,13,FALSE)))</f>
        <v xml:space="preserve">addOption, hasOption, stripLeadingHyphens
</v>
      </c>
      <c r="G67" s="187"/>
      <c r="H67" s="202"/>
    </row>
    <row r="68" spans="2:8" ht="12.75">
      <c r="B68" s="114" t="s">
        <v>4590</v>
      </c>
      <c r="C68" s="9">
        <v>285</v>
      </c>
      <c r="D68" s="9" t="s">
        <v>1189</v>
      </c>
      <c r="E68" s="9" t="str">
        <f>IF($B68 = "Mutant",VLOOKUP($C68,Mutants!$A$2:$L$560,12,FALSE),IF($B68 = "Test",VLOOKUP($C68,Tests!$A$2:$L$841,12,FALSE),VLOOKUP($C68,Questions!$A$3:$N$174,9,FALSE)))</f>
        <v>N</v>
      </c>
      <c r="F68" s="187" t="str">
        <f>IF($B68 = "Mutant",VLOOKUP($C68,Mutants!$A$2:$L$560,11,FALSE),IF($B68 = "Test",VLOOKUP($C68,Tests!$A$2:$L$841,11,FALSE),VLOOKUP($C68,Questions!$A$3:$N$174,13,FALSE)))</f>
        <v xml:space="preserve">
</v>
      </c>
      <c r="G68" s="187"/>
      <c r="H68" s="202"/>
    </row>
    <row r="69" spans="2:8" ht="12.75">
      <c r="B69" s="114" t="s">
        <v>4590</v>
      </c>
      <c r="C69" s="9">
        <v>290</v>
      </c>
      <c r="D69" s="9" t="s">
        <v>1205</v>
      </c>
      <c r="E69" s="9" t="str">
        <f>IF($B69 = "Mutant",VLOOKUP($C69,Mutants!$A$2:$L$560,12,FALSE),IF($B69 = "Test",VLOOKUP($C69,Tests!$A$2:$L$841,12,FALSE),VLOOKUP($C69,Questions!$A$3:$N$174,9,FALSE)))</f>
        <v>N</v>
      </c>
      <c r="F69" s="187" t="str">
        <f>IF($B69 = "Mutant",VLOOKUP($C69,Mutants!$A$2:$L$560,11,FALSE),IF($B69 = "Test",VLOOKUP($C69,Tests!$A$2:$L$841,11,FALSE),VLOOKUP($C69,Questions!$A$3:$N$174,13,FALSE)))</f>
        <v xml:space="preserve">
</v>
      </c>
      <c r="G69" s="187"/>
      <c r="H69" s="202"/>
    </row>
    <row r="70" spans="2:8" ht="12.75">
      <c r="B70" s="114" t="s">
        <v>4590</v>
      </c>
      <c r="C70" s="9">
        <v>295</v>
      </c>
      <c r="D70" s="9" t="s">
        <v>1224</v>
      </c>
      <c r="E70" s="9" t="str">
        <f>IF($B70 = "Mutant",VLOOKUP($C70,Mutants!$A$2:$L$560,12,FALSE),IF($B70 = "Test",VLOOKUP($C70,Tests!$A$2:$L$841,12,FALSE),VLOOKUP($C70,Questions!$A$3:$N$174,9,FALSE)))</f>
        <v>Y</v>
      </c>
      <c r="F70" s="187" t="str">
        <f>IF($B70 = "Mutant",VLOOKUP($C70,Mutants!$A$2:$L$560,11,FALSE),IF($B70 = "Test",VLOOKUP($C70,Tests!$A$2:$L$841,11,FALSE),VLOOKUP($C70,Questions!$A$3:$N$174,13,FALSE)))</f>
        <v xml:space="preserve">addOption, getRequiredOptions
</v>
      </c>
      <c r="G70" s="187"/>
      <c r="H70" s="202"/>
    </row>
    <row r="71" spans="2:8" ht="12.75">
      <c r="B71" s="114" t="s">
        <v>4590</v>
      </c>
      <c r="C71" s="9">
        <v>312</v>
      </c>
      <c r="D71" s="9" t="s">
        <v>1277</v>
      </c>
      <c r="E71" s="9" t="str">
        <f>IF($B71 = "Mutant",VLOOKUP($C71,Mutants!$A$2:$L$560,12,FALSE),IF($B71 = "Test",VLOOKUP($C71,Tests!$A$2:$L$841,12,FALSE),VLOOKUP($C71,Questions!$A$3:$N$174,9,FALSE)))</f>
        <v>Y</v>
      </c>
      <c r="F71" s="187" t="str">
        <f>IF($B71 = "Mutant",VLOOKUP($C71,Mutants!$A$2:$L$560,11,FALSE),IF($B71 = "Test",VLOOKUP($C71,Tests!$A$2:$L$841,11,FALSE),VLOOKUP($C71,Questions!$A$3:$N$174,13,FALSE)))</f>
        <v xml:space="preserve">addOption, getRequiredOptions
</v>
      </c>
      <c r="G71" s="187"/>
      <c r="H71" s="202"/>
    </row>
    <row r="72" spans="2:8" ht="12.75">
      <c r="B72" s="114" t="s">
        <v>4590</v>
      </c>
      <c r="C72" s="9">
        <v>322</v>
      </c>
      <c r="D72" s="9" t="s">
        <v>1300</v>
      </c>
      <c r="E72" s="9" t="str">
        <f>IF($B72 = "Mutant",VLOOKUP($C72,Mutants!$A$2:$L$560,12,FALSE),IF($B72 = "Test",VLOOKUP($C72,Tests!$A$2:$L$841,12,FALSE),VLOOKUP($C72,Questions!$A$3:$N$174,9,FALSE)))</f>
        <v>Y</v>
      </c>
      <c r="F72" s="187" t="str">
        <f>IF($B72 = "Mutant",VLOOKUP($C72,Mutants!$A$2:$L$560,11,FALSE),IF($B72 = "Test",VLOOKUP($C72,Tests!$A$2:$L$841,11,FALSE),VLOOKUP($C72,Questions!$A$3:$N$174,13,FALSE)))</f>
        <v xml:space="preserve">addOption, getRequiredOptions
</v>
      </c>
      <c r="G72" s="187"/>
      <c r="H72" s="202"/>
    </row>
    <row r="73" spans="2:8" ht="12.75">
      <c r="B73" s="114" t="s">
        <v>4590</v>
      </c>
      <c r="C73" s="9">
        <v>332</v>
      </c>
      <c r="D73" s="9" t="s">
        <v>1330</v>
      </c>
      <c r="E73" s="9" t="str">
        <f>IF($B73 = "Mutant",VLOOKUP($C73,Mutants!$A$2:$L$560,12,FALSE),IF($B73 = "Test",VLOOKUP($C73,Tests!$A$2:$L$841,12,FALSE),VLOOKUP($C73,Questions!$A$3:$N$174,9,FALSE)))</f>
        <v>Y</v>
      </c>
      <c r="F73" s="187" t="str">
        <f>IF($B73 = "Mutant",VLOOKUP($C73,Mutants!$A$2:$L$560,11,FALSE),IF($B73 = "Test",VLOOKUP($C73,Tests!$A$2:$L$841,11,FALSE),VLOOKUP($C73,Questions!$A$3:$N$174,13,FALSE)))</f>
        <v xml:space="preserve">addOption, getRequiredOptions
</v>
      </c>
      <c r="G73" s="187"/>
      <c r="H73" s="202"/>
    </row>
    <row r="74" spans="2:8" ht="12.75">
      <c r="B74" s="114" t="s">
        <v>4589</v>
      </c>
      <c r="C74" s="9">
        <v>324</v>
      </c>
      <c r="D74" s="9" t="s">
        <v>3714</v>
      </c>
      <c r="E74" s="9" t="str">
        <f>IF($B74 = "Mutant",VLOOKUP($C74,Mutants!$A$2:$L$560,12,FALSE),IF($B74 = "Test",VLOOKUP($C74,Tests!$A$2:$L$841,12,FALSE),VLOOKUP($C74,Questions!$A$3:$N$174,9,FALSE)))</f>
        <v>Y</v>
      </c>
      <c r="F74" s="187" t="str">
        <f>IF($B74 = "Mutant",VLOOKUP($C74,Mutants!$A$2:$L$560,11,FALSE),IF($B74 = "Test",VLOOKUP($C74,Tests!$A$2:$L$841,11,FALSE),VLOOKUP($C74,Questions!$A$3:$N$174,13,FALSE)))</f>
        <v xml:space="preserve">hasLongOption
</v>
      </c>
      <c r="G74" s="187"/>
      <c r="H74" s="202"/>
    </row>
    <row r="75" spans="2:8" ht="12.75">
      <c r="B75" s="114" t="s">
        <v>4589</v>
      </c>
      <c r="C75" s="9">
        <v>332</v>
      </c>
      <c r="D75" s="9" t="s">
        <v>3736</v>
      </c>
      <c r="E75" s="9" t="str">
        <f>IF($B75 = "Mutant",VLOOKUP($C75,Mutants!$A$2:$L$560,12,FALSE),IF($B75 = "Test",VLOOKUP($C75,Tests!$A$2:$L$841,12,FALSE),VLOOKUP($C75,Questions!$A$3:$N$174,9,FALSE)))</f>
        <v>Y</v>
      </c>
      <c r="F75" s="187" t="str">
        <f>IF($B75 = "Mutant",VLOOKUP($C75,Mutants!$A$2:$L$560,11,FALSE),IF($B75 = "Test",VLOOKUP($C75,Tests!$A$2:$L$841,11,FALSE),VLOOKUP($C75,Questions!$A$3:$N$174,13,FALSE)))</f>
        <v xml:space="preserve">getMatchingOptions
</v>
      </c>
      <c r="G75" s="187"/>
      <c r="H75" s="202"/>
    </row>
    <row r="76" spans="2:8" ht="12.75">
      <c r="B76" s="114" t="s">
        <v>4590</v>
      </c>
      <c r="C76" s="9">
        <v>414</v>
      </c>
      <c r="D76" s="9" t="s">
        <v>1571</v>
      </c>
      <c r="E76" s="9" t="str">
        <f>IF($B76 = "Mutant",VLOOKUP($C76,Mutants!$A$2:$L$560,12,FALSE),IF($B76 = "Test",VLOOKUP($C76,Tests!$A$2:$L$841,12,FALSE),VLOOKUP($C76,Questions!$A$3:$N$174,9,FALSE)))</f>
        <v>N</v>
      </c>
      <c r="F76" s="187" t="str">
        <f>IF($B76 = "Mutant",VLOOKUP($C76,Mutants!$A$2:$L$560,11,FALSE),IF($B76 = "Test",VLOOKUP($C76,Tests!$A$2:$L$841,11,FALSE),VLOOKUP($C76,Questions!$A$3:$N$174,13,FALSE)))</f>
        <v xml:space="preserve">
</v>
      </c>
      <c r="G76" s="187"/>
      <c r="H76" s="202"/>
    </row>
    <row r="77" spans="2:8" ht="12.75">
      <c r="B77" s="114" t="s">
        <v>4590</v>
      </c>
      <c r="C77" s="9">
        <v>422</v>
      </c>
      <c r="D77" s="9" t="s">
        <v>1599</v>
      </c>
      <c r="E77" s="9" t="str">
        <f>IF($B77 = "Mutant",VLOOKUP($C77,Mutants!$A$2:$L$560,12,FALSE),IF($B77 = "Test",VLOOKUP($C77,Tests!$A$2:$L$841,12,FALSE),VLOOKUP($C77,Questions!$A$3:$N$174,9,FALSE)))</f>
        <v>Y</v>
      </c>
      <c r="F77" s="187" t="str">
        <f>IF($B77 = "Mutant",VLOOKUP($C77,Mutants!$A$2:$L$560,11,FALSE),IF($B77 = "Test",VLOOKUP($C77,Tests!$A$2:$L$841,11,FALSE),VLOOKUP($C77,Questions!$A$3:$N$174,13,FALSE)))</f>
        <v xml:space="preserve">addOption, getOption, stripLeadingHyphens
</v>
      </c>
      <c r="G77" s="187"/>
      <c r="H77" s="202"/>
    </row>
    <row r="78" spans="2:8" ht="12.75">
      <c r="B78" s="114" t="s">
        <v>4590</v>
      </c>
      <c r="C78" s="9">
        <v>430</v>
      </c>
      <c r="D78" s="9" t="s">
        <v>1625</v>
      </c>
      <c r="E78" s="9" t="str">
        <f>IF($B78 = "Mutant",VLOOKUP($C78,Mutants!$A$2:$L$560,12,FALSE),IF($B78 = "Test",VLOOKUP($C78,Tests!$A$2:$L$841,12,FALSE),VLOOKUP($C78,Questions!$A$3:$N$174,9,FALSE)))</f>
        <v>Y</v>
      </c>
      <c r="F78" s="187" t="str">
        <f>IF($B78 = "Mutant",VLOOKUP($C78,Mutants!$A$2:$L$560,11,FALSE),IF($B78 = "Test",VLOOKUP($C78,Tests!$A$2:$L$841,11,FALSE),VLOOKUP($C78,Questions!$A$3:$N$174,13,FALSE)))</f>
        <v xml:space="preserve">addOption, getOption, stripLeadingHyphens
</v>
      </c>
      <c r="G78" s="187"/>
      <c r="H78" s="202"/>
    </row>
    <row r="79" spans="2:8" ht="12.75">
      <c r="B79" s="114" t="s">
        <v>4590</v>
      </c>
      <c r="C79" s="9">
        <v>435</v>
      </c>
      <c r="D79" s="9" t="s">
        <v>1641</v>
      </c>
      <c r="E79" s="9" t="str">
        <f>IF($B79 = "Mutant",VLOOKUP($C79,Mutants!$A$2:$L$560,12,FALSE),IF($B79 = "Test",VLOOKUP($C79,Tests!$A$2:$L$841,12,FALSE),VLOOKUP($C79,Questions!$A$3:$N$174,9,FALSE)))</f>
        <v>Y</v>
      </c>
      <c r="F79" s="187" t="str">
        <f>IF($B79 = "Mutant",VLOOKUP($C79,Mutants!$A$2:$L$560,11,FALSE),IF($B79 = "Test",VLOOKUP($C79,Tests!$A$2:$L$841,11,FALSE),VLOOKUP($C79,Questions!$A$3:$N$174,13,FALSE)))</f>
        <v xml:space="preserve">addOption, getOption, stripLeadingHyphens
</v>
      </c>
      <c r="G79" s="187"/>
      <c r="H79" s="202"/>
    </row>
    <row r="80" spans="2:8" ht="12.75">
      <c r="B80" s="114" t="s">
        <v>4590</v>
      </c>
      <c r="C80" s="9">
        <v>449</v>
      </c>
      <c r="D80" s="9" t="s">
        <v>1681</v>
      </c>
      <c r="E80" s="9" t="str">
        <f>IF($B80 = "Mutant",VLOOKUP($C80,Mutants!$A$2:$L$560,12,FALSE),IF($B80 = "Test",VLOOKUP($C80,Tests!$A$2:$L$841,12,FALSE),VLOOKUP($C80,Questions!$A$3:$N$174,9,FALSE)))</f>
        <v>Y</v>
      </c>
      <c r="F80" s="187" t="str">
        <f>IF($B80 = "Mutant",VLOOKUP($C80,Mutants!$A$2:$L$560,11,FALSE),IF($B80 = "Test",VLOOKUP($C80,Tests!$A$2:$L$841,11,FALSE),VLOOKUP($C80,Questions!$A$3:$N$174,13,FALSE)))</f>
        <v xml:space="preserve">addOption, getOption, stripLeadingHyphens
</v>
      </c>
      <c r="G80" s="187"/>
      <c r="H80" s="202"/>
    </row>
    <row r="81" spans="2:8" ht="12.75">
      <c r="B81" s="133" t="s">
        <v>4590</v>
      </c>
      <c r="C81" s="130">
        <v>472</v>
      </c>
      <c r="D81" s="130" t="s">
        <v>1745</v>
      </c>
      <c r="E81" s="130" t="str">
        <f>IF($B81 = "Mutant",VLOOKUP($C81,Mutants!$A$2:$L$560,12,FALSE),IF($B81 = "Test",VLOOKUP($C81,Tests!$A$2:$L$841,12,FALSE),VLOOKUP($C81,Questions!$A$3:$N$174,9,FALSE)))</f>
        <v>Y</v>
      </c>
      <c r="F81" s="203" t="str">
        <f>IF($B81 = "Mutant",VLOOKUP($C81,Mutants!$A$2:$L$560,11,FALSE),IF($B81 = "Test",VLOOKUP($C81,Tests!$A$2:$L$841,11,FALSE),VLOOKUP($C81,Questions!$A$3:$N$174,13,FALSE)))</f>
        <v xml:space="preserve">addOption, getMatchingOptions, stripLeadingHyphens
</v>
      </c>
      <c r="G81" s="203"/>
      <c r="H81" s="204"/>
    </row>
    <row r="82" spans="2:8" ht="15.75" customHeight="1">
      <c r="E82" s="9"/>
      <c r="F82" s="187"/>
      <c r="G82" s="187"/>
      <c r="H82" s="187"/>
    </row>
    <row r="83" spans="2:8" ht="15.75" customHeight="1">
      <c r="E83" s="9"/>
      <c r="F83" s="187"/>
      <c r="G83" s="187"/>
      <c r="H83" s="187"/>
    </row>
    <row r="84" spans="2:8" ht="13.5" thickBot="1">
      <c r="B84" s="219" t="s">
        <v>4604</v>
      </c>
      <c r="C84" s="201"/>
      <c r="D84" s="45">
        <v>163</v>
      </c>
      <c r="E84" s="9"/>
      <c r="F84" s="187"/>
      <c r="G84" s="187"/>
      <c r="H84" s="187"/>
    </row>
    <row r="85" spans="2:8" ht="13.5" thickTop="1">
      <c r="B85" s="134" t="s">
        <v>4594</v>
      </c>
      <c r="C85" s="135" t="s">
        <v>44</v>
      </c>
      <c r="D85" s="135" t="s">
        <v>110</v>
      </c>
      <c r="E85" s="136" t="s">
        <v>2</v>
      </c>
      <c r="F85" s="229" t="s">
        <v>4612</v>
      </c>
      <c r="G85" s="229"/>
      <c r="H85" s="230"/>
    </row>
    <row r="86" spans="2:8" ht="12.75">
      <c r="B86" s="137" t="s">
        <v>4589</v>
      </c>
      <c r="C86" s="93">
        <v>174</v>
      </c>
      <c r="D86" s="93" t="s">
        <v>125</v>
      </c>
      <c r="E86" s="93" t="str">
        <f>IF($B86 = "Mutant",VLOOKUP($C86,Mutants!$A$2:$L$560,12,FALSE),IF($B86 = "Test",VLOOKUP($C86,Tests!$A$2:$L$841,12,FALSE),VLOOKUP($C86,Questions!$A$3:$N$174,9,FALSE)))</f>
        <v>Y</v>
      </c>
      <c r="F86" s="205" t="str">
        <f>IF($B86 = "Mutant",VLOOKUP($C86,Mutants!$A$2:$L$560,11,FALSE),IF($B86 = "Test",VLOOKUP($C86,Tests!$A$2:$L$841,11,FALSE),VLOOKUP($C86,Questions!$A$3:$N$174,13,FALSE)))</f>
        <v xml:space="preserve">stripLeadingHyphens
</v>
      </c>
      <c r="G86" s="205"/>
      <c r="H86" s="206"/>
    </row>
    <row r="87" spans="2:8" ht="12.75">
      <c r="B87" s="114" t="s">
        <v>4590</v>
      </c>
      <c r="C87" s="9">
        <v>114</v>
      </c>
      <c r="D87" s="9" t="s">
        <v>725</v>
      </c>
      <c r="E87" s="9" t="str">
        <f>IF($B87 = "Mutant",VLOOKUP($C87,Mutants!$A$2:$L$560,12,FALSE),IF($B87 = "Test",VLOOKUP($C87,Tests!$A$2:$L$841,12,FALSE),VLOOKUP($C87,Questions!$A$3:$N$174,9,FALSE)))</f>
        <v>N</v>
      </c>
      <c r="F87" s="187" t="str">
        <f>IF($B87 = "Mutant",VLOOKUP($C87,Mutants!$A$2:$L$560,11,FALSE),IF($B87 = "Test",VLOOKUP($C87,Tests!$A$2:$L$841,11,FALSE),VLOOKUP($C87,Questions!$A$3:$N$174,13,FALSE)))</f>
        <v xml:space="preserve">
</v>
      </c>
      <c r="G87" s="187"/>
      <c r="H87" s="202"/>
    </row>
    <row r="88" spans="2:8" ht="12.75">
      <c r="B88" s="114" t="s">
        <v>4590</v>
      </c>
      <c r="C88" s="9">
        <v>119</v>
      </c>
      <c r="D88" s="9" t="s">
        <v>744</v>
      </c>
      <c r="E88" s="9" t="str">
        <f>IF($B88 = "Mutant",VLOOKUP($C88,Mutants!$A$2:$L$560,12,FALSE),IF($B88 = "Test",VLOOKUP($C88,Tests!$A$2:$L$841,12,FALSE),VLOOKUP($C88,Questions!$A$3:$N$174,9,FALSE)))</f>
        <v>Y</v>
      </c>
      <c r="F88" s="187" t="str">
        <f>IF($B88 = "Mutant",VLOOKUP($C88,Mutants!$A$2:$L$560,11,FALSE),IF($B88 = "Test",VLOOKUP($C88,Tests!$A$2:$L$841,11,FALSE),VLOOKUP($C88,Questions!$A$3:$N$174,13,FALSE)))</f>
        <v xml:space="preserve">getOption, stripLeadingHyphens
</v>
      </c>
      <c r="G88" s="187"/>
      <c r="H88" s="202"/>
    </row>
    <row r="89" spans="2:8" ht="12.75">
      <c r="B89" s="114" t="s">
        <v>4590</v>
      </c>
      <c r="C89" s="9">
        <v>124</v>
      </c>
      <c r="D89" s="9" t="s">
        <v>761</v>
      </c>
      <c r="E89" s="9" t="str">
        <f>IF($B89 = "Mutant",VLOOKUP($C89,Mutants!$A$2:$L$560,12,FALSE),IF($B89 = "Test",VLOOKUP($C89,Tests!$A$2:$L$841,12,FALSE),VLOOKUP($C89,Questions!$A$3:$N$174,9,FALSE)))</f>
        <v>Y</v>
      </c>
      <c r="F89" s="187" t="str">
        <f>IF($B89 = "Mutant",VLOOKUP($C89,Mutants!$A$2:$L$560,11,FALSE),IF($B89 = "Test",VLOOKUP($C89,Tests!$A$2:$L$841,11,FALSE),VLOOKUP($C89,Questions!$A$3:$N$174,13,FALSE)))</f>
        <v xml:space="preserve">getOption, stripLeadingHyphens
</v>
      </c>
      <c r="G89" s="187"/>
      <c r="H89" s="202"/>
    </row>
    <row r="90" spans="2:8" ht="12.75">
      <c r="B90" s="114" t="s">
        <v>4590</v>
      </c>
      <c r="C90" s="9">
        <v>127</v>
      </c>
      <c r="D90" s="9" t="s">
        <v>768</v>
      </c>
      <c r="E90" s="9" t="str">
        <f>IF($B90 = "Mutant",VLOOKUP($C90,Mutants!$A$2:$L$560,12,FALSE),IF($B90 = "Test",VLOOKUP($C90,Tests!$A$2:$L$841,12,FALSE),VLOOKUP($C90,Questions!$A$3:$N$174,9,FALSE)))</f>
        <v>Y</v>
      </c>
      <c r="F90" s="187" t="str">
        <f>IF($B90 = "Mutant",VLOOKUP($C90,Mutants!$A$2:$L$560,11,FALSE),IF($B90 = "Test",VLOOKUP($C90,Tests!$A$2:$L$841,11,FALSE),VLOOKUP($C90,Questions!$A$3:$N$174,13,FALSE)))</f>
        <v xml:space="preserve">getOption, stripLeadingHyphens
</v>
      </c>
      <c r="G90" s="187"/>
      <c r="H90" s="202"/>
    </row>
    <row r="91" spans="2:8" ht="12.75">
      <c r="B91" s="114" t="s">
        <v>4590</v>
      </c>
      <c r="C91" s="9">
        <v>160</v>
      </c>
      <c r="D91" s="9" t="s">
        <v>845</v>
      </c>
      <c r="E91" s="9" t="str">
        <f>IF($B91 = "Mutant",VLOOKUP($C91,Mutants!$A$2:$L$560,12,FALSE),IF($B91 = "Test",VLOOKUP($C91,Tests!$A$2:$L$841,12,FALSE),VLOOKUP($C91,Questions!$A$3:$N$174,9,FALSE)))</f>
        <v>N</v>
      </c>
      <c r="F91" s="187" t="str">
        <f>IF($B91 = "Mutant",VLOOKUP($C91,Mutants!$A$2:$L$560,11,FALSE),IF($B91 = "Test",VLOOKUP($C91,Tests!$A$2:$L$841,11,FALSE),VLOOKUP($C91,Questions!$A$3:$N$174,13,FALSE)))</f>
        <v xml:space="preserve">
</v>
      </c>
      <c r="G91" s="187"/>
      <c r="H91" s="202"/>
    </row>
    <row r="92" spans="2:8" ht="12.75">
      <c r="B92" s="114" t="s">
        <v>4590</v>
      </c>
      <c r="C92" s="9">
        <v>167</v>
      </c>
      <c r="D92" s="9" t="s">
        <v>867</v>
      </c>
      <c r="E92" s="9" t="str">
        <f>IF($B92 = "Mutant",VLOOKUP($C92,Mutants!$A$2:$L$560,12,FALSE),IF($B92 = "Test",VLOOKUP($C92,Tests!$A$2:$L$841,12,FALSE),VLOOKUP($C92,Questions!$A$3:$N$174,9,FALSE)))</f>
        <v>Y</v>
      </c>
      <c r="F92" s="187" t="str">
        <f>IF($B92 = "Mutant",VLOOKUP($C92,Mutants!$A$2:$L$560,11,FALSE),IF($B92 = "Test",VLOOKUP($C92,Tests!$A$2:$L$841,11,FALSE),VLOOKUP($C92,Questions!$A$3:$N$174,13,FALSE)))</f>
        <v xml:space="preserve">getOption, stripLeadingHyphens
</v>
      </c>
      <c r="G92" s="187"/>
      <c r="H92" s="202"/>
    </row>
    <row r="93" spans="2:8" ht="12.75">
      <c r="B93" s="114" t="s">
        <v>4590</v>
      </c>
      <c r="C93" s="9">
        <v>169</v>
      </c>
      <c r="D93" s="9" t="s">
        <v>875</v>
      </c>
      <c r="E93" s="9" t="str">
        <f>IF($B93 = "Mutant",VLOOKUP($C93,Mutants!$A$2:$L$560,12,FALSE),IF($B93 = "Test",VLOOKUP($C93,Tests!$A$2:$L$841,12,FALSE),VLOOKUP($C93,Questions!$A$3:$N$174,9,FALSE)))</f>
        <v>Y</v>
      </c>
      <c r="F93" s="187" t="str">
        <f>IF($B93 = "Mutant",VLOOKUP($C93,Mutants!$A$2:$L$560,11,FALSE),IF($B93 = "Test",VLOOKUP($C93,Tests!$A$2:$L$841,11,FALSE),VLOOKUP($C93,Questions!$A$3:$N$174,13,FALSE)))</f>
        <v xml:space="preserve">getOption, stripLeadingHyphens
</v>
      </c>
      <c r="G93" s="187"/>
      <c r="H93" s="202"/>
    </row>
    <row r="94" spans="2:8" ht="12.75">
      <c r="B94" s="114" t="s">
        <v>4590</v>
      </c>
      <c r="C94" s="9">
        <v>185</v>
      </c>
      <c r="D94" s="9" t="s">
        <v>913</v>
      </c>
      <c r="E94" s="9" t="str">
        <f>IF($B94 = "Mutant",VLOOKUP($C94,Mutants!$A$2:$L$560,12,FALSE),IF($B94 = "Test",VLOOKUP($C94,Tests!$A$2:$L$841,12,FALSE),VLOOKUP($C94,Questions!$A$3:$N$174,9,FALSE)))</f>
        <v>N</v>
      </c>
      <c r="F94" s="187" t="str">
        <f>IF($B94 = "Mutant",VLOOKUP($C94,Mutants!$A$2:$L$560,11,FALSE),IF($B94 = "Test",VLOOKUP($C94,Tests!$A$2:$L$841,11,FALSE),VLOOKUP($C94,Questions!$A$3:$N$174,13,FALSE)))</f>
        <v xml:space="preserve">
</v>
      </c>
      <c r="G94" s="187"/>
      <c r="H94" s="202"/>
    </row>
    <row r="95" spans="2:8" ht="12.75">
      <c r="B95" s="114" t="s">
        <v>4590</v>
      </c>
      <c r="C95" s="9">
        <v>203</v>
      </c>
      <c r="D95" s="9" t="s">
        <v>961</v>
      </c>
      <c r="E95" s="9" t="str">
        <f>IF($B95 = "Mutant",VLOOKUP($C95,Mutants!$A$2:$L$560,12,FALSE),IF($B95 = "Test",VLOOKUP($C95,Tests!$A$2:$L$841,12,FALSE),VLOOKUP($C95,Questions!$A$3:$N$174,9,FALSE)))</f>
        <v>N</v>
      </c>
      <c r="F95" s="187" t="str">
        <f>IF($B95 = "Mutant",VLOOKUP($C95,Mutants!$A$2:$L$560,11,FALSE),IF($B95 = "Test",VLOOKUP($C95,Tests!$A$2:$L$841,11,FALSE),VLOOKUP($C95,Questions!$A$3:$N$174,13,FALSE)))</f>
        <v xml:space="preserve">
</v>
      </c>
      <c r="G95" s="187"/>
      <c r="H95" s="202"/>
    </row>
    <row r="96" spans="2:8" ht="12.75">
      <c r="B96" s="114" t="s">
        <v>4590</v>
      </c>
      <c r="C96" s="9">
        <v>206</v>
      </c>
      <c r="D96" s="9" t="s">
        <v>970</v>
      </c>
      <c r="E96" s="9" t="str">
        <f>IF($B96 = "Mutant",VLOOKUP($C96,Mutants!$A$2:$L$560,12,FALSE),IF($B96 = "Test",VLOOKUP($C96,Tests!$A$2:$L$841,12,FALSE),VLOOKUP($C96,Questions!$A$3:$N$174,9,FALSE)))</f>
        <v>Y</v>
      </c>
      <c r="F96" s="187" t="str">
        <f>IF($B96 = "Mutant",VLOOKUP($C96,Mutants!$A$2:$L$560,11,FALSE),IF($B96 = "Test",VLOOKUP($C96,Tests!$A$2:$L$841,11,FALSE),VLOOKUP($C96,Questions!$A$3:$N$174,13,FALSE)))</f>
        <v xml:space="preserve">getOptions, helpOptions
</v>
      </c>
      <c r="G96" s="187"/>
      <c r="H96" s="202"/>
    </row>
    <row r="97" spans="2:8" ht="12.75">
      <c r="B97" s="114" t="s">
        <v>4590</v>
      </c>
      <c r="C97" s="9">
        <v>209</v>
      </c>
      <c r="D97" s="9" t="s">
        <v>979</v>
      </c>
      <c r="E97" s="9" t="str">
        <f>IF($B97 = "Mutant",VLOOKUP($C97,Mutants!$A$2:$L$560,12,FALSE),IF($B97 = "Test",VLOOKUP($C97,Tests!$A$2:$L$841,12,FALSE),VLOOKUP($C97,Questions!$A$3:$N$174,9,FALSE)))</f>
        <v>N</v>
      </c>
      <c r="F97" s="187" t="str">
        <f>IF($B97 = "Mutant",VLOOKUP($C97,Mutants!$A$2:$L$560,11,FALSE),IF($B97 = "Test",VLOOKUP($C97,Tests!$A$2:$L$841,11,FALSE),VLOOKUP($C97,Questions!$A$3:$N$174,13,FALSE)))</f>
        <v xml:space="preserve">
</v>
      </c>
      <c r="G97" s="187"/>
      <c r="H97" s="202"/>
    </row>
    <row r="98" spans="2:8" ht="12.75">
      <c r="B98" s="114" t="s">
        <v>4590</v>
      </c>
      <c r="C98" s="9">
        <v>211</v>
      </c>
      <c r="D98" s="9" t="s">
        <v>984</v>
      </c>
      <c r="E98" s="9" t="str">
        <f>IF($B98 = "Mutant",VLOOKUP($C98,Mutants!$A$2:$L$560,12,FALSE),IF($B98 = "Test",VLOOKUP($C98,Tests!$A$2:$L$841,12,FALSE),VLOOKUP($C98,Questions!$A$3:$N$174,9,FALSE)))</f>
        <v>N</v>
      </c>
      <c r="F98" s="187" t="str">
        <f>IF($B98 = "Mutant",VLOOKUP($C98,Mutants!$A$2:$L$560,11,FALSE),IF($B98 = "Test",VLOOKUP($C98,Tests!$A$2:$L$841,11,FALSE),VLOOKUP($C98,Questions!$A$3:$N$174,13,FALSE)))</f>
        <v xml:space="preserve">
</v>
      </c>
      <c r="G98" s="187"/>
      <c r="H98" s="202"/>
    </row>
    <row r="99" spans="2:8" ht="12.75">
      <c r="B99" s="114" t="s">
        <v>4590</v>
      </c>
      <c r="C99" s="9">
        <v>218</v>
      </c>
      <c r="D99" s="9" t="s">
        <v>1008</v>
      </c>
      <c r="E99" s="9" t="str">
        <f>IF($B99 = "Mutant",VLOOKUP($C99,Mutants!$A$2:$L$560,12,FALSE),IF($B99 = "Test",VLOOKUP($C99,Tests!$A$2:$L$841,12,FALSE),VLOOKUP($C99,Questions!$A$3:$N$174,9,FALSE)))</f>
        <v>Y</v>
      </c>
      <c r="F99" s="187" t="str">
        <f>IF($B99 = "Mutant",VLOOKUP($C99,Mutants!$A$2:$L$560,11,FALSE),IF($B99 = "Test",VLOOKUP($C99,Tests!$A$2:$L$841,11,FALSE),VLOOKUP($C99,Questions!$A$3:$N$174,13,FALSE)))</f>
        <v xml:space="preserve">getOptions, helpOptions
</v>
      </c>
      <c r="G99" s="187"/>
      <c r="H99" s="202"/>
    </row>
    <row r="100" spans="2:8" ht="12.75">
      <c r="B100" s="114" t="s">
        <v>4590</v>
      </c>
      <c r="C100" s="9">
        <v>229</v>
      </c>
      <c r="D100" s="9" t="s">
        <v>1032</v>
      </c>
      <c r="E100" s="9" t="str">
        <f>IF($B100 = "Mutant",VLOOKUP($C100,Mutants!$A$2:$L$560,12,FALSE),IF($B100 = "Test",VLOOKUP($C100,Tests!$A$2:$L$841,12,FALSE),VLOOKUP($C100,Questions!$A$3:$N$174,9,FALSE)))</f>
        <v>Y</v>
      </c>
      <c r="F100" s="187" t="str">
        <f>IF($B100 = "Mutant",VLOOKUP($C100,Mutants!$A$2:$L$560,11,FALSE),IF($B100 = "Test",VLOOKUP($C100,Tests!$A$2:$L$841,11,FALSE),VLOOKUP($C100,Questions!$A$3:$N$174,13,FALSE)))</f>
        <v xml:space="preserve">helpOptions
</v>
      </c>
      <c r="G100" s="187"/>
      <c r="H100" s="202"/>
    </row>
    <row r="101" spans="2:8" ht="12.75">
      <c r="B101" s="114" t="s">
        <v>4590</v>
      </c>
      <c r="C101" s="9">
        <v>245</v>
      </c>
      <c r="D101" s="9" t="s">
        <v>1078</v>
      </c>
      <c r="E101" s="9" t="str">
        <f>IF($B101 = "Mutant",VLOOKUP($C101,Mutants!$A$2:$L$560,12,FALSE),IF($B101 = "Test",VLOOKUP($C101,Tests!$A$2:$L$841,12,FALSE),VLOOKUP($C101,Questions!$A$3:$N$174,9,FALSE)))</f>
        <v>Y</v>
      </c>
      <c r="F101" s="187" t="str">
        <f>IF($B101 = "Mutant",VLOOKUP($C101,Mutants!$A$2:$L$560,11,FALSE),IF($B101 = "Test",VLOOKUP($C101,Tests!$A$2:$L$841,11,FALSE),VLOOKUP($C101,Questions!$A$3:$N$174,13,FALSE)))</f>
        <v xml:space="preserve">toString
</v>
      </c>
      <c r="G101" s="187"/>
      <c r="H101" s="202"/>
    </row>
    <row r="102" spans="2:8" ht="12.75">
      <c r="B102" s="114" t="s">
        <v>4590</v>
      </c>
      <c r="C102" s="9">
        <v>252</v>
      </c>
      <c r="D102" s="9" t="s">
        <v>1104</v>
      </c>
      <c r="E102" s="9" t="str">
        <f>IF($B102 = "Mutant",VLOOKUP($C102,Mutants!$A$2:$L$560,12,FALSE),IF($B102 = "Test",VLOOKUP($C102,Tests!$A$2:$L$841,12,FALSE),VLOOKUP($C102,Questions!$A$3:$N$174,9,FALSE)))</f>
        <v>Y</v>
      </c>
      <c r="F102" s="187" t="str">
        <f>IF($B102 = "Mutant",VLOOKUP($C102,Mutants!$A$2:$L$560,11,FALSE),IF($B102 = "Test",VLOOKUP($C102,Tests!$A$2:$L$841,11,FALSE),VLOOKUP($C102,Questions!$A$3:$N$174,13,FALSE)))</f>
        <v xml:space="preserve">toString
</v>
      </c>
      <c r="G102" s="187"/>
      <c r="H102" s="202"/>
    </row>
    <row r="103" spans="2:8" ht="12.75">
      <c r="B103" s="114" t="s">
        <v>4590</v>
      </c>
      <c r="C103" s="9">
        <v>256</v>
      </c>
      <c r="D103" s="9" t="s">
        <v>1113</v>
      </c>
      <c r="E103" s="9" t="str">
        <f>IF($B103 = "Mutant",VLOOKUP($C103,Mutants!$A$2:$L$560,12,FALSE),IF($B103 = "Test",VLOOKUP($C103,Tests!$A$2:$L$841,12,FALSE),VLOOKUP($C103,Questions!$A$3:$N$174,9,FALSE)))</f>
        <v>Y</v>
      </c>
      <c r="F103" s="187" t="str">
        <f>IF($B103 = "Mutant",VLOOKUP($C103,Mutants!$A$2:$L$560,11,FALSE),IF($B103 = "Test",VLOOKUP($C103,Tests!$A$2:$L$841,11,FALSE),VLOOKUP($C103,Questions!$A$3:$N$174,13,FALSE)))</f>
        <v xml:space="preserve">toString
</v>
      </c>
      <c r="G103" s="187"/>
      <c r="H103" s="202"/>
    </row>
    <row r="104" spans="2:8" ht="12.75">
      <c r="B104" s="114" t="s">
        <v>4590</v>
      </c>
      <c r="C104" s="9">
        <v>278</v>
      </c>
      <c r="D104" s="9" t="s">
        <v>1163</v>
      </c>
      <c r="E104" s="9" t="str">
        <f>IF($B104 = "Mutant",VLOOKUP($C104,Mutants!$A$2:$L$560,12,FALSE),IF($B104 = "Test",VLOOKUP($C104,Tests!$A$2:$L$841,12,FALSE),VLOOKUP($C104,Questions!$A$3:$N$174,9,FALSE)))</f>
        <v>Y</v>
      </c>
      <c r="F104" s="187" t="str">
        <f>IF($B104 = "Mutant",VLOOKUP($C104,Mutants!$A$2:$L$560,11,FALSE),IF($B104 = "Test",VLOOKUP($C104,Tests!$A$2:$L$841,11,FALSE),VLOOKUP($C104,Questions!$A$3:$N$174,13,FALSE)))</f>
        <v xml:space="preserve">hasShortOption, stripLeadingHyphens
</v>
      </c>
      <c r="G104" s="187"/>
      <c r="H104" s="202"/>
    </row>
    <row r="105" spans="2:8" ht="12.75">
      <c r="B105" s="114" t="s">
        <v>4590</v>
      </c>
      <c r="C105" s="9">
        <v>311</v>
      </c>
      <c r="D105" s="9" t="s">
        <v>1274</v>
      </c>
      <c r="E105" s="9" t="str">
        <f>IF($B105 = "Mutant",VLOOKUP($C105,Mutants!$A$2:$L$560,12,FALSE),IF($B105 = "Test",VLOOKUP($C105,Tests!$A$2:$L$841,12,FALSE),VLOOKUP($C105,Questions!$A$3:$N$174,9,FALSE)))</f>
        <v>N</v>
      </c>
      <c r="F105" s="187" t="str">
        <f>IF($B105 = "Mutant",VLOOKUP($C105,Mutants!$A$2:$L$560,11,FALSE),IF($B105 = "Test",VLOOKUP($C105,Tests!$A$2:$L$841,11,FALSE),VLOOKUP($C105,Questions!$A$3:$N$174,13,FALSE)))</f>
        <v xml:space="preserve">
</v>
      </c>
      <c r="G105" s="187"/>
      <c r="H105" s="202"/>
    </row>
    <row r="106" spans="2:8" ht="12.75">
      <c r="B106" s="114" t="s">
        <v>4590</v>
      </c>
      <c r="C106" s="9">
        <v>325</v>
      </c>
      <c r="D106" s="9" t="s">
        <v>1306</v>
      </c>
      <c r="E106" s="9" t="str">
        <f>IF($B106 = "Mutant",VLOOKUP($C106,Mutants!$A$2:$L$560,12,FALSE),IF($B106 = "Test",VLOOKUP($C106,Tests!$A$2:$L$841,12,FALSE),VLOOKUP($C106,Questions!$A$3:$N$174,9,FALSE)))</f>
        <v>N</v>
      </c>
      <c r="F106" s="187" t="str">
        <f>IF($B106 = "Mutant",VLOOKUP($C106,Mutants!$A$2:$L$560,11,FALSE),IF($B106 = "Test",VLOOKUP($C106,Tests!$A$2:$L$841,11,FALSE),VLOOKUP($C106,Questions!$A$3:$N$174,13,FALSE)))</f>
        <v xml:space="preserve">
</v>
      </c>
      <c r="G106" s="187"/>
      <c r="H106" s="202"/>
    </row>
    <row r="107" spans="2:8" ht="12.75">
      <c r="B107" s="114" t="s">
        <v>4590</v>
      </c>
      <c r="C107" s="9">
        <v>331</v>
      </c>
      <c r="D107" s="9" t="s">
        <v>1327</v>
      </c>
      <c r="E107" s="9" t="str">
        <f>IF($B107 = "Mutant",VLOOKUP($C107,Mutants!$A$2:$L$560,12,FALSE),IF($B107 = "Test",VLOOKUP($C107,Tests!$A$2:$L$841,12,FALSE),VLOOKUP($C107,Questions!$A$3:$N$174,9,FALSE)))</f>
        <v>N</v>
      </c>
      <c r="F107" s="187" t="str">
        <f>IF($B107 = "Mutant",VLOOKUP($C107,Mutants!$A$2:$L$560,11,FALSE),IF($B107 = "Test",VLOOKUP($C107,Tests!$A$2:$L$841,11,FALSE),VLOOKUP($C107,Questions!$A$3:$N$174,13,FALSE)))</f>
        <v xml:space="preserve">
</v>
      </c>
      <c r="G107" s="187"/>
      <c r="H107" s="202"/>
    </row>
    <row r="108" spans="2:8" ht="12.75">
      <c r="B108" s="114" t="s">
        <v>4590</v>
      </c>
      <c r="C108" s="9">
        <v>337</v>
      </c>
      <c r="D108" s="9" t="s">
        <v>1341</v>
      </c>
      <c r="E108" s="9" t="str">
        <f>IF($B108 = "Mutant",VLOOKUP($C108,Mutants!$A$2:$L$560,12,FALSE),IF($B108 = "Test",VLOOKUP($C108,Tests!$A$2:$L$841,12,FALSE),VLOOKUP($C108,Questions!$A$3:$N$174,9,FALSE)))</f>
        <v>N</v>
      </c>
      <c r="F108" s="187" t="str">
        <f>IF($B108 = "Mutant",VLOOKUP($C108,Mutants!$A$2:$L$560,11,FALSE),IF($B108 = "Test",VLOOKUP($C108,Tests!$A$2:$L$841,11,FALSE),VLOOKUP($C108,Questions!$A$3:$N$174,13,FALSE)))</f>
        <v xml:space="preserve">
</v>
      </c>
      <c r="G108" s="187"/>
      <c r="H108" s="202"/>
    </row>
    <row r="109" spans="2:8" ht="12.75">
      <c r="B109" s="114" t="s">
        <v>4590</v>
      </c>
      <c r="C109" s="9">
        <v>354</v>
      </c>
      <c r="D109" s="9" t="s">
        <v>1386</v>
      </c>
      <c r="E109" s="9" t="str">
        <f>IF($B109 = "Mutant",VLOOKUP($C109,Mutants!$A$2:$L$560,12,FALSE),IF($B109 = "Test",VLOOKUP($C109,Tests!$A$2:$L$841,12,FALSE),VLOOKUP($C109,Questions!$A$3:$N$174,9,FALSE)))</f>
        <v>N</v>
      </c>
      <c r="F109" s="187" t="str">
        <f>IF($B109 = "Mutant",VLOOKUP($C109,Mutants!$A$2:$L$560,11,FALSE),IF($B109 = "Test",VLOOKUP($C109,Tests!$A$2:$L$841,11,FALSE),VLOOKUP($C109,Questions!$A$3:$N$174,13,FALSE)))</f>
        <v xml:space="preserve">
</v>
      </c>
      <c r="G109" s="187"/>
      <c r="H109" s="202"/>
    </row>
    <row r="110" spans="2:8" ht="12.75">
      <c r="B110" s="114" t="s">
        <v>4590</v>
      </c>
      <c r="C110" s="9">
        <v>356</v>
      </c>
      <c r="D110" s="9" t="s">
        <v>1392</v>
      </c>
      <c r="E110" s="9" t="str">
        <f>IF($B110 = "Mutant",VLOOKUP($C110,Mutants!$A$2:$L$560,12,FALSE),IF($B110 = "Test",VLOOKUP($C110,Tests!$A$2:$L$841,12,FALSE),VLOOKUP($C110,Questions!$A$3:$N$174,9,FALSE)))</f>
        <v>Y</v>
      </c>
      <c r="F110" s="187" t="str">
        <f>IF($B110 = "Mutant",VLOOKUP($C110,Mutants!$A$2:$L$560,11,FALSE),IF($B110 = "Test",VLOOKUP($C110,Tests!$A$2:$L$841,11,FALSE),VLOOKUP($C110,Questions!$A$3:$N$174,13,FALSE)))</f>
        <v xml:space="preserve">getOptions, helpOptions
</v>
      </c>
      <c r="G110" s="187"/>
      <c r="H110" s="202"/>
    </row>
    <row r="111" spans="2:8" ht="12.75">
      <c r="B111" s="114" t="s">
        <v>4590</v>
      </c>
      <c r="C111" s="9">
        <v>366</v>
      </c>
      <c r="D111" s="9" t="s">
        <v>1422</v>
      </c>
      <c r="E111" s="9" t="str">
        <f>IF($B111 = "Mutant",VLOOKUP($C111,Mutants!$A$2:$L$560,12,FALSE),IF($B111 = "Test",VLOOKUP($C111,Tests!$A$2:$L$841,12,FALSE),VLOOKUP($C111,Questions!$A$3:$N$174,9,FALSE)))</f>
        <v>Y</v>
      </c>
      <c r="F111" s="187" t="str">
        <f>IF($B111 = "Mutant",VLOOKUP($C111,Mutants!$A$2:$L$560,11,FALSE),IF($B111 = "Test",VLOOKUP($C111,Tests!$A$2:$L$841,11,FALSE),VLOOKUP($C111,Questions!$A$3:$N$174,13,FALSE)))</f>
        <v xml:space="preserve">getOptions, helpOptions
</v>
      </c>
      <c r="G111" s="187"/>
      <c r="H111" s="202"/>
    </row>
    <row r="112" spans="2:8" ht="12.75">
      <c r="B112" s="114" t="s">
        <v>4590</v>
      </c>
      <c r="C112" s="9">
        <v>370</v>
      </c>
      <c r="D112" s="9" t="s">
        <v>1438</v>
      </c>
      <c r="E112" s="9" t="str">
        <f>IF($B112 = "Mutant",VLOOKUP($C112,Mutants!$A$2:$L$560,12,FALSE),IF($B112 = "Test",VLOOKUP($C112,Tests!$A$2:$L$841,12,FALSE),VLOOKUP($C112,Questions!$A$3:$N$174,9,FALSE)))</f>
        <v>Y</v>
      </c>
      <c r="F112" s="187" t="str">
        <f>IF($B112 = "Mutant",VLOOKUP($C112,Mutants!$A$2:$L$560,11,FALSE),IF($B112 = "Test",VLOOKUP($C112,Tests!$A$2:$L$841,11,FALSE),VLOOKUP($C112,Questions!$A$3:$N$174,13,FALSE)))</f>
        <v xml:space="preserve">getOptions, helpOptions
</v>
      </c>
      <c r="G112" s="187"/>
      <c r="H112" s="202"/>
    </row>
    <row r="113" spans="2:8" ht="12.75">
      <c r="B113" s="114" t="s">
        <v>4590</v>
      </c>
      <c r="C113" s="9">
        <v>381</v>
      </c>
      <c r="D113" s="9" t="s">
        <v>1471</v>
      </c>
      <c r="E113" s="9" t="str">
        <f>IF($B113 = "Mutant",VLOOKUP($C113,Mutants!$A$2:$L$560,12,FALSE),IF($B113 = "Test",VLOOKUP($C113,Tests!$A$2:$L$841,12,FALSE),VLOOKUP($C113,Questions!$A$3:$N$174,9,FALSE)))</f>
        <v>N</v>
      </c>
      <c r="F113" s="187" t="str">
        <f>IF($B113 = "Mutant",VLOOKUP($C113,Mutants!$A$2:$L$560,11,FALSE),IF($B113 = "Test",VLOOKUP($C113,Tests!$A$2:$L$841,11,FALSE),VLOOKUP($C113,Questions!$A$3:$N$174,13,FALSE)))</f>
        <v xml:space="preserve">
</v>
      </c>
      <c r="G113" s="187"/>
      <c r="H113" s="202"/>
    </row>
    <row r="114" spans="2:8" ht="12.75">
      <c r="B114" s="114" t="s">
        <v>4590</v>
      </c>
      <c r="C114" s="9">
        <v>384</v>
      </c>
      <c r="D114" s="9" t="s">
        <v>1476</v>
      </c>
      <c r="E114" s="9" t="str">
        <f>IF($B114 = "Mutant",VLOOKUP($C114,Mutants!$A$2:$L$560,12,FALSE),IF($B114 = "Test",VLOOKUP($C114,Tests!$A$2:$L$841,12,FALSE),VLOOKUP($C114,Questions!$A$3:$N$174,9,FALSE)))</f>
        <v>N</v>
      </c>
      <c r="F114" s="187" t="str">
        <f>IF($B114 = "Mutant",VLOOKUP($C114,Mutants!$A$2:$L$560,11,FALSE),IF($B114 = "Test",VLOOKUP($C114,Tests!$A$2:$L$841,11,FALSE),VLOOKUP($C114,Questions!$A$3:$N$174,13,FALSE)))</f>
        <v xml:space="preserve">
</v>
      </c>
      <c r="G114" s="187"/>
      <c r="H114" s="202"/>
    </row>
    <row r="115" spans="2:8" ht="12.75">
      <c r="B115" s="133" t="s">
        <v>4590</v>
      </c>
      <c r="C115" s="130">
        <v>457</v>
      </c>
      <c r="D115" s="130" t="s">
        <v>349</v>
      </c>
      <c r="E115" s="130" t="str">
        <f>IF($B115 = "Mutant",VLOOKUP($C115,Mutants!$A$2:$L$560,12,FALSE),IF($B115 = "Test",VLOOKUP($C115,Tests!$A$2:$L$841,12,FALSE),VLOOKUP($C115,Questions!$A$3:$N$174,9,FALSE)))</f>
        <v>Y</v>
      </c>
      <c r="F115" s="203" t="str">
        <f>IF($B115 = "Mutant",VLOOKUP($C115,Mutants!$A$2:$L$560,11,FALSE),IF($B115 = "Test",VLOOKUP($C115,Tests!$A$2:$L$841,11,FALSE),VLOOKUP($C115,Questions!$A$3:$N$174,13,FALSE)))</f>
        <v xml:space="preserve">addOption, toString
</v>
      </c>
      <c r="G115" s="203"/>
      <c r="H115" s="204"/>
    </row>
    <row r="116" spans="2:8" ht="15.75" customHeight="1">
      <c r="E116" s="9"/>
      <c r="F116" s="187"/>
      <c r="G116" s="187"/>
      <c r="H116" s="187"/>
    </row>
    <row r="117" spans="2:8" ht="15.75" customHeight="1">
      <c r="E117" s="9"/>
      <c r="F117" s="187"/>
      <c r="G117" s="187"/>
      <c r="H117" s="187"/>
    </row>
    <row r="118" spans="2:8" ht="13.5" thickBot="1">
      <c r="B118" s="219" t="s">
        <v>4604</v>
      </c>
      <c r="C118" s="201"/>
      <c r="D118" s="45">
        <v>164</v>
      </c>
      <c r="E118" s="9"/>
      <c r="F118" s="187"/>
      <c r="G118" s="187"/>
      <c r="H118" s="187"/>
    </row>
    <row r="119" spans="2:8" ht="13.5" thickTop="1">
      <c r="B119" s="134" t="s">
        <v>4594</v>
      </c>
      <c r="C119" s="135" t="s">
        <v>44</v>
      </c>
      <c r="D119" s="135" t="s">
        <v>110</v>
      </c>
      <c r="E119" s="136" t="s">
        <v>2</v>
      </c>
      <c r="F119" s="229" t="s">
        <v>4612</v>
      </c>
      <c r="G119" s="229"/>
      <c r="H119" s="230"/>
    </row>
    <row r="120" spans="2:8" ht="12.75">
      <c r="B120" s="137" t="s">
        <v>4590</v>
      </c>
      <c r="C120" s="93">
        <v>111</v>
      </c>
      <c r="D120" s="93" t="s">
        <v>715</v>
      </c>
      <c r="E120" s="93" t="str">
        <f>IF($B120 = "Mutant",VLOOKUP($C120,Mutants!$A$2:$L$560,12,FALSE),IF($B120 = "Test",VLOOKUP($C120,Tests!$A$2:$L$841,12,FALSE),VLOOKUP($C120,Questions!$A$3:$N$174,9,FALSE)))</f>
        <v>N</v>
      </c>
      <c r="F120" s="205" t="str">
        <f>IF($B120 = "Mutant",VLOOKUP($C120,Mutants!$A$2:$L$560,11,FALSE),IF($B120 = "Test",VLOOKUP($C120,Tests!$A$2:$L$841,11,FALSE),VLOOKUP($C120,Questions!$A$3:$N$174,13,FALSE)))</f>
        <v xml:space="preserve">
</v>
      </c>
      <c r="G120" s="205"/>
      <c r="H120" s="206"/>
    </row>
    <row r="121" spans="2:8" ht="12.75">
      <c r="B121" s="114" t="s">
        <v>4590</v>
      </c>
      <c r="C121" s="9">
        <v>130</v>
      </c>
      <c r="D121" s="9" t="s">
        <v>774</v>
      </c>
      <c r="E121" s="9" t="str">
        <f>IF($B121 = "Mutant",VLOOKUP($C121,Mutants!$A$2:$L$560,12,FALSE),IF($B121 = "Test",VLOOKUP($C121,Tests!$A$2:$L$841,12,FALSE),VLOOKUP($C121,Questions!$A$3:$N$174,9,FALSE)))</f>
        <v>N</v>
      </c>
      <c r="F121" s="187" t="str">
        <f>IF($B121 = "Mutant",VLOOKUP($C121,Mutants!$A$2:$L$560,11,FALSE),IF($B121 = "Test",VLOOKUP($C121,Tests!$A$2:$L$841,11,FALSE),VLOOKUP($C121,Questions!$A$3:$N$174,13,FALSE)))</f>
        <v xml:space="preserve">
</v>
      </c>
      <c r="G121" s="187"/>
      <c r="H121" s="202"/>
    </row>
    <row r="122" spans="2:8" ht="12.75">
      <c r="B122" s="114" t="s">
        <v>4590</v>
      </c>
      <c r="C122" s="9">
        <v>138</v>
      </c>
      <c r="D122" s="9" t="s">
        <v>796</v>
      </c>
      <c r="E122" s="9" t="str">
        <f>IF($B122 = "Mutant",VLOOKUP($C122,Mutants!$A$2:$L$560,12,FALSE),IF($B122 = "Test",VLOOKUP($C122,Tests!$A$2:$L$841,12,FALSE),VLOOKUP($C122,Questions!$A$3:$N$174,9,FALSE)))</f>
        <v>Y</v>
      </c>
      <c r="F122" s="187" t="str">
        <f>IF($B122 = "Mutant",VLOOKUP($C122,Mutants!$A$2:$L$560,11,FALSE),IF($B122 = "Test",VLOOKUP($C122,Tests!$A$2:$L$841,11,FALSE),VLOOKUP($C122,Questions!$A$3:$N$174,13,FALSE)))</f>
        <v xml:space="preserve">hasOption, stripLeadingHyphens
</v>
      </c>
      <c r="G122" s="187"/>
      <c r="H122" s="202"/>
    </row>
    <row r="123" spans="2:8" ht="12.75">
      <c r="B123" s="114" t="s">
        <v>4590</v>
      </c>
      <c r="C123" s="9">
        <v>179</v>
      </c>
      <c r="D123" s="9" t="s">
        <v>894</v>
      </c>
      <c r="E123" s="9" t="str">
        <f>IF($B123 = "Mutant",VLOOKUP($C123,Mutants!$A$2:$L$560,12,FALSE),IF($B123 = "Test",VLOOKUP($C123,Tests!$A$2:$L$841,12,FALSE),VLOOKUP($C123,Questions!$A$3:$N$174,9,FALSE)))</f>
        <v>N</v>
      </c>
      <c r="F123" s="187" t="str">
        <f>IF($B123 = "Mutant",VLOOKUP($C123,Mutants!$A$2:$L$560,11,FALSE),IF($B123 = "Test",VLOOKUP($C123,Tests!$A$2:$L$841,11,FALSE),VLOOKUP($C123,Questions!$A$3:$N$174,13,FALSE)))</f>
        <v xml:space="preserve">
</v>
      </c>
      <c r="G123" s="187"/>
      <c r="H123" s="202"/>
    </row>
    <row r="124" spans="2:8" ht="12.75">
      <c r="B124" s="114" t="s">
        <v>4590</v>
      </c>
      <c r="C124" s="9">
        <v>183</v>
      </c>
      <c r="D124" s="9" t="s">
        <v>910</v>
      </c>
      <c r="E124" s="9" t="str">
        <f>IF($B124 = "Mutant",VLOOKUP($C124,Mutants!$A$2:$L$560,12,FALSE),IF($B124 = "Test",VLOOKUP($C124,Tests!$A$2:$L$841,12,FALSE),VLOOKUP($C124,Questions!$A$3:$N$174,9,FALSE)))</f>
        <v>N</v>
      </c>
      <c r="F124" s="187" t="str">
        <f>IF($B124 = "Mutant",VLOOKUP($C124,Mutants!$A$2:$L$560,11,FALSE),IF($B124 = "Test",VLOOKUP($C124,Tests!$A$2:$L$841,11,FALSE),VLOOKUP($C124,Questions!$A$3:$N$174,13,FALSE)))</f>
        <v xml:space="preserve">
</v>
      </c>
      <c r="G124" s="187"/>
      <c r="H124" s="202"/>
    </row>
    <row r="125" spans="2:8" ht="12.75">
      <c r="B125" s="114" t="s">
        <v>4590</v>
      </c>
      <c r="C125" s="9">
        <v>190</v>
      </c>
      <c r="D125" s="9" t="s">
        <v>920</v>
      </c>
      <c r="E125" s="9" t="str">
        <f>IF($B125 = "Mutant",VLOOKUP($C125,Mutants!$A$2:$L$560,12,FALSE),IF($B125 = "Test",VLOOKUP($C125,Tests!$A$2:$L$841,12,FALSE),VLOOKUP($C125,Questions!$A$3:$N$174,9,FALSE)))</f>
        <v>N</v>
      </c>
      <c r="F125" s="187" t="str">
        <f>IF($B125 = "Mutant",VLOOKUP($C125,Mutants!$A$2:$L$560,11,FALSE),IF($B125 = "Test",VLOOKUP($C125,Tests!$A$2:$L$841,11,FALSE),VLOOKUP($C125,Questions!$A$3:$N$174,13,FALSE)))</f>
        <v xml:space="preserve">
</v>
      </c>
      <c r="G125" s="187"/>
      <c r="H125" s="202"/>
    </row>
    <row r="126" spans="2:8" ht="12.75">
      <c r="B126" s="114" t="s">
        <v>4590</v>
      </c>
      <c r="C126" s="9">
        <v>192</v>
      </c>
      <c r="D126" s="9" t="s">
        <v>931</v>
      </c>
      <c r="E126" s="9" t="str">
        <f>IF($B126 = "Mutant",VLOOKUP($C126,Mutants!$A$2:$L$560,12,FALSE),IF($B126 = "Test",VLOOKUP($C126,Tests!$A$2:$L$841,12,FALSE),VLOOKUP($C126,Questions!$A$3:$N$174,9,FALSE)))</f>
        <v>Y</v>
      </c>
      <c r="F126" s="187" t="str">
        <f>IF($B126 = "Mutant",VLOOKUP($C126,Mutants!$A$2:$L$560,11,FALSE),IF($B126 = "Test",VLOOKUP($C126,Tests!$A$2:$L$841,11,FALSE),VLOOKUP($C126,Questions!$A$3:$N$174,13,FALSE)))</f>
        <v xml:space="preserve">toString
</v>
      </c>
      <c r="G126" s="187"/>
      <c r="H126" s="202"/>
    </row>
    <row r="127" spans="2:8" ht="12.75">
      <c r="B127" s="114" t="s">
        <v>4590</v>
      </c>
      <c r="C127" s="9">
        <v>197</v>
      </c>
      <c r="D127" s="9" t="s">
        <v>942</v>
      </c>
      <c r="E127" s="9" t="str">
        <f>IF($B127 = "Mutant",VLOOKUP($C127,Mutants!$A$2:$L$560,12,FALSE),IF($B127 = "Test",VLOOKUP($C127,Tests!$A$2:$L$841,12,FALSE),VLOOKUP($C127,Questions!$A$3:$N$174,9,FALSE)))</f>
        <v>Y</v>
      </c>
      <c r="F127" s="187" t="str">
        <f>IF($B127 = "Mutant",VLOOKUP($C127,Mutants!$A$2:$L$560,11,FALSE),IF($B127 = "Test",VLOOKUP($C127,Tests!$A$2:$L$841,11,FALSE),VLOOKUP($C127,Questions!$A$3:$N$174,13,FALSE)))</f>
        <v xml:space="preserve">toString
</v>
      </c>
      <c r="G127" s="187"/>
      <c r="H127" s="202"/>
    </row>
    <row r="128" spans="2:8" ht="12.75">
      <c r="B128" s="114" t="s">
        <v>4590</v>
      </c>
      <c r="C128" s="9">
        <v>283</v>
      </c>
      <c r="D128" s="9" t="s">
        <v>1182</v>
      </c>
      <c r="E128" s="9" t="str">
        <f>IF($B128 = "Mutant",VLOOKUP($C128,Mutants!$A$2:$L$560,12,FALSE),IF($B128 = "Test",VLOOKUP($C128,Tests!$A$2:$L$841,12,FALSE),VLOOKUP($C128,Questions!$A$3:$N$174,9,FALSE)))</f>
        <v>Y</v>
      </c>
      <c r="F128" s="187" t="str">
        <f>IF($B128 = "Mutant",VLOOKUP($C128,Mutants!$A$2:$L$560,11,FALSE),IF($B128 = "Test",VLOOKUP($C128,Tests!$A$2:$L$841,11,FALSE),VLOOKUP($C128,Questions!$A$3:$N$174,13,FALSE)))</f>
        <v xml:space="preserve">hasLongOption, stripLeadingHyphens
</v>
      </c>
      <c r="G128" s="187"/>
      <c r="H128" s="202"/>
    </row>
    <row r="129" spans="2:8" ht="12.75">
      <c r="B129" s="114" t="s">
        <v>4590</v>
      </c>
      <c r="C129" s="9">
        <v>288</v>
      </c>
      <c r="D129" s="9" t="s">
        <v>1198</v>
      </c>
      <c r="E129" s="9" t="str">
        <f>IF($B129 = "Mutant",VLOOKUP($C129,Mutants!$A$2:$L$560,12,FALSE),IF($B129 = "Test",VLOOKUP($C129,Tests!$A$2:$L$841,12,FALSE),VLOOKUP($C129,Questions!$A$3:$N$174,9,FALSE)))</f>
        <v>Y</v>
      </c>
      <c r="F129" s="187" t="str">
        <f>IF($B129 = "Mutant",VLOOKUP($C129,Mutants!$A$2:$L$560,11,FALSE),IF($B129 = "Test",VLOOKUP($C129,Tests!$A$2:$L$841,11,FALSE),VLOOKUP($C129,Questions!$A$3:$N$174,13,FALSE)))</f>
        <v xml:space="preserve">hasShortOption, stripLeadingHyphens
</v>
      </c>
      <c r="G129" s="187"/>
      <c r="H129" s="202"/>
    </row>
    <row r="130" spans="2:8" ht="12.75">
      <c r="B130" s="114" t="s">
        <v>4590</v>
      </c>
      <c r="C130" s="9">
        <v>309</v>
      </c>
      <c r="D130" s="9" t="s">
        <v>1267</v>
      </c>
      <c r="E130" s="9" t="str">
        <f>IF($B130 = "Mutant",VLOOKUP($C130,Mutants!$A$2:$L$560,12,FALSE),IF($B130 = "Test",VLOOKUP($C130,Tests!$A$2:$L$841,12,FALSE),VLOOKUP($C130,Questions!$A$3:$N$174,9,FALSE)))</f>
        <v>Y</v>
      </c>
      <c r="F130" s="187" t="str">
        <f>IF($B130 = "Mutant",VLOOKUP($C130,Mutants!$A$2:$L$560,11,FALSE),IF($B130 = "Test",VLOOKUP($C130,Tests!$A$2:$L$841,11,FALSE),VLOOKUP($C130,Questions!$A$3:$N$174,13,FALSE)))</f>
        <v xml:space="preserve">getMatchingOptions, stripLeadingHyphens
</v>
      </c>
      <c r="G130" s="187"/>
      <c r="H130" s="202"/>
    </row>
    <row r="131" spans="2:8" ht="12.75">
      <c r="B131" s="114" t="s">
        <v>4589</v>
      </c>
      <c r="C131" s="9">
        <v>315</v>
      </c>
      <c r="D131" s="9" t="s">
        <v>3690</v>
      </c>
      <c r="E131" s="9" t="str">
        <f>IF($B131 = "Mutant",VLOOKUP($C131,Mutants!$A$2:$L$560,12,FALSE),IF($B131 = "Test",VLOOKUP($C131,Tests!$A$2:$L$841,12,FALSE),VLOOKUP($C131,Questions!$A$3:$N$174,9,FALSE)))</f>
        <v>Y</v>
      </c>
      <c r="F131" s="187" t="str">
        <f>IF($B131 = "Mutant",VLOOKUP($C131,Mutants!$A$2:$L$560,11,FALSE),IF($B131 = "Test",VLOOKUP($C131,Tests!$A$2:$L$841,11,FALSE),VLOOKUP($C131,Questions!$A$3:$N$174,13,FALSE)))</f>
        <v xml:space="preserve">getOption
</v>
      </c>
      <c r="G131" s="187"/>
      <c r="H131" s="202"/>
    </row>
    <row r="132" spans="2:8" ht="12.75">
      <c r="B132" s="114" t="s">
        <v>4590</v>
      </c>
      <c r="C132" s="9">
        <v>343</v>
      </c>
      <c r="D132" s="9" t="s">
        <v>1356</v>
      </c>
      <c r="E132" s="9" t="str">
        <f>IF($B132 = "Mutant",VLOOKUP($C132,Mutants!$A$2:$L$560,12,FALSE),IF($B132 = "Test",VLOOKUP($C132,Tests!$A$2:$L$841,12,FALSE),VLOOKUP($C132,Questions!$A$3:$N$174,9,FALSE)))</f>
        <v>Y</v>
      </c>
      <c r="F132" s="187" t="str">
        <f>IF($B132 = "Mutant",VLOOKUP($C132,Mutants!$A$2:$L$560,11,FALSE),IF($B132 = "Test",VLOOKUP($C132,Tests!$A$2:$L$841,11,FALSE),VLOOKUP($C132,Questions!$A$3:$N$174,13,FALSE)))</f>
        <v xml:space="preserve">getOptions, helpOptions
</v>
      </c>
      <c r="G132" s="187"/>
      <c r="H132" s="202"/>
    </row>
    <row r="133" spans="2:8" ht="12.75">
      <c r="B133" s="114" t="s">
        <v>4590</v>
      </c>
      <c r="C133" s="9">
        <v>358</v>
      </c>
      <c r="D133" s="9" t="s">
        <v>1397</v>
      </c>
      <c r="E133" s="9" t="str">
        <f>IF($B133 = "Mutant",VLOOKUP($C133,Mutants!$A$2:$L$560,12,FALSE),IF($B133 = "Test",VLOOKUP($C133,Tests!$A$2:$L$841,12,FALSE),VLOOKUP($C133,Questions!$A$3:$N$174,9,FALSE)))</f>
        <v>Y</v>
      </c>
      <c r="F133" s="187" t="str">
        <f>IF($B133 = "Mutant",VLOOKUP($C133,Mutants!$A$2:$L$560,11,FALSE),IF($B133 = "Test",VLOOKUP($C133,Tests!$A$2:$L$841,11,FALSE),VLOOKUP($C133,Questions!$A$3:$N$174,13,FALSE)))</f>
        <v xml:space="preserve">getRequiredOptions
</v>
      </c>
      <c r="G133" s="187"/>
      <c r="H133" s="202"/>
    </row>
    <row r="134" spans="2:8" ht="12.75">
      <c r="B134" s="114" t="s">
        <v>4590</v>
      </c>
      <c r="C134" s="9">
        <v>390</v>
      </c>
      <c r="D134" s="9" t="s">
        <v>1493</v>
      </c>
      <c r="E134" s="9" t="str">
        <f>IF($B134 = "Mutant",VLOOKUP($C134,Mutants!$A$2:$L$560,12,FALSE),IF($B134 = "Test",VLOOKUP($C134,Tests!$A$2:$L$841,12,FALSE),VLOOKUP($C134,Questions!$A$3:$N$174,9,FALSE)))</f>
        <v>Y</v>
      </c>
      <c r="F134" s="187" t="str">
        <f>IF($B134 = "Mutant",VLOOKUP($C134,Mutants!$A$2:$L$560,11,FALSE),IF($B134 = "Test",VLOOKUP($C134,Tests!$A$2:$L$841,11,FALSE),VLOOKUP($C134,Questions!$A$3:$N$174,13,FALSE)))</f>
        <v xml:space="preserve">addOption, toString
</v>
      </c>
      <c r="G134" s="187"/>
      <c r="H134" s="202"/>
    </row>
    <row r="135" spans="2:8" ht="12.75">
      <c r="B135" s="114" t="s">
        <v>4590</v>
      </c>
      <c r="C135" s="9">
        <v>397</v>
      </c>
      <c r="D135" s="9" t="s">
        <v>1513</v>
      </c>
      <c r="E135" s="9" t="str">
        <f>IF($B135 = "Mutant",VLOOKUP($C135,Mutants!$A$2:$L$560,12,FALSE),IF($B135 = "Test",VLOOKUP($C135,Tests!$A$2:$L$841,12,FALSE),VLOOKUP($C135,Questions!$A$3:$N$174,9,FALSE)))</f>
        <v>Y</v>
      </c>
      <c r="F135" s="187" t="str">
        <f>IF($B135 = "Mutant",VLOOKUP($C135,Mutants!$A$2:$L$560,11,FALSE),IF($B135 = "Test",VLOOKUP($C135,Tests!$A$2:$L$841,11,FALSE),VLOOKUP($C135,Questions!$A$3:$N$174,13,FALSE)))</f>
        <v xml:space="preserve">addOption, toString
</v>
      </c>
      <c r="G135" s="187"/>
      <c r="H135" s="202"/>
    </row>
    <row r="136" spans="2:8" ht="12.75">
      <c r="B136" s="114" t="s">
        <v>4590</v>
      </c>
      <c r="C136" s="9">
        <v>402</v>
      </c>
      <c r="D136" s="9" t="s">
        <v>1534</v>
      </c>
      <c r="E136" s="9" t="str">
        <f>IF($B136 = "Mutant",VLOOKUP($C136,Mutants!$A$2:$L$560,12,FALSE),IF($B136 = "Test",VLOOKUP($C136,Tests!$A$2:$L$841,12,FALSE),VLOOKUP($C136,Questions!$A$3:$N$174,9,FALSE)))</f>
        <v>N</v>
      </c>
      <c r="F136" s="187" t="str">
        <f>IF($B136 = "Mutant",VLOOKUP($C136,Mutants!$A$2:$L$560,11,FALSE),IF($B136 = "Test",VLOOKUP($C136,Tests!$A$2:$L$841,11,FALSE),VLOOKUP($C136,Questions!$A$3:$N$174,13,FALSE)))</f>
        <v xml:space="preserve">
</v>
      </c>
      <c r="G136" s="187"/>
      <c r="H136" s="202"/>
    </row>
    <row r="137" spans="2:8" ht="12.75">
      <c r="B137" s="114" t="s">
        <v>4590</v>
      </c>
      <c r="C137" s="9">
        <v>411</v>
      </c>
      <c r="D137" s="9" t="s">
        <v>1562</v>
      </c>
      <c r="E137" s="9" t="str">
        <f>IF($B137 = "Mutant",VLOOKUP($C137,Mutants!$A$2:$L$560,12,FALSE),IF($B137 = "Test",VLOOKUP($C137,Tests!$A$2:$L$841,12,FALSE),VLOOKUP($C137,Questions!$A$3:$N$174,9,FALSE)))</f>
        <v>Y</v>
      </c>
      <c r="F137" s="187" t="str">
        <f>IF($B137 = "Mutant",VLOOKUP($C137,Mutants!$A$2:$L$560,11,FALSE),IF($B137 = "Test",VLOOKUP($C137,Tests!$A$2:$L$841,11,FALSE),VLOOKUP($C137,Questions!$A$3:$N$174,13,FALSE)))</f>
        <v xml:space="preserve">addOption, toString
</v>
      </c>
      <c r="G137" s="187"/>
      <c r="H137" s="202"/>
    </row>
    <row r="138" spans="2:8" ht="12.75">
      <c r="B138" s="114" t="s">
        <v>4590</v>
      </c>
      <c r="C138" s="9">
        <v>446</v>
      </c>
      <c r="D138" s="9" t="s">
        <v>1670</v>
      </c>
      <c r="E138" s="9" t="str">
        <f>IF($B138 = "Mutant",VLOOKUP($C138,Mutants!$A$2:$L$560,12,FALSE),IF($B138 = "Test",VLOOKUP($C138,Tests!$A$2:$L$841,12,FALSE),VLOOKUP($C138,Questions!$A$3:$N$174,9,FALSE)))</f>
        <v>N</v>
      </c>
      <c r="F138" s="187" t="str">
        <f>IF($B138 = "Mutant",VLOOKUP($C138,Mutants!$A$2:$L$560,11,FALSE),IF($B138 = "Test",VLOOKUP($C138,Tests!$A$2:$L$841,11,FALSE),VLOOKUP($C138,Questions!$A$3:$N$174,13,FALSE)))</f>
        <v xml:space="preserve">
</v>
      </c>
      <c r="G138" s="187"/>
      <c r="H138" s="202"/>
    </row>
    <row r="139" spans="2:8" ht="12.75">
      <c r="B139" s="114" t="s">
        <v>4590</v>
      </c>
      <c r="C139" s="9">
        <v>448</v>
      </c>
      <c r="D139" s="9" t="s">
        <v>1678</v>
      </c>
      <c r="E139" s="9" t="str">
        <f>IF($B139 = "Mutant",VLOOKUP($C139,Mutants!$A$2:$L$560,12,FALSE),IF($B139 = "Test",VLOOKUP($C139,Tests!$A$2:$L$841,12,FALSE),VLOOKUP($C139,Questions!$A$3:$N$174,9,FALSE)))</f>
        <v>Y</v>
      </c>
      <c r="F139" s="187" t="str">
        <f>IF($B139 = "Mutant",VLOOKUP($C139,Mutants!$A$2:$L$560,11,FALSE),IF($B139 = "Test",VLOOKUP($C139,Tests!$A$2:$L$841,11,FALSE),VLOOKUP($C139,Questions!$A$3:$N$174,13,FALSE)))</f>
        <v xml:space="preserve">addOption, toString
</v>
      </c>
      <c r="G139" s="187"/>
      <c r="H139" s="202"/>
    </row>
    <row r="140" spans="2:8" ht="12.75">
      <c r="B140" s="114" t="s">
        <v>4590</v>
      </c>
      <c r="C140" s="9">
        <v>460</v>
      </c>
      <c r="D140" s="9" t="s">
        <v>238</v>
      </c>
      <c r="E140" s="9" t="str">
        <f>IF($B140 = "Mutant",VLOOKUP($C140,Mutants!$A$2:$L$560,12,FALSE),IF($B140 = "Test",VLOOKUP($C140,Tests!$A$2:$L$841,12,FALSE),VLOOKUP($C140,Questions!$A$3:$N$174,9,FALSE)))</f>
        <v>Y</v>
      </c>
      <c r="F140" s="187" t="str">
        <f>IF($B140 = "Mutant",VLOOKUP($C140,Mutants!$A$2:$L$560,11,FALSE),IF($B140 = "Test",VLOOKUP($C140,Tests!$A$2:$L$841,11,FALSE),VLOOKUP($C140,Questions!$A$3:$N$174,13,FALSE)))</f>
        <v xml:space="preserve">addOption, toString
</v>
      </c>
      <c r="G140" s="187"/>
      <c r="H140" s="202"/>
    </row>
    <row r="141" spans="2:8" ht="12.75">
      <c r="B141" s="133" t="s">
        <v>4590</v>
      </c>
      <c r="C141" s="130">
        <v>464</v>
      </c>
      <c r="D141" s="130" t="s">
        <v>1724</v>
      </c>
      <c r="E141" s="130" t="str">
        <f>IF($B141 = "Mutant",VLOOKUP($C141,Mutants!$A$2:$L$560,12,FALSE),IF($B141 = "Test",VLOOKUP($C141,Tests!$A$2:$L$841,12,FALSE),VLOOKUP($C141,Questions!$A$3:$N$174,9,FALSE)))</f>
        <v>Y</v>
      </c>
      <c r="F141" s="203" t="str">
        <f>IF($B141 = "Mutant",VLOOKUP($C141,Mutants!$A$2:$L$560,11,FALSE),IF($B141 = "Test",VLOOKUP($C141,Tests!$A$2:$L$841,11,FALSE),VLOOKUP($C141,Questions!$A$3:$N$174,13,FALSE)))</f>
        <v xml:space="preserve">addOption, toString
</v>
      </c>
      <c r="G141" s="203"/>
      <c r="H141" s="204"/>
    </row>
  </sheetData>
  <mergeCells count="114">
    <mergeCell ref="B118:C118"/>
    <mergeCell ref="F34:H34"/>
    <mergeCell ref="F35:H35"/>
    <mergeCell ref="F36:H36"/>
    <mergeCell ref="F37:H37"/>
    <mergeCell ref="F38:H38"/>
    <mergeCell ref="B12:C12"/>
    <mergeCell ref="B32:C32"/>
    <mergeCell ref="B53:C53"/>
    <mergeCell ref="B84:C84"/>
    <mergeCell ref="F44:H44"/>
    <mergeCell ref="F45:H45"/>
    <mergeCell ref="F46:H46"/>
    <mergeCell ref="F47:H47"/>
    <mergeCell ref="F48:H48"/>
    <mergeCell ref="F39:H39"/>
    <mergeCell ref="F40:H40"/>
    <mergeCell ref="F41:H41"/>
    <mergeCell ref="F42:H42"/>
    <mergeCell ref="F43:H43"/>
    <mergeCell ref="F54:H54"/>
    <mergeCell ref="F55:H55"/>
    <mergeCell ref="F56:H56"/>
    <mergeCell ref="F57:H57"/>
    <mergeCell ref="F58:H58"/>
    <mergeCell ref="F49:H49"/>
    <mergeCell ref="F50:H50"/>
    <mergeCell ref="F51:H51"/>
    <mergeCell ref="F52:H52"/>
    <mergeCell ref="F53:H53"/>
    <mergeCell ref="F64:H64"/>
    <mergeCell ref="F65:H65"/>
    <mergeCell ref="F66:H66"/>
    <mergeCell ref="F67:H67"/>
    <mergeCell ref="F68:H68"/>
    <mergeCell ref="F59:H59"/>
    <mergeCell ref="F60:H60"/>
    <mergeCell ref="F61:H61"/>
    <mergeCell ref="F62:H62"/>
    <mergeCell ref="F63:H63"/>
    <mergeCell ref="F74:H74"/>
    <mergeCell ref="F75:H75"/>
    <mergeCell ref="F76:H76"/>
    <mergeCell ref="F77:H77"/>
    <mergeCell ref="F78:H78"/>
    <mergeCell ref="F69:H69"/>
    <mergeCell ref="F70:H70"/>
    <mergeCell ref="F71:H71"/>
    <mergeCell ref="F72:H72"/>
    <mergeCell ref="F73:H73"/>
    <mergeCell ref="F84:H84"/>
    <mergeCell ref="F85:H85"/>
    <mergeCell ref="F86:H86"/>
    <mergeCell ref="F87:H87"/>
    <mergeCell ref="F88:H88"/>
    <mergeCell ref="F79:H79"/>
    <mergeCell ref="F80:H80"/>
    <mergeCell ref="F81:H81"/>
    <mergeCell ref="F82:H82"/>
    <mergeCell ref="F83:H83"/>
    <mergeCell ref="F94:H94"/>
    <mergeCell ref="F95:H95"/>
    <mergeCell ref="F96:H96"/>
    <mergeCell ref="F97:H97"/>
    <mergeCell ref="F98:H98"/>
    <mergeCell ref="F89:H89"/>
    <mergeCell ref="F90:H90"/>
    <mergeCell ref="F91:H91"/>
    <mergeCell ref="F92:H92"/>
    <mergeCell ref="F93:H93"/>
    <mergeCell ref="F104:H104"/>
    <mergeCell ref="F105:H105"/>
    <mergeCell ref="F106:H106"/>
    <mergeCell ref="F107:H107"/>
    <mergeCell ref="F108:H108"/>
    <mergeCell ref="F99:H99"/>
    <mergeCell ref="F100:H100"/>
    <mergeCell ref="F101:H101"/>
    <mergeCell ref="F102:H102"/>
    <mergeCell ref="F103:H103"/>
    <mergeCell ref="F114:H114"/>
    <mergeCell ref="F115:H115"/>
    <mergeCell ref="F116:H116"/>
    <mergeCell ref="F117:H117"/>
    <mergeCell ref="F118:H118"/>
    <mergeCell ref="F109:H109"/>
    <mergeCell ref="F110:H110"/>
    <mergeCell ref="F111:H111"/>
    <mergeCell ref="F112:H112"/>
    <mergeCell ref="F113:H113"/>
    <mergeCell ref="F139:H139"/>
    <mergeCell ref="F140:H140"/>
    <mergeCell ref="F141:H141"/>
    <mergeCell ref="F33:H33"/>
    <mergeCell ref="F134:H134"/>
    <mergeCell ref="F135:H135"/>
    <mergeCell ref="F136:H136"/>
    <mergeCell ref="F137:H137"/>
    <mergeCell ref="F138:H138"/>
    <mergeCell ref="F129:H129"/>
    <mergeCell ref="F130:H130"/>
    <mergeCell ref="F131:H131"/>
    <mergeCell ref="F132:H132"/>
    <mergeCell ref="F133:H133"/>
    <mergeCell ref="F124:H124"/>
    <mergeCell ref="F125:H125"/>
    <mergeCell ref="F126:H126"/>
    <mergeCell ref="F127:H127"/>
    <mergeCell ref="F128:H128"/>
    <mergeCell ref="F119:H119"/>
    <mergeCell ref="F120:H120"/>
    <mergeCell ref="F121:H121"/>
    <mergeCell ref="F122:H122"/>
    <mergeCell ref="F123:H123"/>
  </mergeCells>
  <conditionalFormatting sqref="A32:B32">
    <cfRule type="cellIs" dxfId="338" priority="35" operator="equal">
      <formula>"KILL"</formula>
    </cfRule>
    <cfRule type="cellIs" dxfId="337" priority="34" operator="equal">
      <formula>"NO_KILL"</formula>
    </cfRule>
    <cfRule type="cellIs" dxfId="336" priority="36" operator="equal">
      <formula>"ERROR"</formula>
    </cfRule>
  </conditionalFormatting>
  <conditionalFormatting sqref="A53:B53">
    <cfRule type="cellIs" dxfId="335" priority="30" operator="equal">
      <formula>"ERROR"</formula>
    </cfRule>
    <cfRule type="cellIs" dxfId="334" priority="28" operator="equal">
      <formula>"NO_KILL"</formula>
    </cfRule>
    <cfRule type="cellIs" dxfId="333" priority="29" operator="equal">
      <formula>"KILL"</formula>
    </cfRule>
  </conditionalFormatting>
  <conditionalFormatting sqref="A84:B84">
    <cfRule type="cellIs" dxfId="332" priority="23" operator="equal">
      <formula>"KILL"</formula>
    </cfRule>
    <cfRule type="cellIs" dxfId="331" priority="24" operator="equal">
      <formula>"ERROR"</formula>
    </cfRule>
    <cfRule type="cellIs" dxfId="330" priority="22" operator="equal">
      <formula>"NO_KILL"</formula>
    </cfRule>
  </conditionalFormatting>
  <conditionalFormatting sqref="A118:B118">
    <cfRule type="cellIs" dxfId="329" priority="16" operator="equal">
      <formula>"NO_KILL"</formula>
    </cfRule>
    <cfRule type="cellIs" dxfId="328" priority="17" operator="equal">
      <formula>"KILL"</formula>
    </cfRule>
    <cfRule type="cellIs" dxfId="327" priority="18" operator="equal">
      <formula>"ERROR"</formula>
    </cfRule>
  </conditionalFormatting>
  <conditionalFormatting sqref="A1:Z31 D32:Z32 A33:D52 I33:Z141 D53 A54:D83 D84 A85:D117 D118 A119:D141 A142:Z1083">
    <cfRule type="cellIs" dxfId="326" priority="42" operator="equal">
      <formula>"ERROR"</formula>
    </cfRule>
    <cfRule type="cellIs" dxfId="325" priority="40" operator="equal">
      <formula>"NO_KILL"</formula>
    </cfRule>
    <cfRule type="cellIs" dxfId="324" priority="41" operator="equal">
      <formula>"KILL"</formula>
    </cfRule>
  </conditionalFormatting>
  <conditionalFormatting sqref="B30:B1083">
    <cfRule type="cellIs" dxfId="323" priority="20" operator="equal">
      <formula>"Mutant"</formula>
    </cfRule>
    <cfRule type="cellIs" dxfId="322" priority="19" operator="equal">
      <formula>"Test"</formula>
    </cfRule>
    <cfRule type="cellIs" dxfId="321" priority="21" operator="equal">
      <formula>"Question"</formula>
    </cfRule>
  </conditionalFormatting>
  <conditionalFormatting sqref="E33:F141">
    <cfRule type="cellIs" dxfId="320" priority="1" operator="equal">
      <formula>"NO_KILL"</formula>
    </cfRule>
    <cfRule type="cellIs" dxfId="319" priority="2" operator="equal">
      <formula>"KILL"</formula>
    </cfRule>
    <cfRule type="cellIs" dxfId="318" priority="3" operator="equal">
      <formula>"ERROR"</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B2:N128"/>
  <sheetViews>
    <sheetView topLeftCell="A57" workbookViewId="0">
      <selection activeCell="E84" sqref="E84:H84"/>
    </sheetView>
  </sheetViews>
  <sheetFormatPr defaultColWidth="12.5703125" defaultRowHeight="15.75" customHeight="1"/>
  <cols>
    <col min="4" max="4" width="18.140625" bestFit="1" customWidth="1"/>
    <col min="14" max="14" width="13.42578125" customWidth="1"/>
  </cols>
  <sheetData>
    <row r="2" spans="2:14" ht="12.75">
      <c r="B2" s="29" t="s">
        <v>4</v>
      </c>
      <c r="C2" s="29" t="s">
        <v>45</v>
      </c>
      <c r="D2" s="29" t="s">
        <v>46</v>
      </c>
    </row>
    <row r="3" spans="2:14" ht="12.75">
      <c r="B3" s="29">
        <v>114</v>
      </c>
      <c r="C3" s="29" t="s">
        <v>59</v>
      </c>
      <c r="D3" s="127" t="s">
        <v>19</v>
      </c>
    </row>
    <row r="5" spans="2:14" ht="12.75">
      <c r="B5" s="221" t="s">
        <v>3</v>
      </c>
      <c r="C5" s="222"/>
      <c r="D5" s="44" t="s">
        <v>5</v>
      </c>
      <c r="E5" s="43" t="s">
        <v>6</v>
      </c>
      <c r="F5" s="43" t="s">
        <v>7</v>
      </c>
      <c r="G5" s="43" t="s">
        <v>8</v>
      </c>
      <c r="H5" s="44" t="s">
        <v>9</v>
      </c>
      <c r="I5" s="43" t="s">
        <v>10</v>
      </c>
      <c r="J5" s="43" t="s">
        <v>11</v>
      </c>
      <c r="K5" s="44" t="s">
        <v>12</v>
      </c>
      <c r="L5" s="43" t="s">
        <v>13</v>
      </c>
      <c r="M5" s="43" t="s">
        <v>14</v>
      </c>
      <c r="N5" s="61" t="s">
        <v>15</v>
      </c>
    </row>
    <row r="6" spans="2:14" ht="12.75">
      <c r="B6" s="223">
        <v>167</v>
      </c>
      <c r="C6" s="224"/>
      <c r="D6" s="47">
        <f ca="1">COUNTIF(Valid_questions!F$1:F1070, B6)</f>
        <v>0</v>
      </c>
      <c r="E6" s="40">
        <v>4</v>
      </c>
      <c r="F6" s="40">
        <v>1</v>
      </c>
      <c r="G6" s="40">
        <v>0</v>
      </c>
      <c r="H6" s="47">
        <v>5</v>
      </c>
      <c r="I6" s="40">
        <f>COUNTIFS(Tests!E$1:E1070,B6,Tests!D$1:D1070,"&lt;&gt;\N")</f>
        <v>3</v>
      </c>
      <c r="J6" s="40">
        <f>COUNTIFS(Tests!E$1:E1070,B6,Tests!D$1:D1070,"=\N")</f>
        <v>7</v>
      </c>
      <c r="K6" s="47">
        <v>1</v>
      </c>
      <c r="L6" s="40">
        <f>COUNTIFS(Mutants!E$1:E1070,B6,Mutants!D$1:D1070,"&lt;&gt;\N")</f>
        <v>3</v>
      </c>
      <c r="M6" s="40">
        <f>COUNTIFS(Mutants!E$1:E1070,B6,Mutants!D$1:D1070,"=\N")</f>
        <v>0</v>
      </c>
      <c r="N6" s="45">
        <v>2</v>
      </c>
    </row>
    <row r="7" spans="2:14" ht="12.75">
      <c r="B7" s="225">
        <v>168</v>
      </c>
      <c r="C7" s="226"/>
      <c r="D7" s="10">
        <f ca="1">COUNTIF(Valid_questions!F$1:F1070, B7)</f>
        <v>0</v>
      </c>
      <c r="E7" s="9">
        <v>5</v>
      </c>
      <c r="F7" s="9">
        <v>0</v>
      </c>
      <c r="G7" s="9">
        <v>0</v>
      </c>
      <c r="H7" s="10">
        <v>5</v>
      </c>
      <c r="I7" s="9">
        <f>COUNTIFS(Tests!E$1:E1070,B7,Tests!D$1:D1070,"&lt;&gt;\N")</f>
        <v>0</v>
      </c>
      <c r="J7" s="9">
        <f>COUNTIFS(Tests!E$1:E1070,B7,Tests!D$1:D1070,"=\N")</f>
        <v>0</v>
      </c>
      <c r="K7" s="10">
        <v>0</v>
      </c>
      <c r="L7" s="9">
        <f>COUNTIFS(Mutants!E$1:E1070,B7,Mutants!D$1:D1070,"&lt;&gt;\N")</f>
        <v>11</v>
      </c>
      <c r="M7" s="9">
        <f>COUNTIFS(Mutants!E$1:E1070,B7,Mutants!D$1:D1070,"=\N")</f>
        <v>0</v>
      </c>
      <c r="N7" s="14">
        <v>9</v>
      </c>
    </row>
    <row r="8" spans="2:14" ht="12.75">
      <c r="B8" s="225">
        <v>169</v>
      </c>
      <c r="C8" s="226"/>
      <c r="D8" s="10">
        <f ca="1">COUNTIF(Valid_questions!F$1:F1070, B8)</f>
        <v>0</v>
      </c>
      <c r="E8" s="9">
        <v>23</v>
      </c>
      <c r="F8" s="9">
        <v>0</v>
      </c>
      <c r="G8" s="9">
        <v>0</v>
      </c>
      <c r="H8" s="10">
        <v>23</v>
      </c>
      <c r="I8" s="9">
        <f>COUNTIFS(Tests!E$1:E1070,B8,Tests!D$1:D1070,"&lt;&gt;\N")</f>
        <v>0</v>
      </c>
      <c r="J8" s="9">
        <f>COUNTIFS(Tests!E$1:E1070,B8,Tests!D$1:D1070,"=\N")</f>
        <v>0</v>
      </c>
      <c r="K8" s="10">
        <v>0</v>
      </c>
      <c r="L8" s="9">
        <f>COUNTIFS(Mutants!E$1:E1070,B8,Mutants!D$1:D1070,"&lt;&gt;\N")</f>
        <v>18</v>
      </c>
      <c r="M8" s="9">
        <f>COUNTIFS(Mutants!E$1:E1070,B8,Mutants!D$1:D1070,"=\N")</f>
        <v>2</v>
      </c>
      <c r="N8" s="14">
        <v>6</v>
      </c>
    </row>
    <row r="9" spans="2:14" ht="12.75">
      <c r="B9" s="227">
        <v>170</v>
      </c>
      <c r="C9" s="228"/>
      <c r="D9" s="22">
        <f ca="1">COUNTIF(Valid_questions!F$1:F1070, B9)</f>
        <v>0</v>
      </c>
      <c r="E9" s="21">
        <v>0</v>
      </c>
      <c r="F9" s="21">
        <v>23</v>
      </c>
      <c r="G9" s="21">
        <v>0</v>
      </c>
      <c r="H9" s="22">
        <v>23</v>
      </c>
      <c r="I9" s="21">
        <f>COUNTIFS(Tests!E$1:E1070,B9,Tests!D$1:D1070,"&lt;&gt;\N")</f>
        <v>11</v>
      </c>
      <c r="J9" s="21">
        <f>COUNTIFS(Tests!E$1:E1070,B9,Tests!D$1:D1070,"=\N")</f>
        <v>8</v>
      </c>
      <c r="K9" s="22">
        <v>9</v>
      </c>
      <c r="L9" s="21">
        <f>COUNTIFS(Mutants!E$1:E1070,B9,Mutants!D$1:D1070,"&lt;&gt;\N")</f>
        <v>1</v>
      </c>
      <c r="M9" s="21">
        <f>COUNTIFS(Mutants!E$1:E1070,B9,Mutants!D$1:D1070,"=\N")</f>
        <v>0</v>
      </c>
      <c r="N9" s="38">
        <v>1</v>
      </c>
    </row>
    <row r="12" spans="2:14" ht="27" customHeight="1">
      <c r="B12" s="220" t="s">
        <v>4588</v>
      </c>
      <c r="C12" s="173"/>
    </row>
    <row r="14" spans="2:14" ht="12.75">
      <c r="C14" s="29" t="s">
        <v>4589</v>
      </c>
    </row>
    <row r="15" spans="2:14" ht="12.75">
      <c r="B15" s="29" t="s">
        <v>4590</v>
      </c>
      <c r="C15" s="29"/>
      <c r="D15" s="43">
        <v>198</v>
      </c>
      <c r="E15" s="43">
        <v>212</v>
      </c>
      <c r="F15" s="43">
        <v>220</v>
      </c>
      <c r="G15" s="43">
        <v>280</v>
      </c>
      <c r="H15" s="43">
        <v>305</v>
      </c>
      <c r="I15" s="43">
        <v>317</v>
      </c>
      <c r="J15" s="43">
        <v>379</v>
      </c>
      <c r="K15" s="43">
        <v>429</v>
      </c>
      <c r="L15" s="43">
        <v>450</v>
      </c>
      <c r="M15" s="43">
        <v>459</v>
      </c>
      <c r="N15" s="61">
        <v>461</v>
      </c>
    </row>
    <row r="16" spans="2:14" ht="12.75">
      <c r="B16" s="9"/>
      <c r="C16" s="81">
        <v>114</v>
      </c>
      <c r="D16" s="9" t="s">
        <v>4592</v>
      </c>
      <c r="E16" s="9" t="s">
        <v>4592</v>
      </c>
      <c r="F16" s="9" t="s">
        <v>4592</v>
      </c>
      <c r="G16" s="9" t="s">
        <v>4591</v>
      </c>
      <c r="H16" s="9" t="s">
        <v>4591</v>
      </c>
      <c r="I16" s="9" t="s">
        <v>4591</v>
      </c>
      <c r="J16" s="9" t="s">
        <v>4591</v>
      </c>
      <c r="K16" s="9" t="s">
        <v>4591</v>
      </c>
      <c r="L16" s="9" t="s">
        <v>4591</v>
      </c>
      <c r="M16" s="9" t="s">
        <v>4591</v>
      </c>
      <c r="N16" s="14" t="s">
        <v>4591</v>
      </c>
    </row>
    <row r="17" spans="2:14" ht="12.75">
      <c r="B17" s="9"/>
      <c r="C17" s="81">
        <v>133</v>
      </c>
      <c r="D17" s="9" t="s">
        <v>4592</v>
      </c>
      <c r="E17" s="9" t="s">
        <v>4592</v>
      </c>
      <c r="F17" s="9" t="s">
        <v>4592</v>
      </c>
      <c r="G17" s="9" t="s">
        <v>4591</v>
      </c>
      <c r="H17" s="9" t="s">
        <v>4591</v>
      </c>
      <c r="I17" s="9" t="s">
        <v>4591</v>
      </c>
      <c r="J17" s="9" t="s">
        <v>4592</v>
      </c>
      <c r="K17" s="9" t="s">
        <v>4591</v>
      </c>
      <c r="L17" s="9" t="s">
        <v>4593</v>
      </c>
      <c r="M17" s="9" t="s">
        <v>4591</v>
      </c>
      <c r="N17" s="14" t="s">
        <v>4591</v>
      </c>
    </row>
    <row r="18" spans="2:14" ht="12.75">
      <c r="B18" s="9"/>
      <c r="C18" s="81">
        <v>157</v>
      </c>
      <c r="D18" s="9" t="s">
        <v>4593</v>
      </c>
      <c r="E18" s="9" t="s">
        <v>4592</v>
      </c>
      <c r="F18" s="9" t="s">
        <v>4593</v>
      </c>
      <c r="G18" s="9" t="s">
        <v>4591</v>
      </c>
      <c r="H18" s="9" t="s">
        <v>4591</v>
      </c>
      <c r="I18" s="9" t="s">
        <v>4591</v>
      </c>
      <c r="J18" s="9" t="s">
        <v>4591</v>
      </c>
      <c r="K18" s="9" t="s">
        <v>4591</v>
      </c>
      <c r="L18" s="9" t="s">
        <v>4591</v>
      </c>
      <c r="M18" s="9" t="s">
        <v>4591</v>
      </c>
      <c r="N18" s="14" t="s">
        <v>4591</v>
      </c>
    </row>
    <row r="19" spans="2:14" ht="12.75">
      <c r="B19" s="9"/>
      <c r="C19" s="81">
        <v>192</v>
      </c>
      <c r="D19" s="9" t="s">
        <v>4591</v>
      </c>
      <c r="E19" s="9" t="s">
        <v>4591</v>
      </c>
      <c r="F19" s="9" t="s">
        <v>4591</v>
      </c>
      <c r="G19" s="9" t="s">
        <v>4591</v>
      </c>
      <c r="H19" s="9" t="s">
        <v>4591</v>
      </c>
      <c r="I19" s="9" t="s">
        <v>4591</v>
      </c>
      <c r="J19" s="9" t="s">
        <v>4591</v>
      </c>
      <c r="K19" s="9" t="s">
        <v>4591</v>
      </c>
      <c r="L19" s="9" t="s">
        <v>4591</v>
      </c>
      <c r="M19" s="9" t="s">
        <v>4591</v>
      </c>
      <c r="N19" s="14" t="s">
        <v>4591</v>
      </c>
    </row>
    <row r="20" spans="2:14" ht="12.75">
      <c r="B20" s="9"/>
      <c r="C20" s="81">
        <v>202</v>
      </c>
      <c r="D20" s="9" t="s">
        <v>4591</v>
      </c>
      <c r="E20" s="9" t="s">
        <v>4591</v>
      </c>
      <c r="F20" s="9" t="s">
        <v>4591</v>
      </c>
      <c r="G20" s="9" t="s">
        <v>4593</v>
      </c>
      <c r="H20" s="9" t="s">
        <v>4591</v>
      </c>
      <c r="I20" s="9" t="s">
        <v>4591</v>
      </c>
      <c r="J20" s="9" t="s">
        <v>4593</v>
      </c>
      <c r="K20" s="9" t="s">
        <v>4591</v>
      </c>
      <c r="L20" s="9" t="s">
        <v>4593</v>
      </c>
      <c r="M20" s="9" t="s">
        <v>4591</v>
      </c>
      <c r="N20" s="14" t="s">
        <v>4593</v>
      </c>
    </row>
    <row r="21" spans="2:14" ht="12.75">
      <c r="B21" s="9"/>
      <c r="C21" s="81">
        <v>205</v>
      </c>
      <c r="D21" s="9" t="s">
        <v>4591</v>
      </c>
      <c r="E21" s="9" t="s">
        <v>4591</v>
      </c>
      <c r="F21" s="9" t="s">
        <v>4591</v>
      </c>
      <c r="G21" s="9" t="s">
        <v>4591</v>
      </c>
      <c r="H21" s="9" t="s">
        <v>4591</v>
      </c>
      <c r="I21" s="9" t="s">
        <v>4591</v>
      </c>
      <c r="J21" s="9" t="s">
        <v>4591</v>
      </c>
      <c r="K21" s="9" t="s">
        <v>4591</v>
      </c>
      <c r="L21" s="9" t="s">
        <v>4591</v>
      </c>
      <c r="M21" s="9" t="s">
        <v>4591</v>
      </c>
      <c r="N21" s="14" t="s">
        <v>4591</v>
      </c>
    </row>
    <row r="22" spans="2:14" ht="12.75">
      <c r="B22" s="9"/>
      <c r="C22" s="81">
        <v>209</v>
      </c>
      <c r="D22" s="9" t="s">
        <v>4591</v>
      </c>
      <c r="E22" s="9" t="s">
        <v>4591</v>
      </c>
      <c r="F22" s="9" t="s">
        <v>4591</v>
      </c>
      <c r="G22" s="9" t="s">
        <v>4591</v>
      </c>
      <c r="H22" s="9" t="s">
        <v>4591</v>
      </c>
      <c r="I22" s="9" t="s">
        <v>4593</v>
      </c>
      <c r="J22" s="9" t="s">
        <v>4591</v>
      </c>
      <c r="K22" s="9" t="s">
        <v>4591</v>
      </c>
      <c r="L22" s="9" t="s">
        <v>4591</v>
      </c>
      <c r="M22" s="9" t="s">
        <v>4591</v>
      </c>
      <c r="N22" s="14" t="s">
        <v>4591</v>
      </c>
    </row>
    <row r="23" spans="2:14" ht="12.75">
      <c r="B23" s="9"/>
      <c r="C23" s="81">
        <v>216</v>
      </c>
      <c r="D23" s="9" t="s">
        <v>4592</v>
      </c>
      <c r="E23" s="9" t="s">
        <v>4592</v>
      </c>
      <c r="F23" s="9" t="s">
        <v>4592</v>
      </c>
      <c r="G23" s="9" t="s">
        <v>4591</v>
      </c>
      <c r="H23" s="9" t="s">
        <v>4591</v>
      </c>
      <c r="I23" s="9" t="s">
        <v>4591</v>
      </c>
      <c r="J23" s="9" t="s">
        <v>4591</v>
      </c>
      <c r="K23" s="9" t="s">
        <v>4591</v>
      </c>
      <c r="L23" s="9" t="s">
        <v>4591</v>
      </c>
      <c r="M23" s="9" t="s">
        <v>4591</v>
      </c>
      <c r="N23" s="14" t="s">
        <v>4591</v>
      </c>
    </row>
    <row r="24" spans="2:14" ht="12.75">
      <c r="B24" s="9"/>
      <c r="C24" s="81">
        <v>220</v>
      </c>
      <c r="D24" s="9" t="s">
        <v>4592</v>
      </c>
      <c r="E24" s="9" t="s">
        <v>4592</v>
      </c>
      <c r="F24" s="9" t="s">
        <v>4592</v>
      </c>
      <c r="G24" s="9" t="s">
        <v>4591</v>
      </c>
      <c r="H24" s="9" t="s">
        <v>4591</v>
      </c>
      <c r="I24" s="9" t="s">
        <v>4591</v>
      </c>
      <c r="J24" s="9" t="s">
        <v>4591</v>
      </c>
      <c r="K24" s="9" t="s">
        <v>4591</v>
      </c>
      <c r="L24" s="9" t="s">
        <v>4591</v>
      </c>
      <c r="M24" s="9" t="s">
        <v>4591</v>
      </c>
      <c r="N24" s="14" t="s">
        <v>4591</v>
      </c>
    </row>
    <row r="25" spans="2:14" ht="12.75">
      <c r="B25" s="9"/>
      <c r="C25" s="81">
        <v>221</v>
      </c>
      <c r="D25" s="9" t="s">
        <v>4591</v>
      </c>
      <c r="E25" s="9" t="s">
        <v>4591</v>
      </c>
      <c r="F25" s="9" t="s">
        <v>4591</v>
      </c>
      <c r="G25" s="9" t="s">
        <v>4591</v>
      </c>
      <c r="H25" s="9" t="s">
        <v>4591</v>
      </c>
      <c r="I25" s="9" t="s">
        <v>4591</v>
      </c>
      <c r="J25" s="9" t="s">
        <v>4592</v>
      </c>
      <c r="K25" s="9" t="s">
        <v>4591</v>
      </c>
      <c r="L25" s="9" t="s">
        <v>4593</v>
      </c>
      <c r="M25" s="9" t="s">
        <v>4591</v>
      </c>
      <c r="N25" s="14" t="s">
        <v>4591</v>
      </c>
    </row>
    <row r="26" spans="2:14" ht="12.75">
      <c r="B26" s="9"/>
      <c r="C26" s="81">
        <v>225</v>
      </c>
      <c r="D26" s="9" t="s">
        <v>4592</v>
      </c>
      <c r="E26" s="9" t="s">
        <v>4592</v>
      </c>
      <c r="F26" s="9" t="s">
        <v>4592</v>
      </c>
      <c r="G26" s="9" t="s">
        <v>4593</v>
      </c>
      <c r="H26" s="9" t="s">
        <v>4592</v>
      </c>
      <c r="I26" s="9" t="s">
        <v>4591</v>
      </c>
      <c r="J26" s="9" t="s">
        <v>4592</v>
      </c>
      <c r="K26" s="9" t="s">
        <v>4592</v>
      </c>
      <c r="L26" s="9" t="s">
        <v>4592</v>
      </c>
      <c r="M26" s="9" t="s">
        <v>4591</v>
      </c>
      <c r="N26" s="14" t="s">
        <v>4592</v>
      </c>
    </row>
    <row r="27" spans="2:14" ht="12.75">
      <c r="B27" s="9"/>
      <c r="C27" s="81">
        <v>232</v>
      </c>
      <c r="D27" s="9" t="s">
        <v>4593</v>
      </c>
      <c r="E27" s="9" t="s">
        <v>4592</v>
      </c>
      <c r="F27" s="9" t="s">
        <v>4593</v>
      </c>
      <c r="G27" s="9" t="s">
        <v>4592</v>
      </c>
      <c r="H27" s="9" t="s">
        <v>4592</v>
      </c>
      <c r="I27" s="9" t="s">
        <v>4591</v>
      </c>
      <c r="J27" s="9" t="s">
        <v>4592</v>
      </c>
      <c r="K27" s="9" t="s">
        <v>4592</v>
      </c>
      <c r="L27" s="9" t="s">
        <v>4592</v>
      </c>
      <c r="M27" s="9" t="s">
        <v>4591</v>
      </c>
      <c r="N27" s="14" t="s">
        <v>4592</v>
      </c>
    </row>
    <row r="28" spans="2:14" ht="12.75">
      <c r="B28" s="9"/>
      <c r="C28" s="81">
        <v>239</v>
      </c>
      <c r="D28" s="9" t="s">
        <v>4591</v>
      </c>
      <c r="E28" s="9" t="s">
        <v>4591</v>
      </c>
      <c r="F28" s="9" t="s">
        <v>4591</v>
      </c>
      <c r="G28" s="9" t="s">
        <v>4591</v>
      </c>
      <c r="H28" s="9" t="s">
        <v>4592</v>
      </c>
      <c r="I28" s="9" t="s">
        <v>4591</v>
      </c>
      <c r="J28" s="9" t="s">
        <v>4591</v>
      </c>
      <c r="K28" s="9" t="s">
        <v>4591</v>
      </c>
      <c r="L28" s="9" t="s">
        <v>4591</v>
      </c>
      <c r="M28" s="9" t="s">
        <v>4591</v>
      </c>
      <c r="N28" s="14" t="s">
        <v>4591</v>
      </c>
    </row>
    <row r="29" spans="2:14" ht="12.75">
      <c r="B29" s="9"/>
      <c r="C29" s="81">
        <v>250</v>
      </c>
      <c r="D29" s="9" t="s">
        <v>4591</v>
      </c>
      <c r="E29" s="9" t="s">
        <v>4591</v>
      </c>
      <c r="F29" s="9" t="s">
        <v>4591</v>
      </c>
      <c r="G29" s="9" t="s">
        <v>4591</v>
      </c>
      <c r="H29" s="9" t="s">
        <v>4591</v>
      </c>
      <c r="I29" s="9" t="s">
        <v>4591</v>
      </c>
      <c r="J29" s="9" t="s">
        <v>4591</v>
      </c>
      <c r="K29" s="9" t="s">
        <v>4591</v>
      </c>
      <c r="L29" s="9" t="s">
        <v>4591</v>
      </c>
      <c r="M29" s="9" t="s">
        <v>4591</v>
      </c>
      <c r="N29" s="14" t="s">
        <v>4591</v>
      </c>
    </row>
    <row r="30" spans="2:14" ht="12.75">
      <c r="B30" s="9"/>
      <c r="C30" s="81">
        <v>253</v>
      </c>
      <c r="D30" s="9" t="s">
        <v>4591</v>
      </c>
      <c r="E30" s="9" t="s">
        <v>4591</v>
      </c>
      <c r="F30" s="9" t="s">
        <v>4591</v>
      </c>
      <c r="G30" s="9" t="s">
        <v>4591</v>
      </c>
      <c r="H30" s="9" t="s">
        <v>4591</v>
      </c>
      <c r="I30" s="9" t="s">
        <v>4591</v>
      </c>
      <c r="J30" s="9" t="s">
        <v>4591</v>
      </c>
      <c r="K30" s="9" t="s">
        <v>4591</v>
      </c>
      <c r="L30" s="9" t="s">
        <v>4593</v>
      </c>
      <c r="M30" s="9" t="s">
        <v>4591</v>
      </c>
      <c r="N30" s="14" t="s">
        <v>4591</v>
      </c>
    </row>
    <row r="31" spans="2:14" ht="12.75">
      <c r="B31" s="9"/>
      <c r="C31" s="81">
        <v>258</v>
      </c>
      <c r="D31" s="9" t="s">
        <v>4591</v>
      </c>
      <c r="E31" s="9" t="s">
        <v>4591</v>
      </c>
      <c r="F31" s="9" t="s">
        <v>4591</v>
      </c>
      <c r="G31" s="9" t="s">
        <v>4591</v>
      </c>
      <c r="H31" s="9" t="s">
        <v>4591</v>
      </c>
      <c r="I31" s="9" t="s">
        <v>4591</v>
      </c>
      <c r="J31" s="9" t="s">
        <v>4591</v>
      </c>
      <c r="K31" s="9" t="s">
        <v>4591</v>
      </c>
      <c r="L31" s="9" t="s">
        <v>4591</v>
      </c>
      <c r="M31" s="9" t="s">
        <v>4591</v>
      </c>
      <c r="N31" s="14" t="s">
        <v>4593</v>
      </c>
    </row>
    <row r="32" spans="2:14" ht="12.75">
      <c r="B32" s="9"/>
      <c r="C32" s="81">
        <v>259</v>
      </c>
      <c r="D32" s="9" t="s">
        <v>4591</v>
      </c>
      <c r="E32" s="9" t="s">
        <v>4591</v>
      </c>
      <c r="F32" s="9" t="s">
        <v>4591</v>
      </c>
      <c r="G32" s="9" t="s">
        <v>4591</v>
      </c>
      <c r="H32" s="9" t="s">
        <v>4591</v>
      </c>
      <c r="I32" s="9" t="s">
        <v>4591</v>
      </c>
      <c r="J32" s="9" t="s">
        <v>4591</v>
      </c>
      <c r="K32" s="9" t="s">
        <v>4591</v>
      </c>
      <c r="L32" s="9" t="s">
        <v>4591</v>
      </c>
      <c r="M32" s="9" t="s">
        <v>4591</v>
      </c>
      <c r="N32" s="14" t="s">
        <v>4591</v>
      </c>
    </row>
    <row r="33" spans="2:14" ht="12.75">
      <c r="B33" s="9"/>
      <c r="C33" s="81">
        <v>262</v>
      </c>
      <c r="D33" s="9" t="s">
        <v>4591</v>
      </c>
      <c r="E33" s="9" t="s">
        <v>4591</v>
      </c>
      <c r="F33" s="9" t="s">
        <v>4591</v>
      </c>
      <c r="G33" s="9" t="s">
        <v>4591</v>
      </c>
      <c r="H33" s="9" t="s">
        <v>4591</v>
      </c>
      <c r="I33" s="9" t="s">
        <v>4591</v>
      </c>
      <c r="J33" s="9" t="s">
        <v>4591</v>
      </c>
      <c r="K33" s="9" t="s">
        <v>4591</v>
      </c>
      <c r="L33" s="9" t="s">
        <v>4591</v>
      </c>
      <c r="M33" s="9" t="s">
        <v>4591</v>
      </c>
      <c r="N33" s="14" t="s">
        <v>4591</v>
      </c>
    </row>
    <row r="34" spans="2:14" ht="12.75">
      <c r="B34" s="9"/>
      <c r="C34" s="81">
        <v>263</v>
      </c>
      <c r="D34" s="9" t="s">
        <v>4591</v>
      </c>
      <c r="E34" s="9" t="s">
        <v>4595</v>
      </c>
      <c r="F34" s="9" t="s">
        <v>4591</v>
      </c>
      <c r="G34" s="9" t="s">
        <v>4591</v>
      </c>
      <c r="H34" s="9" t="s">
        <v>4591</v>
      </c>
      <c r="I34" s="9" t="s">
        <v>4591</v>
      </c>
      <c r="J34" s="9" t="s">
        <v>4591</v>
      </c>
      <c r="K34" s="9" t="s">
        <v>4591</v>
      </c>
      <c r="L34" s="9" t="s">
        <v>4591</v>
      </c>
      <c r="M34" s="9" t="s">
        <v>4591</v>
      </c>
      <c r="N34" s="14" t="s">
        <v>4591</v>
      </c>
    </row>
    <row r="35" spans="2:14" ht="12.75">
      <c r="B35" s="9"/>
      <c r="C35" s="81">
        <v>265</v>
      </c>
      <c r="D35" s="9" t="s">
        <v>4591</v>
      </c>
      <c r="E35" s="9" t="s">
        <v>4591</v>
      </c>
      <c r="F35" s="9" t="s">
        <v>4591</v>
      </c>
      <c r="G35" s="9" t="s">
        <v>4593</v>
      </c>
      <c r="H35" s="9" t="s">
        <v>4591</v>
      </c>
      <c r="I35" s="9" t="s">
        <v>4591</v>
      </c>
      <c r="J35" s="9" t="s">
        <v>4591</v>
      </c>
      <c r="K35" s="9" t="s">
        <v>4591</v>
      </c>
      <c r="L35" s="9" t="s">
        <v>4591</v>
      </c>
      <c r="M35" s="9" t="s">
        <v>4591</v>
      </c>
      <c r="N35" s="14" t="s">
        <v>4591</v>
      </c>
    </row>
    <row r="36" spans="2:14" ht="12.75">
      <c r="B36" s="9"/>
      <c r="C36" s="81">
        <v>267</v>
      </c>
      <c r="D36" s="9" t="s">
        <v>4592</v>
      </c>
      <c r="E36" s="9" t="s">
        <v>4592</v>
      </c>
      <c r="F36" s="9" t="s">
        <v>4592</v>
      </c>
      <c r="G36" s="9" t="s">
        <v>4592</v>
      </c>
      <c r="H36" s="9" t="s">
        <v>4592</v>
      </c>
      <c r="I36" s="9" t="s">
        <v>4591</v>
      </c>
      <c r="J36" s="9" t="s">
        <v>4592</v>
      </c>
      <c r="K36" s="9" t="s">
        <v>4592</v>
      </c>
      <c r="L36" s="9" t="s">
        <v>4592</v>
      </c>
      <c r="M36" s="9" t="s">
        <v>4591</v>
      </c>
      <c r="N36" s="14" t="s">
        <v>4592</v>
      </c>
    </row>
    <row r="37" spans="2:14" ht="12.75">
      <c r="B37" s="9"/>
      <c r="C37" s="81">
        <v>271</v>
      </c>
      <c r="D37" s="9" t="s">
        <v>4591</v>
      </c>
      <c r="E37" s="9" t="s">
        <v>4591</v>
      </c>
      <c r="F37" s="9" t="s">
        <v>4591</v>
      </c>
      <c r="G37" s="9" t="s">
        <v>4591</v>
      </c>
      <c r="H37" s="9" t="s">
        <v>4591</v>
      </c>
      <c r="I37" s="9" t="s">
        <v>4591</v>
      </c>
      <c r="J37" s="9" t="s">
        <v>4591</v>
      </c>
      <c r="K37" s="9" t="s">
        <v>4591</v>
      </c>
      <c r="L37" s="9" t="s">
        <v>4591</v>
      </c>
      <c r="M37" s="9" t="s">
        <v>4591</v>
      </c>
      <c r="N37" s="14" t="s">
        <v>4591</v>
      </c>
    </row>
    <row r="38" spans="2:14" ht="12.75">
      <c r="B38" s="9"/>
      <c r="C38" s="81">
        <v>274</v>
      </c>
      <c r="D38" s="9" t="s">
        <v>4591</v>
      </c>
      <c r="E38" s="9" t="s">
        <v>4591</v>
      </c>
      <c r="F38" s="9" t="s">
        <v>4591</v>
      </c>
      <c r="G38" s="9" t="s">
        <v>4591</v>
      </c>
      <c r="H38" s="9" t="s">
        <v>4591</v>
      </c>
      <c r="I38" s="9" t="s">
        <v>4591</v>
      </c>
      <c r="J38" s="9" t="s">
        <v>4591</v>
      </c>
      <c r="K38" s="9" t="s">
        <v>4591</v>
      </c>
      <c r="L38" s="9" t="s">
        <v>4591</v>
      </c>
      <c r="M38" s="9" t="s">
        <v>4591</v>
      </c>
      <c r="N38" s="14" t="s">
        <v>4591</v>
      </c>
    </row>
    <row r="39" spans="2:14" ht="12.75">
      <c r="B39" s="9"/>
      <c r="C39" s="81">
        <v>316</v>
      </c>
      <c r="D39" s="9" t="s">
        <v>4591</v>
      </c>
      <c r="E39" s="9" t="s">
        <v>4591</v>
      </c>
      <c r="F39" s="9" t="s">
        <v>4591</v>
      </c>
      <c r="G39" s="9" t="s">
        <v>4591</v>
      </c>
      <c r="H39" s="9" t="s">
        <v>4591</v>
      </c>
      <c r="I39" s="9" t="s">
        <v>4591</v>
      </c>
      <c r="J39" s="9" t="s">
        <v>4591</v>
      </c>
      <c r="K39" s="9" t="s">
        <v>4591</v>
      </c>
      <c r="L39" s="9" t="s">
        <v>4591</v>
      </c>
      <c r="M39" s="9" t="s">
        <v>4591</v>
      </c>
      <c r="N39" s="14" t="s">
        <v>4591</v>
      </c>
    </row>
    <row r="40" spans="2:14" ht="12.75">
      <c r="B40" s="9"/>
      <c r="C40" s="81">
        <v>319</v>
      </c>
      <c r="D40" s="9" t="s">
        <v>4591</v>
      </c>
      <c r="E40" s="9" t="s">
        <v>4591</v>
      </c>
      <c r="F40" s="9" t="s">
        <v>4591</v>
      </c>
      <c r="G40" s="9" t="s">
        <v>4591</v>
      </c>
      <c r="H40" s="9" t="s">
        <v>4591</v>
      </c>
      <c r="I40" s="9" t="s">
        <v>4591</v>
      </c>
      <c r="J40" s="9" t="s">
        <v>4591</v>
      </c>
      <c r="K40" s="9" t="s">
        <v>4595</v>
      </c>
      <c r="L40" s="9" t="s">
        <v>4591</v>
      </c>
      <c r="M40" s="9" t="s">
        <v>4591</v>
      </c>
      <c r="N40" s="14" t="s">
        <v>4591</v>
      </c>
    </row>
    <row r="41" spans="2:14" ht="12.75">
      <c r="B41" s="9"/>
      <c r="C41" s="81">
        <v>320</v>
      </c>
      <c r="D41" s="9" t="s">
        <v>4595</v>
      </c>
      <c r="E41" s="9" t="s">
        <v>4591</v>
      </c>
      <c r="F41" s="9" t="s">
        <v>4595</v>
      </c>
      <c r="G41" s="9" t="s">
        <v>4591</v>
      </c>
      <c r="H41" s="9" t="s">
        <v>4591</v>
      </c>
      <c r="I41" s="9" t="s">
        <v>4591</v>
      </c>
      <c r="J41" s="9" t="s">
        <v>4591</v>
      </c>
      <c r="K41" s="9" t="s">
        <v>4591</v>
      </c>
      <c r="L41" s="9" t="s">
        <v>4591</v>
      </c>
      <c r="M41" s="9" t="s">
        <v>4591</v>
      </c>
      <c r="N41" s="14" t="s">
        <v>4591</v>
      </c>
    </row>
    <row r="42" spans="2:14" ht="12.75">
      <c r="B42" s="9"/>
      <c r="C42" s="81">
        <v>323</v>
      </c>
      <c r="D42" s="9" t="s">
        <v>4591</v>
      </c>
      <c r="E42" s="9" t="s">
        <v>4591</v>
      </c>
      <c r="F42" s="9" t="s">
        <v>4591</v>
      </c>
      <c r="G42" s="9" t="s">
        <v>4591</v>
      </c>
      <c r="H42" s="9" t="s">
        <v>4591</v>
      </c>
      <c r="I42" s="9" t="s">
        <v>4591</v>
      </c>
      <c r="J42" s="9" t="s">
        <v>4591</v>
      </c>
      <c r="K42" s="9" t="s">
        <v>4591</v>
      </c>
      <c r="L42" s="9" t="s">
        <v>4591</v>
      </c>
      <c r="M42" s="9" t="s">
        <v>4591</v>
      </c>
      <c r="N42" s="14" t="s">
        <v>4591</v>
      </c>
    </row>
    <row r="43" spans="2:14" ht="12.75">
      <c r="B43" s="9"/>
      <c r="C43" s="81">
        <v>326</v>
      </c>
      <c r="D43" s="9" t="s">
        <v>4591</v>
      </c>
      <c r="E43" s="9" t="s">
        <v>4591</v>
      </c>
      <c r="F43" s="9" t="s">
        <v>4591</v>
      </c>
      <c r="G43" s="9" t="s">
        <v>4592</v>
      </c>
      <c r="H43" s="9" t="s">
        <v>4591</v>
      </c>
      <c r="I43" s="9" t="s">
        <v>4591</v>
      </c>
      <c r="J43" s="9" t="s">
        <v>4591</v>
      </c>
      <c r="K43" s="9" t="s">
        <v>4591</v>
      </c>
      <c r="L43" s="9" t="s">
        <v>4591</v>
      </c>
      <c r="M43" s="9" t="s">
        <v>4591</v>
      </c>
      <c r="N43" s="14" t="s">
        <v>4591</v>
      </c>
    </row>
    <row r="44" spans="2:14" ht="12.75">
      <c r="B44" s="9"/>
      <c r="C44" s="81">
        <v>329</v>
      </c>
      <c r="D44" s="9" t="s">
        <v>4591</v>
      </c>
      <c r="E44" s="9" t="s">
        <v>4591</v>
      </c>
      <c r="F44" s="9" t="s">
        <v>4591</v>
      </c>
      <c r="G44" s="9" t="s">
        <v>4591</v>
      </c>
      <c r="H44" s="9" t="s">
        <v>4591</v>
      </c>
      <c r="I44" s="9" t="s">
        <v>4591</v>
      </c>
      <c r="J44" s="9" t="s">
        <v>4591</v>
      </c>
      <c r="K44" s="9" t="s">
        <v>4591</v>
      </c>
      <c r="L44" s="9" t="s">
        <v>4591</v>
      </c>
      <c r="M44" s="9" t="s">
        <v>4591</v>
      </c>
      <c r="N44" s="14" t="s">
        <v>4591</v>
      </c>
    </row>
    <row r="45" spans="2:14" ht="12.75">
      <c r="B45" s="9"/>
      <c r="C45" s="81">
        <v>331</v>
      </c>
      <c r="D45" s="9" t="s">
        <v>4591</v>
      </c>
      <c r="E45" s="9" t="s">
        <v>4591</v>
      </c>
      <c r="F45" s="9" t="s">
        <v>4591</v>
      </c>
      <c r="G45" s="9" t="s">
        <v>4591</v>
      </c>
      <c r="H45" s="9" t="s">
        <v>4591</v>
      </c>
      <c r="I45" s="9" t="s">
        <v>4591</v>
      </c>
      <c r="J45" s="9" t="s">
        <v>4591</v>
      </c>
      <c r="K45" s="9" t="s">
        <v>4591</v>
      </c>
      <c r="L45" s="9" t="s">
        <v>4591</v>
      </c>
      <c r="M45" s="9" t="s">
        <v>4591</v>
      </c>
      <c r="N45" s="14" t="s">
        <v>4592</v>
      </c>
    </row>
    <row r="46" spans="2:14" ht="12.75">
      <c r="B46" s="9"/>
      <c r="C46" s="81">
        <v>333</v>
      </c>
      <c r="D46" s="9" t="s">
        <v>4591</v>
      </c>
      <c r="E46" s="9" t="s">
        <v>4591</v>
      </c>
      <c r="F46" s="9" t="s">
        <v>4591</v>
      </c>
      <c r="G46" s="9" t="s">
        <v>4591</v>
      </c>
      <c r="H46" s="9" t="s">
        <v>4591</v>
      </c>
      <c r="I46" s="9" t="s">
        <v>4591</v>
      </c>
      <c r="J46" s="9" t="s">
        <v>4591</v>
      </c>
      <c r="K46" s="9" t="s">
        <v>4591</v>
      </c>
      <c r="L46" s="9" t="s">
        <v>4591</v>
      </c>
      <c r="M46" s="9" t="s">
        <v>4591</v>
      </c>
      <c r="N46" s="14" t="s">
        <v>4591</v>
      </c>
    </row>
    <row r="47" spans="2:14" ht="12.75">
      <c r="B47" s="9"/>
      <c r="C47" s="81">
        <v>334</v>
      </c>
      <c r="D47" s="9" t="s">
        <v>4591</v>
      </c>
      <c r="E47" s="9" t="s">
        <v>4591</v>
      </c>
      <c r="F47" s="9" t="s">
        <v>4591</v>
      </c>
      <c r="G47" s="9" t="s">
        <v>4592</v>
      </c>
      <c r="H47" s="9" t="s">
        <v>4592</v>
      </c>
      <c r="I47" s="9" t="s">
        <v>4591</v>
      </c>
      <c r="J47" s="9" t="s">
        <v>4592</v>
      </c>
      <c r="K47" s="9" t="s">
        <v>4593</v>
      </c>
      <c r="L47" s="9" t="s">
        <v>4593</v>
      </c>
      <c r="M47" s="9" t="s">
        <v>4591</v>
      </c>
      <c r="N47" s="14" t="s">
        <v>4593</v>
      </c>
    </row>
    <row r="48" spans="2:14" ht="12.75">
      <c r="B48" s="9"/>
      <c r="C48" s="82">
        <v>361</v>
      </c>
      <c r="D48" s="21" t="s">
        <v>4591</v>
      </c>
      <c r="E48" s="21" t="s">
        <v>4591</v>
      </c>
      <c r="F48" s="21" t="s">
        <v>4591</v>
      </c>
      <c r="G48" s="21" t="s">
        <v>4591</v>
      </c>
      <c r="H48" s="21" t="s">
        <v>4591</v>
      </c>
      <c r="I48" s="21" t="s">
        <v>4591</v>
      </c>
      <c r="J48" s="21" t="s">
        <v>4591</v>
      </c>
      <c r="K48" s="21" t="s">
        <v>4591</v>
      </c>
      <c r="L48" s="21" t="s">
        <v>4591</v>
      </c>
      <c r="M48" s="21" t="s">
        <v>4591</v>
      </c>
      <c r="N48" s="38" t="s">
        <v>4591</v>
      </c>
    </row>
    <row r="51" spans="2:8" ht="13.5" thickBot="1">
      <c r="B51" s="219" t="s">
        <v>4604</v>
      </c>
      <c r="C51" s="201"/>
      <c r="D51" s="45">
        <v>167</v>
      </c>
    </row>
    <row r="52" spans="2:8" ht="13.5" thickTop="1">
      <c r="B52" s="134" t="s">
        <v>4594</v>
      </c>
      <c r="C52" s="135" t="s">
        <v>44</v>
      </c>
      <c r="D52" s="135" t="s">
        <v>110</v>
      </c>
      <c r="E52" s="136" t="s">
        <v>2</v>
      </c>
      <c r="F52" s="229" t="s">
        <v>4612</v>
      </c>
      <c r="G52" s="229"/>
      <c r="H52" s="230"/>
    </row>
    <row r="53" spans="2:8" ht="12.75">
      <c r="B53" s="137" t="s">
        <v>4589</v>
      </c>
      <c r="C53" s="93">
        <v>133</v>
      </c>
      <c r="D53" s="93" t="s">
        <v>3187</v>
      </c>
      <c r="E53" s="93" t="str">
        <f>IF($B53 = "Mutant",VLOOKUP($C53,Mutants!$A$2:$L$560,12,FALSE),IF($B53 = "Test",VLOOKUP($C53,Tests!$A$2:$L$841,12,FALSE),VLOOKUP($C53,Questions!$A$3:$N$174,9,FALSE)))</f>
        <v>Y</v>
      </c>
      <c r="F53" s="205" t="str">
        <f>IF($B53 = "Mutant",VLOOKUP($C53,Mutants!$A$2:$L$560,11,FALSE),IF($B53 = "Test",VLOOKUP($C53,Tests!$A$2:$L$841,11,FALSE),VLOOKUP($C53,Questions!$A$3:$N$174,13,FALSE)))</f>
        <v xml:space="preserve">addOptionGroup, getOption
</v>
      </c>
      <c r="G53" s="205"/>
      <c r="H53" s="206"/>
    </row>
    <row r="54" spans="2:8" ht="12.75">
      <c r="B54" s="114" t="s">
        <v>4589</v>
      </c>
      <c r="C54" s="9">
        <v>192</v>
      </c>
      <c r="D54" s="9" t="s">
        <v>3354</v>
      </c>
      <c r="E54" s="9" t="str">
        <f>IF($B54 = "Mutant",VLOOKUP($C54,Mutants!$A$2:$L$560,12,FALSE),IF($B54 = "Test",VLOOKUP($C54,Tests!$A$2:$L$841,12,FALSE),VLOOKUP($C54,Questions!$A$3:$N$174,9,FALSE)))</f>
        <v>Y</v>
      </c>
      <c r="F54" s="187" t="str">
        <f>IF($B54 = "Mutant",VLOOKUP($C54,Mutants!$A$2:$L$560,11,FALSE),IF($B54 = "Test",VLOOKUP($C54,Tests!$A$2:$L$841,11,FALSE),VLOOKUP($C54,Questions!$A$3:$N$174,13,FALSE)))</f>
        <v xml:space="preserve">getMatchingOptions
</v>
      </c>
      <c r="G54" s="187"/>
      <c r="H54" s="202"/>
    </row>
    <row r="55" spans="2:8" ht="12.75">
      <c r="B55" s="114" t="s">
        <v>4590</v>
      </c>
      <c r="C55" s="9">
        <v>238</v>
      </c>
      <c r="D55" s="9" t="s">
        <v>1057</v>
      </c>
      <c r="E55" s="9" t="str">
        <f>IF($B55 = "Mutant",VLOOKUP($C55,Mutants!$A$2:$L$560,12,FALSE),IF($B55 = "Test",VLOOKUP($C55,Tests!$A$2:$L$841,12,FALSE),VLOOKUP($C55,Questions!$A$3:$N$174,9,FALSE)))</f>
        <v>N</v>
      </c>
      <c r="F55" s="187" t="str">
        <f>IF($B55 = "Mutant",VLOOKUP($C55,Mutants!$A$2:$L$560,11,FALSE),IF($B55 = "Test",VLOOKUP($C55,Tests!$A$2:$L$841,11,FALSE),VLOOKUP($C55,Questions!$A$3:$N$174,13,FALSE)))</f>
        <v xml:space="preserve">
</v>
      </c>
      <c r="G55" s="187"/>
      <c r="H55" s="202"/>
    </row>
    <row r="56" spans="2:8" ht="12.75">
      <c r="B56" s="114" t="s">
        <v>4590</v>
      </c>
      <c r="C56" s="9">
        <v>241</v>
      </c>
      <c r="D56" s="9" t="s">
        <v>1068</v>
      </c>
      <c r="E56" s="9" t="str">
        <f>IF($B56 = "Mutant",VLOOKUP($C56,Mutants!$A$2:$L$560,12,FALSE),IF($B56 = "Test",VLOOKUP($C56,Tests!$A$2:$L$841,12,FALSE),VLOOKUP($C56,Questions!$A$3:$N$174,9,FALSE)))</f>
        <v>N</v>
      </c>
      <c r="F56" s="187" t="str">
        <f>IF($B56 = "Mutant",VLOOKUP($C56,Mutants!$A$2:$L$560,11,FALSE),IF($B56 = "Test",VLOOKUP($C56,Tests!$A$2:$L$841,11,FALSE),VLOOKUP($C56,Questions!$A$3:$N$174,13,FALSE)))</f>
        <v xml:space="preserve">
</v>
      </c>
      <c r="G56" s="187"/>
      <c r="H56" s="202"/>
    </row>
    <row r="57" spans="2:8" ht="12.75">
      <c r="B57" s="114" t="s">
        <v>4590</v>
      </c>
      <c r="C57" s="9">
        <v>244</v>
      </c>
      <c r="D57" s="9" t="s">
        <v>1075</v>
      </c>
      <c r="E57" s="9" t="str">
        <f>IF($B57 = "Mutant",VLOOKUP($C57,Mutants!$A$2:$L$560,12,FALSE),IF($B57 = "Test",VLOOKUP($C57,Tests!$A$2:$L$841,12,FALSE),VLOOKUP($C57,Questions!$A$3:$N$174,9,FALSE)))</f>
        <v>N</v>
      </c>
      <c r="F57" s="187" t="str">
        <f>IF($B57 = "Mutant",VLOOKUP($C57,Mutants!$A$2:$L$560,11,FALSE),IF($B57 = "Test",VLOOKUP($C57,Tests!$A$2:$L$841,11,FALSE),VLOOKUP($C57,Questions!$A$3:$N$174,13,FALSE)))</f>
        <v xml:space="preserve">
</v>
      </c>
      <c r="G57" s="187"/>
      <c r="H57" s="202"/>
    </row>
    <row r="58" spans="2:8" ht="12.75">
      <c r="B58" s="114" t="s">
        <v>4590</v>
      </c>
      <c r="C58" s="9">
        <v>300</v>
      </c>
      <c r="D58" s="9" t="s">
        <v>1237</v>
      </c>
      <c r="E58" s="9" t="str">
        <f>IF($B58 = "Mutant",VLOOKUP($C58,Mutants!$A$2:$L$560,12,FALSE),IF($B58 = "Test",VLOOKUP($C58,Tests!$A$2:$L$841,12,FALSE),VLOOKUP($C58,Questions!$A$3:$N$174,9,FALSE)))</f>
        <v>N</v>
      </c>
      <c r="F58" s="187" t="str">
        <f>IF($B58 = "Mutant",VLOOKUP($C58,Mutants!$A$2:$L$560,11,FALSE),IF($B58 = "Test",VLOOKUP($C58,Tests!$A$2:$L$841,11,FALSE),VLOOKUP($C58,Questions!$A$3:$N$174,13,FALSE)))</f>
        <v xml:space="preserve">
</v>
      </c>
      <c r="G58" s="187"/>
      <c r="H58" s="202"/>
    </row>
    <row r="59" spans="2:8" ht="12.75">
      <c r="B59" s="114" t="s">
        <v>4590</v>
      </c>
      <c r="C59" s="9">
        <v>307</v>
      </c>
      <c r="D59" s="9" t="s">
        <v>1261</v>
      </c>
      <c r="E59" s="9" t="str">
        <f>IF($B59 = "Mutant",VLOOKUP($C59,Mutants!$A$2:$L$560,12,FALSE),IF($B59 = "Test",VLOOKUP($C59,Tests!$A$2:$L$841,12,FALSE),VLOOKUP($C59,Questions!$A$3:$N$174,9,FALSE)))</f>
        <v>Y</v>
      </c>
      <c r="F59" s="187" t="str">
        <f>IF($B59 = "Mutant",VLOOKUP($C59,Mutants!$A$2:$L$560,11,FALSE),IF($B59 = "Test",VLOOKUP($C59,Tests!$A$2:$L$841,11,FALSE),VLOOKUP($C59,Questions!$A$3:$N$174,13,FALSE)))</f>
        <v xml:space="preserve">toString
</v>
      </c>
      <c r="G59" s="187"/>
      <c r="H59" s="202"/>
    </row>
    <row r="60" spans="2:8" ht="12.75">
      <c r="B60" s="114" t="s">
        <v>4590</v>
      </c>
      <c r="C60" s="9">
        <v>317</v>
      </c>
      <c r="D60" s="9" t="s">
        <v>1289</v>
      </c>
      <c r="E60" s="9" t="str">
        <f>IF($B60 = "Mutant",VLOOKUP($C60,Mutants!$A$2:$L$560,12,FALSE),IF($B60 = "Test",VLOOKUP($C60,Tests!$A$2:$L$841,12,FALSE),VLOOKUP($C60,Questions!$A$3:$N$174,9,FALSE)))</f>
        <v>Y</v>
      </c>
      <c r="F60" s="187" t="str">
        <f>IF($B60 = "Mutant",VLOOKUP($C60,Mutants!$A$2:$L$560,11,FALSE),IF($B60 = "Test",VLOOKUP($C60,Tests!$A$2:$L$841,11,FALSE),VLOOKUP($C60,Questions!$A$3:$N$174,13,FALSE)))</f>
        <v xml:space="preserve">toString
</v>
      </c>
      <c r="G60" s="187"/>
      <c r="H60" s="202"/>
    </row>
    <row r="61" spans="2:8" ht="12.75">
      <c r="B61" s="114" t="s">
        <v>4590</v>
      </c>
      <c r="C61" s="9">
        <v>365</v>
      </c>
      <c r="D61" s="9" t="s">
        <v>1419</v>
      </c>
      <c r="E61" s="9" t="str">
        <f>IF($B61 = "Mutant",VLOOKUP($C61,Mutants!$A$2:$L$560,12,FALSE),IF($B61 = "Test",VLOOKUP($C61,Tests!$A$2:$L$841,12,FALSE),VLOOKUP($C61,Questions!$A$3:$N$174,9,FALSE)))</f>
        <v>N</v>
      </c>
      <c r="F61" s="187" t="str">
        <f>IF($B61 = "Mutant",VLOOKUP($C61,Mutants!$A$2:$L$560,11,FALSE),IF($B61 = "Test",VLOOKUP($C61,Tests!$A$2:$L$841,11,FALSE),VLOOKUP($C61,Questions!$A$3:$N$174,13,FALSE)))</f>
        <v xml:space="preserve">
</v>
      </c>
      <c r="G61" s="187"/>
      <c r="H61" s="202"/>
    </row>
    <row r="62" spans="2:8" ht="12.75">
      <c r="B62" s="114" t="s">
        <v>4590</v>
      </c>
      <c r="C62" s="9">
        <v>424</v>
      </c>
      <c r="D62" s="9" t="s">
        <v>1605</v>
      </c>
      <c r="E62" s="9" t="str">
        <f>IF($B62 = "Mutant",VLOOKUP($C62,Mutants!$A$2:$L$560,12,FALSE),IF($B62 = "Test",VLOOKUP($C62,Tests!$A$2:$L$841,12,FALSE),VLOOKUP($C62,Questions!$A$3:$N$174,9,FALSE)))</f>
        <v>N</v>
      </c>
      <c r="F62" s="187" t="str">
        <f>IF($B62 = "Mutant",VLOOKUP($C62,Mutants!$A$2:$L$560,11,FALSE),IF($B62 = "Test",VLOOKUP($C62,Tests!$A$2:$L$841,11,FALSE),VLOOKUP($C62,Questions!$A$3:$N$174,13,FALSE)))</f>
        <v xml:space="preserve">
</v>
      </c>
      <c r="G62" s="187"/>
      <c r="H62" s="202"/>
    </row>
    <row r="63" spans="2:8" ht="12.75">
      <c r="B63" s="114" t="s">
        <v>4590</v>
      </c>
      <c r="C63" s="9">
        <v>439</v>
      </c>
      <c r="D63" s="9" t="s">
        <v>1651</v>
      </c>
      <c r="E63" s="9" t="str">
        <f>IF($B63 = "Mutant",VLOOKUP($C63,Mutants!$A$2:$L$560,12,FALSE),IF($B63 = "Test",VLOOKUP($C63,Tests!$A$2:$L$841,12,FALSE),VLOOKUP($C63,Questions!$A$3:$N$174,9,FALSE)))</f>
        <v>N</v>
      </c>
      <c r="F63" s="187" t="str">
        <f>IF($B63 = "Mutant",VLOOKUP($C63,Mutants!$A$2:$L$560,11,FALSE),IF($B63 = "Test",VLOOKUP($C63,Tests!$A$2:$L$841,11,FALSE),VLOOKUP($C63,Questions!$A$3:$N$174,13,FALSE)))</f>
        <v xml:space="preserve">
</v>
      </c>
      <c r="G63" s="187"/>
      <c r="H63" s="202"/>
    </row>
    <row r="64" spans="2:8" ht="12.75">
      <c r="B64" s="114" t="s">
        <v>4590</v>
      </c>
      <c r="C64" s="9">
        <v>459</v>
      </c>
      <c r="D64" s="9" t="s">
        <v>1711</v>
      </c>
      <c r="E64" s="9" t="str">
        <f>IF($B64 = "Mutant",VLOOKUP($C64,Mutants!$A$2:$L$560,12,FALSE),IF($B64 = "Test",VLOOKUP($C64,Tests!$A$2:$L$841,12,FALSE),VLOOKUP($C64,Questions!$A$3:$N$174,9,FALSE)))</f>
        <v>Y</v>
      </c>
      <c r="F64" s="187" t="str">
        <f>IF($B64 = "Mutant",VLOOKUP($C64,Mutants!$A$2:$L$560,11,FALSE),IF($B64 = "Test",VLOOKUP($C64,Tests!$A$2:$L$841,11,FALSE),VLOOKUP($C64,Questions!$A$3:$N$174,13,FALSE)))</f>
        <v xml:space="preserve">
</v>
      </c>
      <c r="G64" s="187"/>
      <c r="H64" s="202"/>
    </row>
    <row r="65" spans="2:8" ht="12.75">
      <c r="B65" s="133" t="s">
        <v>4589</v>
      </c>
      <c r="C65" s="130">
        <v>361</v>
      </c>
      <c r="D65" s="130" t="s">
        <v>3812</v>
      </c>
      <c r="E65" s="130" t="str">
        <f>IF($B65 = "Mutant",VLOOKUP($C65,Mutants!$A$2:$L$560,12,FALSE),IF($B65 = "Test",VLOOKUP($C65,Tests!$A$2:$L$841,12,FALSE),VLOOKUP($C65,Questions!$A$3:$N$174,9,FALSE)))</f>
        <v>Y</v>
      </c>
      <c r="F65" s="203" t="str">
        <f>IF($B65 = "Mutant",VLOOKUP($C65,Mutants!$A$2:$L$560,11,FALSE),IF($B65 = "Test",VLOOKUP($C65,Tests!$A$2:$L$841,11,FALSE),VLOOKUP($C65,Questions!$A$3:$N$174,13,FALSE)))</f>
        <v xml:space="preserve">stripLeadingHyphens
</v>
      </c>
      <c r="G65" s="203"/>
      <c r="H65" s="204"/>
    </row>
    <row r="66" spans="2:8" ht="15.75" customHeight="1">
      <c r="E66" s="9"/>
      <c r="F66" s="187"/>
      <c r="G66" s="187"/>
      <c r="H66" s="187"/>
    </row>
    <row r="67" spans="2:8" ht="15.75" customHeight="1">
      <c r="E67" s="9"/>
      <c r="F67" s="187"/>
      <c r="G67" s="187"/>
      <c r="H67" s="187"/>
    </row>
    <row r="68" spans="2:8" ht="13.5" thickBot="1">
      <c r="B68" s="219" t="s">
        <v>4604</v>
      </c>
      <c r="C68" s="201"/>
      <c r="D68" s="45">
        <v>168</v>
      </c>
      <c r="E68" s="9"/>
      <c r="F68" s="187"/>
      <c r="G68" s="187"/>
      <c r="H68" s="187"/>
    </row>
    <row r="69" spans="2:8" ht="13.5" thickTop="1">
      <c r="B69" s="134" t="s">
        <v>4594</v>
      </c>
      <c r="C69" s="135" t="s">
        <v>44</v>
      </c>
      <c r="D69" s="135" t="s">
        <v>110</v>
      </c>
      <c r="E69" s="136" t="s">
        <v>2</v>
      </c>
      <c r="F69" s="229" t="s">
        <v>4612</v>
      </c>
      <c r="G69" s="229"/>
      <c r="H69" s="230"/>
    </row>
    <row r="70" spans="2:8" ht="12.75">
      <c r="B70" s="137" t="s">
        <v>4589</v>
      </c>
      <c r="C70" s="93">
        <v>202</v>
      </c>
      <c r="D70" s="93" t="s">
        <v>263</v>
      </c>
      <c r="E70" s="93" t="str">
        <f>IF($B70 = "Mutant",VLOOKUP($C70,Mutants!$A$2:$L$560,12,FALSE),IF($B70 = "Test",VLOOKUP($C70,Tests!$A$2:$L$841,12,FALSE),VLOOKUP($C70,Questions!$A$3:$N$174,9,FALSE)))</f>
        <v>Y</v>
      </c>
      <c r="F70" s="205" t="str">
        <f>IF($B70 = "Mutant",VLOOKUP($C70,Mutants!$A$2:$L$560,11,FALSE),IF($B70 = "Test",VLOOKUP($C70,Tests!$A$2:$L$841,11,FALSE),VLOOKUP($C70,Questions!$A$3:$N$174,13,FALSE)))</f>
        <v xml:space="preserve">stripLeadingHyphens
</v>
      </c>
      <c r="G70" s="205"/>
      <c r="H70" s="206"/>
    </row>
    <row r="71" spans="2:8" ht="12.75">
      <c r="B71" s="114" t="s">
        <v>4589</v>
      </c>
      <c r="C71" s="9">
        <v>209</v>
      </c>
      <c r="D71" s="9" t="s">
        <v>3399</v>
      </c>
      <c r="E71" s="9" t="str">
        <f>IF($B71 = "Mutant",VLOOKUP($C71,Mutants!$A$2:$L$560,12,FALSE),IF($B71 = "Test",VLOOKUP($C71,Tests!$A$2:$L$841,12,FALSE),VLOOKUP($C71,Questions!$A$3:$N$174,9,FALSE)))</f>
        <v>Y</v>
      </c>
      <c r="F71" s="187" t="str">
        <f>IF($B71 = "Mutant",VLOOKUP($C71,Mutants!$A$2:$L$560,11,FALSE),IF($B71 = "Test",VLOOKUP($C71,Tests!$A$2:$L$841,11,FALSE),VLOOKUP($C71,Questions!$A$3:$N$174,13,FALSE)))</f>
        <v xml:space="preserve">toString
</v>
      </c>
      <c r="G71" s="187"/>
      <c r="H71" s="202"/>
    </row>
    <row r="72" spans="2:8" ht="12.75">
      <c r="B72" s="114" t="s">
        <v>4589</v>
      </c>
      <c r="C72" s="9">
        <v>221</v>
      </c>
      <c r="D72" s="9" t="s">
        <v>3437</v>
      </c>
      <c r="E72" s="9" t="str">
        <f>IF($B72 = "Mutant",VLOOKUP($C72,Mutants!$A$2:$L$560,12,FALSE),IF($B72 = "Test",VLOOKUP($C72,Tests!$A$2:$L$841,12,FALSE),VLOOKUP($C72,Questions!$A$3:$N$174,9,FALSE)))</f>
        <v>Y</v>
      </c>
      <c r="F72" s="187" t="str">
        <f>IF($B72 = "Mutant",VLOOKUP($C72,Mutants!$A$2:$L$560,11,FALSE),IF($B72 = "Test",VLOOKUP($C72,Tests!$A$2:$L$841,11,FALSE),VLOOKUP($C72,Questions!$A$3:$N$174,13,FALSE)))</f>
        <v xml:space="preserve">getOption
</v>
      </c>
      <c r="G72" s="187"/>
      <c r="H72" s="202"/>
    </row>
    <row r="73" spans="2:8" ht="12.75">
      <c r="B73" s="114" t="s">
        <v>4589</v>
      </c>
      <c r="C73" s="9">
        <v>225</v>
      </c>
      <c r="D73" s="9" t="s">
        <v>3448</v>
      </c>
      <c r="E73" s="9" t="str">
        <f>IF($B73 = "Mutant",VLOOKUP($C73,Mutants!$A$2:$L$560,12,FALSE),IF($B73 = "Test",VLOOKUP($C73,Tests!$A$2:$L$841,12,FALSE),VLOOKUP($C73,Questions!$A$3:$N$174,9,FALSE)))</f>
        <v>Y</v>
      </c>
      <c r="F73" s="187" t="str">
        <f>IF($B73 = "Mutant",VLOOKUP($C73,Mutants!$A$2:$L$560,11,FALSE),IF($B73 = "Test",VLOOKUP($C73,Tests!$A$2:$L$841,11,FALSE),VLOOKUP($C73,Questions!$A$3:$N$174,13,FALSE)))</f>
        <v xml:space="preserve">addOption
</v>
      </c>
      <c r="G73" s="187"/>
      <c r="H73" s="202"/>
    </row>
    <row r="74" spans="2:8" ht="12.75">
      <c r="B74" s="114" t="s">
        <v>4589</v>
      </c>
      <c r="C74" s="9">
        <v>232</v>
      </c>
      <c r="D74" s="9" t="s">
        <v>3465</v>
      </c>
      <c r="E74" s="9" t="str">
        <f>IF($B74 = "Mutant",VLOOKUP($C74,Mutants!$A$2:$L$560,12,FALSE),IF($B74 = "Test",VLOOKUP($C74,Tests!$A$2:$L$841,12,FALSE),VLOOKUP($C74,Questions!$A$3:$N$174,9,FALSE)))</f>
        <v>Y</v>
      </c>
      <c r="F74" s="187" t="str">
        <f>IF($B74 = "Mutant",VLOOKUP($C74,Mutants!$A$2:$L$560,11,FALSE),IF($B74 = "Test",VLOOKUP($C74,Tests!$A$2:$L$841,11,FALSE),VLOOKUP($C74,Questions!$A$3:$N$174,13,FALSE)))</f>
        <v xml:space="preserve">addOption
</v>
      </c>
      <c r="G74" s="187"/>
      <c r="H74" s="202"/>
    </row>
    <row r="75" spans="2:8" ht="12.75">
      <c r="B75" s="114" t="s">
        <v>4589</v>
      </c>
      <c r="C75" s="9">
        <v>239</v>
      </c>
      <c r="D75" s="9" t="s">
        <v>3484</v>
      </c>
      <c r="E75" s="9" t="str">
        <f>IF($B75 = "Mutant",VLOOKUP($C75,Mutants!$A$2:$L$560,12,FALSE),IF($B75 = "Test",VLOOKUP($C75,Tests!$A$2:$L$841,12,FALSE),VLOOKUP($C75,Questions!$A$3:$N$174,9,FALSE)))</f>
        <v>Y</v>
      </c>
      <c r="F75" s="187" t="str">
        <f>IF($B75 = "Mutant",VLOOKUP($C75,Mutants!$A$2:$L$560,11,FALSE),IF($B75 = "Test",VLOOKUP($C75,Tests!$A$2:$L$841,11,FALSE),VLOOKUP($C75,Questions!$A$3:$N$174,13,FALSE)))</f>
        <v xml:space="preserve">addOption
</v>
      </c>
      <c r="G75" s="187"/>
      <c r="H75" s="202"/>
    </row>
    <row r="76" spans="2:8" ht="12.75">
      <c r="B76" s="114" t="s">
        <v>4589</v>
      </c>
      <c r="C76" s="9">
        <v>250</v>
      </c>
      <c r="D76" s="9" t="s">
        <v>744</v>
      </c>
      <c r="E76" s="9" t="str">
        <f>IF($B76 = "Mutant",VLOOKUP($C76,Mutants!$A$2:$L$560,12,FALSE),IF($B76 = "Test",VLOOKUP($C76,Tests!$A$2:$L$841,12,FALSE),VLOOKUP($C76,Questions!$A$3:$N$174,9,FALSE)))</f>
        <v>Y</v>
      </c>
      <c r="F76" s="187" t="str">
        <f>IF($B76 = "Mutant",VLOOKUP($C76,Mutants!$A$2:$L$560,11,FALSE),IF($B76 = "Test",VLOOKUP($C76,Tests!$A$2:$L$841,11,FALSE),VLOOKUP($C76,Questions!$A$3:$N$174,13,FALSE)))</f>
        <v xml:space="preserve">getMatchingOptions
</v>
      </c>
      <c r="G76" s="187"/>
      <c r="H76" s="202"/>
    </row>
    <row r="77" spans="2:8" ht="12.75">
      <c r="B77" s="114" t="s">
        <v>4589</v>
      </c>
      <c r="C77" s="9">
        <v>258</v>
      </c>
      <c r="D77" s="9" t="s">
        <v>3537</v>
      </c>
      <c r="E77" s="9" t="str">
        <f>IF($B77 = "Mutant",VLOOKUP($C77,Mutants!$A$2:$L$560,12,FALSE),IF($B77 = "Test",VLOOKUP($C77,Tests!$A$2:$L$841,12,FALSE),VLOOKUP($C77,Questions!$A$3:$N$174,9,FALSE)))</f>
        <v>Y</v>
      </c>
      <c r="F77" s="187" t="str">
        <f>IF($B77 = "Mutant",VLOOKUP($C77,Mutants!$A$2:$L$560,11,FALSE),IF($B77 = "Test",VLOOKUP($C77,Tests!$A$2:$L$841,11,FALSE),VLOOKUP($C77,Questions!$A$3:$N$174,13,FALSE)))</f>
        <v xml:space="preserve">hasShortOption
</v>
      </c>
      <c r="G77" s="187"/>
      <c r="H77" s="202"/>
    </row>
    <row r="78" spans="2:8" ht="12.75">
      <c r="B78" s="114" t="s">
        <v>4589</v>
      </c>
      <c r="C78" s="9">
        <v>262</v>
      </c>
      <c r="D78" s="9" t="s">
        <v>3547</v>
      </c>
      <c r="E78" s="9" t="str">
        <f>IF($B78 = "Mutant",VLOOKUP($C78,Mutants!$A$2:$L$560,12,FALSE),IF($B78 = "Test",VLOOKUP($C78,Tests!$A$2:$L$841,12,FALSE),VLOOKUP($C78,Questions!$A$3:$N$174,9,FALSE)))</f>
        <v>Y</v>
      </c>
      <c r="F78" s="187" t="str">
        <f>IF($B78 = "Mutant",VLOOKUP($C78,Mutants!$A$2:$L$560,11,FALSE),IF($B78 = "Test",VLOOKUP($C78,Tests!$A$2:$L$841,11,FALSE),VLOOKUP($C78,Questions!$A$3:$N$174,13,FALSE)))</f>
        <v xml:space="preserve">hasOption
</v>
      </c>
      <c r="G78" s="187"/>
      <c r="H78" s="202"/>
    </row>
    <row r="79" spans="2:8" ht="12.75">
      <c r="B79" s="114" t="s">
        <v>4589</v>
      </c>
      <c r="C79" s="9">
        <v>265</v>
      </c>
      <c r="D79" s="9" t="s">
        <v>3554</v>
      </c>
      <c r="E79" s="9" t="str">
        <f>IF($B79 = "Mutant",VLOOKUP($C79,Mutants!$A$2:$L$560,12,FALSE),IF($B79 = "Test",VLOOKUP($C79,Tests!$A$2:$L$841,12,FALSE),VLOOKUP($C79,Questions!$A$3:$N$174,9,FALSE)))</f>
        <v>Y</v>
      </c>
      <c r="F79" s="187" t="str">
        <f>IF($B79 = "Mutant",VLOOKUP($C79,Mutants!$A$2:$L$560,11,FALSE),IF($B79 = "Test",VLOOKUP($C79,Tests!$A$2:$L$841,11,FALSE),VLOOKUP($C79,Questions!$A$3:$N$174,13,FALSE)))</f>
        <v xml:space="preserve">hasLongOption
</v>
      </c>
      <c r="G79" s="187"/>
      <c r="H79" s="202"/>
    </row>
    <row r="80" spans="2:8" ht="12.75">
      <c r="B80" s="133" t="s">
        <v>4589</v>
      </c>
      <c r="C80" s="130">
        <v>271</v>
      </c>
      <c r="D80" s="130" t="s">
        <v>3571</v>
      </c>
      <c r="E80" s="130" t="str">
        <f>IF($B80 = "Mutant",VLOOKUP($C80,Mutants!$A$2:$L$560,12,FALSE),IF($B80 = "Test",VLOOKUP($C80,Tests!$A$2:$L$841,12,FALSE),VLOOKUP($C80,Questions!$A$3:$N$174,9,FALSE)))</f>
        <v>Y</v>
      </c>
      <c r="F80" s="203" t="str">
        <f>IF($B80 = "Mutant",VLOOKUP($C80,Mutants!$A$2:$L$560,11,FALSE),IF($B80 = "Test",VLOOKUP($C80,Tests!$A$2:$L$841,11,FALSE),VLOOKUP($C80,Questions!$A$3:$N$174,13,FALSE)))</f>
        <v xml:space="preserve">stripLeadingHyphens
</v>
      </c>
      <c r="G80" s="203"/>
      <c r="H80" s="204"/>
    </row>
    <row r="81" spans="2:8" ht="15.75" customHeight="1">
      <c r="E81" s="9"/>
      <c r="F81" s="187"/>
      <c r="G81" s="187"/>
      <c r="H81" s="187"/>
    </row>
    <row r="82" spans="2:8" ht="15.75" customHeight="1">
      <c r="E82" s="9"/>
      <c r="F82" s="187"/>
      <c r="G82" s="187"/>
      <c r="H82" s="187"/>
    </row>
    <row r="83" spans="2:8" ht="13.5" thickBot="1">
      <c r="B83" s="219" t="s">
        <v>4604</v>
      </c>
      <c r="C83" s="201"/>
      <c r="D83" s="45">
        <v>169</v>
      </c>
      <c r="E83" s="9"/>
      <c r="F83" s="187"/>
      <c r="G83" s="187"/>
      <c r="H83" s="187"/>
    </row>
    <row r="84" spans="2:8" ht="13.5" thickTop="1">
      <c r="B84" s="134" t="s">
        <v>4594</v>
      </c>
      <c r="C84" s="135" t="s">
        <v>44</v>
      </c>
      <c r="D84" s="135" t="s">
        <v>110</v>
      </c>
      <c r="E84" s="136" t="s">
        <v>2</v>
      </c>
      <c r="F84" s="229" t="s">
        <v>4612</v>
      </c>
      <c r="G84" s="229"/>
      <c r="H84" s="230"/>
    </row>
    <row r="85" spans="2:8" ht="12.75">
      <c r="B85" s="137" t="s">
        <v>4589</v>
      </c>
      <c r="C85" s="93">
        <v>114</v>
      </c>
      <c r="D85" s="93" t="s">
        <v>3131</v>
      </c>
      <c r="E85" s="93" t="str">
        <f>IF($B85 = "Mutant",VLOOKUP($C85,Mutants!$A$2:$L$560,12,FALSE),IF($B85 = "Test",VLOOKUP($C85,Tests!$A$2:$L$841,12,FALSE),VLOOKUP($C85,Questions!$A$3:$N$174,9,FALSE)))</f>
        <v>Y</v>
      </c>
      <c r="F85" s="205" t="str">
        <f>IF($B85 = "Mutant",VLOOKUP($C85,Mutants!$A$2:$L$560,11,FALSE),IF($B85 = "Test",VLOOKUP($C85,Tests!$A$2:$L$841,11,FALSE),VLOOKUP($C85,Questions!$A$3:$N$174,13,FALSE)))</f>
        <v xml:space="preserve">addOptionGroup
</v>
      </c>
      <c r="G85" s="205"/>
      <c r="H85" s="206"/>
    </row>
    <row r="86" spans="2:8" ht="12.75">
      <c r="B86" s="114" t="s">
        <v>4589</v>
      </c>
      <c r="C86" s="9">
        <v>205</v>
      </c>
      <c r="D86" s="9" t="s">
        <v>3390</v>
      </c>
      <c r="E86" s="9" t="str">
        <f>IF($B86 = "Mutant",VLOOKUP($C86,Mutants!$A$2:$L$560,12,FALSE),IF($B86 = "Test",VLOOKUP($C86,Tests!$A$2:$L$841,12,FALSE),VLOOKUP($C86,Questions!$A$3:$N$174,9,FALSE)))</f>
        <v>Y</v>
      </c>
      <c r="F86" s="187" t="str">
        <f>IF($B86 = "Mutant",VLOOKUP($C86,Mutants!$A$2:$L$560,11,FALSE),IF($B86 = "Test",VLOOKUP($C86,Tests!$A$2:$L$841,11,FALSE),VLOOKUP($C86,Questions!$A$3:$N$174,13,FALSE)))</f>
        <v xml:space="preserve">getMatchingOptions
</v>
      </c>
      <c r="G86" s="187"/>
      <c r="H86" s="202"/>
    </row>
    <row r="87" spans="2:8" ht="12.75">
      <c r="B87" s="114" t="s">
        <v>4589</v>
      </c>
      <c r="C87" s="9">
        <v>216</v>
      </c>
      <c r="D87" s="9" t="s">
        <v>3422</v>
      </c>
      <c r="E87" s="9" t="str">
        <f>IF($B87 = "Mutant",VLOOKUP($C87,Mutants!$A$2:$L$560,12,FALSE),IF($B87 = "Test",VLOOKUP($C87,Tests!$A$2:$L$841,12,FALSE),VLOOKUP($C87,Questions!$A$3:$N$174,9,FALSE)))</f>
        <v>Y</v>
      </c>
      <c r="F87" s="187" t="str">
        <f>IF($B87 = "Mutant",VLOOKUP($C87,Mutants!$A$2:$L$560,11,FALSE),IF($B87 = "Test",VLOOKUP($C87,Tests!$A$2:$L$841,11,FALSE),VLOOKUP($C87,Questions!$A$3:$N$174,13,FALSE)))</f>
        <v xml:space="preserve">addOptionGroup
</v>
      </c>
      <c r="G87" s="187"/>
      <c r="H87" s="202"/>
    </row>
    <row r="88" spans="2:8" ht="12.75">
      <c r="B88" s="114" t="s">
        <v>4589</v>
      </c>
      <c r="C88" s="9">
        <v>220</v>
      </c>
      <c r="D88" s="9" t="s">
        <v>3434</v>
      </c>
      <c r="E88" s="9" t="str">
        <f>IF($B88 = "Mutant",VLOOKUP($C88,Mutants!$A$2:$L$560,12,FALSE),IF($B88 = "Test",VLOOKUP($C88,Tests!$A$2:$L$841,12,FALSE),VLOOKUP($C88,Questions!$A$3:$N$174,9,FALSE)))</f>
        <v>Y</v>
      </c>
      <c r="F88" s="187" t="str">
        <f>IF($B88 = "Mutant",VLOOKUP($C88,Mutants!$A$2:$L$560,11,FALSE),IF($B88 = "Test",VLOOKUP($C88,Tests!$A$2:$L$841,11,FALSE),VLOOKUP($C88,Questions!$A$3:$N$174,13,FALSE)))</f>
        <v xml:space="preserve">addOptionGroup
</v>
      </c>
      <c r="G88" s="187"/>
      <c r="H88" s="202"/>
    </row>
    <row r="89" spans="2:8" ht="12.75">
      <c r="B89" s="114" t="s">
        <v>4589</v>
      </c>
      <c r="C89" s="9">
        <v>253</v>
      </c>
      <c r="D89" s="9" t="s">
        <v>3521</v>
      </c>
      <c r="E89" s="9" t="str">
        <f>IF($B89 = "Mutant",VLOOKUP($C89,Mutants!$A$2:$L$560,12,FALSE),IF($B89 = "Test",VLOOKUP($C89,Tests!$A$2:$L$841,12,FALSE),VLOOKUP($C89,Questions!$A$3:$N$174,9,FALSE)))</f>
        <v>Y</v>
      </c>
      <c r="F89" s="187" t="str">
        <f>IF($B89 = "Mutant",VLOOKUP($C89,Mutants!$A$2:$L$560,11,FALSE),IF($B89 = "Test",VLOOKUP($C89,Tests!$A$2:$L$841,11,FALSE),VLOOKUP($C89,Questions!$A$3:$N$174,13,FALSE)))</f>
        <v xml:space="preserve">getOption
</v>
      </c>
      <c r="G89" s="187"/>
      <c r="H89" s="202"/>
    </row>
    <row r="90" spans="2:8" ht="12.75">
      <c r="B90" s="114" t="s">
        <v>4589</v>
      </c>
      <c r="C90" s="9">
        <v>259</v>
      </c>
      <c r="D90" s="9" t="s">
        <v>763</v>
      </c>
      <c r="E90" s="9" t="str">
        <f>IF($B90 = "Mutant",VLOOKUP($C90,Mutants!$A$2:$L$560,12,FALSE),IF($B90 = "Test",VLOOKUP($C90,Tests!$A$2:$L$841,12,FALSE),VLOOKUP($C90,Questions!$A$3:$N$174,9,FALSE)))</f>
        <v>Y</v>
      </c>
      <c r="F90" s="187" t="str">
        <f>IF($B90 = "Mutant",VLOOKUP($C90,Mutants!$A$2:$L$560,11,FALSE),IF($B90 = "Test",VLOOKUP($C90,Tests!$A$2:$L$841,11,FALSE),VLOOKUP($C90,Questions!$A$3:$N$174,13,FALSE)))</f>
        <v xml:space="preserve">getOptions
</v>
      </c>
      <c r="G90" s="187"/>
      <c r="H90" s="202"/>
    </row>
    <row r="91" spans="2:8" ht="12.75">
      <c r="B91" s="114" t="s">
        <v>4589</v>
      </c>
      <c r="C91" s="9">
        <v>263</v>
      </c>
      <c r="D91" s="9" t="s">
        <v>266</v>
      </c>
      <c r="E91" s="9" t="str">
        <f>IF($B91 = "Mutant",VLOOKUP($C91,Mutants!$A$2:$L$560,12,FALSE),IF($B91 = "Test",VLOOKUP($C91,Tests!$A$2:$L$841,12,FALSE),VLOOKUP($C91,Questions!$A$3:$N$174,9,FALSE)))</f>
        <v>Y</v>
      </c>
      <c r="F91" s="187" t="str">
        <f>IF($B91 = "Mutant",VLOOKUP($C91,Mutants!$A$2:$L$560,11,FALSE),IF($B91 = "Test",VLOOKUP($C91,Tests!$A$2:$L$841,11,FALSE),VLOOKUP($C91,Questions!$A$3:$N$174,13,FALSE)))</f>
        <v xml:space="preserve">getOptionGroups
</v>
      </c>
      <c r="G91" s="187"/>
      <c r="H91" s="202"/>
    </row>
    <row r="92" spans="2:8" ht="12.75">
      <c r="B92" s="114" t="s">
        <v>4589</v>
      </c>
      <c r="C92" s="9">
        <v>267</v>
      </c>
      <c r="D92" s="9" t="s">
        <v>3560</v>
      </c>
      <c r="E92" s="9" t="str">
        <f>IF($B92 = "Mutant",VLOOKUP($C92,Mutants!$A$2:$L$560,12,FALSE),IF($B92 = "Test",VLOOKUP($C92,Tests!$A$2:$L$841,12,FALSE),VLOOKUP($C92,Questions!$A$3:$N$174,9,FALSE)))</f>
        <v>Y</v>
      </c>
      <c r="F92" s="187" t="str">
        <f>IF($B92 = "Mutant",VLOOKUP($C92,Mutants!$A$2:$L$560,11,FALSE),IF($B92 = "Test",VLOOKUP($C92,Tests!$A$2:$L$841,11,FALSE),VLOOKUP($C92,Questions!$A$3:$N$174,13,FALSE)))</f>
        <v xml:space="preserve">addOption
</v>
      </c>
      <c r="G92" s="187"/>
      <c r="H92" s="202"/>
    </row>
    <row r="93" spans="2:8" ht="12.75">
      <c r="B93" s="114" t="s">
        <v>4589</v>
      </c>
      <c r="C93" s="9">
        <v>274</v>
      </c>
      <c r="D93" s="9" t="s">
        <v>3580</v>
      </c>
      <c r="E93" s="9" t="str">
        <f>IF($B93 = "Mutant",VLOOKUP($C93,Mutants!$A$2:$L$560,12,FALSE),IF($B93 = "Test",VLOOKUP($C93,Tests!$A$2:$L$841,12,FALSE),VLOOKUP($C93,Questions!$A$3:$N$174,9,FALSE)))</f>
        <v>Y</v>
      </c>
      <c r="F93" s="187" t="str">
        <f>IF($B93 = "Mutant",VLOOKUP($C93,Mutants!$A$2:$L$560,11,FALSE),IF($B93 = "Test",VLOOKUP($C93,Tests!$A$2:$L$841,11,FALSE),VLOOKUP($C93,Questions!$A$3:$N$174,13,FALSE)))</f>
        <v xml:space="preserve">getMatchingOptions
</v>
      </c>
      <c r="G93" s="187"/>
      <c r="H93" s="202"/>
    </row>
    <row r="94" spans="2:8" ht="12.75">
      <c r="B94" s="114" t="s">
        <v>4589</v>
      </c>
      <c r="C94" s="9">
        <v>316</v>
      </c>
      <c r="D94" s="9" t="s">
        <v>1319</v>
      </c>
      <c r="E94" s="9" t="str">
        <f>IF($B94 = "Mutant",VLOOKUP($C94,Mutants!$A$2:$L$560,12,FALSE),IF($B94 = "Test",VLOOKUP($C94,Tests!$A$2:$L$841,12,FALSE),VLOOKUP($C94,Questions!$A$3:$N$174,9,FALSE)))</f>
        <v>Y</v>
      </c>
      <c r="F94" s="187" t="str">
        <f>IF($B94 = "Mutant",VLOOKUP($C94,Mutants!$A$2:$L$560,11,FALSE),IF($B94 = "Test",VLOOKUP($C94,Tests!$A$2:$L$841,11,FALSE),VLOOKUP($C94,Questions!$A$3:$N$174,13,FALSE)))</f>
        <v xml:space="preserve">getOptionGroup
</v>
      </c>
      <c r="G94" s="187"/>
      <c r="H94" s="202"/>
    </row>
    <row r="95" spans="2:8" ht="12.75">
      <c r="B95" s="114" t="s">
        <v>4589</v>
      </c>
      <c r="C95" s="9">
        <v>319</v>
      </c>
      <c r="D95" s="9" t="s">
        <v>3700</v>
      </c>
      <c r="E95" s="9" t="str">
        <f>IF($B95 = "Mutant",VLOOKUP($C95,Mutants!$A$2:$L$560,12,FALSE),IF($B95 = "Test",VLOOKUP($C95,Tests!$A$2:$L$841,12,FALSE),VLOOKUP($C95,Questions!$A$3:$N$174,9,FALSE)))</f>
        <v>Y</v>
      </c>
      <c r="F95" s="187" t="str">
        <f>IF($B95 = "Mutant",VLOOKUP($C95,Mutants!$A$2:$L$560,11,FALSE),IF($B95 = "Test",VLOOKUP($C95,Tests!$A$2:$L$841,11,FALSE),VLOOKUP($C95,Questions!$A$3:$N$174,13,FALSE)))</f>
        <v xml:space="preserve">helpOptions
</v>
      </c>
      <c r="G95" s="187"/>
      <c r="H95" s="202"/>
    </row>
    <row r="96" spans="2:8" ht="12.75">
      <c r="B96" s="114" t="s">
        <v>4589</v>
      </c>
      <c r="C96" s="9">
        <v>320</v>
      </c>
      <c r="D96" s="9" t="s">
        <v>3703</v>
      </c>
      <c r="E96" s="9" t="str">
        <f>IF($B96 = "Mutant",VLOOKUP($C96,Mutants!$A$2:$L$560,12,FALSE),IF($B96 = "Test",VLOOKUP($C96,Tests!$A$2:$L$841,12,FALSE),VLOOKUP($C96,Questions!$A$3:$N$174,9,FALSE)))</f>
        <v>Y</v>
      </c>
      <c r="F96" s="187" t="str">
        <f>IF($B96 = "Mutant",VLOOKUP($C96,Mutants!$A$2:$L$560,11,FALSE),IF($B96 = "Test",VLOOKUP($C96,Tests!$A$2:$L$841,11,FALSE),VLOOKUP($C96,Questions!$A$3:$N$174,13,FALSE)))</f>
        <v xml:space="preserve">getRequiredOptions
</v>
      </c>
      <c r="G96" s="187"/>
      <c r="H96" s="202"/>
    </row>
    <row r="97" spans="2:8" ht="12.75">
      <c r="B97" s="114" t="s">
        <v>4589</v>
      </c>
      <c r="C97" s="9">
        <v>323</v>
      </c>
      <c r="D97" s="9" t="s">
        <v>3711</v>
      </c>
      <c r="E97" s="9" t="str">
        <f>IF($B97 = "Mutant",VLOOKUP($C97,Mutants!$A$2:$L$560,12,FALSE),IF($B97 = "Test",VLOOKUP($C97,Tests!$A$2:$L$841,12,FALSE),VLOOKUP($C97,Questions!$A$3:$N$174,9,FALSE)))</f>
        <v>Y</v>
      </c>
      <c r="F97" s="187" t="str">
        <f>IF($B97 = "Mutant",VLOOKUP($C97,Mutants!$A$2:$L$560,11,FALSE),IF($B97 = "Test",VLOOKUP($C97,Tests!$A$2:$L$841,11,FALSE),VLOOKUP($C97,Questions!$A$3:$N$174,13,FALSE)))</f>
        <v xml:space="preserve">hasOption
</v>
      </c>
      <c r="G97" s="187"/>
      <c r="H97" s="202"/>
    </row>
    <row r="98" spans="2:8" ht="12.75">
      <c r="B98" s="114" t="s">
        <v>4589</v>
      </c>
      <c r="C98" s="9">
        <v>326</v>
      </c>
      <c r="D98" s="9" t="s">
        <v>3720</v>
      </c>
      <c r="E98" s="9" t="str">
        <f>IF($B98 = "Mutant",VLOOKUP($C98,Mutants!$A$2:$L$560,12,FALSE),IF($B98 = "Test",VLOOKUP($C98,Tests!$A$2:$L$841,12,FALSE),VLOOKUP($C98,Questions!$A$3:$N$174,9,FALSE)))</f>
        <v>Y</v>
      </c>
      <c r="F98" s="187" t="str">
        <f>IF($B98 = "Mutant",VLOOKUP($C98,Mutants!$A$2:$L$560,11,FALSE),IF($B98 = "Test",VLOOKUP($C98,Tests!$A$2:$L$841,11,FALSE),VLOOKUP($C98,Questions!$A$3:$N$174,13,FALSE)))</f>
        <v xml:space="preserve">hasLongOption
</v>
      </c>
      <c r="G98" s="187"/>
      <c r="H98" s="202"/>
    </row>
    <row r="99" spans="2:8" ht="12.75">
      <c r="B99" s="114" t="s">
        <v>4589</v>
      </c>
      <c r="C99" s="9">
        <v>329</v>
      </c>
      <c r="D99" s="9" t="s">
        <v>1438</v>
      </c>
      <c r="E99" s="9" t="str">
        <f>IF($B99 = "Mutant",VLOOKUP($C99,Mutants!$A$2:$L$560,12,FALSE),IF($B99 = "Test",VLOOKUP($C99,Tests!$A$2:$L$841,12,FALSE),VLOOKUP($C99,Questions!$A$3:$N$174,9,FALSE)))</f>
        <v>Y</v>
      </c>
      <c r="F99" s="187" t="str">
        <f>IF($B99 = "Mutant",VLOOKUP($C99,Mutants!$A$2:$L$560,11,FALSE),IF($B99 = "Test",VLOOKUP($C99,Tests!$A$2:$L$841,11,FALSE),VLOOKUP($C99,Questions!$A$3:$N$174,13,FALSE)))</f>
        <v xml:space="preserve">getMatchingOptions
</v>
      </c>
      <c r="G99" s="187"/>
      <c r="H99" s="202"/>
    </row>
    <row r="100" spans="2:8" ht="12.75">
      <c r="B100" s="114" t="s">
        <v>4589</v>
      </c>
      <c r="C100" s="9">
        <v>331</v>
      </c>
      <c r="D100" s="9" t="s">
        <v>3733</v>
      </c>
      <c r="E100" s="9" t="str">
        <f>IF($B100 = "Mutant",VLOOKUP($C100,Mutants!$A$2:$L$560,12,FALSE),IF($B100 = "Test",VLOOKUP($C100,Tests!$A$2:$L$841,12,FALSE),VLOOKUP($C100,Questions!$A$3:$N$174,9,FALSE)))</f>
        <v>Y</v>
      </c>
      <c r="F100" s="187" t="str">
        <f>IF($B100 = "Mutant",VLOOKUP($C100,Mutants!$A$2:$L$560,11,FALSE),IF($B100 = "Test",VLOOKUP($C100,Tests!$A$2:$L$841,11,FALSE),VLOOKUP($C100,Questions!$A$3:$N$174,13,FALSE)))</f>
        <v xml:space="preserve">hasShortOption
</v>
      </c>
      <c r="G100" s="187"/>
      <c r="H100" s="202"/>
    </row>
    <row r="101" spans="2:8" ht="12.75">
      <c r="B101" s="114" t="s">
        <v>4589</v>
      </c>
      <c r="C101" s="9">
        <v>333</v>
      </c>
      <c r="D101" s="9" t="s">
        <v>3739</v>
      </c>
      <c r="E101" s="9" t="str">
        <f>IF($B101 = "Mutant",VLOOKUP($C101,Mutants!$A$2:$L$560,12,FALSE),IF($B101 = "Test",VLOOKUP($C101,Tests!$A$2:$L$841,12,FALSE),VLOOKUP($C101,Questions!$A$3:$N$174,9,FALSE)))</f>
        <v>Y</v>
      </c>
      <c r="F101" s="187" t="str">
        <f>IF($B101 = "Mutant",VLOOKUP($C101,Mutants!$A$2:$L$560,11,FALSE),IF($B101 = "Test",VLOOKUP($C101,Tests!$A$2:$L$841,11,FALSE),VLOOKUP($C101,Questions!$A$3:$N$174,13,FALSE)))</f>
        <v xml:space="preserve">getMatchingOptions
</v>
      </c>
      <c r="G101" s="187"/>
      <c r="H101" s="202"/>
    </row>
    <row r="102" spans="2:8" ht="12.75">
      <c r="B102" s="114" t="s">
        <v>4589</v>
      </c>
      <c r="C102" s="9">
        <v>334</v>
      </c>
      <c r="D102" s="9" t="s">
        <v>1546</v>
      </c>
      <c r="E102" s="9" t="str">
        <f>IF($B102 = "Mutant",VLOOKUP($C102,Mutants!$A$2:$L$560,12,FALSE),IF($B102 = "Test",VLOOKUP($C102,Tests!$A$2:$L$841,12,FALSE),VLOOKUP($C102,Questions!$A$3:$N$174,9,FALSE)))</f>
        <v>Y</v>
      </c>
      <c r="F102" s="187" t="str">
        <f>IF($B102 = "Mutant",VLOOKUP($C102,Mutants!$A$2:$L$560,11,FALSE),IF($B102 = "Test",VLOOKUP($C102,Tests!$A$2:$L$841,11,FALSE),VLOOKUP($C102,Questions!$A$3:$N$174,13,FALSE)))</f>
        <v xml:space="preserve">addOption
</v>
      </c>
      <c r="G102" s="187"/>
      <c r="H102" s="202"/>
    </row>
    <row r="103" spans="2:8" ht="12.75">
      <c r="B103" s="114" t="s">
        <v>4589</v>
      </c>
      <c r="C103" s="9">
        <v>338</v>
      </c>
      <c r="D103" s="9" t="s">
        <v>371</v>
      </c>
      <c r="E103" s="9" t="str">
        <f>IF($B103 = "Mutant",VLOOKUP($C103,Mutants!$A$2:$L$560,12,FALSE),IF($B103 = "Test",VLOOKUP($C103,Tests!$A$2:$L$841,12,FALSE),VLOOKUP($C103,Questions!$A$3:$N$174,9,FALSE)))</f>
        <v>N</v>
      </c>
      <c r="F103" s="187" t="str">
        <f>IF($B103 = "Mutant",VLOOKUP($C103,Mutants!$A$2:$L$560,11,FALSE),IF($B103 = "Test",VLOOKUP($C103,Tests!$A$2:$L$841,11,FALSE),VLOOKUP($C103,Questions!$A$3:$N$174,13,FALSE)))</f>
        <v xml:space="preserve">
</v>
      </c>
      <c r="G103" s="187"/>
      <c r="H103" s="202"/>
    </row>
    <row r="104" spans="2:8" ht="12.75">
      <c r="B104" s="133" t="s">
        <v>4589</v>
      </c>
      <c r="C104" s="130">
        <v>350</v>
      </c>
      <c r="D104" s="130" t="s">
        <v>3781</v>
      </c>
      <c r="E104" s="130" t="str">
        <f>IF($B104 = "Mutant",VLOOKUP($C104,Mutants!$A$2:$L$560,12,FALSE),IF($B104 = "Test",VLOOKUP($C104,Tests!$A$2:$L$841,12,FALSE),VLOOKUP($C104,Questions!$A$3:$N$174,9,FALSE)))</f>
        <v>N</v>
      </c>
      <c r="F104" s="203" t="str">
        <f>IF($B104 = "Mutant",VLOOKUP($C104,Mutants!$A$2:$L$560,11,FALSE),IF($B104 = "Test",VLOOKUP($C104,Tests!$A$2:$L$841,11,FALSE),VLOOKUP($C104,Questions!$A$3:$N$174,13,FALSE)))</f>
        <v xml:space="preserve">
</v>
      </c>
      <c r="G104" s="203"/>
      <c r="H104" s="204"/>
    </row>
    <row r="105" spans="2:8" ht="15.75" customHeight="1">
      <c r="E105" s="9"/>
      <c r="F105" s="187"/>
      <c r="G105" s="187"/>
      <c r="H105" s="187"/>
    </row>
    <row r="106" spans="2:8" ht="15.75" customHeight="1">
      <c r="E106" s="9"/>
      <c r="F106" s="187"/>
      <c r="G106" s="187"/>
      <c r="H106" s="187"/>
    </row>
    <row r="107" spans="2:8" ht="13.5" thickBot="1">
      <c r="B107" s="219" t="s">
        <v>4604</v>
      </c>
      <c r="C107" s="201"/>
      <c r="D107" s="45">
        <v>170</v>
      </c>
      <c r="E107" s="9"/>
      <c r="F107" s="187"/>
      <c r="G107" s="187"/>
      <c r="H107" s="187"/>
    </row>
    <row r="108" spans="2:8" ht="13.5" thickTop="1">
      <c r="B108" s="134" t="s">
        <v>4594</v>
      </c>
      <c r="C108" s="135" t="s">
        <v>44</v>
      </c>
      <c r="D108" s="135" t="s">
        <v>110</v>
      </c>
      <c r="E108" s="136" t="s">
        <v>2</v>
      </c>
      <c r="F108" s="229" t="s">
        <v>4612</v>
      </c>
      <c r="G108" s="229"/>
      <c r="H108" s="230"/>
    </row>
    <row r="109" spans="2:8" ht="12.75">
      <c r="B109" s="137" t="s">
        <v>4589</v>
      </c>
      <c r="C109" s="93">
        <v>157</v>
      </c>
      <c r="D109" s="93" t="s">
        <v>3253</v>
      </c>
      <c r="E109" s="93" t="str">
        <f>IF($B109 = "Mutant",VLOOKUP($C109,Mutants!$A$2:$L$560,12,FALSE),IF($B109 = "Test",VLOOKUP($C109,Tests!$A$2:$L$841,12,FALSE),VLOOKUP($C109,Questions!$A$3:$N$174,9,FALSE)))</f>
        <v>Y</v>
      </c>
      <c r="F109" s="205" t="str">
        <f>IF($B109 = "Mutant",VLOOKUP($C109,Mutants!$A$2:$L$560,11,FALSE),IF($B109 = "Test",VLOOKUP($C109,Tests!$A$2:$L$841,11,FALSE),VLOOKUP($C109,Questions!$A$3:$N$174,13,FALSE)))</f>
        <v xml:space="preserve">addOptionGroup
</v>
      </c>
      <c r="G109" s="205"/>
      <c r="H109" s="206"/>
    </row>
    <row r="110" spans="2:8" ht="12.75">
      <c r="B110" s="114" t="s">
        <v>4590</v>
      </c>
      <c r="C110" s="9">
        <v>151</v>
      </c>
      <c r="D110" s="9" t="s">
        <v>824</v>
      </c>
      <c r="E110" s="9" t="str">
        <f>IF($B110 = "Mutant",VLOOKUP($C110,Mutants!$A$2:$L$560,12,FALSE),IF($B110 = "Test",VLOOKUP($C110,Tests!$A$2:$L$841,12,FALSE),VLOOKUP($C110,Questions!$A$3:$N$174,9,FALSE)))</f>
        <v>N</v>
      </c>
      <c r="F110" s="187" t="str">
        <f>IF($B110 = "Mutant",VLOOKUP($C110,Mutants!$A$2:$L$560,11,FALSE),IF($B110 = "Test",VLOOKUP($C110,Tests!$A$2:$L$841,11,FALSE),VLOOKUP($C110,Questions!$A$3:$N$174,13,FALSE)))</f>
        <v xml:space="preserve">
</v>
      </c>
      <c r="G110" s="187"/>
      <c r="H110" s="202"/>
    </row>
    <row r="111" spans="2:8" ht="12.75">
      <c r="B111" s="114" t="s">
        <v>4590</v>
      </c>
      <c r="C111" s="9">
        <v>152</v>
      </c>
      <c r="D111" s="9" t="s">
        <v>826</v>
      </c>
      <c r="E111" s="9" t="str">
        <f>IF($B111 = "Mutant",VLOOKUP($C111,Mutants!$A$2:$L$560,12,FALSE),IF($B111 = "Test",VLOOKUP($C111,Tests!$A$2:$L$841,12,FALSE),VLOOKUP($C111,Questions!$A$3:$N$174,9,FALSE)))</f>
        <v>N</v>
      </c>
      <c r="F111" s="187" t="str">
        <f>IF($B111 = "Mutant",VLOOKUP($C111,Mutants!$A$2:$L$560,11,FALSE),IF($B111 = "Test",VLOOKUP($C111,Tests!$A$2:$L$841,11,FALSE),VLOOKUP($C111,Questions!$A$3:$N$174,13,FALSE)))</f>
        <v xml:space="preserve">
</v>
      </c>
      <c r="G111" s="187"/>
      <c r="H111" s="202"/>
    </row>
    <row r="112" spans="2:8" ht="12.75">
      <c r="B112" s="114" t="s">
        <v>4590</v>
      </c>
      <c r="C112" s="9">
        <v>174</v>
      </c>
      <c r="D112" s="9" t="s">
        <v>885</v>
      </c>
      <c r="E112" s="9" t="str">
        <f>IF($B112 = "Mutant",VLOOKUP($C112,Mutants!$A$2:$L$560,12,FALSE),IF($B112 = "Test",VLOOKUP($C112,Tests!$A$2:$L$841,12,FALSE),VLOOKUP($C112,Questions!$A$3:$N$174,9,FALSE)))</f>
        <v>N</v>
      </c>
      <c r="F112" s="187" t="str">
        <f>IF($B112 = "Mutant",VLOOKUP($C112,Mutants!$A$2:$L$560,11,FALSE),IF($B112 = "Test",VLOOKUP($C112,Tests!$A$2:$L$841,11,FALSE),VLOOKUP($C112,Questions!$A$3:$N$174,13,FALSE)))</f>
        <v xml:space="preserve">
</v>
      </c>
      <c r="G112" s="187"/>
      <c r="H112" s="202"/>
    </row>
    <row r="113" spans="2:8" ht="12.75">
      <c r="B113" s="114" t="s">
        <v>4590</v>
      </c>
      <c r="C113" s="9">
        <v>178</v>
      </c>
      <c r="D113" s="9" t="s">
        <v>319</v>
      </c>
      <c r="E113" s="9" t="str">
        <f>IF($B113 = "Mutant",VLOOKUP($C113,Mutants!$A$2:$L$560,12,FALSE),IF($B113 = "Test",VLOOKUP($C113,Tests!$A$2:$L$841,12,FALSE),VLOOKUP($C113,Questions!$A$3:$N$174,9,FALSE)))</f>
        <v>N</v>
      </c>
      <c r="F113" s="187" t="str">
        <f>IF($B113 = "Mutant",VLOOKUP($C113,Mutants!$A$2:$L$560,11,FALSE),IF($B113 = "Test",VLOOKUP($C113,Tests!$A$2:$L$841,11,FALSE),VLOOKUP($C113,Questions!$A$3:$N$174,13,FALSE)))</f>
        <v xml:space="preserve">
</v>
      </c>
      <c r="G113" s="187"/>
      <c r="H113" s="202"/>
    </row>
    <row r="114" spans="2:8" ht="12.75">
      <c r="B114" s="114" t="s">
        <v>4590</v>
      </c>
      <c r="C114" s="9">
        <v>198</v>
      </c>
      <c r="D114" s="9" t="s">
        <v>945</v>
      </c>
      <c r="E114" s="9" t="str">
        <f>IF($B114 = "Mutant",VLOOKUP($C114,Mutants!$A$2:$L$560,12,FALSE),IF($B114 = "Test",VLOOKUP($C114,Tests!$A$2:$L$841,12,FALSE),VLOOKUP($C114,Questions!$A$3:$N$174,9,FALSE)))</f>
        <v>Y</v>
      </c>
      <c r="F114" s="187" t="str">
        <f>IF($B114 = "Mutant",VLOOKUP($C114,Mutants!$A$2:$L$560,11,FALSE),IF($B114 = "Test",VLOOKUP($C114,Tests!$A$2:$L$841,11,FALSE),VLOOKUP($C114,Questions!$A$3:$N$174,13,FALSE)))</f>
        <v xml:space="preserve">addOptionGroup, addOption, getRequiredOptions
</v>
      </c>
      <c r="G114" s="187"/>
      <c r="H114" s="202"/>
    </row>
    <row r="115" spans="2:8" ht="12.75">
      <c r="B115" s="114" t="s">
        <v>4590</v>
      </c>
      <c r="C115" s="9">
        <v>212</v>
      </c>
      <c r="D115" s="9" t="s">
        <v>984</v>
      </c>
      <c r="E115" s="9" t="str">
        <f>IF($B115 = "Mutant",VLOOKUP($C115,Mutants!$A$2:$L$560,12,FALSE),IF($B115 = "Test",VLOOKUP($C115,Tests!$A$2:$L$841,12,FALSE),VLOOKUP($C115,Questions!$A$3:$N$174,9,FALSE)))</f>
        <v>Y</v>
      </c>
      <c r="F115" s="187" t="str">
        <f>IF($B115 = "Mutant",VLOOKUP($C115,Mutants!$A$2:$L$560,11,FALSE),IF($B115 = "Test",VLOOKUP($C115,Tests!$A$2:$L$841,11,FALSE),VLOOKUP($C115,Questions!$A$3:$N$174,13,FALSE)))</f>
        <v xml:space="preserve">addOptionGroup, getOptionGroups, addOption
</v>
      </c>
      <c r="G115" s="187"/>
      <c r="H115" s="202"/>
    </row>
    <row r="116" spans="2:8" ht="12.75">
      <c r="B116" s="114" t="s">
        <v>4590</v>
      </c>
      <c r="C116" s="9">
        <v>220</v>
      </c>
      <c r="D116" s="9" t="s">
        <v>1013</v>
      </c>
      <c r="E116" s="9" t="str">
        <f>IF($B116 = "Mutant",VLOOKUP($C116,Mutants!$A$2:$L$560,12,FALSE),IF($B116 = "Test",VLOOKUP($C116,Tests!$A$2:$L$841,12,FALSE),VLOOKUP($C116,Questions!$A$3:$N$174,9,FALSE)))</f>
        <v>Y</v>
      </c>
      <c r="F116" s="187" t="str">
        <f>IF($B116 = "Mutant",VLOOKUP($C116,Mutants!$A$2:$L$560,11,FALSE),IF($B116 = "Test",VLOOKUP($C116,Tests!$A$2:$L$841,11,FALSE),VLOOKUP($C116,Questions!$A$3:$N$174,13,FALSE)))</f>
        <v xml:space="preserve">addOptionGroup, addOption, getRequiredOptions
</v>
      </c>
      <c r="G116" s="187"/>
      <c r="H116" s="202"/>
    </row>
    <row r="117" spans="2:8" ht="12.75">
      <c r="B117" s="114" t="s">
        <v>4590</v>
      </c>
      <c r="C117" s="9">
        <v>277</v>
      </c>
      <c r="D117" s="9" t="s">
        <v>1160</v>
      </c>
      <c r="E117" s="9" t="str">
        <f>IF($B117 = "Mutant",VLOOKUP($C117,Mutants!$A$2:$L$560,12,FALSE),IF($B117 = "Test",VLOOKUP($C117,Tests!$A$2:$L$841,12,FALSE),VLOOKUP($C117,Questions!$A$3:$N$174,9,FALSE)))</f>
        <v>N</v>
      </c>
      <c r="F117" s="187" t="str">
        <f>IF($B117 = "Mutant",VLOOKUP($C117,Mutants!$A$2:$L$560,11,FALSE),IF($B117 = "Test",VLOOKUP($C117,Tests!$A$2:$L$841,11,FALSE),VLOOKUP($C117,Questions!$A$3:$N$174,13,FALSE)))</f>
        <v xml:space="preserve">
</v>
      </c>
      <c r="G117" s="187"/>
      <c r="H117" s="202"/>
    </row>
    <row r="118" spans="2:8" ht="12.75">
      <c r="B118" s="114" t="s">
        <v>4590</v>
      </c>
      <c r="C118" s="9">
        <v>280</v>
      </c>
      <c r="D118" s="9" t="s">
        <v>1172</v>
      </c>
      <c r="E118" s="9" t="str">
        <f>IF($B118 = "Mutant",VLOOKUP($C118,Mutants!$A$2:$L$560,12,FALSE),IF($B118 = "Test",VLOOKUP($C118,Tests!$A$2:$L$841,12,FALSE),VLOOKUP($C118,Questions!$A$3:$N$174,9,FALSE)))</f>
        <v>Y</v>
      </c>
      <c r="F118" s="187" t="str">
        <f>IF($B118 = "Mutant",VLOOKUP($C118,Mutants!$A$2:$L$560,11,FALSE),IF($B118 = "Test",VLOOKUP($C118,Tests!$A$2:$L$841,11,FALSE),VLOOKUP($C118,Questions!$A$3:$N$174,13,FALSE)))</f>
        <v xml:space="preserve">addOption, hasLongOption, stripLeadingHyphens
</v>
      </c>
      <c r="G118" s="187"/>
      <c r="H118" s="202"/>
    </row>
    <row r="119" spans="2:8" ht="12.75">
      <c r="B119" s="114" t="s">
        <v>4590</v>
      </c>
      <c r="C119" s="9">
        <v>302</v>
      </c>
      <c r="D119" s="9" t="s">
        <v>1242</v>
      </c>
      <c r="E119" s="9" t="str">
        <f>IF($B119 = "Mutant",VLOOKUP($C119,Mutants!$A$2:$L$560,12,FALSE),IF($B119 = "Test",VLOOKUP($C119,Tests!$A$2:$L$841,12,FALSE),VLOOKUP($C119,Questions!$A$3:$N$174,9,FALSE)))</f>
        <v>N</v>
      </c>
      <c r="F119" s="187" t="str">
        <f>IF($B119 = "Mutant",VLOOKUP($C119,Mutants!$A$2:$L$560,11,FALSE),IF($B119 = "Test",VLOOKUP($C119,Tests!$A$2:$L$841,11,FALSE),VLOOKUP($C119,Questions!$A$3:$N$174,13,FALSE)))</f>
        <v xml:space="preserve">
</v>
      </c>
      <c r="G119" s="187"/>
      <c r="H119" s="202"/>
    </row>
    <row r="120" spans="2:8" ht="12.75">
      <c r="B120" s="114" t="s">
        <v>4590</v>
      </c>
      <c r="C120" s="9">
        <v>305</v>
      </c>
      <c r="D120" s="9" t="s">
        <v>1253</v>
      </c>
      <c r="E120" s="9" t="str">
        <f>IF($B120 = "Mutant",VLOOKUP($C120,Mutants!$A$2:$L$560,12,FALSE),IF($B120 = "Test",VLOOKUP($C120,Tests!$A$2:$L$841,12,FALSE),VLOOKUP($C120,Questions!$A$3:$N$174,9,FALSE)))</f>
        <v>Y</v>
      </c>
      <c r="F120" s="187" t="str">
        <f>IF($B120 = "Mutant",VLOOKUP($C120,Mutants!$A$2:$L$560,11,FALSE),IF($B120 = "Test",VLOOKUP($C120,Tests!$A$2:$L$841,11,FALSE),VLOOKUP($C120,Questions!$A$3:$N$174,13,FALSE)))</f>
        <v xml:space="preserve">addOption
</v>
      </c>
      <c r="G120" s="187"/>
      <c r="H120" s="202"/>
    </row>
    <row r="121" spans="2:8" ht="12.75">
      <c r="B121" s="114" t="s">
        <v>4590</v>
      </c>
      <c r="C121" s="9">
        <v>344</v>
      </c>
      <c r="D121" s="9" t="s">
        <v>1359</v>
      </c>
      <c r="E121" s="9" t="str">
        <f>IF($B121 = "Mutant",VLOOKUP($C121,Mutants!$A$2:$L$560,12,FALSE),IF($B121 = "Test",VLOOKUP($C121,Tests!$A$2:$L$841,12,FALSE),VLOOKUP($C121,Questions!$A$3:$N$174,9,FALSE)))</f>
        <v>Y</v>
      </c>
      <c r="F121" s="187" t="str">
        <f>IF($B121 = "Mutant",VLOOKUP($C121,Mutants!$A$2:$L$560,11,FALSE),IF($B121 = "Test",VLOOKUP($C121,Tests!$A$2:$L$841,11,FALSE),VLOOKUP($C121,Questions!$A$3:$N$174,13,FALSE)))</f>
        <v xml:space="preserve">addOption, getOption, stripLeadingHyphens
</v>
      </c>
      <c r="G121" s="187"/>
      <c r="H121" s="202"/>
    </row>
    <row r="122" spans="2:8" ht="12.75">
      <c r="B122" s="114" t="s">
        <v>4590</v>
      </c>
      <c r="C122" s="9">
        <v>353</v>
      </c>
      <c r="D122" s="9" t="s">
        <v>1383</v>
      </c>
      <c r="E122" s="9" t="str">
        <f>IF($B122 = "Mutant",VLOOKUP($C122,Mutants!$A$2:$L$560,12,FALSE),IF($B122 = "Test",VLOOKUP($C122,Tests!$A$2:$L$841,12,FALSE),VLOOKUP($C122,Questions!$A$3:$N$174,9,FALSE)))</f>
        <v>N</v>
      </c>
      <c r="F122" s="187" t="str">
        <f>IF($B122 = "Mutant",VLOOKUP($C122,Mutants!$A$2:$L$560,11,FALSE),IF($B122 = "Test",VLOOKUP($C122,Tests!$A$2:$L$841,11,FALSE),VLOOKUP($C122,Questions!$A$3:$N$174,13,FALSE)))</f>
        <v xml:space="preserve">
</v>
      </c>
      <c r="G122" s="187"/>
      <c r="H122" s="202"/>
    </row>
    <row r="123" spans="2:8" ht="12.75">
      <c r="B123" s="114" t="s">
        <v>4590</v>
      </c>
      <c r="C123" s="9">
        <v>355</v>
      </c>
      <c r="D123" s="9" t="s">
        <v>1389</v>
      </c>
      <c r="E123" s="9" t="str">
        <f>IF($B123 = "Mutant",VLOOKUP($C123,Mutants!$A$2:$L$560,12,FALSE),IF($B123 = "Test",VLOOKUP($C123,Tests!$A$2:$L$841,12,FALSE),VLOOKUP($C123,Questions!$A$3:$N$174,9,FALSE)))</f>
        <v>Y</v>
      </c>
      <c r="F123" s="187" t="str">
        <f>IF($B123 = "Mutant",VLOOKUP($C123,Mutants!$A$2:$L$560,11,FALSE),IF($B123 = "Test",VLOOKUP($C123,Tests!$A$2:$L$841,11,FALSE),VLOOKUP($C123,Questions!$A$3:$N$174,13,FALSE)))</f>
        <v xml:space="preserve">addOption, getOption, stripLeadingHyphens
</v>
      </c>
      <c r="G123" s="187"/>
      <c r="H123" s="202"/>
    </row>
    <row r="124" spans="2:8" ht="12.75">
      <c r="B124" s="114" t="s">
        <v>4590</v>
      </c>
      <c r="C124" s="9">
        <v>379</v>
      </c>
      <c r="D124" s="9" t="s">
        <v>1467</v>
      </c>
      <c r="E124" s="9" t="str">
        <f>IF($B124 = "Mutant",VLOOKUP($C124,Mutants!$A$2:$L$560,12,FALSE),IF($B124 = "Test",VLOOKUP($C124,Tests!$A$2:$L$841,12,FALSE),VLOOKUP($C124,Questions!$A$3:$N$174,9,FALSE)))</f>
        <v>Y</v>
      </c>
      <c r="F124" s="187" t="str">
        <f>IF($B124 = "Mutant",VLOOKUP($C124,Mutants!$A$2:$L$560,11,FALSE),IF($B124 = "Test",VLOOKUP($C124,Tests!$A$2:$L$841,11,FALSE),VLOOKUP($C124,Questions!$A$3:$N$174,13,FALSE)))</f>
        <v xml:space="preserve">addOption, getOption, stripLeadingHyphens
</v>
      </c>
      <c r="G124" s="187"/>
      <c r="H124" s="202"/>
    </row>
    <row r="125" spans="2:8" ht="12.75">
      <c r="B125" s="114" t="s">
        <v>4590</v>
      </c>
      <c r="C125" s="9">
        <v>429</v>
      </c>
      <c r="D125" s="9" t="s">
        <v>1619</v>
      </c>
      <c r="E125" s="9" t="str">
        <f>IF($B125 = "Mutant",VLOOKUP($C125,Mutants!$A$2:$L$560,12,FALSE),IF($B125 = "Test",VLOOKUP($C125,Tests!$A$2:$L$841,12,FALSE),VLOOKUP($C125,Questions!$A$3:$N$174,9,FALSE)))</f>
        <v>Y</v>
      </c>
      <c r="F125" s="187" t="str">
        <f>IF($B125 = "Mutant",VLOOKUP($C125,Mutants!$A$2:$L$560,11,FALSE),IF($B125 = "Test",VLOOKUP($C125,Tests!$A$2:$L$841,11,FALSE),VLOOKUP($C125,Questions!$A$3:$N$174,13,FALSE)))</f>
        <v xml:space="preserve">addOption, helpOptions
</v>
      </c>
      <c r="G125" s="187"/>
      <c r="H125" s="202"/>
    </row>
    <row r="126" spans="2:8" ht="12.75">
      <c r="B126" s="114" t="s">
        <v>4590</v>
      </c>
      <c r="C126" s="9">
        <v>450</v>
      </c>
      <c r="D126" s="9" t="s">
        <v>1686</v>
      </c>
      <c r="E126" s="9" t="str">
        <f>IF($B126 = "Mutant",VLOOKUP($C126,Mutants!$A$2:$L$560,12,FALSE),IF($B126 = "Test",VLOOKUP($C126,Tests!$A$2:$L$841,12,FALSE),VLOOKUP($C126,Questions!$A$3:$N$174,9,FALSE)))</f>
        <v>Y</v>
      </c>
      <c r="F126" s="187" t="str">
        <f>IF($B126 = "Mutant",VLOOKUP($C126,Mutants!$A$2:$L$560,11,FALSE),IF($B126 = "Test",VLOOKUP($C126,Tests!$A$2:$L$841,11,FALSE),VLOOKUP($C126,Questions!$A$3:$N$174,13,FALSE)))</f>
        <v xml:space="preserve">addOption, getOption, stripLeadingHyphens
</v>
      </c>
      <c r="G126" s="187"/>
      <c r="H126" s="202"/>
    </row>
    <row r="127" spans="2:8" ht="12.75">
      <c r="B127" s="114" t="s">
        <v>4590</v>
      </c>
      <c r="C127" s="9">
        <v>461</v>
      </c>
      <c r="D127" s="9" t="s">
        <v>1716</v>
      </c>
      <c r="E127" s="9" t="str">
        <f>IF($B127 = "Mutant",VLOOKUP($C127,Mutants!$A$2:$L$560,12,FALSE),IF($B127 = "Test",VLOOKUP($C127,Tests!$A$2:$L$841,12,FALSE),VLOOKUP($C127,Questions!$A$3:$N$174,9,FALSE)))</f>
        <v>Y</v>
      </c>
      <c r="F127" s="187" t="str">
        <f>IF($B127 = "Mutant",VLOOKUP($C127,Mutants!$A$2:$L$560,11,FALSE),IF($B127 = "Test",VLOOKUP($C127,Tests!$A$2:$L$841,11,FALSE),VLOOKUP($C127,Questions!$A$3:$N$174,13,FALSE)))</f>
        <v xml:space="preserve">addOption, hasShortOption, stripLeadingHyphens
</v>
      </c>
      <c r="G127" s="187"/>
      <c r="H127" s="202"/>
    </row>
    <row r="128" spans="2:8" ht="12.75">
      <c r="B128" s="133" t="s">
        <v>4590</v>
      </c>
      <c r="C128" s="130">
        <v>473</v>
      </c>
      <c r="D128" s="130" t="s">
        <v>1749</v>
      </c>
      <c r="E128" s="130" t="str">
        <f>IF($B128 = "Mutant",VLOOKUP($C128,Mutants!$A$2:$L$560,12,FALSE),IF($B128 = "Test",VLOOKUP($C128,Tests!$A$2:$L$841,12,FALSE),VLOOKUP($C128,Questions!$A$3:$N$174,9,FALSE)))</f>
        <v>N</v>
      </c>
      <c r="F128" s="203" t="str">
        <f>IF($B128 = "Mutant",VLOOKUP($C128,Mutants!$A$2:$L$560,11,FALSE),IF($B128 = "Test",VLOOKUP($C128,Tests!$A$2:$L$841,11,FALSE),VLOOKUP($C128,Questions!$A$3:$N$174,13,FALSE)))</f>
        <v xml:space="preserve">
</v>
      </c>
      <c r="G128" s="203"/>
      <c r="H128" s="204"/>
    </row>
  </sheetData>
  <mergeCells count="87">
    <mergeCell ref="B12:C12"/>
    <mergeCell ref="B5:C5"/>
    <mergeCell ref="B6:C6"/>
    <mergeCell ref="B7:C7"/>
    <mergeCell ref="B8:C8"/>
    <mergeCell ref="B9:C9"/>
    <mergeCell ref="F53:H53"/>
    <mergeCell ref="F54:H54"/>
    <mergeCell ref="F55:H55"/>
    <mergeCell ref="F56:H56"/>
    <mergeCell ref="F57:H57"/>
    <mergeCell ref="F58:H58"/>
    <mergeCell ref="F59:H59"/>
    <mergeCell ref="F60:H60"/>
    <mergeCell ref="F61:H61"/>
    <mergeCell ref="F62:H62"/>
    <mergeCell ref="F63:H63"/>
    <mergeCell ref="F64:H64"/>
    <mergeCell ref="F65:H65"/>
    <mergeCell ref="F66:H66"/>
    <mergeCell ref="F67:H67"/>
    <mergeCell ref="F68:H68"/>
    <mergeCell ref="F69:H69"/>
    <mergeCell ref="F70:H70"/>
    <mergeCell ref="F71:H71"/>
    <mergeCell ref="F72:H72"/>
    <mergeCell ref="F73:H73"/>
    <mergeCell ref="F74:H74"/>
    <mergeCell ref="F75:H75"/>
    <mergeCell ref="F76:H76"/>
    <mergeCell ref="F77:H77"/>
    <mergeCell ref="F78:H78"/>
    <mergeCell ref="F79:H79"/>
    <mergeCell ref="F80:H80"/>
    <mergeCell ref="F81:H81"/>
    <mergeCell ref="F82:H82"/>
    <mergeCell ref="F83:H83"/>
    <mergeCell ref="F84:H84"/>
    <mergeCell ref="F85:H85"/>
    <mergeCell ref="F86:H86"/>
    <mergeCell ref="F87:H87"/>
    <mergeCell ref="F88:H88"/>
    <mergeCell ref="F89:H89"/>
    <mergeCell ref="F90:H90"/>
    <mergeCell ref="F91:H91"/>
    <mergeCell ref="F92:H92"/>
    <mergeCell ref="F93:H93"/>
    <mergeCell ref="F94:H94"/>
    <mergeCell ref="F95:H95"/>
    <mergeCell ref="F96:H96"/>
    <mergeCell ref="F97:H97"/>
    <mergeCell ref="F98:H98"/>
    <mergeCell ref="F99:H99"/>
    <mergeCell ref="F100:H100"/>
    <mergeCell ref="F101:H101"/>
    <mergeCell ref="F102:H102"/>
    <mergeCell ref="F103:H103"/>
    <mergeCell ref="F104:H104"/>
    <mergeCell ref="F105:H105"/>
    <mergeCell ref="F106:H106"/>
    <mergeCell ref="F107:H107"/>
    <mergeCell ref="F108:H108"/>
    <mergeCell ref="F109:H109"/>
    <mergeCell ref="F110:H110"/>
    <mergeCell ref="F111:H111"/>
    <mergeCell ref="F112:H112"/>
    <mergeCell ref="F113:H113"/>
    <mergeCell ref="F114:H114"/>
    <mergeCell ref="F115:H115"/>
    <mergeCell ref="F116:H116"/>
    <mergeCell ref="F117:H117"/>
    <mergeCell ref="F128:H128"/>
    <mergeCell ref="B51:C51"/>
    <mergeCell ref="B68:C68"/>
    <mergeCell ref="B83:C83"/>
    <mergeCell ref="B107:C107"/>
    <mergeCell ref="F52:H52"/>
    <mergeCell ref="F123:H123"/>
    <mergeCell ref="F124:H124"/>
    <mergeCell ref="F125:H125"/>
    <mergeCell ref="F126:H126"/>
    <mergeCell ref="F127:H127"/>
    <mergeCell ref="F118:H118"/>
    <mergeCell ref="F119:H119"/>
    <mergeCell ref="F120:H120"/>
    <mergeCell ref="F121:H121"/>
    <mergeCell ref="F122:H122"/>
  </mergeCells>
  <conditionalFormatting sqref="A51:B51">
    <cfRule type="cellIs" dxfId="317" priority="31" operator="equal">
      <formula>"NO_KILL"</formula>
    </cfRule>
    <cfRule type="cellIs" dxfId="316" priority="32" operator="equal">
      <formula>"KILL"</formula>
    </cfRule>
    <cfRule type="cellIs" dxfId="315" priority="33" operator="equal">
      <formula>"ERROR"</formula>
    </cfRule>
  </conditionalFormatting>
  <conditionalFormatting sqref="A68:B68">
    <cfRule type="cellIs" dxfId="314" priority="25" operator="equal">
      <formula>"NO_KILL"</formula>
    </cfRule>
    <cfRule type="cellIs" dxfId="313" priority="26" operator="equal">
      <formula>"KILL"</formula>
    </cfRule>
    <cfRule type="cellIs" dxfId="312" priority="27" operator="equal">
      <formula>"ERROR"</formula>
    </cfRule>
  </conditionalFormatting>
  <conditionalFormatting sqref="A83:B83">
    <cfRule type="cellIs" dxfId="311" priority="19" operator="equal">
      <formula>"NO_KILL"</formula>
    </cfRule>
    <cfRule type="cellIs" dxfId="310" priority="20" operator="equal">
      <formula>"KILL"</formula>
    </cfRule>
    <cfRule type="cellIs" dxfId="309" priority="21" operator="equal">
      <formula>"ERROR"</formula>
    </cfRule>
  </conditionalFormatting>
  <conditionalFormatting sqref="A107:B107">
    <cfRule type="cellIs" dxfId="308" priority="13" operator="equal">
      <formula>"NO_KILL"</formula>
    </cfRule>
    <cfRule type="cellIs" dxfId="307" priority="14" operator="equal">
      <formula>"KILL"</formula>
    </cfRule>
    <cfRule type="cellIs" dxfId="306" priority="15" operator="equal">
      <formula>"ERROR"</formula>
    </cfRule>
  </conditionalFormatting>
  <conditionalFormatting sqref="A1:Z4 A5:B9 D5:Z9 A10:Z50 D51:Z51 A52:D67 I52:Z128 D68 A69:D82 D83 A84:D106 D107 A108:D128 A129:Z1070">
    <cfRule type="cellIs" dxfId="305" priority="40" operator="equal">
      <formula>"NO_KILL"</formula>
    </cfRule>
    <cfRule type="cellIs" dxfId="304" priority="41" operator="equal">
      <formula>"KILL"</formula>
    </cfRule>
    <cfRule type="cellIs" dxfId="303" priority="42" operator="equal">
      <formula>"ERROR"</formula>
    </cfRule>
  </conditionalFormatting>
  <conditionalFormatting sqref="B49:B1070">
    <cfRule type="cellIs" dxfId="302" priority="16" operator="equal">
      <formula>"Test"</formula>
    </cfRule>
    <cfRule type="cellIs" dxfId="301" priority="17" operator="equal">
      <formula>"Mutant"</formula>
    </cfRule>
    <cfRule type="cellIs" dxfId="300" priority="18" operator="equal">
      <formula>"Question"</formula>
    </cfRule>
  </conditionalFormatting>
  <conditionalFormatting sqref="E52:F128">
    <cfRule type="cellIs" dxfId="299" priority="1" operator="equal">
      <formula>"NO_KILL"</formula>
    </cfRule>
    <cfRule type="cellIs" dxfId="298" priority="2" operator="equal">
      <formula>"KILL"</formula>
    </cfRule>
    <cfRule type="cellIs" dxfId="297" priority="3" operator="equal">
      <formula>"ERROR"</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B2:N102"/>
  <sheetViews>
    <sheetView topLeftCell="A28" workbookViewId="0">
      <selection activeCell="E43" sqref="E43:H43"/>
    </sheetView>
  </sheetViews>
  <sheetFormatPr defaultColWidth="12.5703125" defaultRowHeight="15.75" customHeight="1"/>
  <cols>
    <col min="4" max="4" width="18.140625" bestFit="1" customWidth="1"/>
    <col min="6" max="6" width="13.85546875" customWidth="1"/>
    <col min="14" max="14" width="13.42578125" customWidth="1"/>
  </cols>
  <sheetData>
    <row r="2" spans="2:14" ht="12.75">
      <c r="B2" s="29" t="s">
        <v>4</v>
      </c>
      <c r="C2" s="29" t="s">
        <v>45</v>
      </c>
      <c r="D2" s="29" t="s">
        <v>46</v>
      </c>
    </row>
    <row r="3" spans="2:14" ht="12.75">
      <c r="B3" s="29">
        <v>115</v>
      </c>
      <c r="C3" s="29" t="s">
        <v>59</v>
      </c>
      <c r="D3" s="127" t="s">
        <v>19</v>
      </c>
    </row>
    <row r="5" spans="2:14" ht="12.75">
      <c r="B5" s="221" t="s">
        <v>3</v>
      </c>
      <c r="C5" s="222"/>
      <c r="D5" s="44" t="s">
        <v>5</v>
      </c>
      <c r="E5" s="43" t="s">
        <v>6</v>
      </c>
      <c r="F5" s="43" t="s">
        <v>7</v>
      </c>
      <c r="G5" s="43" t="s">
        <v>8</v>
      </c>
      <c r="H5" s="44" t="s">
        <v>9</v>
      </c>
      <c r="I5" s="43" t="s">
        <v>10</v>
      </c>
      <c r="J5" s="43" t="s">
        <v>11</v>
      </c>
      <c r="K5" s="44" t="s">
        <v>12</v>
      </c>
      <c r="L5" s="43" t="s">
        <v>13</v>
      </c>
      <c r="M5" s="43" t="s">
        <v>14</v>
      </c>
      <c r="N5" s="61" t="s">
        <v>15</v>
      </c>
    </row>
    <row r="6" spans="2:14" ht="12.75">
      <c r="B6" s="223">
        <v>173</v>
      </c>
      <c r="C6" s="224"/>
      <c r="D6" s="47">
        <f ca="1">COUNTIF(Valid_questions!F$1:F1044, B6)</f>
        <v>0</v>
      </c>
      <c r="E6" s="40">
        <v>1</v>
      </c>
      <c r="F6" s="40">
        <v>0</v>
      </c>
      <c r="G6" s="40">
        <v>0</v>
      </c>
      <c r="H6" s="47">
        <v>1</v>
      </c>
      <c r="I6" s="40">
        <f>COUNTIFS(Tests!E$1:E1044,B6,Tests!D$1:D1044,"&lt;&gt;\N")</f>
        <v>0</v>
      </c>
      <c r="J6" s="40">
        <f>COUNTIFS(Tests!E$1:E1044,B6,Tests!D$1:D1044,"=\N")</f>
        <v>2</v>
      </c>
      <c r="K6" s="47">
        <v>0</v>
      </c>
      <c r="L6" s="40">
        <f>COUNTIFS(Mutants!E$1:E1044,B6,Mutants!D$1:D1044,"&lt;&gt;\N")</f>
        <v>2</v>
      </c>
      <c r="M6" s="40">
        <f>COUNTIFS(Mutants!E$1:E1044,B6,Mutants!D$1:D1044,"=\N")</f>
        <v>0</v>
      </c>
      <c r="N6" s="45">
        <v>1</v>
      </c>
    </row>
    <row r="7" spans="2:14" ht="12.75">
      <c r="B7" s="225">
        <v>174</v>
      </c>
      <c r="C7" s="226"/>
      <c r="D7" s="10">
        <f ca="1">COUNTIF(Valid_questions!F$1:F1044, B7)</f>
        <v>0</v>
      </c>
      <c r="E7" s="9">
        <v>4</v>
      </c>
      <c r="F7" s="9">
        <v>0</v>
      </c>
      <c r="G7" s="9">
        <v>0</v>
      </c>
      <c r="H7" s="10">
        <v>4</v>
      </c>
      <c r="I7" s="9">
        <f>COUNTIFS(Tests!E$1:E1044,B7,Tests!D$1:D1044,"&lt;&gt;\N")</f>
        <v>1</v>
      </c>
      <c r="J7" s="9">
        <f>COUNTIFS(Tests!E$1:E1044,B7,Tests!D$1:D1044,"=\N")</f>
        <v>3</v>
      </c>
      <c r="K7" s="10">
        <v>1</v>
      </c>
      <c r="L7" s="9">
        <f>COUNTIFS(Mutants!E$1:E1044,B7,Mutants!D$1:D1044,"&lt;&gt;\N")</f>
        <v>12</v>
      </c>
      <c r="M7" s="9">
        <f>COUNTIFS(Mutants!E$1:E1044,B7,Mutants!D$1:D1044,"=\N")</f>
        <v>3</v>
      </c>
      <c r="N7" s="14">
        <v>8</v>
      </c>
    </row>
    <row r="8" spans="2:14" ht="12.75">
      <c r="B8" s="225">
        <v>175</v>
      </c>
      <c r="C8" s="226"/>
      <c r="D8" s="10">
        <f ca="1">COUNTIF(Valid_questions!F$1:F1044, B8)</f>
        <v>0</v>
      </c>
      <c r="E8" s="9">
        <v>3</v>
      </c>
      <c r="F8" s="9">
        <v>0</v>
      </c>
      <c r="G8" s="9">
        <v>0</v>
      </c>
      <c r="H8" s="10">
        <v>3</v>
      </c>
      <c r="I8" s="9">
        <f>COUNTIFS(Tests!E$1:E1044,B8,Tests!D$1:D1044,"&lt;&gt;\N")</f>
        <v>1</v>
      </c>
      <c r="J8" s="9">
        <f>COUNTIFS(Tests!E$1:E1044,B8,Tests!D$1:D1044,"=\N")</f>
        <v>8</v>
      </c>
      <c r="K8" s="10">
        <v>0</v>
      </c>
      <c r="L8" s="9">
        <f>COUNTIFS(Mutants!E$1:E1044,B8,Mutants!D$1:D1044,"&lt;&gt;\N")</f>
        <v>4</v>
      </c>
      <c r="M8" s="9">
        <f>COUNTIFS(Mutants!E$1:E1044,B8,Mutants!D$1:D1044,"=\N")</f>
        <v>0</v>
      </c>
      <c r="N8" s="14">
        <v>2</v>
      </c>
    </row>
    <row r="9" spans="2:14" ht="12.75">
      <c r="B9" s="227">
        <v>176</v>
      </c>
      <c r="C9" s="228"/>
      <c r="D9" s="22">
        <f ca="1">COUNTIF(Valid_questions!F$1:F1044, B9)</f>
        <v>0</v>
      </c>
      <c r="E9" s="21">
        <v>0</v>
      </c>
      <c r="F9" s="21">
        <v>4</v>
      </c>
      <c r="G9" s="21">
        <v>0</v>
      </c>
      <c r="H9" s="22">
        <v>4</v>
      </c>
      <c r="I9" s="21">
        <f>COUNTIFS(Tests!E$1:E1044,B9,Tests!D$1:D1044,"&lt;&gt;\N")</f>
        <v>2</v>
      </c>
      <c r="J9" s="21">
        <f>COUNTIFS(Tests!E$1:E1044,B9,Tests!D$1:D1044,"=\N")</f>
        <v>3</v>
      </c>
      <c r="K9" s="22">
        <v>2</v>
      </c>
      <c r="L9" s="21">
        <f>COUNTIFS(Mutants!E$1:E1044,B9,Mutants!D$1:D1044,"&lt;&gt;\N")</f>
        <v>6</v>
      </c>
      <c r="M9" s="21">
        <f>COUNTIFS(Mutants!E$1:E1044,B9,Mutants!D$1:D1044,"=\N")</f>
        <v>0</v>
      </c>
      <c r="N9" s="38">
        <v>4</v>
      </c>
    </row>
    <row r="12" spans="2:14" ht="27" customHeight="1">
      <c r="B12" s="220" t="s">
        <v>4588</v>
      </c>
      <c r="C12" s="173"/>
    </row>
    <row r="14" spans="2:14" ht="12.75">
      <c r="C14" s="29" t="s">
        <v>4589</v>
      </c>
    </row>
    <row r="15" spans="2:14" ht="12.75">
      <c r="B15" s="29" t="s">
        <v>4590</v>
      </c>
      <c r="C15" s="29"/>
      <c r="D15" s="43">
        <v>350</v>
      </c>
      <c r="E15" s="43">
        <v>417</v>
      </c>
      <c r="F15" s="61">
        <v>441</v>
      </c>
    </row>
    <row r="16" spans="2:14" ht="12.75">
      <c r="B16" s="9"/>
      <c r="C16" s="81">
        <v>148</v>
      </c>
      <c r="D16" s="9" t="s">
        <v>4591</v>
      </c>
      <c r="E16" s="9" t="s">
        <v>4591</v>
      </c>
      <c r="F16" s="14" t="s">
        <v>4591</v>
      </c>
    </row>
    <row r="17" spans="2:6" ht="12.75">
      <c r="B17" s="9"/>
      <c r="C17" s="81">
        <v>156</v>
      </c>
      <c r="D17" s="9" t="s">
        <v>4591</v>
      </c>
      <c r="E17" s="9" t="s">
        <v>4591</v>
      </c>
      <c r="F17" s="14" t="s">
        <v>4591</v>
      </c>
    </row>
    <row r="18" spans="2:6" ht="12.75">
      <c r="B18" s="9"/>
      <c r="C18" s="81">
        <v>160</v>
      </c>
      <c r="D18" s="9" t="s">
        <v>4592</v>
      </c>
      <c r="E18" s="9" t="s">
        <v>4593</v>
      </c>
      <c r="F18" s="14" t="s">
        <v>4592</v>
      </c>
    </row>
    <row r="19" spans="2:6" ht="12.75">
      <c r="B19" s="9"/>
      <c r="C19" s="81">
        <v>166</v>
      </c>
      <c r="D19" s="9" t="s">
        <v>4591</v>
      </c>
      <c r="E19" s="9" t="s">
        <v>4591</v>
      </c>
      <c r="F19" s="14" t="s">
        <v>4591</v>
      </c>
    </row>
    <row r="20" spans="2:6" ht="12.75">
      <c r="B20" s="9"/>
      <c r="C20" s="81">
        <v>187</v>
      </c>
      <c r="D20" s="9" t="s">
        <v>4591</v>
      </c>
      <c r="E20" s="9" t="s">
        <v>4591</v>
      </c>
      <c r="F20" s="14" t="s">
        <v>4591</v>
      </c>
    </row>
    <row r="21" spans="2:6" ht="12.75">
      <c r="B21" s="9"/>
      <c r="C21" s="81">
        <v>194</v>
      </c>
      <c r="D21" s="9" t="s">
        <v>4591</v>
      </c>
      <c r="E21" s="9" t="s">
        <v>4591</v>
      </c>
      <c r="F21" s="14" t="s">
        <v>4591</v>
      </c>
    </row>
    <row r="22" spans="2:6" ht="12.75">
      <c r="B22" s="9"/>
      <c r="C22" s="81">
        <v>203</v>
      </c>
      <c r="D22" s="9" t="s">
        <v>4591</v>
      </c>
      <c r="E22" s="9" t="s">
        <v>4591</v>
      </c>
      <c r="F22" s="14" t="s">
        <v>4591</v>
      </c>
    </row>
    <row r="23" spans="2:6" ht="12.75">
      <c r="B23" s="9"/>
      <c r="C23" s="81">
        <v>204</v>
      </c>
      <c r="D23" s="9" t="s">
        <v>4592</v>
      </c>
      <c r="E23" s="9" t="s">
        <v>4592</v>
      </c>
      <c r="F23" s="14" t="s">
        <v>4592</v>
      </c>
    </row>
    <row r="24" spans="2:6" ht="12.75">
      <c r="B24" s="9"/>
      <c r="C24" s="81">
        <v>208</v>
      </c>
      <c r="D24" s="9" t="s">
        <v>4593</v>
      </c>
      <c r="E24" s="9" t="s">
        <v>4592</v>
      </c>
      <c r="F24" s="14" t="s">
        <v>4593</v>
      </c>
    </row>
    <row r="25" spans="2:6" ht="12.75">
      <c r="B25" s="9"/>
      <c r="C25" s="81">
        <v>222</v>
      </c>
      <c r="D25" s="9" t="s">
        <v>4592</v>
      </c>
      <c r="E25" s="9" t="s">
        <v>4592</v>
      </c>
      <c r="F25" s="14" t="s">
        <v>4592</v>
      </c>
    </row>
    <row r="26" spans="2:6" ht="12.75">
      <c r="B26" s="9"/>
      <c r="C26" s="81">
        <v>230</v>
      </c>
      <c r="D26" s="9" t="s">
        <v>4591</v>
      </c>
      <c r="E26" s="9" t="s">
        <v>4591</v>
      </c>
      <c r="F26" s="14" t="s">
        <v>4591</v>
      </c>
    </row>
    <row r="27" spans="2:6" ht="12.75">
      <c r="B27" s="9"/>
      <c r="C27" s="81">
        <v>231</v>
      </c>
      <c r="D27" s="9" t="s">
        <v>4591</v>
      </c>
      <c r="E27" s="9" t="s">
        <v>4591</v>
      </c>
      <c r="F27" s="14" t="s">
        <v>4591</v>
      </c>
    </row>
    <row r="28" spans="2:6" ht="12.75">
      <c r="B28" s="9"/>
      <c r="C28" s="81">
        <v>235</v>
      </c>
      <c r="D28" s="9" t="s">
        <v>4591</v>
      </c>
      <c r="E28" s="9" t="s">
        <v>4591</v>
      </c>
      <c r="F28" s="14" t="s">
        <v>4591</v>
      </c>
    </row>
    <row r="29" spans="2:6" ht="12.75">
      <c r="B29" s="9"/>
      <c r="C29" s="81">
        <v>237</v>
      </c>
      <c r="D29" s="9" t="s">
        <v>4591</v>
      </c>
      <c r="E29" s="9" t="s">
        <v>4591</v>
      </c>
      <c r="F29" s="14" t="s">
        <v>4591</v>
      </c>
    </row>
    <row r="30" spans="2:6" ht="12.75">
      <c r="B30" s="9"/>
      <c r="C30" s="81">
        <v>242</v>
      </c>
      <c r="D30" s="9" t="s">
        <v>4591</v>
      </c>
      <c r="E30" s="9" t="s">
        <v>4591</v>
      </c>
      <c r="F30" s="14" t="s">
        <v>4591</v>
      </c>
    </row>
    <row r="31" spans="2:6" ht="12.75">
      <c r="B31" s="9"/>
      <c r="C31" s="81">
        <v>251</v>
      </c>
      <c r="D31" s="9" t="s">
        <v>4591</v>
      </c>
      <c r="E31" s="9" t="s">
        <v>4591</v>
      </c>
      <c r="F31" s="14" t="s">
        <v>4591</v>
      </c>
    </row>
    <row r="32" spans="2:6" ht="12.75">
      <c r="B32" s="9"/>
      <c r="C32" s="81">
        <v>275</v>
      </c>
      <c r="D32" s="9" t="s">
        <v>4591</v>
      </c>
      <c r="E32" s="9" t="s">
        <v>4591</v>
      </c>
      <c r="F32" s="14" t="s">
        <v>4591</v>
      </c>
    </row>
    <row r="33" spans="2:8" ht="12.75">
      <c r="B33" s="9"/>
      <c r="C33" s="81">
        <v>277</v>
      </c>
      <c r="D33" s="9" t="s">
        <v>4591</v>
      </c>
      <c r="E33" s="9" t="s">
        <v>4591</v>
      </c>
      <c r="F33" s="14" t="s">
        <v>4591</v>
      </c>
    </row>
    <row r="34" spans="2:8" ht="12.75">
      <c r="B34" s="9"/>
      <c r="C34" s="81">
        <v>293</v>
      </c>
      <c r="D34" s="9" t="s">
        <v>4593</v>
      </c>
      <c r="E34" s="9" t="s">
        <v>4591</v>
      </c>
      <c r="F34" s="14" t="s">
        <v>4593</v>
      </c>
    </row>
    <row r="35" spans="2:8" ht="12.75">
      <c r="B35" s="9"/>
      <c r="C35" s="81">
        <v>308</v>
      </c>
      <c r="D35" s="9" t="s">
        <v>4591</v>
      </c>
      <c r="E35" s="9" t="s">
        <v>4591</v>
      </c>
      <c r="F35" s="14" t="s">
        <v>4591</v>
      </c>
    </row>
    <row r="36" spans="2:8" ht="12.75">
      <c r="B36" s="9"/>
      <c r="C36" s="81">
        <v>313</v>
      </c>
      <c r="D36" s="9" t="s">
        <v>4591</v>
      </c>
      <c r="E36" s="9" t="s">
        <v>4591</v>
      </c>
      <c r="F36" s="14" t="s">
        <v>4591</v>
      </c>
    </row>
    <row r="37" spans="2:8" ht="12.75">
      <c r="B37" s="9"/>
      <c r="C37" s="81">
        <v>344</v>
      </c>
      <c r="D37" s="9" t="s">
        <v>4591</v>
      </c>
      <c r="E37" s="9" t="s">
        <v>4591</v>
      </c>
      <c r="F37" s="14" t="s">
        <v>4591</v>
      </c>
    </row>
    <row r="38" spans="2:8" ht="12.75">
      <c r="B38" s="9"/>
      <c r="C38" s="81">
        <v>354</v>
      </c>
      <c r="D38" s="9" t="s">
        <v>4591</v>
      </c>
      <c r="E38" s="9" t="s">
        <v>4591</v>
      </c>
      <c r="F38" s="14" t="s">
        <v>4591</v>
      </c>
    </row>
    <row r="39" spans="2:8" ht="12.75">
      <c r="B39" s="9"/>
      <c r="C39" s="82">
        <v>362</v>
      </c>
      <c r="D39" s="21" t="s">
        <v>4592</v>
      </c>
      <c r="E39" s="21" t="s">
        <v>4592</v>
      </c>
      <c r="F39" s="38" t="s">
        <v>4592</v>
      </c>
    </row>
    <row r="42" spans="2:8" ht="13.5" thickBot="1">
      <c r="B42" s="219" t="s">
        <v>4604</v>
      </c>
      <c r="C42" s="201"/>
      <c r="D42" s="45">
        <v>173</v>
      </c>
    </row>
    <row r="43" spans="2:8" ht="13.5" thickTop="1">
      <c r="B43" s="134" t="s">
        <v>4594</v>
      </c>
      <c r="C43" s="135" t="s">
        <v>44</v>
      </c>
      <c r="D43" s="135" t="s">
        <v>110</v>
      </c>
      <c r="E43" s="136" t="s">
        <v>2</v>
      </c>
      <c r="F43" s="229" t="s">
        <v>4612</v>
      </c>
      <c r="G43" s="229"/>
      <c r="H43" s="230"/>
    </row>
    <row r="44" spans="2:8" ht="12.75">
      <c r="B44" s="137" t="s">
        <v>4589</v>
      </c>
      <c r="C44" s="93">
        <v>160</v>
      </c>
      <c r="D44" s="93" t="s">
        <v>3265</v>
      </c>
      <c r="E44" s="93" t="str">
        <f>IF($B44 = "Mutant",VLOOKUP($C44,Mutants!$A$2:$L$560,12,FALSE),IF($B44 = "Test",VLOOKUP($C44,Tests!$A$2:$L$841,12,FALSE),VLOOKUP($C44,Questions!$A$3:$N$174,9,FALSE)))</f>
        <v>Y</v>
      </c>
      <c r="F44" s="205" t="str">
        <f>IF($B44 = "Mutant",VLOOKUP($C44,Mutants!$A$2:$L$560,11,FALSE),IF($B44 = "Test",VLOOKUP($C44,Tests!$A$2:$L$841,11,FALSE),VLOOKUP($C44,Questions!$A$3:$N$174,13,FALSE)))</f>
        <v xml:space="preserve">addOptionGroup
</v>
      </c>
      <c r="G44" s="205"/>
      <c r="H44" s="206"/>
    </row>
    <row r="45" spans="2:8" ht="12.75">
      <c r="B45" s="114" t="s">
        <v>4589</v>
      </c>
      <c r="C45" s="9">
        <v>194</v>
      </c>
      <c r="D45" s="9" t="s">
        <v>3360</v>
      </c>
      <c r="E45" s="9" t="str">
        <f>IF($B45 = "Mutant",VLOOKUP($C45,Mutants!$A$2:$L$560,12,FALSE),IF($B45 = "Test",VLOOKUP($C45,Tests!$A$2:$L$841,12,FALSE),VLOOKUP($C45,Questions!$A$3:$N$174,9,FALSE)))</f>
        <v>Y</v>
      </c>
      <c r="F45" s="187" t="str">
        <f>IF($B45 = "Mutant",VLOOKUP($C45,Mutants!$A$2:$L$560,11,FALSE),IF($B45 = "Test",VLOOKUP($C45,Tests!$A$2:$L$841,11,FALSE),VLOOKUP($C45,Questions!$A$3:$N$174,13,FALSE)))</f>
        <v xml:space="preserve">hasOption
</v>
      </c>
      <c r="G45" s="187"/>
      <c r="H45" s="202"/>
    </row>
    <row r="46" spans="2:8" ht="12.75">
      <c r="B46" s="114" t="s">
        <v>4590</v>
      </c>
      <c r="C46" s="9">
        <v>267</v>
      </c>
      <c r="D46" s="9" t="s">
        <v>1138</v>
      </c>
      <c r="E46" s="9" t="str">
        <f>IF($B46 = "Mutant",VLOOKUP($C46,Mutants!$A$2:$L$560,12,FALSE),IF($B46 = "Test",VLOOKUP($C46,Tests!$A$2:$L$841,12,FALSE),VLOOKUP($C46,Questions!$A$3:$N$174,9,FALSE)))</f>
        <v>N</v>
      </c>
      <c r="F46" s="187" t="str">
        <f>IF($B46 = "Mutant",VLOOKUP($C46,Mutants!$A$2:$L$560,11,FALSE),IF($B46 = "Test",VLOOKUP($C46,Tests!$A$2:$L$841,11,FALSE),VLOOKUP($C46,Questions!$A$3:$N$174,13,FALSE)))</f>
        <v xml:space="preserve">
</v>
      </c>
      <c r="G46" s="187"/>
      <c r="H46" s="202"/>
    </row>
    <row r="47" spans="2:8" ht="12.75">
      <c r="B47" s="133" t="s">
        <v>4590</v>
      </c>
      <c r="C47" s="130">
        <v>468</v>
      </c>
      <c r="D47" s="130" t="s">
        <v>1736</v>
      </c>
      <c r="E47" s="130" t="str">
        <f>IF($B47 = "Mutant",VLOOKUP($C47,Mutants!$A$2:$L$560,12,FALSE),IF($B47 = "Test",VLOOKUP($C47,Tests!$A$2:$L$841,12,FALSE),VLOOKUP($C47,Questions!$A$3:$N$174,9,FALSE)))</f>
        <v>N</v>
      </c>
      <c r="F47" s="203" t="str">
        <f>IF($B47 = "Mutant",VLOOKUP($C47,Mutants!$A$2:$L$560,11,FALSE),IF($B47 = "Test",VLOOKUP($C47,Tests!$A$2:$L$841,11,FALSE),VLOOKUP($C47,Questions!$A$3:$N$174,13,FALSE)))</f>
        <v xml:space="preserve">
</v>
      </c>
      <c r="G47" s="203"/>
      <c r="H47" s="204"/>
    </row>
    <row r="48" spans="2:8" ht="15.75" customHeight="1">
      <c r="E48" s="9"/>
      <c r="F48" s="187"/>
      <c r="G48" s="187"/>
      <c r="H48" s="187"/>
    </row>
    <row r="49" spans="2:8" ht="15.75" customHeight="1">
      <c r="E49" s="9"/>
      <c r="F49" s="187"/>
      <c r="G49" s="187"/>
      <c r="H49" s="187"/>
    </row>
    <row r="50" spans="2:8" ht="13.5" thickBot="1">
      <c r="B50" s="219" t="s">
        <v>4604</v>
      </c>
      <c r="C50" s="201"/>
      <c r="D50" s="45">
        <v>174</v>
      </c>
      <c r="E50" s="9"/>
      <c r="F50" s="187"/>
      <c r="G50" s="187"/>
      <c r="H50" s="187"/>
    </row>
    <row r="51" spans="2:8" ht="13.5" thickTop="1">
      <c r="B51" s="134" t="s">
        <v>4594</v>
      </c>
      <c r="C51" s="135" t="s">
        <v>44</v>
      </c>
      <c r="D51" s="135" t="s">
        <v>110</v>
      </c>
      <c r="E51" s="136" t="s">
        <v>2</v>
      </c>
      <c r="F51" s="229" t="s">
        <v>4612</v>
      </c>
      <c r="G51" s="229"/>
      <c r="H51" s="230"/>
    </row>
    <row r="52" spans="2:8" ht="12.75">
      <c r="B52" s="137" t="s">
        <v>4589</v>
      </c>
      <c r="C52" s="93">
        <v>148</v>
      </c>
      <c r="D52" s="93" t="s">
        <v>3230</v>
      </c>
      <c r="E52" s="93" t="str">
        <f>IF($B52 = "Mutant",VLOOKUP($C52,Mutants!$A$2:$L$560,12,FALSE),IF($B52 = "Test",VLOOKUP($C52,Tests!$A$2:$L$841,12,FALSE),VLOOKUP($C52,Questions!$A$3:$N$174,9,FALSE)))</f>
        <v>Y</v>
      </c>
      <c r="F52" s="205" t="str">
        <f>IF($B52 = "Mutant",VLOOKUP($C52,Mutants!$A$2:$L$560,11,FALSE),IF($B52 = "Test",VLOOKUP($C52,Tests!$A$2:$L$841,11,FALSE),VLOOKUP($C52,Questions!$A$3:$N$174,13,FALSE)))</f>
        <v xml:space="preserve">getOption
</v>
      </c>
      <c r="G52" s="205"/>
      <c r="H52" s="206"/>
    </row>
    <row r="53" spans="2:8" ht="12.75">
      <c r="B53" s="114" t="s">
        <v>4589</v>
      </c>
      <c r="C53" s="9">
        <v>156</v>
      </c>
      <c r="D53" s="9" t="s">
        <v>3253</v>
      </c>
      <c r="E53" s="9" t="str">
        <f>IF($B53 = "Mutant",VLOOKUP($C53,Mutants!$A$2:$L$560,12,FALSE),IF($B53 = "Test",VLOOKUP($C53,Tests!$A$2:$L$841,12,FALSE),VLOOKUP($C53,Questions!$A$3:$N$174,9,FALSE)))</f>
        <v>Y</v>
      </c>
      <c r="F53" s="187" t="str">
        <f>IF($B53 = "Mutant",VLOOKUP($C53,Mutants!$A$2:$L$560,11,FALSE),IF($B53 = "Test",VLOOKUP($C53,Tests!$A$2:$L$841,11,FALSE),VLOOKUP($C53,Questions!$A$3:$N$174,13,FALSE)))</f>
        <v xml:space="preserve">stripLeadingHyphens
</v>
      </c>
      <c r="G53" s="187"/>
      <c r="H53" s="202"/>
    </row>
    <row r="54" spans="2:8" ht="12.75">
      <c r="B54" s="114" t="s">
        <v>4589</v>
      </c>
      <c r="C54" s="9">
        <v>166</v>
      </c>
      <c r="D54" s="9" t="s">
        <v>3281</v>
      </c>
      <c r="E54" s="9" t="str">
        <f>IF($B54 = "Mutant",VLOOKUP($C54,Mutants!$A$2:$L$560,12,FALSE),IF($B54 = "Test",VLOOKUP($C54,Tests!$A$2:$L$841,12,FALSE),VLOOKUP($C54,Questions!$A$3:$N$174,9,FALSE)))</f>
        <v>Y</v>
      </c>
      <c r="F54" s="187" t="str">
        <f>IF($B54 = "Mutant",VLOOKUP($C54,Mutants!$A$2:$L$560,11,FALSE),IF($B54 = "Test",VLOOKUP($C54,Tests!$A$2:$L$841,11,FALSE),VLOOKUP($C54,Questions!$A$3:$N$174,13,FALSE)))</f>
        <v xml:space="preserve">toString
</v>
      </c>
      <c r="G54" s="187"/>
      <c r="H54" s="202"/>
    </row>
    <row r="55" spans="2:8" ht="12.75">
      <c r="B55" s="114" t="s">
        <v>4589</v>
      </c>
      <c r="C55" s="9">
        <v>197</v>
      </c>
      <c r="D55" s="9" t="s">
        <v>3369</v>
      </c>
      <c r="E55" s="9" t="str">
        <f>IF($B55 = "Mutant",VLOOKUP($C55,Mutants!$A$2:$L$560,12,FALSE),IF($B55 = "Test",VLOOKUP($C55,Tests!$A$2:$L$841,12,FALSE),VLOOKUP($C55,Questions!$A$3:$N$174,9,FALSE)))</f>
        <v>N</v>
      </c>
      <c r="F55" s="187" t="str">
        <f>IF($B55 = "Mutant",VLOOKUP($C55,Mutants!$A$2:$L$560,11,FALSE),IF($B55 = "Test",VLOOKUP($C55,Tests!$A$2:$L$841,11,FALSE),VLOOKUP($C55,Questions!$A$3:$N$174,13,FALSE)))</f>
        <v xml:space="preserve">
</v>
      </c>
      <c r="G55" s="187"/>
      <c r="H55" s="202"/>
    </row>
    <row r="56" spans="2:8" ht="12.75">
      <c r="B56" s="114" t="s">
        <v>4589</v>
      </c>
      <c r="C56" s="9">
        <v>204</v>
      </c>
      <c r="D56" s="9" t="s">
        <v>3387</v>
      </c>
      <c r="E56" s="9" t="str">
        <f>IF($B56 = "Mutant",VLOOKUP($C56,Mutants!$A$2:$L$560,12,FALSE),IF($B56 = "Test",VLOOKUP($C56,Tests!$A$2:$L$841,12,FALSE),VLOOKUP($C56,Questions!$A$3:$N$174,9,FALSE)))</f>
        <v>Y</v>
      </c>
      <c r="F56" s="187" t="str">
        <f>IF($B56 = "Mutant",VLOOKUP($C56,Mutants!$A$2:$L$560,11,FALSE),IF($B56 = "Test",VLOOKUP($C56,Tests!$A$2:$L$841,11,FALSE),VLOOKUP($C56,Questions!$A$3:$N$174,13,FALSE)))</f>
        <v xml:space="preserve">addOptionGroup
</v>
      </c>
      <c r="G56" s="187"/>
      <c r="H56" s="202"/>
    </row>
    <row r="57" spans="2:8" ht="12.75">
      <c r="B57" s="114" t="s">
        <v>4589</v>
      </c>
      <c r="C57" s="9">
        <v>208</v>
      </c>
      <c r="D57" s="9" t="s">
        <v>3399</v>
      </c>
      <c r="E57" s="9" t="str">
        <f>IF($B57 = "Mutant",VLOOKUP($C57,Mutants!$A$2:$L$560,12,FALSE),IF($B57 = "Test",VLOOKUP($C57,Tests!$A$2:$L$841,12,FALSE),VLOOKUP($C57,Questions!$A$3:$N$174,9,FALSE)))</f>
        <v>Y</v>
      </c>
      <c r="F57" s="187" t="str">
        <f>IF($B57 = "Mutant",VLOOKUP($C57,Mutants!$A$2:$L$560,11,FALSE),IF($B57 = "Test",VLOOKUP($C57,Tests!$A$2:$L$841,11,FALSE),VLOOKUP($C57,Questions!$A$3:$N$174,13,FALSE)))</f>
        <v xml:space="preserve">addOptionGroup
</v>
      </c>
      <c r="G57" s="187"/>
      <c r="H57" s="202"/>
    </row>
    <row r="58" spans="2:8" ht="12.75">
      <c r="B58" s="114" t="s">
        <v>4589</v>
      </c>
      <c r="C58" s="9">
        <v>222</v>
      </c>
      <c r="D58" s="9" t="s">
        <v>3440</v>
      </c>
      <c r="E58" s="9" t="str">
        <f>IF($B58 = "Mutant",VLOOKUP($C58,Mutants!$A$2:$L$560,12,FALSE),IF($B58 = "Test",VLOOKUP($C58,Tests!$A$2:$L$841,12,FALSE),VLOOKUP($C58,Questions!$A$3:$N$174,9,FALSE)))</f>
        <v>Y</v>
      </c>
      <c r="F58" s="187" t="str">
        <f>IF($B58 = "Mutant",VLOOKUP($C58,Mutants!$A$2:$L$560,11,FALSE),IF($B58 = "Test",VLOOKUP($C58,Tests!$A$2:$L$841,11,FALSE),VLOOKUP($C58,Questions!$A$3:$N$174,13,FALSE)))</f>
        <v xml:space="preserve">addOption
</v>
      </c>
      <c r="G58" s="187"/>
      <c r="H58" s="202"/>
    </row>
    <row r="59" spans="2:8" ht="12.75">
      <c r="B59" s="114" t="s">
        <v>4589</v>
      </c>
      <c r="C59" s="9">
        <v>231</v>
      </c>
      <c r="D59" s="9" t="s">
        <v>3462</v>
      </c>
      <c r="E59" s="9" t="str">
        <f>IF($B59 = "Mutant",VLOOKUP($C59,Mutants!$A$2:$L$560,12,FALSE),IF($B59 = "Test",VLOOKUP($C59,Tests!$A$2:$L$841,12,FALSE),VLOOKUP($C59,Questions!$A$3:$N$174,9,FALSE)))</f>
        <v>Y</v>
      </c>
      <c r="F59" s="187" t="str">
        <f>IF($B59 = "Mutant",VLOOKUP($C59,Mutants!$A$2:$L$560,11,FALSE),IF($B59 = "Test",VLOOKUP($C59,Tests!$A$2:$L$841,11,FALSE),VLOOKUP($C59,Questions!$A$3:$N$174,13,FALSE)))</f>
        <v xml:space="preserve">addOption
</v>
      </c>
      <c r="G59" s="187"/>
      <c r="H59" s="202"/>
    </row>
    <row r="60" spans="2:8" ht="12.75">
      <c r="B60" s="114" t="s">
        <v>4589</v>
      </c>
      <c r="C60" s="9">
        <v>237</v>
      </c>
      <c r="D60" s="9" t="s">
        <v>3479</v>
      </c>
      <c r="E60" s="9" t="str">
        <f>IF($B60 = "Mutant",VLOOKUP($C60,Mutants!$A$2:$L$560,12,FALSE),IF($B60 = "Test",VLOOKUP($C60,Tests!$A$2:$L$841,12,FALSE),VLOOKUP($C60,Questions!$A$3:$N$174,9,FALSE)))</f>
        <v>Y</v>
      </c>
      <c r="F60" s="187" t="str">
        <f>IF($B60 = "Mutant",VLOOKUP($C60,Mutants!$A$2:$L$560,11,FALSE),IF($B60 = "Test",VLOOKUP($C60,Tests!$A$2:$L$841,11,FALSE),VLOOKUP($C60,Questions!$A$3:$N$174,13,FALSE)))</f>
        <v xml:space="preserve">stripLeadingHyphens
</v>
      </c>
      <c r="G60" s="187"/>
      <c r="H60" s="202"/>
    </row>
    <row r="61" spans="2:8" ht="12.75">
      <c r="B61" s="114" t="s">
        <v>4589</v>
      </c>
      <c r="C61" s="9">
        <v>240</v>
      </c>
      <c r="D61" s="9" t="s">
        <v>3486</v>
      </c>
      <c r="E61" s="9" t="str">
        <f>IF($B61 = "Mutant",VLOOKUP($C61,Mutants!$A$2:$L$560,12,FALSE),IF($B61 = "Test",VLOOKUP($C61,Tests!$A$2:$L$841,12,FALSE),VLOOKUP($C61,Questions!$A$3:$N$174,9,FALSE)))</f>
        <v>N</v>
      </c>
      <c r="F61" s="187" t="str">
        <f>IF($B61 = "Mutant",VLOOKUP($C61,Mutants!$A$2:$L$560,11,FALSE),IF($B61 = "Test",VLOOKUP($C61,Tests!$A$2:$L$841,11,FALSE),VLOOKUP($C61,Questions!$A$3:$N$174,13,FALSE)))</f>
        <v xml:space="preserve">
</v>
      </c>
      <c r="G61" s="187"/>
      <c r="H61" s="202"/>
    </row>
    <row r="62" spans="2:8" ht="12.75">
      <c r="B62" s="114" t="s">
        <v>4589</v>
      </c>
      <c r="C62" s="9">
        <v>251</v>
      </c>
      <c r="D62" s="9" t="s">
        <v>3518</v>
      </c>
      <c r="E62" s="9" t="str">
        <f>IF($B62 = "Mutant",VLOOKUP($C62,Mutants!$A$2:$L$560,12,FALSE),IF($B62 = "Test",VLOOKUP($C62,Tests!$A$2:$L$841,12,FALSE),VLOOKUP($C62,Questions!$A$3:$N$174,9,FALSE)))</f>
        <v>Y</v>
      </c>
      <c r="F62" s="187" t="str">
        <f>IF($B62 = "Mutant",VLOOKUP($C62,Mutants!$A$2:$L$560,11,FALSE),IF($B62 = "Test",VLOOKUP($C62,Tests!$A$2:$L$841,11,FALSE),VLOOKUP($C62,Questions!$A$3:$N$174,13,FALSE)))</f>
        <v xml:space="preserve">getOptionGroup
</v>
      </c>
      <c r="G62" s="187"/>
      <c r="H62" s="202"/>
    </row>
    <row r="63" spans="2:8" ht="12.75">
      <c r="B63" s="114" t="s">
        <v>4589</v>
      </c>
      <c r="C63" s="9">
        <v>275</v>
      </c>
      <c r="D63" s="9" t="s">
        <v>3583</v>
      </c>
      <c r="E63" s="9" t="str">
        <f>IF($B63 = "Mutant",VLOOKUP($C63,Mutants!$A$2:$L$560,12,FALSE),IF($B63 = "Test",VLOOKUP($C63,Tests!$A$2:$L$841,12,FALSE),VLOOKUP($C63,Questions!$A$3:$N$174,9,FALSE)))</f>
        <v>Y</v>
      </c>
      <c r="F63" s="187" t="str">
        <f>IF($B63 = "Mutant",VLOOKUP($C63,Mutants!$A$2:$L$560,11,FALSE),IF($B63 = "Test",VLOOKUP($C63,Tests!$A$2:$L$841,11,FALSE),VLOOKUP($C63,Questions!$A$3:$N$174,13,FALSE)))</f>
        <v xml:space="preserve">hasOption
</v>
      </c>
      <c r="G63" s="187"/>
      <c r="H63" s="202"/>
    </row>
    <row r="64" spans="2:8" ht="12.75">
      <c r="B64" s="114" t="s">
        <v>4589</v>
      </c>
      <c r="C64" s="9">
        <v>277</v>
      </c>
      <c r="D64" s="9" t="s">
        <v>3589</v>
      </c>
      <c r="E64" s="9" t="str">
        <f>IF($B64 = "Mutant",VLOOKUP($C64,Mutants!$A$2:$L$560,12,FALSE),IF($B64 = "Test",VLOOKUP($C64,Tests!$A$2:$L$841,12,FALSE),VLOOKUP($C64,Questions!$A$3:$N$174,9,FALSE)))</f>
        <v>Y</v>
      </c>
      <c r="F64" s="187" t="str">
        <f>IF($B64 = "Mutant",VLOOKUP($C64,Mutants!$A$2:$L$560,11,FALSE),IF($B64 = "Test",VLOOKUP($C64,Tests!$A$2:$L$841,11,FALSE),VLOOKUP($C64,Questions!$A$3:$N$174,13,FALSE)))</f>
        <v xml:space="preserve">helpOptions
</v>
      </c>
      <c r="G64" s="187"/>
      <c r="H64" s="202"/>
    </row>
    <row r="65" spans="2:8" ht="12.75">
      <c r="B65" s="114" t="s">
        <v>4589</v>
      </c>
      <c r="C65" s="9">
        <v>292</v>
      </c>
      <c r="D65" s="9" t="s">
        <v>3628</v>
      </c>
      <c r="E65" s="9" t="str">
        <f>IF($B65 = "Mutant",VLOOKUP($C65,Mutants!$A$2:$L$560,12,FALSE),IF($B65 = "Test",VLOOKUP($C65,Tests!$A$2:$L$841,12,FALSE),VLOOKUP($C65,Questions!$A$3:$N$174,9,FALSE)))</f>
        <v>N</v>
      </c>
      <c r="F65" s="187" t="str">
        <f>IF($B65 = "Mutant",VLOOKUP($C65,Mutants!$A$2:$L$560,11,FALSE),IF($B65 = "Test",VLOOKUP($C65,Tests!$A$2:$L$841,11,FALSE),VLOOKUP($C65,Questions!$A$3:$N$174,13,FALSE)))</f>
        <v xml:space="preserve">
</v>
      </c>
      <c r="G65" s="187"/>
      <c r="H65" s="202"/>
    </row>
    <row r="66" spans="2:8" ht="12.75">
      <c r="B66" s="114" t="s">
        <v>4589</v>
      </c>
      <c r="C66" s="9">
        <v>293</v>
      </c>
      <c r="D66" s="9" t="s">
        <v>979</v>
      </c>
      <c r="E66" s="9" t="str">
        <f>IF($B66 = "Mutant",VLOOKUP($C66,Mutants!$A$2:$L$560,12,FALSE),IF($B66 = "Test",VLOOKUP($C66,Tests!$A$2:$L$841,12,FALSE),VLOOKUP($C66,Questions!$A$3:$N$174,9,FALSE)))</f>
        <v>Y</v>
      </c>
      <c r="F66" s="187" t="str">
        <f>IF($B66 = "Mutant",VLOOKUP($C66,Mutants!$A$2:$L$560,11,FALSE),IF($B66 = "Test",VLOOKUP($C66,Tests!$A$2:$L$841,11,FALSE),VLOOKUP($C66,Questions!$A$3:$N$174,13,FALSE)))</f>
        <v xml:space="preserve">addOptionGroup
</v>
      </c>
      <c r="G66" s="187"/>
      <c r="H66" s="202"/>
    </row>
    <row r="67" spans="2:8" ht="12.75">
      <c r="B67" s="114" t="s">
        <v>4590</v>
      </c>
      <c r="C67" s="9">
        <v>361</v>
      </c>
      <c r="D67" s="9" t="s">
        <v>269</v>
      </c>
      <c r="E67" s="9" t="str">
        <f>IF($B67 = "Mutant",VLOOKUP($C67,Mutants!$A$2:$L$560,12,FALSE),IF($B67 = "Test",VLOOKUP($C67,Tests!$A$2:$L$841,12,FALSE),VLOOKUP($C67,Questions!$A$3:$N$174,9,FALSE)))</f>
        <v>N</v>
      </c>
      <c r="F67" s="187" t="str">
        <f>IF($B67 = "Mutant",VLOOKUP($C67,Mutants!$A$2:$L$560,11,FALSE),IF($B67 = "Test",VLOOKUP($C67,Tests!$A$2:$L$841,11,FALSE),VLOOKUP($C67,Questions!$A$3:$N$174,13,FALSE)))</f>
        <v xml:space="preserve">
</v>
      </c>
      <c r="G67" s="187"/>
      <c r="H67" s="202"/>
    </row>
    <row r="68" spans="2:8" ht="12.75">
      <c r="B68" s="114" t="s">
        <v>4590</v>
      </c>
      <c r="C68" s="9">
        <v>380</v>
      </c>
      <c r="D68" s="9" t="s">
        <v>1469</v>
      </c>
      <c r="E68" s="9" t="str">
        <f>IF($B68 = "Mutant",VLOOKUP($C68,Mutants!$A$2:$L$560,12,FALSE),IF($B68 = "Test",VLOOKUP($C68,Tests!$A$2:$L$841,12,FALSE),VLOOKUP($C68,Questions!$A$3:$N$174,9,FALSE)))</f>
        <v>N</v>
      </c>
      <c r="F68" s="187" t="str">
        <f>IF($B68 = "Mutant",VLOOKUP($C68,Mutants!$A$2:$L$560,11,FALSE),IF($B68 = "Test",VLOOKUP($C68,Tests!$A$2:$L$841,11,FALSE),VLOOKUP($C68,Questions!$A$3:$N$174,13,FALSE)))</f>
        <v xml:space="preserve">
</v>
      </c>
      <c r="G68" s="187"/>
      <c r="H68" s="202"/>
    </row>
    <row r="69" spans="2:8" ht="12.75">
      <c r="B69" s="114" t="s">
        <v>4590</v>
      </c>
      <c r="C69" s="9">
        <v>385</v>
      </c>
      <c r="D69" s="9" t="s">
        <v>1479</v>
      </c>
      <c r="E69" s="9" t="str">
        <f>IF($B69 = "Mutant",VLOOKUP($C69,Mutants!$A$2:$L$560,12,FALSE),IF($B69 = "Test",VLOOKUP($C69,Tests!$A$2:$L$841,12,FALSE),VLOOKUP($C69,Questions!$A$3:$N$174,9,FALSE)))</f>
        <v>N</v>
      </c>
      <c r="F69" s="187" t="str">
        <f>IF($B69 = "Mutant",VLOOKUP($C69,Mutants!$A$2:$L$560,11,FALSE),IF($B69 = "Test",VLOOKUP($C69,Tests!$A$2:$L$841,11,FALSE),VLOOKUP($C69,Questions!$A$3:$N$174,13,FALSE)))</f>
        <v xml:space="preserve">
</v>
      </c>
      <c r="G69" s="187"/>
      <c r="H69" s="202"/>
    </row>
    <row r="70" spans="2:8" ht="12.75">
      <c r="B70" s="133" t="s">
        <v>4590</v>
      </c>
      <c r="C70" s="130">
        <v>441</v>
      </c>
      <c r="D70" s="130" t="s">
        <v>1657</v>
      </c>
      <c r="E70" s="130" t="str">
        <f>IF($B70 = "Mutant",VLOOKUP($C70,Mutants!$A$2:$L$560,12,FALSE),IF($B70 = "Test",VLOOKUP($C70,Tests!$A$2:$L$841,12,FALSE),VLOOKUP($C70,Questions!$A$3:$N$174,9,FALSE)))</f>
        <v>Y</v>
      </c>
      <c r="F70" s="203" t="str">
        <f>IF($B70 = "Mutant",VLOOKUP($C70,Mutants!$A$2:$L$560,11,FALSE),IF($B70 = "Test",VLOOKUP($C70,Tests!$A$2:$L$841,11,FALSE),VLOOKUP($C70,Questions!$A$3:$N$174,13,FALSE)))</f>
        <v xml:space="preserve">addOptionGroup, addOption, getRequiredOptions
</v>
      </c>
      <c r="G70" s="203"/>
      <c r="H70" s="204"/>
    </row>
    <row r="71" spans="2:8" ht="15.75" customHeight="1">
      <c r="E71" s="9"/>
      <c r="F71" s="187"/>
      <c r="G71" s="187"/>
      <c r="H71" s="187"/>
    </row>
    <row r="72" spans="2:8" ht="15.75" customHeight="1">
      <c r="E72" s="9"/>
      <c r="F72" s="187"/>
      <c r="G72" s="187"/>
      <c r="H72" s="187"/>
    </row>
    <row r="73" spans="2:8" ht="13.5" thickBot="1">
      <c r="B73" s="219" t="s">
        <v>4604</v>
      </c>
      <c r="C73" s="201"/>
      <c r="D73" s="45">
        <v>175</v>
      </c>
      <c r="E73" s="9"/>
      <c r="F73" s="187"/>
      <c r="G73" s="187"/>
      <c r="H73" s="187"/>
    </row>
    <row r="74" spans="2:8" ht="13.5" thickTop="1">
      <c r="B74" s="134" t="s">
        <v>4594</v>
      </c>
      <c r="C74" s="135" t="s">
        <v>44</v>
      </c>
      <c r="D74" s="135" t="s">
        <v>110</v>
      </c>
      <c r="E74" s="136" t="s">
        <v>2</v>
      </c>
      <c r="F74" s="229" t="s">
        <v>4612</v>
      </c>
      <c r="G74" s="229"/>
      <c r="H74" s="230"/>
    </row>
    <row r="75" spans="2:8" ht="12.75">
      <c r="B75" s="137" t="s">
        <v>4589</v>
      </c>
      <c r="C75" s="93">
        <v>235</v>
      </c>
      <c r="D75" s="93" t="s">
        <v>3473</v>
      </c>
      <c r="E75" s="93" t="str">
        <f>IF($B75 = "Mutant",VLOOKUP($C75,Mutants!$A$2:$L$560,12,FALSE),IF($B75 = "Test",VLOOKUP($C75,Tests!$A$2:$L$841,12,FALSE),VLOOKUP($C75,Questions!$A$3:$N$174,9,FALSE)))</f>
        <v>Y</v>
      </c>
      <c r="F75" s="205" t="str">
        <f>IF($B75 = "Mutant",VLOOKUP($C75,Mutants!$A$2:$L$560,11,FALSE),IF($B75 = "Test",VLOOKUP($C75,Tests!$A$2:$L$841,11,FALSE),VLOOKUP($C75,Questions!$A$3:$N$174,13,FALSE)))</f>
        <v xml:space="preserve">getMatchingOptions
</v>
      </c>
      <c r="G75" s="205"/>
      <c r="H75" s="206"/>
    </row>
    <row r="76" spans="2:8" ht="12.75">
      <c r="B76" s="114" t="s">
        <v>4590</v>
      </c>
      <c r="C76" s="9">
        <v>159</v>
      </c>
      <c r="D76" s="9" t="s">
        <v>843</v>
      </c>
      <c r="E76" s="9" t="str">
        <f>IF($B76 = "Mutant",VLOOKUP($C76,Mutants!$A$2:$L$560,12,FALSE),IF($B76 = "Test",VLOOKUP($C76,Tests!$A$2:$L$841,12,FALSE),VLOOKUP($C76,Questions!$A$3:$N$174,9,FALSE)))</f>
        <v>N</v>
      </c>
      <c r="F76" s="187" t="str">
        <f>IF($B76 = "Mutant",VLOOKUP($C76,Mutants!$A$2:$L$560,11,FALSE),IF($B76 = "Test",VLOOKUP($C76,Tests!$A$2:$L$841,11,FALSE),VLOOKUP($C76,Questions!$A$3:$N$174,13,FALSE)))</f>
        <v xml:space="preserve">
</v>
      </c>
      <c r="G76" s="187"/>
      <c r="H76" s="202"/>
    </row>
    <row r="77" spans="2:8" ht="12.75">
      <c r="B77" s="114" t="s">
        <v>4590</v>
      </c>
      <c r="C77" s="9">
        <v>162</v>
      </c>
      <c r="D77" s="9" t="s">
        <v>850</v>
      </c>
      <c r="E77" s="9" t="str">
        <f>IF($B77 = "Mutant",VLOOKUP($C77,Mutants!$A$2:$L$560,12,FALSE),IF($B77 = "Test",VLOOKUP($C77,Tests!$A$2:$L$841,12,FALSE),VLOOKUP($C77,Questions!$A$3:$N$174,9,FALSE)))</f>
        <v>Y</v>
      </c>
      <c r="F77" s="187" t="str">
        <f>IF($B77 = "Mutant",VLOOKUP($C77,Mutants!$A$2:$L$560,11,FALSE),IF($B77 = "Test",VLOOKUP($C77,Tests!$A$2:$L$841,11,FALSE),VLOOKUP($C77,Questions!$A$3:$N$174,13,FALSE)))</f>
        <v xml:space="preserve">getOptionGroups
</v>
      </c>
      <c r="G77" s="187"/>
      <c r="H77" s="202"/>
    </row>
    <row r="78" spans="2:8" ht="12.75">
      <c r="B78" s="114" t="s">
        <v>4590</v>
      </c>
      <c r="C78" s="9">
        <v>182</v>
      </c>
      <c r="D78" s="9" t="s">
        <v>908</v>
      </c>
      <c r="E78" s="9" t="str">
        <f>IF($B78 = "Mutant",VLOOKUP($C78,Mutants!$A$2:$L$560,12,FALSE),IF($B78 = "Test",VLOOKUP($C78,Tests!$A$2:$L$841,12,FALSE),VLOOKUP($C78,Questions!$A$3:$N$174,9,FALSE)))</f>
        <v>N</v>
      </c>
      <c r="F78" s="187" t="str">
        <f>IF($B78 = "Mutant",VLOOKUP($C78,Mutants!$A$2:$L$560,11,FALSE),IF($B78 = "Test",VLOOKUP($C78,Tests!$A$2:$L$841,11,FALSE),VLOOKUP($C78,Questions!$A$3:$N$174,13,FALSE)))</f>
        <v xml:space="preserve">
</v>
      </c>
      <c r="G78" s="187"/>
      <c r="H78" s="202"/>
    </row>
    <row r="79" spans="2:8" ht="12.75">
      <c r="B79" s="114" t="s">
        <v>4590</v>
      </c>
      <c r="C79" s="9">
        <v>194</v>
      </c>
      <c r="D79" s="9" t="s">
        <v>935</v>
      </c>
      <c r="E79" s="9" t="str">
        <f>IF($B79 = "Mutant",VLOOKUP($C79,Mutants!$A$2:$L$560,12,FALSE),IF($B79 = "Test",VLOOKUP($C79,Tests!$A$2:$L$841,12,FALSE),VLOOKUP($C79,Questions!$A$3:$N$174,9,FALSE)))</f>
        <v>N</v>
      </c>
      <c r="F79" s="187" t="str">
        <f>IF($B79 = "Mutant",VLOOKUP($C79,Mutants!$A$2:$L$560,11,FALSE),IF($B79 = "Test",VLOOKUP($C79,Tests!$A$2:$L$841,11,FALSE),VLOOKUP($C79,Questions!$A$3:$N$174,13,FALSE)))</f>
        <v xml:space="preserve">
</v>
      </c>
      <c r="G79" s="187"/>
      <c r="H79" s="202"/>
    </row>
    <row r="80" spans="2:8" ht="12.75">
      <c r="B80" s="114" t="s">
        <v>4590</v>
      </c>
      <c r="C80" s="9">
        <v>201</v>
      </c>
      <c r="D80" s="9" t="s">
        <v>955</v>
      </c>
      <c r="E80" s="9" t="str">
        <f>IF($B80 = "Mutant",VLOOKUP($C80,Mutants!$A$2:$L$560,12,FALSE),IF($B80 = "Test",VLOOKUP($C80,Tests!$A$2:$L$841,12,FALSE),VLOOKUP($C80,Questions!$A$3:$N$174,9,FALSE)))</f>
        <v>N</v>
      </c>
      <c r="F80" s="187" t="str">
        <f>IF($B80 = "Mutant",VLOOKUP($C80,Mutants!$A$2:$L$560,11,FALSE),IF($B80 = "Test",VLOOKUP($C80,Tests!$A$2:$L$841,11,FALSE),VLOOKUP($C80,Questions!$A$3:$N$174,13,FALSE)))</f>
        <v xml:space="preserve">
</v>
      </c>
      <c r="G80" s="187"/>
      <c r="H80" s="202"/>
    </row>
    <row r="81" spans="2:8" ht="12.75">
      <c r="B81" s="114" t="s">
        <v>4590</v>
      </c>
      <c r="C81" s="9">
        <v>222</v>
      </c>
      <c r="D81" s="9" t="s">
        <v>1017</v>
      </c>
      <c r="E81" s="9" t="str">
        <f>IF($B81 = "Mutant",VLOOKUP($C81,Mutants!$A$2:$L$560,12,FALSE),IF($B81 = "Test",VLOOKUP($C81,Tests!$A$2:$L$841,12,FALSE),VLOOKUP($C81,Questions!$A$3:$N$174,9,FALSE)))</f>
        <v>N</v>
      </c>
      <c r="F81" s="187" t="str">
        <f>IF($B81 = "Mutant",VLOOKUP($C81,Mutants!$A$2:$L$560,11,FALSE),IF($B81 = "Test",VLOOKUP($C81,Tests!$A$2:$L$841,11,FALSE),VLOOKUP($C81,Questions!$A$3:$N$174,13,FALSE)))</f>
        <v xml:space="preserve">
</v>
      </c>
      <c r="G81" s="187"/>
      <c r="H81" s="202"/>
    </row>
    <row r="82" spans="2:8" ht="12.75">
      <c r="B82" s="114" t="s">
        <v>4590</v>
      </c>
      <c r="C82" s="9">
        <v>226</v>
      </c>
      <c r="D82" s="9" t="s">
        <v>1027</v>
      </c>
      <c r="E82" s="9" t="str">
        <f>IF($B82 = "Mutant",VLOOKUP($C82,Mutants!$A$2:$L$560,12,FALSE),IF($B82 = "Test",VLOOKUP($C82,Tests!$A$2:$L$841,12,FALSE),VLOOKUP($C82,Questions!$A$3:$N$174,9,FALSE)))</f>
        <v>N</v>
      </c>
      <c r="F82" s="187" t="str">
        <f>IF($B82 = "Mutant",VLOOKUP($C82,Mutants!$A$2:$L$560,11,FALSE),IF($B82 = "Test",VLOOKUP($C82,Tests!$A$2:$L$841,11,FALSE),VLOOKUP($C82,Questions!$A$3:$N$174,13,FALSE)))</f>
        <v xml:space="preserve">
</v>
      </c>
      <c r="G82" s="187"/>
      <c r="H82" s="202"/>
    </row>
    <row r="83" spans="2:8" ht="12.75">
      <c r="B83" s="114" t="s">
        <v>4590</v>
      </c>
      <c r="C83" s="9">
        <v>235</v>
      </c>
      <c r="D83" s="9" t="s">
        <v>1051</v>
      </c>
      <c r="E83" s="9" t="str">
        <f>IF($B83 = "Mutant",VLOOKUP($C83,Mutants!$A$2:$L$560,12,FALSE),IF($B83 = "Test",VLOOKUP($C83,Tests!$A$2:$L$841,12,FALSE),VLOOKUP($C83,Questions!$A$3:$N$174,9,FALSE)))</f>
        <v>N</v>
      </c>
      <c r="F83" s="187" t="str">
        <f>IF($B83 = "Mutant",VLOOKUP($C83,Mutants!$A$2:$L$560,11,FALSE),IF($B83 = "Test",VLOOKUP($C83,Tests!$A$2:$L$841,11,FALSE),VLOOKUP($C83,Questions!$A$3:$N$174,13,FALSE)))</f>
        <v xml:space="preserve">
</v>
      </c>
      <c r="G83" s="187"/>
      <c r="H83" s="202"/>
    </row>
    <row r="84" spans="2:8" ht="12.75">
      <c r="B84" s="114" t="s">
        <v>4590</v>
      </c>
      <c r="C84" s="9">
        <v>269</v>
      </c>
      <c r="D84" s="9" t="s">
        <v>1143</v>
      </c>
      <c r="E84" s="9" t="str">
        <f>IF($B84 = "Mutant",VLOOKUP($C84,Mutants!$A$2:$L$560,12,FALSE),IF($B84 = "Test",VLOOKUP($C84,Tests!$A$2:$L$841,12,FALSE),VLOOKUP($C84,Questions!$A$3:$N$174,9,FALSE)))</f>
        <v>N</v>
      </c>
      <c r="F84" s="187" t="str">
        <f>IF($B84 = "Mutant",VLOOKUP($C84,Mutants!$A$2:$L$560,11,FALSE),IF($B84 = "Test",VLOOKUP($C84,Tests!$A$2:$L$841,11,FALSE),VLOOKUP($C84,Questions!$A$3:$N$174,13,FALSE)))</f>
        <v xml:space="preserve">
</v>
      </c>
      <c r="G84" s="187"/>
      <c r="H84" s="202"/>
    </row>
    <row r="85" spans="2:8" ht="12.75">
      <c r="B85" s="114" t="s">
        <v>4589</v>
      </c>
      <c r="C85" s="9">
        <v>344</v>
      </c>
      <c r="D85" s="9" t="s">
        <v>3767</v>
      </c>
      <c r="E85" s="9" t="str">
        <f>IF($B85 = "Mutant",VLOOKUP($C85,Mutants!$A$2:$L$560,12,FALSE),IF($B85 = "Test",VLOOKUP($C85,Tests!$A$2:$L$841,12,FALSE),VLOOKUP($C85,Questions!$A$3:$N$174,9,FALSE)))</f>
        <v>Y</v>
      </c>
      <c r="F85" s="187" t="str">
        <f>IF($B85 = "Mutant",VLOOKUP($C85,Mutants!$A$2:$L$560,11,FALSE),IF($B85 = "Test",VLOOKUP($C85,Tests!$A$2:$L$841,11,FALSE),VLOOKUP($C85,Questions!$A$3:$N$174,13,FALSE)))</f>
        <v xml:space="preserve">hasLongOption
</v>
      </c>
      <c r="G85" s="187"/>
      <c r="H85" s="202"/>
    </row>
    <row r="86" spans="2:8" ht="12.75">
      <c r="B86" s="114" t="s">
        <v>4589</v>
      </c>
      <c r="C86" s="9">
        <v>354</v>
      </c>
      <c r="D86" s="9" t="s">
        <v>3793</v>
      </c>
      <c r="E86" s="9" t="str">
        <f>IF($B86 = "Mutant",VLOOKUP($C86,Mutants!$A$2:$L$560,12,FALSE),IF($B86 = "Test",VLOOKUP($C86,Tests!$A$2:$L$841,12,FALSE),VLOOKUP($C86,Questions!$A$3:$N$174,9,FALSE)))</f>
        <v>Y</v>
      </c>
      <c r="F86" s="187" t="str">
        <f>IF($B86 = "Mutant",VLOOKUP($C86,Mutants!$A$2:$L$560,11,FALSE),IF($B86 = "Test",VLOOKUP($C86,Tests!$A$2:$L$841,11,FALSE),VLOOKUP($C86,Questions!$A$3:$N$174,13,FALSE)))</f>
        <v xml:space="preserve">toString
</v>
      </c>
      <c r="G86" s="187"/>
      <c r="H86" s="202"/>
    </row>
    <row r="87" spans="2:8" ht="12.75">
      <c r="B87" s="133" t="s">
        <v>4589</v>
      </c>
      <c r="C87" s="130">
        <v>362</v>
      </c>
      <c r="D87" s="130" t="s">
        <v>122</v>
      </c>
      <c r="E87" s="130" t="str">
        <f>IF($B87 = "Mutant",VLOOKUP($C87,Mutants!$A$2:$L$560,12,FALSE),IF($B87 = "Test",VLOOKUP($C87,Tests!$A$2:$L$841,12,FALSE),VLOOKUP($C87,Questions!$A$3:$N$174,9,FALSE)))</f>
        <v>Y</v>
      </c>
      <c r="F87" s="203" t="str">
        <f>IF($B87 = "Mutant",VLOOKUP($C87,Mutants!$A$2:$L$560,11,FALSE),IF($B87 = "Test",VLOOKUP($C87,Tests!$A$2:$L$841,11,FALSE),VLOOKUP($C87,Questions!$A$3:$N$174,13,FALSE)))</f>
        <v xml:space="preserve">addOption
</v>
      </c>
      <c r="G87" s="203"/>
      <c r="H87" s="204"/>
    </row>
    <row r="88" spans="2:8" ht="15.75" customHeight="1">
      <c r="E88" s="9"/>
      <c r="F88" s="187"/>
      <c r="G88" s="187"/>
      <c r="H88" s="187"/>
    </row>
    <row r="89" spans="2:8" ht="15.75" customHeight="1">
      <c r="E89" s="9"/>
      <c r="F89" s="187"/>
      <c r="G89" s="187"/>
      <c r="H89" s="187"/>
    </row>
    <row r="90" spans="2:8" ht="13.5" thickBot="1">
      <c r="B90" s="219" t="s">
        <v>4604</v>
      </c>
      <c r="C90" s="201"/>
      <c r="D90" s="45">
        <v>176</v>
      </c>
      <c r="E90" s="9"/>
      <c r="F90" s="187"/>
      <c r="G90" s="187"/>
      <c r="H90" s="187"/>
    </row>
    <row r="91" spans="2:8" ht="13.5" thickTop="1">
      <c r="B91" s="134" t="s">
        <v>4594</v>
      </c>
      <c r="C91" s="135" t="s">
        <v>44</v>
      </c>
      <c r="D91" s="135" t="s">
        <v>110</v>
      </c>
      <c r="E91" s="136" t="s">
        <v>2</v>
      </c>
      <c r="F91" s="229" t="s">
        <v>4612</v>
      </c>
      <c r="G91" s="229"/>
      <c r="H91" s="230"/>
    </row>
    <row r="92" spans="2:8" ht="12.75">
      <c r="B92" s="137" t="s">
        <v>4589</v>
      </c>
      <c r="C92" s="93">
        <v>187</v>
      </c>
      <c r="D92" s="93" t="s">
        <v>3339</v>
      </c>
      <c r="E92" s="93" t="str">
        <f>IF($B92 = "Mutant",VLOOKUP($C92,Mutants!$A$2:$L$560,12,FALSE),IF($B92 = "Test",VLOOKUP($C92,Tests!$A$2:$L$841,12,FALSE),VLOOKUP($C92,Questions!$A$3:$N$174,9,FALSE)))</f>
        <v>Y</v>
      </c>
      <c r="F92" s="205" t="str">
        <f>IF($B92 = "Mutant",VLOOKUP($C92,Mutants!$A$2:$L$560,11,FALSE),IF($B92 = "Test",VLOOKUP($C92,Tests!$A$2:$L$841,11,FALSE),VLOOKUP($C92,Questions!$A$3:$N$174,13,FALSE)))</f>
        <v xml:space="preserve">stripLeadingHyphens
</v>
      </c>
      <c r="G92" s="205"/>
      <c r="H92" s="206"/>
    </row>
    <row r="93" spans="2:8" ht="12.75">
      <c r="B93" s="114" t="s">
        <v>4589</v>
      </c>
      <c r="C93" s="9">
        <v>203</v>
      </c>
      <c r="D93" s="9" t="s">
        <v>3384</v>
      </c>
      <c r="E93" s="9" t="str">
        <f>IF($B93 = "Mutant",VLOOKUP($C93,Mutants!$A$2:$L$560,12,FALSE),IF($B93 = "Test",VLOOKUP($C93,Tests!$A$2:$L$841,12,FALSE),VLOOKUP($C93,Questions!$A$3:$N$174,9,FALSE)))</f>
        <v>Y</v>
      </c>
      <c r="F93" s="187" t="str">
        <f>IF($B93 = "Mutant",VLOOKUP($C93,Mutants!$A$2:$L$560,11,FALSE),IF($B93 = "Test",VLOOKUP($C93,Tests!$A$2:$L$841,11,FALSE),VLOOKUP($C93,Questions!$A$3:$N$174,13,FALSE)))</f>
        <v xml:space="preserve">getOptionGroups
</v>
      </c>
      <c r="G93" s="187"/>
      <c r="H93" s="202"/>
    </row>
    <row r="94" spans="2:8" ht="12.75">
      <c r="B94" s="114" t="s">
        <v>4589</v>
      </c>
      <c r="C94" s="9">
        <v>230</v>
      </c>
      <c r="D94" s="9" t="s">
        <v>3455</v>
      </c>
      <c r="E94" s="9" t="str">
        <f>IF($B94 = "Mutant",VLOOKUP($C94,Mutants!$A$2:$L$560,12,FALSE),IF($B94 = "Test",VLOOKUP($C94,Tests!$A$2:$L$841,12,FALSE),VLOOKUP($C94,Questions!$A$3:$N$174,9,FALSE)))</f>
        <v>Y</v>
      </c>
      <c r="F94" s="187" t="str">
        <f>IF($B94 = "Mutant",VLOOKUP($C94,Mutants!$A$2:$L$560,11,FALSE),IF($B94 = "Test",VLOOKUP($C94,Tests!$A$2:$L$841,11,FALSE),VLOOKUP($C94,Questions!$A$3:$N$174,13,FALSE)))</f>
        <v xml:space="preserve">hasOption
</v>
      </c>
      <c r="G94" s="187"/>
      <c r="H94" s="202"/>
    </row>
    <row r="95" spans="2:8" ht="12.75">
      <c r="B95" s="114" t="s">
        <v>4589</v>
      </c>
      <c r="C95" s="9">
        <v>242</v>
      </c>
      <c r="D95" s="9" t="s">
        <v>3492</v>
      </c>
      <c r="E95" s="9" t="str">
        <f>IF($B95 = "Mutant",VLOOKUP($C95,Mutants!$A$2:$L$560,12,FALSE),IF($B95 = "Test",VLOOKUP($C95,Tests!$A$2:$L$841,12,FALSE),VLOOKUP($C95,Questions!$A$3:$N$174,9,FALSE)))</f>
        <v>Y</v>
      </c>
      <c r="F95" s="187" t="str">
        <f>IF($B95 = "Mutant",VLOOKUP($C95,Mutants!$A$2:$L$560,11,FALSE),IF($B95 = "Test",VLOOKUP($C95,Tests!$A$2:$L$841,11,FALSE),VLOOKUP($C95,Questions!$A$3:$N$174,13,FALSE)))</f>
        <v xml:space="preserve">getMatchingOptions
</v>
      </c>
      <c r="G95" s="187"/>
      <c r="H95" s="202"/>
    </row>
    <row r="96" spans="2:8" ht="12.75">
      <c r="B96" s="114" t="s">
        <v>4590</v>
      </c>
      <c r="C96" s="9">
        <v>184</v>
      </c>
      <c r="D96" s="9" t="s">
        <v>910</v>
      </c>
      <c r="E96" s="9" t="str">
        <f>IF($B96 = "Mutant",VLOOKUP($C96,Mutants!$A$2:$L$560,12,FALSE),IF($B96 = "Test",VLOOKUP($C96,Tests!$A$2:$L$841,12,FALSE),VLOOKUP($C96,Questions!$A$3:$N$174,9,FALSE)))</f>
        <v>N</v>
      </c>
      <c r="F96" s="187" t="str">
        <f>IF($B96 = "Mutant",VLOOKUP($C96,Mutants!$A$2:$L$560,11,FALSE),IF($B96 = "Test",VLOOKUP($C96,Tests!$A$2:$L$841,11,FALSE),VLOOKUP($C96,Questions!$A$3:$N$174,13,FALSE)))</f>
        <v xml:space="preserve">
</v>
      </c>
      <c r="G96" s="187"/>
      <c r="H96" s="202"/>
    </row>
    <row r="97" spans="2:8" ht="12.75">
      <c r="B97" s="114" t="s">
        <v>4590</v>
      </c>
      <c r="C97" s="9">
        <v>255</v>
      </c>
      <c r="D97" s="9" t="s">
        <v>1110</v>
      </c>
      <c r="E97" s="9" t="str">
        <f>IF($B97 = "Mutant",VLOOKUP($C97,Mutants!$A$2:$L$560,12,FALSE),IF($B97 = "Test",VLOOKUP($C97,Tests!$A$2:$L$841,12,FALSE),VLOOKUP($C97,Questions!$A$3:$N$174,9,FALSE)))</f>
        <v>N</v>
      </c>
      <c r="F97" s="187" t="str">
        <f>IF($B97 = "Mutant",VLOOKUP($C97,Mutants!$A$2:$L$560,11,FALSE),IF($B97 = "Test",VLOOKUP($C97,Tests!$A$2:$L$841,11,FALSE),VLOOKUP($C97,Questions!$A$3:$N$174,13,FALSE)))</f>
        <v xml:space="preserve">
</v>
      </c>
      <c r="G97" s="187"/>
      <c r="H97" s="202"/>
    </row>
    <row r="98" spans="2:8" ht="12.75">
      <c r="B98" s="114" t="s">
        <v>4589</v>
      </c>
      <c r="C98" s="9">
        <v>308</v>
      </c>
      <c r="D98" s="9" t="s">
        <v>3669</v>
      </c>
      <c r="E98" s="9" t="str">
        <f>IF($B98 = "Mutant",VLOOKUP($C98,Mutants!$A$2:$L$560,12,FALSE),IF($B98 = "Test",VLOOKUP($C98,Tests!$A$2:$L$841,12,FALSE),VLOOKUP($C98,Questions!$A$3:$N$174,9,FALSE)))</f>
        <v>Y</v>
      </c>
      <c r="F98" s="187" t="str">
        <f>IF($B98 = "Mutant",VLOOKUP($C98,Mutants!$A$2:$L$560,11,FALSE),IF($B98 = "Test",VLOOKUP($C98,Tests!$A$2:$L$841,11,FALSE),VLOOKUP($C98,Questions!$A$3:$N$174,13,FALSE)))</f>
        <v xml:space="preserve">toString
</v>
      </c>
      <c r="G98" s="187"/>
      <c r="H98" s="202"/>
    </row>
    <row r="99" spans="2:8" ht="12.75">
      <c r="B99" s="114" t="s">
        <v>4590</v>
      </c>
      <c r="C99" s="9">
        <v>292</v>
      </c>
      <c r="D99" s="9" t="s">
        <v>1212</v>
      </c>
      <c r="E99" s="9" t="str">
        <f>IF($B99 = "Mutant",VLOOKUP($C99,Mutants!$A$2:$L$560,12,FALSE),IF($B99 = "Test",VLOOKUP($C99,Tests!$A$2:$L$841,12,FALSE),VLOOKUP($C99,Questions!$A$3:$N$174,9,FALSE)))</f>
        <v>N</v>
      </c>
      <c r="F99" s="187" t="str">
        <f>IF($B99 = "Mutant",VLOOKUP($C99,Mutants!$A$2:$L$560,11,FALSE),IF($B99 = "Test",VLOOKUP($C99,Tests!$A$2:$L$841,11,FALSE),VLOOKUP($C99,Questions!$A$3:$N$174,13,FALSE)))</f>
        <v xml:space="preserve">
</v>
      </c>
      <c r="G99" s="187"/>
      <c r="H99" s="202"/>
    </row>
    <row r="100" spans="2:8" ht="12.75">
      <c r="B100" s="114" t="s">
        <v>4589</v>
      </c>
      <c r="C100" s="9">
        <v>313</v>
      </c>
      <c r="D100" s="9" t="s">
        <v>3684</v>
      </c>
      <c r="E100" s="9" t="str">
        <f>IF($B100 = "Mutant",VLOOKUP($C100,Mutants!$A$2:$L$560,12,FALSE),IF($B100 = "Test",VLOOKUP($C100,Tests!$A$2:$L$841,12,FALSE),VLOOKUP($C100,Questions!$A$3:$N$174,9,FALSE)))</f>
        <v>Y</v>
      </c>
      <c r="F100" s="187" t="str">
        <f>IF($B100 = "Mutant",VLOOKUP($C100,Mutants!$A$2:$L$560,11,FALSE),IF($B100 = "Test",VLOOKUP($C100,Tests!$A$2:$L$841,11,FALSE),VLOOKUP($C100,Questions!$A$3:$N$174,13,FALSE)))</f>
        <v xml:space="preserve">stripLeadingHyphens
</v>
      </c>
      <c r="G100" s="187"/>
      <c r="H100" s="202"/>
    </row>
    <row r="101" spans="2:8" ht="12.75">
      <c r="B101" s="114" t="s">
        <v>4590</v>
      </c>
      <c r="C101" s="9">
        <v>350</v>
      </c>
      <c r="D101" s="9" t="s">
        <v>1377</v>
      </c>
      <c r="E101" s="9" t="str">
        <f>IF($B101 = "Mutant",VLOOKUP($C101,Mutants!$A$2:$L$560,12,FALSE),IF($B101 = "Test",VLOOKUP($C101,Tests!$A$2:$L$841,12,FALSE),VLOOKUP($C101,Questions!$A$3:$N$174,9,FALSE)))</f>
        <v>Y</v>
      </c>
      <c r="F101" s="187" t="str">
        <f>IF($B101 = "Mutant",VLOOKUP($C101,Mutants!$A$2:$L$560,11,FALSE),IF($B101 = "Test",VLOOKUP($C101,Tests!$A$2:$L$841,11,FALSE),VLOOKUP($C101,Questions!$A$3:$N$174,13,FALSE)))</f>
        <v xml:space="preserve">addOptionGroup, addOption, getRequiredOptions
</v>
      </c>
      <c r="G101" s="187"/>
      <c r="H101" s="202"/>
    </row>
    <row r="102" spans="2:8" ht="12.75">
      <c r="B102" s="133" t="s">
        <v>4590</v>
      </c>
      <c r="C102" s="130">
        <v>417</v>
      </c>
      <c r="D102" s="130" t="s">
        <v>1581</v>
      </c>
      <c r="E102" s="130" t="str">
        <f>IF($B102 = "Mutant",VLOOKUP($C102,Mutants!$A$2:$L$560,12,FALSE),IF($B102 = "Test",VLOOKUP($C102,Tests!$A$2:$L$841,12,FALSE),VLOOKUP($C102,Questions!$A$3:$N$174,9,FALSE)))</f>
        <v>Y</v>
      </c>
      <c r="F102" s="203" t="str">
        <f>IF($B102 = "Mutant",VLOOKUP($C102,Mutants!$A$2:$L$560,11,FALSE),IF($B102 = "Test",VLOOKUP($C102,Tests!$A$2:$L$841,11,FALSE),VLOOKUP($C102,Questions!$A$3:$N$174,13,FALSE)))</f>
        <v xml:space="preserve">addOptionGroup, addOption
</v>
      </c>
      <c r="G102" s="203"/>
      <c r="H102" s="204"/>
    </row>
  </sheetData>
  <mergeCells count="70">
    <mergeCell ref="B12:C12"/>
    <mergeCell ref="B5:C5"/>
    <mergeCell ref="B6:C6"/>
    <mergeCell ref="B7:C7"/>
    <mergeCell ref="B8:C8"/>
    <mergeCell ref="B9:C9"/>
    <mergeCell ref="F44:H44"/>
    <mergeCell ref="F45:H45"/>
    <mergeCell ref="F46:H46"/>
    <mergeCell ref="F47:H47"/>
    <mergeCell ref="F48:H48"/>
    <mergeCell ref="F49:H49"/>
    <mergeCell ref="F50:H50"/>
    <mergeCell ref="F51:H51"/>
    <mergeCell ref="F52:H52"/>
    <mergeCell ref="F53:H53"/>
    <mergeCell ref="F54:H54"/>
    <mergeCell ref="F55:H55"/>
    <mergeCell ref="F56:H56"/>
    <mergeCell ref="F57:H57"/>
    <mergeCell ref="F58:H58"/>
    <mergeCell ref="F59:H59"/>
    <mergeCell ref="F60:H60"/>
    <mergeCell ref="F61:H61"/>
    <mergeCell ref="F62:H62"/>
    <mergeCell ref="F63:H63"/>
    <mergeCell ref="F64:H64"/>
    <mergeCell ref="F65:H65"/>
    <mergeCell ref="F66:H66"/>
    <mergeCell ref="F67:H67"/>
    <mergeCell ref="F68:H68"/>
    <mergeCell ref="F69:H69"/>
    <mergeCell ref="F70:H70"/>
    <mergeCell ref="F71:H71"/>
    <mergeCell ref="F72:H72"/>
    <mergeCell ref="F73:H73"/>
    <mergeCell ref="F74:H74"/>
    <mergeCell ref="F75:H75"/>
    <mergeCell ref="F76:H76"/>
    <mergeCell ref="F77:H77"/>
    <mergeCell ref="F78:H78"/>
    <mergeCell ref="F79:H79"/>
    <mergeCell ref="F80:H80"/>
    <mergeCell ref="F81:H81"/>
    <mergeCell ref="F82:H82"/>
    <mergeCell ref="F83:H83"/>
    <mergeCell ref="F91:H91"/>
    <mergeCell ref="F92:H92"/>
    <mergeCell ref="F93:H93"/>
    <mergeCell ref="F84:H84"/>
    <mergeCell ref="F85:H85"/>
    <mergeCell ref="F86:H86"/>
    <mergeCell ref="F87:H87"/>
    <mergeCell ref="F88:H88"/>
    <mergeCell ref="F99:H99"/>
    <mergeCell ref="F100:H100"/>
    <mergeCell ref="F101:H101"/>
    <mergeCell ref="F102:H102"/>
    <mergeCell ref="B42:C42"/>
    <mergeCell ref="B50:C50"/>
    <mergeCell ref="B73:C73"/>
    <mergeCell ref="B90:C90"/>
    <mergeCell ref="F43:H43"/>
    <mergeCell ref="F94:H94"/>
    <mergeCell ref="F95:H95"/>
    <mergeCell ref="F96:H96"/>
    <mergeCell ref="F97:H97"/>
    <mergeCell ref="F98:H98"/>
    <mergeCell ref="F89:H89"/>
    <mergeCell ref="F90:H90"/>
  </mergeCells>
  <conditionalFormatting sqref="A42:B42">
    <cfRule type="cellIs" dxfId="296" priority="31" operator="equal">
      <formula>"NO_KILL"</formula>
    </cfRule>
    <cfRule type="cellIs" dxfId="295" priority="32" operator="equal">
      <formula>"KILL"</formula>
    </cfRule>
    <cfRule type="cellIs" dxfId="294" priority="33" operator="equal">
      <formula>"ERROR"</formula>
    </cfRule>
  </conditionalFormatting>
  <conditionalFormatting sqref="A50:B50">
    <cfRule type="cellIs" dxfId="293" priority="25" operator="equal">
      <formula>"NO_KILL"</formula>
    </cfRule>
    <cfRule type="cellIs" dxfId="292" priority="26" operator="equal">
      <formula>"KILL"</formula>
    </cfRule>
    <cfRule type="cellIs" dxfId="291" priority="27" operator="equal">
      <formula>"ERROR"</formula>
    </cfRule>
  </conditionalFormatting>
  <conditionalFormatting sqref="A73:B73">
    <cfRule type="cellIs" dxfId="290" priority="19" operator="equal">
      <formula>"NO_KILL"</formula>
    </cfRule>
    <cfRule type="cellIs" dxfId="289" priority="20" operator="equal">
      <formula>"KILL"</formula>
    </cfRule>
    <cfRule type="cellIs" dxfId="288" priority="21" operator="equal">
      <formula>"ERROR"</formula>
    </cfRule>
  </conditionalFormatting>
  <conditionalFormatting sqref="A90:B90">
    <cfRule type="cellIs" dxfId="287" priority="13" operator="equal">
      <formula>"NO_KILL"</formula>
    </cfRule>
    <cfRule type="cellIs" dxfId="286" priority="14" operator="equal">
      <formula>"KILL"</formula>
    </cfRule>
    <cfRule type="cellIs" dxfId="285" priority="15" operator="equal">
      <formula>"ERROR"</formula>
    </cfRule>
  </conditionalFormatting>
  <conditionalFormatting sqref="A1:Z4 A5:B9 D5:Z9 A10:Z41 D42:Z42 A43:D49 I43:Z102 D50 A51:D72 D73 A74:D89 D90 A91:D102 A103:Z1044">
    <cfRule type="cellIs" dxfId="284" priority="40" operator="equal">
      <formula>"NO_KILL"</formula>
    </cfRule>
    <cfRule type="cellIs" dxfId="283" priority="41" operator="equal">
      <formula>"KILL"</formula>
    </cfRule>
    <cfRule type="cellIs" dxfId="282" priority="42" operator="equal">
      <formula>"ERROR"</formula>
    </cfRule>
  </conditionalFormatting>
  <conditionalFormatting sqref="B40:B1044">
    <cfRule type="cellIs" dxfId="281" priority="16" operator="equal">
      <formula>"Test"</formula>
    </cfRule>
    <cfRule type="cellIs" dxfId="280" priority="17" operator="equal">
      <formula>"Mutant"</formula>
    </cfRule>
    <cfRule type="cellIs" dxfId="279" priority="18" operator="equal">
      <formula>"Question"</formula>
    </cfRule>
  </conditionalFormatting>
  <conditionalFormatting sqref="E43:F102">
    <cfRule type="cellIs" dxfId="278" priority="1" operator="equal">
      <formula>"NO_KILL"</formula>
    </cfRule>
    <cfRule type="cellIs" dxfId="277" priority="2" operator="equal">
      <formula>"KILL"</formula>
    </cfRule>
    <cfRule type="cellIs" dxfId="276" priority="3" operator="equal">
      <formula>"ERROR"</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B2:N103"/>
  <sheetViews>
    <sheetView topLeftCell="A43" workbookViewId="0">
      <selection activeCell="B60" sqref="B60:C60"/>
    </sheetView>
  </sheetViews>
  <sheetFormatPr defaultColWidth="12.5703125" defaultRowHeight="15.75" customHeight="1"/>
  <cols>
    <col min="4" max="4" width="18.140625" bestFit="1" customWidth="1"/>
    <col min="6" max="6" width="13.42578125" customWidth="1"/>
    <col min="14" max="14" width="13.42578125" customWidth="1"/>
  </cols>
  <sheetData>
    <row r="2" spans="2:14" ht="12.75">
      <c r="B2" s="29" t="s">
        <v>4</v>
      </c>
      <c r="C2" s="29" t="s">
        <v>45</v>
      </c>
      <c r="D2" s="29" t="s">
        <v>46</v>
      </c>
    </row>
    <row r="3" spans="2:14" ht="12.75">
      <c r="B3" s="29">
        <v>116</v>
      </c>
      <c r="C3" s="29" t="s">
        <v>59</v>
      </c>
      <c r="D3" s="127" t="s">
        <v>19</v>
      </c>
    </row>
    <row r="5" spans="2:14" ht="12.75">
      <c r="B5" s="221" t="s">
        <v>3</v>
      </c>
      <c r="C5" s="222"/>
      <c r="D5" s="44" t="s">
        <v>5</v>
      </c>
      <c r="E5" s="43" t="s">
        <v>6</v>
      </c>
      <c r="F5" s="43" t="s">
        <v>7</v>
      </c>
      <c r="G5" s="43" t="s">
        <v>8</v>
      </c>
      <c r="H5" s="44" t="s">
        <v>9</v>
      </c>
      <c r="I5" s="43" t="s">
        <v>10</v>
      </c>
      <c r="J5" s="43" t="s">
        <v>11</v>
      </c>
      <c r="K5" s="44" t="s">
        <v>12</v>
      </c>
      <c r="L5" s="43" t="s">
        <v>13</v>
      </c>
      <c r="M5" s="43" t="s">
        <v>14</v>
      </c>
      <c r="N5" s="61" t="s">
        <v>15</v>
      </c>
    </row>
    <row r="6" spans="2:14" ht="12.75">
      <c r="B6" s="223">
        <v>179</v>
      </c>
      <c r="C6" s="224"/>
      <c r="D6" s="47">
        <f ca="1">COUNTIF(Valid_questions!F$1:F1045, B6)</f>
        <v>0</v>
      </c>
      <c r="E6" s="40">
        <v>3</v>
      </c>
      <c r="F6" s="40">
        <v>0</v>
      </c>
      <c r="G6" s="40">
        <v>0</v>
      </c>
      <c r="H6" s="47">
        <v>3</v>
      </c>
      <c r="I6" s="40">
        <f>COUNTIFS(Tests!E$1:E1045,B6,Tests!D$1:D1045,"&lt;&gt;\N")</f>
        <v>1</v>
      </c>
      <c r="J6" s="40">
        <f>COUNTIFS(Tests!E$1:E1045,B6,Tests!D$1:D1045,"=\N")</f>
        <v>1</v>
      </c>
      <c r="K6" s="47">
        <v>0</v>
      </c>
      <c r="L6" s="40">
        <f>COUNTIFS(Mutants!E$1:E1045,B6,Mutants!D$1:D1045,"&lt;&gt;\N")</f>
        <v>5</v>
      </c>
      <c r="M6" s="40">
        <f>COUNTIFS(Mutants!E$1:E1045,B6,Mutants!D$1:D1045,"=\N")</f>
        <v>0</v>
      </c>
      <c r="N6" s="45">
        <v>2</v>
      </c>
    </row>
    <row r="7" spans="2:14" ht="12.75">
      <c r="B7" s="225">
        <v>180</v>
      </c>
      <c r="C7" s="226"/>
      <c r="D7" s="10">
        <f ca="1">COUNTIF(Valid_questions!F$1:F1045, B7)</f>
        <v>0</v>
      </c>
      <c r="E7" s="9">
        <v>1</v>
      </c>
      <c r="F7" s="9">
        <v>8</v>
      </c>
      <c r="G7" s="9">
        <v>0</v>
      </c>
      <c r="H7" s="10">
        <v>9</v>
      </c>
      <c r="I7" s="9">
        <f>COUNTIFS(Tests!E$1:E1045,B7,Tests!D$1:D1045,"&lt;&gt;\N")</f>
        <v>5</v>
      </c>
      <c r="J7" s="9">
        <f>COUNTIFS(Tests!E$1:E1045,B7,Tests!D$1:D1045,"=\N")</f>
        <v>1</v>
      </c>
      <c r="K7" s="10">
        <v>4</v>
      </c>
      <c r="L7" s="9">
        <f>COUNTIFS(Mutants!E$1:E1045,B7,Mutants!D$1:D1045,"&lt;&gt;\N")</f>
        <v>11</v>
      </c>
      <c r="M7" s="9">
        <f>COUNTIFS(Mutants!E$1:E1045,B7,Mutants!D$1:D1045,"=\N")</f>
        <v>0</v>
      </c>
      <c r="N7" s="14">
        <v>7</v>
      </c>
    </row>
    <row r="8" spans="2:14" ht="12.75">
      <c r="B8" s="225">
        <v>181</v>
      </c>
      <c r="C8" s="226"/>
      <c r="D8" s="10">
        <f ca="1">COUNTIF(Valid_questions!F$1:F1045, B8)</f>
        <v>0</v>
      </c>
      <c r="E8" s="9">
        <v>0</v>
      </c>
      <c r="F8" s="9">
        <v>0</v>
      </c>
      <c r="G8" s="9">
        <v>0</v>
      </c>
      <c r="H8" s="10">
        <v>0</v>
      </c>
      <c r="I8" s="9">
        <f>COUNTIFS(Tests!E$1:E1045,B8,Tests!D$1:D1045,"&lt;&gt;\N")</f>
        <v>0</v>
      </c>
      <c r="J8" s="9">
        <f>COUNTIFS(Tests!E$1:E1045,B8,Tests!D$1:D1045,"=\N")</f>
        <v>0</v>
      </c>
      <c r="K8" s="10">
        <v>0</v>
      </c>
      <c r="L8" s="9">
        <f>COUNTIFS(Mutants!E$1:E1045,B8,Mutants!D$1:D1045,"&lt;&gt;\N")</f>
        <v>0</v>
      </c>
      <c r="M8" s="9">
        <f>COUNTIFS(Mutants!E$1:E1045,B8,Mutants!D$1:D1045,"=\N")</f>
        <v>1</v>
      </c>
      <c r="N8" s="14">
        <v>0</v>
      </c>
    </row>
    <row r="9" spans="2:14" ht="12.75">
      <c r="B9" s="227">
        <v>182</v>
      </c>
      <c r="C9" s="228"/>
      <c r="D9" s="22">
        <f ca="1">COUNTIF(Valid_questions!F$1:F1045, B9)</f>
        <v>0</v>
      </c>
      <c r="E9" s="21">
        <v>6</v>
      </c>
      <c r="F9" s="21">
        <v>3</v>
      </c>
      <c r="G9" s="21">
        <v>0</v>
      </c>
      <c r="H9" s="22">
        <v>9</v>
      </c>
      <c r="I9" s="21">
        <f>COUNTIFS(Tests!E$1:E1045,B9,Tests!D$1:D1045,"&lt;&gt;\N")</f>
        <v>1</v>
      </c>
      <c r="J9" s="21">
        <f>COUNTIFS(Tests!E$1:E1045,B9,Tests!D$1:D1045,"=\N")</f>
        <v>0</v>
      </c>
      <c r="K9" s="22">
        <v>1</v>
      </c>
      <c r="L9" s="21">
        <f>COUNTIFS(Mutants!E$1:E1045,B9,Mutants!D$1:D1045,"&lt;&gt;\N")</f>
        <v>15</v>
      </c>
      <c r="M9" s="21">
        <f>COUNTIFS(Mutants!E$1:E1045,B9,Mutants!D$1:D1045,"=\N")</f>
        <v>0</v>
      </c>
      <c r="N9" s="38">
        <v>8</v>
      </c>
    </row>
    <row r="12" spans="2:14" ht="27" customHeight="1">
      <c r="B12" s="220" t="s">
        <v>4588</v>
      </c>
      <c r="C12" s="173"/>
    </row>
    <row r="14" spans="2:14" ht="12.75">
      <c r="C14" s="29" t="s">
        <v>4589</v>
      </c>
    </row>
    <row r="15" spans="2:14" ht="12.75">
      <c r="B15" s="29" t="s">
        <v>4590</v>
      </c>
      <c r="C15" s="29"/>
      <c r="D15" s="43">
        <v>326</v>
      </c>
      <c r="E15" s="43">
        <v>345</v>
      </c>
      <c r="F15" s="43">
        <v>371</v>
      </c>
      <c r="G15" s="43">
        <v>394</v>
      </c>
      <c r="H15" s="43">
        <v>440</v>
      </c>
      <c r="I15" s="61">
        <v>463</v>
      </c>
    </row>
    <row r="16" spans="2:14" ht="12.75">
      <c r="B16" s="9"/>
      <c r="C16" s="81">
        <v>108</v>
      </c>
      <c r="D16" s="9" t="s">
        <v>4592</v>
      </c>
      <c r="E16" s="9" t="s">
        <v>4592</v>
      </c>
      <c r="F16" s="9" t="s">
        <v>4592</v>
      </c>
      <c r="G16" s="9" t="s">
        <v>4593</v>
      </c>
      <c r="H16" s="9" t="s">
        <v>4591</v>
      </c>
      <c r="I16" s="14" t="s">
        <v>4591</v>
      </c>
    </row>
    <row r="17" spans="2:9" ht="12.75">
      <c r="B17" s="9"/>
      <c r="C17" s="81">
        <v>118</v>
      </c>
      <c r="D17" s="9" t="s">
        <v>4591</v>
      </c>
      <c r="E17" s="9" t="s">
        <v>4591</v>
      </c>
      <c r="F17" s="9" t="s">
        <v>4591</v>
      </c>
      <c r="G17" s="9" t="s">
        <v>4591</v>
      </c>
      <c r="H17" s="9" t="s">
        <v>4591</v>
      </c>
      <c r="I17" s="14" t="s">
        <v>4591</v>
      </c>
    </row>
    <row r="18" spans="2:9" ht="12.75">
      <c r="B18" s="9"/>
      <c r="C18" s="81">
        <v>128</v>
      </c>
      <c r="D18" s="9" t="s">
        <v>4592</v>
      </c>
      <c r="E18" s="9" t="s">
        <v>4593</v>
      </c>
      <c r="F18" s="9" t="s">
        <v>4592</v>
      </c>
      <c r="G18" s="9" t="s">
        <v>4592</v>
      </c>
      <c r="H18" s="9" t="s">
        <v>4591</v>
      </c>
      <c r="I18" s="14" t="s">
        <v>4591</v>
      </c>
    </row>
    <row r="19" spans="2:9" ht="12.75">
      <c r="B19" s="9"/>
      <c r="C19" s="81">
        <v>130</v>
      </c>
      <c r="D19" s="9" t="s">
        <v>4591</v>
      </c>
      <c r="E19" s="9" t="s">
        <v>4591</v>
      </c>
      <c r="F19" s="9" t="s">
        <v>4591</v>
      </c>
      <c r="G19" s="9" t="s">
        <v>4591</v>
      </c>
      <c r="H19" s="9" t="s">
        <v>4591</v>
      </c>
      <c r="I19" s="14" t="s">
        <v>4591</v>
      </c>
    </row>
    <row r="20" spans="2:9" ht="12.75">
      <c r="B20" s="9"/>
      <c r="C20" s="81">
        <v>131</v>
      </c>
      <c r="D20" s="9" t="s">
        <v>4591</v>
      </c>
      <c r="E20" s="9" t="s">
        <v>4591</v>
      </c>
      <c r="F20" s="9" t="s">
        <v>4591</v>
      </c>
      <c r="G20" s="9" t="s">
        <v>4591</v>
      </c>
      <c r="H20" s="9" t="s">
        <v>4591</v>
      </c>
      <c r="I20" s="14" t="s">
        <v>4591</v>
      </c>
    </row>
    <row r="21" spans="2:9" ht="12.75">
      <c r="B21" s="9"/>
      <c r="C21" s="81">
        <v>138</v>
      </c>
      <c r="D21" s="9" t="s">
        <v>4591</v>
      </c>
      <c r="E21" s="9" t="s">
        <v>4591</v>
      </c>
      <c r="F21" s="9" t="s">
        <v>4591</v>
      </c>
      <c r="G21" s="9" t="s">
        <v>4591</v>
      </c>
      <c r="H21" s="9" t="s">
        <v>4591</v>
      </c>
      <c r="I21" s="14" t="s">
        <v>4591</v>
      </c>
    </row>
    <row r="22" spans="2:9" ht="12.75">
      <c r="B22" s="9"/>
      <c r="C22" s="81">
        <v>144</v>
      </c>
      <c r="D22" s="9" t="s">
        <v>4591</v>
      </c>
      <c r="E22" s="9" t="s">
        <v>4591</v>
      </c>
      <c r="F22" s="9" t="s">
        <v>4591</v>
      </c>
      <c r="G22" s="9" t="s">
        <v>4591</v>
      </c>
      <c r="H22" s="9" t="s">
        <v>4591</v>
      </c>
      <c r="I22" s="14" t="s">
        <v>4591</v>
      </c>
    </row>
    <row r="23" spans="2:9" ht="12.75">
      <c r="B23" s="9"/>
      <c r="C23" s="81">
        <v>147</v>
      </c>
      <c r="D23" s="9" t="s">
        <v>4591</v>
      </c>
      <c r="E23" s="9" t="s">
        <v>4591</v>
      </c>
      <c r="F23" s="9" t="s">
        <v>4593</v>
      </c>
      <c r="G23" s="9" t="s">
        <v>4593</v>
      </c>
      <c r="H23" s="9" t="s">
        <v>4591</v>
      </c>
      <c r="I23" s="14" t="s">
        <v>4591</v>
      </c>
    </row>
    <row r="24" spans="2:9" ht="12.75">
      <c r="B24" s="9"/>
      <c r="C24" s="81">
        <v>151</v>
      </c>
      <c r="D24" s="9" t="s">
        <v>4591</v>
      </c>
      <c r="E24" s="9" t="s">
        <v>4591</v>
      </c>
      <c r="F24" s="9" t="s">
        <v>4591</v>
      </c>
      <c r="G24" s="9" t="s">
        <v>4591</v>
      </c>
      <c r="H24" s="9" t="s">
        <v>4591</v>
      </c>
      <c r="I24" s="14" t="s">
        <v>4591</v>
      </c>
    </row>
    <row r="25" spans="2:9" ht="12.75">
      <c r="B25" s="9"/>
      <c r="C25" s="81">
        <v>158</v>
      </c>
      <c r="D25" s="9" t="s">
        <v>4591</v>
      </c>
      <c r="E25" s="9" t="s">
        <v>4591</v>
      </c>
      <c r="F25" s="9" t="s">
        <v>4591</v>
      </c>
      <c r="G25" s="9" t="s">
        <v>4591</v>
      </c>
      <c r="H25" s="9" t="s">
        <v>4591</v>
      </c>
      <c r="I25" s="14" t="s">
        <v>4593</v>
      </c>
    </row>
    <row r="26" spans="2:9" ht="12.75">
      <c r="B26" s="9"/>
      <c r="C26" s="81">
        <v>162</v>
      </c>
      <c r="D26" s="9" t="s">
        <v>4591</v>
      </c>
      <c r="E26" s="9" t="s">
        <v>4591</v>
      </c>
      <c r="F26" s="9" t="s">
        <v>4591</v>
      </c>
      <c r="G26" s="9" t="s">
        <v>4591</v>
      </c>
      <c r="H26" s="9" t="s">
        <v>4591</v>
      </c>
      <c r="I26" s="14" t="s">
        <v>4591</v>
      </c>
    </row>
    <row r="27" spans="2:9" ht="12.75">
      <c r="B27" s="9"/>
      <c r="C27" s="81">
        <v>168</v>
      </c>
      <c r="D27" s="9" t="s">
        <v>4592</v>
      </c>
      <c r="E27" s="9" t="s">
        <v>4592</v>
      </c>
      <c r="F27" s="9" t="s">
        <v>4593</v>
      </c>
      <c r="G27" s="9" t="s">
        <v>4592</v>
      </c>
      <c r="H27" s="9" t="s">
        <v>4591</v>
      </c>
      <c r="I27" s="14" t="s">
        <v>4591</v>
      </c>
    </row>
    <row r="28" spans="2:9" ht="12.75">
      <c r="B28" s="9"/>
      <c r="C28" s="81">
        <v>170</v>
      </c>
      <c r="D28" s="9" t="s">
        <v>4591</v>
      </c>
      <c r="E28" s="9" t="s">
        <v>4591</v>
      </c>
      <c r="F28" s="9" t="s">
        <v>4593</v>
      </c>
      <c r="G28" s="9" t="s">
        <v>4593</v>
      </c>
      <c r="H28" s="9" t="s">
        <v>4591</v>
      </c>
      <c r="I28" s="14" t="s">
        <v>4592</v>
      </c>
    </row>
    <row r="29" spans="2:9" ht="12.75">
      <c r="B29" s="9"/>
      <c r="C29" s="81">
        <v>176</v>
      </c>
      <c r="D29" s="9" t="s">
        <v>4591</v>
      </c>
      <c r="E29" s="9" t="s">
        <v>4591</v>
      </c>
      <c r="F29" s="9" t="s">
        <v>4593</v>
      </c>
      <c r="G29" s="9" t="s">
        <v>4593</v>
      </c>
      <c r="H29" s="9" t="s">
        <v>4591</v>
      </c>
      <c r="I29" s="14" t="s">
        <v>4595</v>
      </c>
    </row>
    <row r="30" spans="2:9" ht="12.75">
      <c r="B30" s="9"/>
      <c r="C30" s="81">
        <v>181</v>
      </c>
      <c r="D30" s="9" t="s">
        <v>4595</v>
      </c>
      <c r="E30" s="9" t="s">
        <v>4591</v>
      </c>
      <c r="F30" s="9" t="s">
        <v>4591</v>
      </c>
      <c r="G30" s="9" t="s">
        <v>4591</v>
      </c>
      <c r="H30" s="9" t="s">
        <v>4595</v>
      </c>
      <c r="I30" s="14" t="s">
        <v>4591</v>
      </c>
    </row>
    <row r="31" spans="2:9" ht="12.75">
      <c r="B31" s="9"/>
      <c r="C31" s="81">
        <v>186</v>
      </c>
      <c r="D31" s="9" t="s">
        <v>4591</v>
      </c>
      <c r="E31" s="9" t="s">
        <v>4591</v>
      </c>
      <c r="F31" s="9" t="s">
        <v>4591</v>
      </c>
      <c r="G31" s="9" t="s">
        <v>4591</v>
      </c>
      <c r="H31" s="9" t="s">
        <v>4591</v>
      </c>
      <c r="I31" s="14" t="s">
        <v>4591</v>
      </c>
    </row>
    <row r="32" spans="2:9" ht="12.75">
      <c r="B32" s="9"/>
      <c r="C32" s="81">
        <v>188</v>
      </c>
      <c r="D32" s="9" t="s">
        <v>4591</v>
      </c>
      <c r="E32" s="9" t="s">
        <v>4595</v>
      </c>
      <c r="F32" s="9" t="s">
        <v>4591</v>
      </c>
      <c r="G32" s="9" t="s">
        <v>4591</v>
      </c>
      <c r="H32" s="9" t="s">
        <v>4591</v>
      </c>
      <c r="I32" s="14" t="s">
        <v>4591</v>
      </c>
    </row>
    <row r="33" spans="2:9" ht="12.75">
      <c r="B33" s="9"/>
      <c r="C33" s="81">
        <v>193</v>
      </c>
      <c r="D33" s="9" t="s">
        <v>4591</v>
      </c>
      <c r="E33" s="9" t="s">
        <v>4591</v>
      </c>
      <c r="F33" s="9" t="s">
        <v>4591</v>
      </c>
      <c r="G33" s="9" t="s">
        <v>4591</v>
      </c>
      <c r="H33" s="9" t="s">
        <v>4591</v>
      </c>
      <c r="I33" s="14" t="s">
        <v>4591</v>
      </c>
    </row>
    <row r="34" spans="2:9" ht="12.75">
      <c r="B34" s="9"/>
      <c r="C34" s="81">
        <v>201</v>
      </c>
      <c r="D34" s="9" t="s">
        <v>4591</v>
      </c>
      <c r="E34" s="9" t="s">
        <v>4591</v>
      </c>
      <c r="F34" s="9" t="s">
        <v>4593</v>
      </c>
      <c r="G34" s="9" t="s">
        <v>4593</v>
      </c>
      <c r="H34" s="9" t="s">
        <v>4591</v>
      </c>
      <c r="I34" s="14" t="s">
        <v>4595</v>
      </c>
    </row>
    <row r="35" spans="2:9" ht="12.75">
      <c r="B35" s="9"/>
      <c r="C35" s="81">
        <v>219</v>
      </c>
      <c r="D35" s="9" t="s">
        <v>4591</v>
      </c>
      <c r="E35" s="9" t="s">
        <v>4591</v>
      </c>
      <c r="F35" s="9" t="s">
        <v>4591</v>
      </c>
      <c r="G35" s="9" t="s">
        <v>4591</v>
      </c>
      <c r="H35" s="9" t="s">
        <v>4591</v>
      </c>
      <c r="I35" s="14" t="s">
        <v>4591</v>
      </c>
    </row>
    <row r="36" spans="2:9" ht="12.75">
      <c r="B36" s="9"/>
      <c r="C36" s="81">
        <v>233</v>
      </c>
      <c r="D36" s="9" t="s">
        <v>4591</v>
      </c>
      <c r="E36" s="9" t="s">
        <v>4591</v>
      </c>
      <c r="F36" s="9" t="s">
        <v>4591</v>
      </c>
      <c r="G36" s="9" t="s">
        <v>4591</v>
      </c>
      <c r="H36" s="9" t="s">
        <v>4591</v>
      </c>
      <c r="I36" s="14" t="s">
        <v>4591</v>
      </c>
    </row>
    <row r="37" spans="2:9" ht="12.75">
      <c r="B37" s="9"/>
      <c r="C37" s="81">
        <v>236</v>
      </c>
      <c r="D37" s="9" t="s">
        <v>4591</v>
      </c>
      <c r="E37" s="9" t="s">
        <v>4591</v>
      </c>
      <c r="F37" s="9" t="s">
        <v>4591</v>
      </c>
      <c r="G37" s="9" t="s">
        <v>4591</v>
      </c>
      <c r="H37" s="9" t="s">
        <v>4591</v>
      </c>
      <c r="I37" s="14" t="s">
        <v>4591</v>
      </c>
    </row>
    <row r="38" spans="2:9" ht="12.75">
      <c r="B38" s="9"/>
      <c r="C38" s="81">
        <v>243</v>
      </c>
      <c r="D38" s="9" t="s">
        <v>4591</v>
      </c>
      <c r="E38" s="9" t="s">
        <v>4591</v>
      </c>
      <c r="F38" s="9" t="s">
        <v>4591</v>
      </c>
      <c r="G38" s="9" t="s">
        <v>4593</v>
      </c>
      <c r="H38" s="9" t="s">
        <v>4591</v>
      </c>
      <c r="I38" s="14" t="s">
        <v>4591</v>
      </c>
    </row>
    <row r="39" spans="2:9" ht="12.75">
      <c r="B39" s="9"/>
      <c r="C39" s="81">
        <v>246</v>
      </c>
      <c r="D39" s="9" t="s">
        <v>4595</v>
      </c>
      <c r="E39" s="9" t="s">
        <v>4591</v>
      </c>
      <c r="F39" s="9" t="s">
        <v>4591</v>
      </c>
      <c r="G39" s="9" t="s">
        <v>4591</v>
      </c>
      <c r="H39" s="9" t="s">
        <v>4595</v>
      </c>
      <c r="I39" s="14" t="s">
        <v>4591</v>
      </c>
    </row>
    <row r="40" spans="2:9" ht="12.75">
      <c r="B40" s="9"/>
      <c r="C40" s="81">
        <v>249</v>
      </c>
      <c r="D40" s="9" t="s">
        <v>4592</v>
      </c>
      <c r="E40" s="9" t="s">
        <v>4592</v>
      </c>
      <c r="F40" s="9" t="s">
        <v>4592</v>
      </c>
      <c r="G40" s="9" t="s">
        <v>4592</v>
      </c>
      <c r="H40" s="9" t="s">
        <v>4591</v>
      </c>
      <c r="I40" s="14" t="s">
        <v>4591</v>
      </c>
    </row>
    <row r="41" spans="2:9" ht="12.75">
      <c r="B41" s="9"/>
      <c r="C41" s="81">
        <v>257</v>
      </c>
      <c r="D41" s="9" t="s">
        <v>4591</v>
      </c>
      <c r="E41" s="9" t="s">
        <v>4591</v>
      </c>
      <c r="F41" s="9" t="s">
        <v>4592</v>
      </c>
      <c r="G41" s="9" t="s">
        <v>4592</v>
      </c>
      <c r="H41" s="9" t="s">
        <v>4591</v>
      </c>
      <c r="I41" s="14" t="s">
        <v>4592</v>
      </c>
    </row>
    <row r="42" spans="2:9" ht="12.75">
      <c r="B42" s="9"/>
      <c r="C42" s="81">
        <v>260</v>
      </c>
      <c r="D42" s="9" t="s">
        <v>4591</v>
      </c>
      <c r="E42" s="9" t="s">
        <v>4591</v>
      </c>
      <c r="F42" s="9" t="s">
        <v>4593</v>
      </c>
      <c r="G42" s="9" t="s">
        <v>4593</v>
      </c>
      <c r="H42" s="9" t="s">
        <v>4591</v>
      </c>
      <c r="I42" s="14" t="s">
        <v>4591</v>
      </c>
    </row>
    <row r="43" spans="2:9" ht="12.75">
      <c r="B43" s="9"/>
      <c r="C43" s="81">
        <v>264</v>
      </c>
      <c r="D43" s="9" t="s">
        <v>4591</v>
      </c>
      <c r="E43" s="9" t="s">
        <v>4591</v>
      </c>
      <c r="F43" s="9" t="s">
        <v>4591</v>
      </c>
      <c r="G43" s="9" t="s">
        <v>4591</v>
      </c>
      <c r="H43" s="9" t="s">
        <v>4591</v>
      </c>
      <c r="I43" s="14" t="s">
        <v>4591</v>
      </c>
    </row>
    <row r="44" spans="2:9" ht="12.75">
      <c r="B44" s="9"/>
      <c r="C44" s="81">
        <v>269</v>
      </c>
      <c r="D44" s="9" t="s">
        <v>4591</v>
      </c>
      <c r="E44" s="9" t="s">
        <v>4591</v>
      </c>
      <c r="F44" s="9" t="s">
        <v>4591</v>
      </c>
      <c r="G44" s="9" t="s">
        <v>4591</v>
      </c>
      <c r="H44" s="9" t="s">
        <v>4591</v>
      </c>
      <c r="I44" s="14" t="s">
        <v>4591</v>
      </c>
    </row>
    <row r="45" spans="2:9" ht="12.75">
      <c r="B45" s="9"/>
      <c r="C45" s="81">
        <v>276</v>
      </c>
      <c r="D45" s="9" t="s">
        <v>4591</v>
      </c>
      <c r="E45" s="9" t="s">
        <v>4591</v>
      </c>
      <c r="F45" s="9" t="s">
        <v>4591</v>
      </c>
      <c r="G45" s="9" t="s">
        <v>4591</v>
      </c>
      <c r="H45" s="9" t="s">
        <v>4591</v>
      </c>
      <c r="I45" s="14" t="s">
        <v>4591</v>
      </c>
    </row>
    <row r="46" spans="2:9" ht="12.75">
      <c r="B46" s="9"/>
      <c r="C46" s="82">
        <v>297</v>
      </c>
      <c r="D46" s="21" t="s">
        <v>4591</v>
      </c>
      <c r="E46" s="21" t="s">
        <v>4591</v>
      </c>
      <c r="F46" s="21" t="s">
        <v>4591</v>
      </c>
      <c r="G46" s="21" t="s">
        <v>4591</v>
      </c>
      <c r="H46" s="21" t="s">
        <v>4591</v>
      </c>
      <c r="I46" s="38" t="s">
        <v>4591</v>
      </c>
    </row>
    <row r="49" spans="2:8" ht="13.5" thickBot="1">
      <c r="B49" s="219" t="s">
        <v>4604</v>
      </c>
      <c r="C49" s="201"/>
      <c r="D49" s="45">
        <v>179</v>
      </c>
    </row>
    <row r="50" spans="2:8" ht="13.5" thickTop="1">
      <c r="B50" s="134" t="s">
        <v>4594</v>
      </c>
      <c r="C50" s="135" t="s">
        <v>44</v>
      </c>
      <c r="D50" s="135" t="s">
        <v>110</v>
      </c>
      <c r="E50" s="136" t="s">
        <v>2</v>
      </c>
      <c r="F50" s="229" t="s">
        <v>4612</v>
      </c>
      <c r="G50" s="229"/>
      <c r="H50" s="230"/>
    </row>
    <row r="51" spans="2:8" ht="12.75">
      <c r="B51" s="137" t="s">
        <v>4589</v>
      </c>
      <c r="C51" s="93">
        <v>144</v>
      </c>
      <c r="D51" s="93" t="s">
        <v>3218</v>
      </c>
      <c r="E51" s="93" t="str">
        <f>IF($B51 = "Mutant",VLOOKUP($C51,Mutants!$A$2:$L$560,12,FALSE),IF($B51 = "Test",VLOOKUP($C51,Tests!$A$2:$L$841,12,FALSE),VLOOKUP($C51,Questions!$A$3:$N$174,9,FALSE)))</f>
        <v>Y</v>
      </c>
      <c r="F51" s="205" t="str">
        <f>IF($B51 = "Mutant",VLOOKUP($C51,Mutants!$A$2:$L$560,11,FALSE),IF($B51 = "Test",VLOOKUP($C51,Tests!$A$2:$L$841,11,FALSE),VLOOKUP($C51,Questions!$A$3:$N$174,13,FALSE)))</f>
        <v xml:space="preserve">hasOption
</v>
      </c>
      <c r="G51" s="205"/>
      <c r="H51" s="206"/>
    </row>
    <row r="52" spans="2:8" ht="12.75">
      <c r="B52" s="114" t="s">
        <v>4589</v>
      </c>
      <c r="C52" s="9">
        <v>219</v>
      </c>
      <c r="D52" s="9" t="s">
        <v>3431</v>
      </c>
      <c r="E52" s="9" t="str">
        <f>IF($B52 = "Mutant",VLOOKUP($C52,Mutants!$A$2:$L$560,12,FALSE),IF($B52 = "Test",VLOOKUP($C52,Tests!$A$2:$L$841,12,FALSE),VLOOKUP($C52,Questions!$A$3:$N$174,9,FALSE)))</f>
        <v>Y</v>
      </c>
      <c r="F52" s="187" t="str">
        <f>IF($B52 = "Mutant",VLOOKUP($C52,Mutants!$A$2:$L$560,11,FALSE),IF($B52 = "Test",VLOOKUP($C52,Tests!$A$2:$L$841,11,FALSE),VLOOKUP($C52,Questions!$A$3:$N$174,13,FALSE)))</f>
        <v xml:space="preserve">addOptionGroup
</v>
      </c>
      <c r="G52" s="187"/>
      <c r="H52" s="202"/>
    </row>
    <row r="53" spans="2:8" ht="12.75">
      <c r="B53" s="114" t="s">
        <v>4589</v>
      </c>
      <c r="C53" s="9">
        <v>233</v>
      </c>
      <c r="D53" s="9" t="s">
        <v>3465</v>
      </c>
      <c r="E53" s="9" t="str">
        <f>IF($B53 = "Mutant",VLOOKUP($C53,Mutants!$A$2:$L$560,12,FALSE),IF($B53 = "Test",VLOOKUP($C53,Tests!$A$2:$L$841,12,FALSE),VLOOKUP($C53,Questions!$A$3:$N$174,9,FALSE)))</f>
        <v>Y</v>
      </c>
      <c r="F53" s="187" t="str">
        <f>IF($B53 = "Mutant",VLOOKUP($C53,Mutants!$A$2:$L$560,11,FALSE),IF($B53 = "Test",VLOOKUP($C53,Tests!$A$2:$L$841,11,FALSE),VLOOKUP($C53,Questions!$A$3:$N$174,13,FALSE)))</f>
        <v xml:space="preserve">addOption
</v>
      </c>
      <c r="G53" s="187"/>
      <c r="H53" s="202"/>
    </row>
    <row r="54" spans="2:8" ht="12.75">
      <c r="B54" s="114" t="s">
        <v>4589</v>
      </c>
      <c r="C54" s="9">
        <v>243</v>
      </c>
      <c r="D54" s="9" t="s">
        <v>728</v>
      </c>
      <c r="E54" s="9" t="str">
        <f>IF($B54 = "Mutant",VLOOKUP($C54,Mutants!$A$2:$L$560,12,FALSE),IF($B54 = "Test",VLOOKUP($C54,Tests!$A$2:$L$841,12,FALSE),VLOOKUP($C54,Questions!$A$3:$N$174,9,FALSE)))</f>
        <v>Y</v>
      </c>
      <c r="F54" s="187" t="str">
        <f>IF($B54 = "Mutant",VLOOKUP($C54,Mutants!$A$2:$L$560,11,FALSE),IF($B54 = "Test",VLOOKUP($C54,Tests!$A$2:$L$841,11,FALSE),VLOOKUP($C54,Questions!$A$3:$N$174,13,FALSE)))</f>
        <v xml:space="preserve">getOption
</v>
      </c>
      <c r="G54" s="187"/>
      <c r="H54" s="202"/>
    </row>
    <row r="55" spans="2:8" ht="12.75">
      <c r="B55" s="114" t="s">
        <v>4589</v>
      </c>
      <c r="C55" s="9">
        <v>257</v>
      </c>
      <c r="D55" s="9" t="s">
        <v>756</v>
      </c>
      <c r="E55" s="9" t="str">
        <f>IF($B55 = "Mutant",VLOOKUP($C55,Mutants!$A$2:$L$560,12,FALSE),IF($B55 = "Test",VLOOKUP($C55,Tests!$A$2:$L$841,12,FALSE),VLOOKUP($C55,Questions!$A$3:$N$174,9,FALSE)))</f>
        <v>Y</v>
      </c>
      <c r="F55" s="187" t="str">
        <f>IF($B55 = "Mutant",VLOOKUP($C55,Mutants!$A$2:$L$560,11,FALSE),IF($B55 = "Test",VLOOKUP($C55,Tests!$A$2:$L$841,11,FALSE),VLOOKUP($C55,Questions!$A$3:$N$174,13,FALSE)))</f>
        <v xml:space="preserve">stripLeadingHyphens
</v>
      </c>
      <c r="G55" s="187"/>
      <c r="H55" s="202"/>
    </row>
    <row r="56" spans="2:8" ht="12.75">
      <c r="B56" s="114" t="s">
        <v>4590</v>
      </c>
      <c r="C56" s="9">
        <v>432</v>
      </c>
      <c r="D56" s="9" t="s">
        <v>1632</v>
      </c>
      <c r="E56" s="9" t="str">
        <f>IF($B56 = "Mutant",VLOOKUP($C56,Mutants!$A$2:$L$560,12,FALSE),IF($B56 = "Test",VLOOKUP($C56,Tests!$A$2:$L$841,12,FALSE),VLOOKUP($C56,Questions!$A$3:$N$174,9,FALSE)))</f>
        <v>N</v>
      </c>
      <c r="F56" s="187" t="str">
        <f>IF($B56 = "Mutant",VLOOKUP($C56,Mutants!$A$2:$L$560,11,FALSE),IF($B56 = "Test",VLOOKUP($C56,Tests!$A$2:$L$841,11,FALSE),VLOOKUP($C56,Questions!$A$3:$N$174,13,FALSE)))</f>
        <v xml:space="preserve">
</v>
      </c>
      <c r="G56" s="187"/>
      <c r="H56" s="202"/>
    </row>
    <row r="57" spans="2:8" ht="12.75">
      <c r="B57" s="133" t="s">
        <v>4590</v>
      </c>
      <c r="C57" s="130">
        <v>440</v>
      </c>
      <c r="D57" s="130" t="s">
        <v>1654</v>
      </c>
      <c r="E57" s="130" t="str">
        <f>IF($B57 = "Mutant",VLOOKUP($C57,Mutants!$A$2:$L$560,12,FALSE),IF($B57 = "Test",VLOOKUP($C57,Tests!$A$2:$L$841,12,FALSE),VLOOKUP($C57,Questions!$A$3:$N$174,9,FALSE)))</f>
        <v>Y</v>
      </c>
      <c r="F57" s="203" t="str">
        <f>IF($B57 = "Mutant",VLOOKUP($C57,Mutants!$A$2:$L$560,11,FALSE),IF($B57 = "Test",VLOOKUP($C57,Tests!$A$2:$L$841,11,FALSE),VLOOKUP($C57,Questions!$A$3:$N$174,13,FALSE)))</f>
        <v xml:space="preserve">getOptions, helpOptions
</v>
      </c>
      <c r="G57" s="203"/>
      <c r="H57" s="204"/>
    </row>
    <row r="58" spans="2:8" ht="15.75" customHeight="1">
      <c r="E58" s="9"/>
      <c r="F58" s="187"/>
      <c r="G58" s="187"/>
      <c r="H58" s="187"/>
    </row>
    <row r="59" spans="2:8" ht="15.75" customHeight="1">
      <c r="E59" s="9"/>
      <c r="F59" s="187"/>
      <c r="G59" s="187"/>
      <c r="H59" s="187"/>
    </row>
    <row r="60" spans="2:8" ht="13.5" thickBot="1">
      <c r="B60" s="219" t="s">
        <v>4604</v>
      </c>
      <c r="C60" s="201"/>
      <c r="D60" s="45">
        <v>180</v>
      </c>
      <c r="E60" s="9"/>
      <c r="F60" s="187"/>
      <c r="G60" s="187"/>
      <c r="H60" s="187"/>
    </row>
    <row r="61" spans="2:8" ht="13.5" thickTop="1">
      <c r="B61" s="134" t="s">
        <v>4594</v>
      </c>
      <c r="C61" s="135" t="s">
        <v>44</v>
      </c>
      <c r="D61" s="135" t="s">
        <v>110</v>
      </c>
      <c r="E61" s="136" t="s">
        <v>2</v>
      </c>
      <c r="F61" s="229" t="s">
        <v>4612</v>
      </c>
      <c r="G61" s="229"/>
      <c r="H61" s="230"/>
    </row>
    <row r="62" spans="2:8" ht="12.75">
      <c r="B62" s="137" t="s">
        <v>4589</v>
      </c>
      <c r="C62" s="93">
        <v>108</v>
      </c>
      <c r="D62" s="93" t="s">
        <v>3113</v>
      </c>
      <c r="E62" s="93" t="str">
        <f>IF($B62 = "Mutant",VLOOKUP($C62,Mutants!$A$2:$L$560,12,FALSE),IF($B62 = "Test",VLOOKUP($C62,Tests!$A$2:$L$841,12,FALSE),VLOOKUP($C62,Questions!$A$3:$N$174,9,FALSE)))</f>
        <v>Y</v>
      </c>
      <c r="F62" s="205" t="str">
        <f>IF($B62 = "Mutant",VLOOKUP($C62,Mutants!$A$2:$L$560,11,FALSE),IF($B62 = "Test",VLOOKUP($C62,Tests!$A$2:$L$841,11,FALSE),VLOOKUP($C62,Questions!$A$3:$N$174,13,FALSE)))</f>
        <v xml:space="preserve">addOption
</v>
      </c>
      <c r="G62" s="205"/>
      <c r="H62" s="206"/>
    </row>
    <row r="63" spans="2:8" ht="12.75">
      <c r="B63" s="114" t="s">
        <v>4589</v>
      </c>
      <c r="C63" s="9">
        <v>128</v>
      </c>
      <c r="D63" s="9" t="s">
        <v>3172</v>
      </c>
      <c r="E63" s="9" t="str">
        <f>IF($B63 = "Mutant",VLOOKUP($C63,Mutants!$A$2:$L$560,12,FALSE),IF($B63 = "Test",VLOOKUP($C63,Tests!$A$2:$L$841,12,FALSE),VLOOKUP($C63,Questions!$A$3:$N$174,9,FALSE)))</f>
        <v>Y</v>
      </c>
      <c r="F63" s="187" t="str">
        <f>IF($B63 = "Mutant",VLOOKUP($C63,Mutants!$A$2:$L$560,11,FALSE),IF($B63 = "Test",VLOOKUP($C63,Tests!$A$2:$L$841,11,FALSE),VLOOKUP($C63,Questions!$A$3:$N$174,13,FALSE)))</f>
        <v xml:space="preserve">addOption
</v>
      </c>
      <c r="G63" s="187"/>
      <c r="H63" s="202"/>
    </row>
    <row r="64" spans="2:8" ht="12.75">
      <c r="B64" s="114" t="s">
        <v>4589</v>
      </c>
      <c r="C64" s="9">
        <v>131</v>
      </c>
      <c r="D64" s="9" t="s">
        <v>3181</v>
      </c>
      <c r="E64" s="9" t="str">
        <f>IF($B64 = "Mutant",VLOOKUP($C64,Mutants!$A$2:$L$560,12,FALSE),IF($B64 = "Test",VLOOKUP($C64,Tests!$A$2:$L$841,12,FALSE),VLOOKUP($C64,Questions!$A$3:$N$174,9,FALSE)))</f>
        <v>Y</v>
      </c>
      <c r="F64" s="187" t="str">
        <f>IF($B64 = "Mutant",VLOOKUP($C64,Mutants!$A$2:$L$560,11,FALSE),IF($B64 = "Test",VLOOKUP($C64,Tests!$A$2:$L$841,11,FALSE),VLOOKUP($C64,Questions!$A$3:$N$174,13,FALSE)))</f>
        <v xml:space="preserve">addOption
</v>
      </c>
      <c r="G64" s="187"/>
      <c r="H64" s="202"/>
    </row>
    <row r="65" spans="2:8" ht="12.75">
      <c r="B65" s="114" t="s">
        <v>4589</v>
      </c>
      <c r="C65" s="9">
        <v>147</v>
      </c>
      <c r="D65" s="9" t="s">
        <v>3227</v>
      </c>
      <c r="E65" s="9" t="str">
        <f>IF($B65 = "Mutant",VLOOKUP($C65,Mutants!$A$2:$L$560,12,FALSE),IF($B65 = "Test",VLOOKUP($C65,Tests!$A$2:$L$841,12,FALSE),VLOOKUP($C65,Questions!$A$3:$N$174,9,FALSE)))</f>
        <v>Y</v>
      </c>
      <c r="F65" s="187" t="str">
        <f>IF($B65 = "Mutant",VLOOKUP($C65,Mutants!$A$2:$L$560,11,FALSE),IF($B65 = "Test",VLOOKUP($C65,Tests!$A$2:$L$841,11,FALSE),VLOOKUP($C65,Questions!$A$3:$N$174,13,FALSE)))</f>
        <v xml:space="preserve">getOption
</v>
      </c>
      <c r="G65" s="187"/>
      <c r="H65" s="202"/>
    </row>
    <row r="66" spans="2:8" ht="12.75">
      <c r="B66" s="114" t="s">
        <v>4589</v>
      </c>
      <c r="C66" s="9">
        <v>158</v>
      </c>
      <c r="D66" s="9" t="s">
        <v>3259</v>
      </c>
      <c r="E66" s="9" t="str">
        <f>IF($B66 = "Mutant",VLOOKUP($C66,Mutants!$A$2:$L$560,12,FALSE),IF($B66 = "Test",VLOOKUP($C66,Tests!$A$2:$L$841,12,FALSE),VLOOKUP($C66,Questions!$A$3:$N$174,9,FALSE)))</f>
        <v>Y</v>
      </c>
      <c r="F66" s="187" t="str">
        <f>IF($B66 = "Mutant",VLOOKUP($C66,Mutants!$A$2:$L$560,11,FALSE),IF($B66 = "Test",VLOOKUP($C66,Tests!$A$2:$L$841,11,FALSE),VLOOKUP($C66,Questions!$A$3:$N$174,13,FALSE)))</f>
        <v xml:space="preserve">hasShortOption
</v>
      </c>
      <c r="G66" s="187"/>
      <c r="H66" s="202"/>
    </row>
    <row r="67" spans="2:8" ht="12.75">
      <c r="B67" s="114" t="s">
        <v>4589</v>
      </c>
      <c r="C67" s="9">
        <v>162</v>
      </c>
      <c r="D67" s="9" t="s">
        <v>3270</v>
      </c>
      <c r="E67" s="9" t="str">
        <f>IF($B67 = "Mutant",VLOOKUP($C67,Mutants!$A$2:$L$560,12,FALSE),IF($B67 = "Test",VLOOKUP($C67,Tests!$A$2:$L$841,12,FALSE),VLOOKUP($C67,Questions!$A$3:$N$174,9,FALSE)))</f>
        <v>Y</v>
      </c>
      <c r="F67" s="187" t="str">
        <f>IF($B67 = "Mutant",VLOOKUP($C67,Mutants!$A$2:$L$560,11,FALSE),IF($B67 = "Test",VLOOKUP($C67,Tests!$A$2:$L$841,11,FALSE),VLOOKUP($C67,Questions!$A$3:$N$174,13,FALSE)))</f>
        <v xml:space="preserve">getMatchingOptions
</v>
      </c>
      <c r="G67" s="187"/>
      <c r="H67" s="202"/>
    </row>
    <row r="68" spans="2:8" ht="12.75">
      <c r="B68" s="114" t="s">
        <v>4589</v>
      </c>
      <c r="C68" s="9">
        <v>170</v>
      </c>
      <c r="D68" s="9" t="s">
        <v>3293</v>
      </c>
      <c r="E68" s="9" t="str">
        <f>IF($B68 = "Mutant",VLOOKUP($C68,Mutants!$A$2:$L$560,12,FALSE),IF($B68 = "Test",VLOOKUP($C68,Tests!$A$2:$L$841,12,FALSE),VLOOKUP($C68,Questions!$A$3:$N$174,9,FALSE)))</f>
        <v>Y</v>
      </c>
      <c r="F68" s="187" t="str">
        <f>IF($B68 = "Mutant",VLOOKUP($C68,Mutants!$A$2:$L$560,11,FALSE),IF($B68 = "Test",VLOOKUP($C68,Tests!$A$2:$L$841,11,FALSE),VLOOKUP($C68,Questions!$A$3:$N$174,13,FALSE)))</f>
        <v xml:space="preserve">stripLeadingHyphens
</v>
      </c>
      <c r="G68" s="187"/>
      <c r="H68" s="202"/>
    </row>
    <row r="69" spans="2:8" ht="12.75">
      <c r="B69" s="114" t="s">
        <v>4589</v>
      </c>
      <c r="C69" s="9">
        <v>176</v>
      </c>
      <c r="D69" s="9" t="s">
        <v>3310</v>
      </c>
      <c r="E69" s="9" t="str">
        <f>IF($B69 = "Mutant",VLOOKUP($C69,Mutants!$A$2:$L$560,12,FALSE),IF($B69 = "Test",VLOOKUP($C69,Tests!$A$2:$L$841,12,FALSE),VLOOKUP($C69,Questions!$A$3:$N$174,9,FALSE)))</f>
        <v>Y</v>
      </c>
      <c r="F69" s="187" t="str">
        <f>IF($B69 = "Mutant",VLOOKUP($C69,Mutants!$A$2:$L$560,11,FALSE),IF($B69 = "Test",VLOOKUP($C69,Tests!$A$2:$L$841,11,FALSE),VLOOKUP($C69,Questions!$A$3:$N$174,13,FALSE)))</f>
        <v xml:space="preserve">stripLeadingHyphens
</v>
      </c>
      <c r="G69" s="187"/>
      <c r="H69" s="202"/>
    </row>
    <row r="70" spans="2:8" ht="12.75">
      <c r="B70" s="114" t="s">
        <v>4589</v>
      </c>
      <c r="C70" s="9">
        <v>186</v>
      </c>
      <c r="D70" s="9" t="s">
        <v>3336</v>
      </c>
      <c r="E70" s="9" t="str">
        <f>IF($B70 = "Mutant",VLOOKUP($C70,Mutants!$A$2:$L$560,12,FALSE),IF($B70 = "Test",VLOOKUP($C70,Tests!$A$2:$L$841,12,FALSE),VLOOKUP($C70,Questions!$A$3:$N$174,9,FALSE)))</f>
        <v>Y</v>
      </c>
      <c r="F70" s="187" t="str">
        <f>IF($B70 = "Mutant",VLOOKUP($C70,Mutants!$A$2:$L$560,11,FALSE),IF($B70 = "Test",VLOOKUP($C70,Tests!$A$2:$L$841,11,FALSE),VLOOKUP($C70,Questions!$A$3:$N$174,13,FALSE)))</f>
        <v xml:space="preserve">addOptionGroup
</v>
      </c>
      <c r="G70" s="187"/>
      <c r="H70" s="202"/>
    </row>
    <row r="71" spans="2:8" ht="12.75">
      <c r="B71" s="114" t="s">
        <v>4589</v>
      </c>
      <c r="C71" s="9">
        <v>193</v>
      </c>
      <c r="D71" s="9" t="s">
        <v>3357</v>
      </c>
      <c r="E71" s="9" t="str">
        <f>IF($B71 = "Mutant",VLOOKUP($C71,Mutants!$A$2:$L$560,12,FALSE),IF($B71 = "Test",VLOOKUP($C71,Tests!$A$2:$L$841,12,FALSE),VLOOKUP($C71,Questions!$A$3:$N$174,9,FALSE)))</f>
        <v>Y</v>
      </c>
      <c r="F71" s="187" t="str">
        <f>IF($B71 = "Mutant",VLOOKUP($C71,Mutants!$A$2:$L$560,11,FALSE),IF($B71 = "Test",VLOOKUP($C71,Tests!$A$2:$L$841,11,FALSE),VLOOKUP($C71,Questions!$A$3:$N$174,13,FALSE)))</f>
        <v xml:space="preserve">getMatchingOptions
</v>
      </c>
      <c r="G71" s="187"/>
      <c r="H71" s="202"/>
    </row>
    <row r="72" spans="2:8" ht="12.75">
      <c r="B72" s="114" t="s">
        <v>4589</v>
      </c>
      <c r="C72" s="9">
        <v>201</v>
      </c>
      <c r="D72" s="9" t="s">
        <v>3379</v>
      </c>
      <c r="E72" s="9" t="str">
        <f>IF($B72 = "Mutant",VLOOKUP($C72,Mutants!$A$2:$L$560,12,FALSE),IF($B72 = "Test",VLOOKUP($C72,Tests!$A$2:$L$841,12,FALSE),VLOOKUP($C72,Questions!$A$3:$N$174,9,FALSE)))</f>
        <v>Y</v>
      </c>
      <c r="F72" s="187" t="str">
        <f>IF($B72 = "Mutant",VLOOKUP($C72,Mutants!$A$2:$L$560,11,FALSE),IF($B72 = "Test",VLOOKUP($C72,Tests!$A$2:$L$841,11,FALSE),VLOOKUP($C72,Questions!$A$3:$N$174,13,FALSE)))</f>
        <v xml:space="preserve">stripLeadingHyphens
</v>
      </c>
      <c r="G72" s="187"/>
      <c r="H72" s="202"/>
    </row>
    <row r="73" spans="2:8" ht="12.75">
      <c r="B73" s="114" t="s">
        <v>4590</v>
      </c>
      <c r="C73" s="9">
        <v>324</v>
      </c>
      <c r="D73" s="9" t="s">
        <v>1304</v>
      </c>
      <c r="E73" s="9" t="str">
        <f>IF($B73 = "Mutant",VLOOKUP($C73,Mutants!$A$2:$L$560,12,FALSE),IF($B73 = "Test",VLOOKUP($C73,Tests!$A$2:$L$841,12,FALSE),VLOOKUP($C73,Questions!$A$3:$N$174,9,FALSE)))</f>
        <v>N</v>
      </c>
      <c r="F73" s="187" t="str">
        <f>IF($B73 = "Mutant",VLOOKUP($C73,Mutants!$A$2:$L$560,11,FALSE),IF($B73 = "Test",VLOOKUP($C73,Tests!$A$2:$L$841,11,FALSE),VLOOKUP($C73,Questions!$A$3:$N$174,13,FALSE)))</f>
        <v xml:space="preserve">
</v>
      </c>
      <c r="G73" s="187"/>
      <c r="H73" s="202"/>
    </row>
    <row r="74" spans="2:8" ht="12.75">
      <c r="B74" s="114" t="s">
        <v>4590</v>
      </c>
      <c r="C74" s="9">
        <v>326</v>
      </c>
      <c r="D74" s="9" t="s">
        <v>1309</v>
      </c>
      <c r="E74" s="9" t="str">
        <f>IF($B74 = "Mutant",VLOOKUP($C74,Mutants!$A$2:$L$560,12,FALSE),IF($B74 = "Test",VLOOKUP($C74,Tests!$A$2:$L$841,12,FALSE),VLOOKUP($C74,Questions!$A$3:$N$174,9,FALSE)))</f>
        <v>Y</v>
      </c>
      <c r="F74" s="187" t="str">
        <f>IF($B74 = "Mutant",VLOOKUP($C74,Mutants!$A$2:$L$560,11,FALSE),IF($B74 = "Test",VLOOKUP($C74,Tests!$A$2:$L$841,11,FALSE),VLOOKUP($C74,Questions!$A$3:$N$174,13,FALSE)))</f>
        <v xml:space="preserve">addOption, getOptions, helpOptions
</v>
      </c>
      <c r="G74" s="187"/>
      <c r="H74" s="202"/>
    </row>
    <row r="75" spans="2:8" ht="12.75">
      <c r="B75" s="114" t="s">
        <v>4590</v>
      </c>
      <c r="C75" s="9">
        <v>345</v>
      </c>
      <c r="D75" s="9" t="s">
        <v>1364</v>
      </c>
      <c r="E75" s="9" t="str">
        <f>IF($B75 = "Mutant",VLOOKUP($C75,Mutants!$A$2:$L$560,12,FALSE),IF($B75 = "Test",VLOOKUP($C75,Tests!$A$2:$L$841,12,FALSE),VLOOKUP($C75,Questions!$A$3:$N$174,9,FALSE)))</f>
        <v>Y</v>
      </c>
      <c r="F75" s="187" t="str">
        <f>IF($B75 = "Mutant",VLOOKUP($C75,Mutants!$A$2:$L$560,11,FALSE),IF($B75 = "Test",VLOOKUP($C75,Tests!$A$2:$L$841,11,FALSE),VLOOKUP($C75,Questions!$A$3:$N$174,13,FALSE)))</f>
        <v xml:space="preserve">addOption, getRequiredOptions
</v>
      </c>
      <c r="G75" s="187"/>
      <c r="H75" s="202"/>
    </row>
    <row r="76" spans="2:8" ht="12.75">
      <c r="B76" s="114" t="s">
        <v>4590</v>
      </c>
      <c r="C76" s="9">
        <v>371</v>
      </c>
      <c r="D76" s="9" t="s">
        <v>1441</v>
      </c>
      <c r="E76" s="9" t="str">
        <f>IF($B76 = "Mutant",VLOOKUP($C76,Mutants!$A$2:$L$560,12,FALSE),IF($B76 = "Test",VLOOKUP($C76,Tests!$A$2:$L$841,12,FALSE),VLOOKUP($C76,Questions!$A$3:$N$174,9,FALSE)))</f>
        <v>Y</v>
      </c>
      <c r="F76" s="187" t="str">
        <f>IF($B76 = "Mutant",VLOOKUP($C76,Mutants!$A$2:$L$560,11,FALSE),IF($B76 = "Test",VLOOKUP($C76,Tests!$A$2:$L$841,11,FALSE),VLOOKUP($C76,Questions!$A$3:$N$174,13,FALSE)))</f>
        <v xml:space="preserve">addOption, getOption, stripLeadingHyphens
</v>
      </c>
      <c r="G76" s="187"/>
      <c r="H76" s="202"/>
    </row>
    <row r="77" spans="2:8" ht="12.75">
      <c r="B77" s="114" t="s">
        <v>4590</v>
      </c>
      <c r="C77" s="9">
        <v>391</v>
      </c>
      <c r="D77" s="9" t="s">
        <v>1496</v>
      </c>
      <c r="E77" s="9" t="str">
        <f>IF($B77 = "Mutant",VLOOKUP($C77,Mutants!$A$2:$L$560,12,FALSE),IF($B77 = "Test",VLOOKUP($C77,Tests!$A$2:$L$841,12,FALSE),VLOOKUP($C77,Questions!$A$3:$N$174,9,FALSE)))</f>
        <v>Y</v>
      </c>
      <c r="F77" s="187" t="str">
        <f>IF($B77 = "Mutant",VLOOKUP($C77,Mutants!$A$2:$L$560,11,FALSE),IF($B77 = "Test",VLOOKUP($C77,Tests!$A$2:$L$841,11,FALSE),VLOOKUP($C77,Questions!$A$3:$N$174,13,FALSE)))</f>
        <v xml:space="preserve">addOption, getOption, stripLeadingHyphens
</v>
      </c>
      <c r="G77" s="187"/>
      <c r="H77" s="202"/>
    </row>
    <row r="78" spans="2:8" ht="12.75">
      <c r="B78" s="133" t="s">
        <v>4590</v>
      </c>
      <c r="C78" s="130">
        <v>394</v>
      </c>
      <c r="D78" s="130" t="s">
        <v>1508</v>
      </c>
      <c r="E78" s="130" t="str">
        <f>IF($B78 = "Mutant",VLOOKUP($C78,Mutants!$A$2:$L$560,12,FALSE),IF($B78 = "Test",VLOOKUP($C78,Tests!$A$2:$L$841,12,FALSE),VLOOKUP($C78,Questions!$A$3:$N$174,9,FALSE)))</f>
        <v>Y</v>
      </c>
      <c r="F78" s="203" t="str">
        <f>IF($B78 = "Mutant",VLOOKUP($C78,Mutants!$A$2:$L$560,11,FALSE),IF($B78 = "Test",VLOOKUP($C78,Tests!$A$2:$L$841,11,FALSE),VLOOKUP($C78,Questions!$A$3:$N$174,13,FALSE)))</f>
        <v xml:space="preserve">addOption, getOption, stripLeadingHyphens
</v>
      </c>
      <c r="G78" s="203"/>
      <c r="H78" s="204"/>
    </row>
    <row r="79" spans="2:8" ht="15.75" customHeight="1">
      <c r="E79" s="9"/>
      <c r="F79" s="187"/>
      <c r="G79" s="187"/>
      <c r="H79" s="187"/>
    </row>
    <row r="80" spans="2:8" ht="15.75" customHeight="1">
      <c r="E80" s="9"/>
      <c r="F80" s="187"/>
      <c r="G80" s="187"/>
      <c r="H80" s="187"/>
    </row>
    <row r="81" spans="2:8" ht="13.5" thickBot="1">
      <c r="B81" s="219" t="s">
        <v>4604</v>
      </c>
      <c r="C81" s="201"/>
      <c r="D81" s="45">
        <v>181</v>
      </c>
      <c r="E81" s="9"/>
      <c r="F81" s="187"/>
      <c r="G81" s="187"/>
      <c r="H81" s="187"/>
    </row>
    <row r="82" spans="2:8" ht="13.5" thickTop="1">
      <c r="B82" s="134" t="s">
        <v>4594</v>
      </c>
      <c r="C82" s="135" t="s">
        <v>44</v>
      </c>
      <c r="D82" s="135" t="s">
        <v>110</v>
      </c>
      <c r="E82" s="136" t="s">
        <v>2</v>
      </c>
      <c r="F82" s="229" t="s">
        <v>4612</v>
      </c>
      <c r="G82" s="229"/>
      <c r="H82" s="230"/>
    </row>
    <row r="83" spans="2:8" ht="12.75">
      <c r="B83" s="91" t="s">
        <v>4589</v>
      </c>
      <c r="C83" s="92">
        <v>149</v>
      </c>
      <c r="D83" s="92" t="s">
        <v>3232</v>
      </c>
      <c r="E83" s="92" t="str">
        <f>IF($B83 = "Mutant",VLOOKUP($C83,Mutants!$A$2:$L$560,12,FALSE),IF($B83 = "Test",VLOOKUP($C83,Tests!$A$2:$L$841,12,FALSE),VLOOKUP($C83,Questions!$A$3:$N$174,9,FALSE)))</f>
        <v>N</v>
      </c>
      <c r="F83" s="231" t="str">
        <f>IF($B83 = "Mutant",VLOOKUP($C83,Mutants!$A$2:$L$560,11,FALSE),IF($B83 = "Test",VLOOKUP($C83,Tests!$A$2:$L$841,11,FALSE),VLOOKUP($C83,Questions!$A$3:$N$174,13,FALSE)))</f>
        <v xml:space="preserve">
</v>
      </c>
      <c r="G83" s="231"/>
      <c r="H83" s="232"/>
    </row>
    <row r="84" spans="2:8" ht="15.75" customHeight="1">
      <c r="E84" s="9"/>
      <c r="F84" s="187"/>
      <c r="G84" s="187"/>
      <c r="H84" s="187"/>
    </row>
    <row r="85" spans="2:8" ht="15.75" customHeight="1">
      <c r="E85" s="9"/>
      <c r="F85" s="187"/>
      <c r="G85" s="187"/>
      <c r="H85" s="187"/>
    </row>
    <row r="86" spans="2:8" ht="13.5" thickBot="1">
      <c r="B86" s="219" t="s">
        <v>4604</v>
      </c>
      <c r="C86" s="201"/>
      <c r="D86" s="45">
        <v>182</v>
      </c>
      <c r="E86" s="9"/>
      <c r="F86" s="187"/>
      <c r="G86" s="187"/>
      <c r="H86" s="187"/>
    </row>
    <row r="87" spans="2:8" ht="13.5" thickTop="1">
      <c r="B87" s="134" t="s">
        <v>4594</v>
      </c>
      <c r="C87" s="135" t="s">
        <v>44</v>
      </c>
      <c r="D87" s="135" t="s">
        <v>110</v>
      </c>
      <c r="E87" s="136" t="s">
        <v>2</v>
      </c>
      <c r="F87" s="229" t="s">
        <v>4612</v>
      </c>
      <c r="G87" s="229"/>
      <c r="H87" s="230"/>
    </row>
    <row r="88" spans="2:8" ht="12.75">
      <c r="B88" s="137" t="s">
        <v>4589</v>
      </c>
      <c r="C88" s="93">
        <v>118</v>
      </c>
      <c r="D88" s="93" t="s">
        <v>3143</v>
      </c>
      <c r="E88" s="93" t="str">
        <f>IF($B88 = "Mutant",VLOOKUP($C88,Mutants!$A$2:$L$560,12,FALSE),IF($B88 = "Test",VLOOKUP($C88,Tests!$A$2:$L$841,12,FALSE),VLOOKUP($C88,Questions!$A$3:$N$174,9,FALSE)))</f>
        <v>Y</v>
      </c>
      <c r="F88" s="205" t="str">
        <f>IF($B88 = "Mutant",VLOOKUP($C88,Mutants!$A$2:$L$560,11,FALSE),IF($B88 = "Test",VLOOKUP($C88,Tests!$A$2:$L$841,11,FALSE),VLOOKUP($C88,Questions!$A$3:$N$174,13,FALSE)))</f>
        <v xml:space="preserve">addOptionGroup
</v>
      </c>
      <c r="G88" s="205"/>
      <c r="H88" s="206"/>
    </row>
    <row r="89" spans="2:8" ht="12.75">
      <c r="B89" s="114" t="s">
        <v>4589</v>
      </c>
      <c r="C89" s="9">
        <v>130</v>
      </c>
      <c r="D89" s="9" t="s">
        <v>3178</v>
      </c>
      <c r="E89" s="9" t="str">
        <f>IF($B89 = "Mutant",VLOOKUP($C89,Mutants!$A$2:$L$560,12,FALSE),IF($B89 = "Test",VLOOKUP($C89,Tests!$A$2:$L$841,12,FALSE),VLOOKUP($C89,Questions!$A$3:$N$174,9,FALSE)))</f>
        <v>Y</v>
      </c>
      <c r="F89" s="187" t="str">
        <f>IF($B89 = "Mutant",VLOOKUP($C89,Mutants!$A$2:$L$560,11,FALSE),IF($B89 = "Test",VLOOKUP($C89,Tests!$A$2:$L$841,11,FALSE),VLOOKUP($C89,Questions!$A$3:$N$174,13,FALSE)))</f>
        <v xml:space="preserve">addOptionGroup
</v>
      </c>
      <c r="G89" s="187"/>
      <c r="H89" s="202"/>
    </row>
    <row r="90" spans="2:8" ht="12.75">
      <c r="B90" s="114" t="s">
        <v>4589</v>
      </c>
      <c r="C90" s="9">
        <v>138</v>
      </c>
      <c r="D90" s="9" t="s">
        <v>3202</v>
      </c>
      <c r="E90" s="9" t="str">
        <f>IF($B90 = "Mutant",VLOOKUP($C90,Mutants!$A$2:$L$560,12,FALSE),IF($B90 = "Test",VLOOKUP($C90,Tests!$A$2:$L$841,12,FALSE),VLOOKUP($C90,Questions!$A$3:$N$174,9,FALSE)))</f>
        <v>Y</v>
      </c>
      <c r="F90" s="187" t="str">
        <f>IF($B90 = "Mutant",VLOOKUP($C90,Mutants!$A$2:$L$560,11,FALSE),IF($B90 = "Test",VLOOKUP($C90,Tests!$A$2:$L$841,11,FALSE),VLOOKUP($C90,Questions!$A$3:$N$174,13,FALSE)))</f>
        <v xml:space="preserve">addOptionGroup
</v>
      </c>
      <c r="G90" s="187"/>
      <c r="H90" s="202"/>
    </row>
    <row r="91" spans="2:8" ht="12.75">
      <c r="B91" s="114" t="s">
        <v>4589</v>
      </c>
      <c r="C91" s="9">
        <v>151</v>
      </c>
      <c r="D91" s="9" t="s">
        <v>3238</v>
      </c>
      <c r="E91" s="9" t="str">
        <f>IF($B91 = "Mutant",VLOOKUP($C91,Mutants!$A$2:$L$560,12,FALSE),IF($B91 = "Test",VLOOKUP($C91,Tests!$A$2:$L$841,12,FALSE),VLOOKUP($C91,Questions!$A$3:$N$174,9,FALSE)))</f>
        <v>Y</v>
      </c>
      <c r="F91" s="187" t="str">
        <f>IF($B91 = "Mutant",VLOOKUP($C91,Mutants!$A$2:$L$560,11,FALSE),IF($B91 = "Test",VLOOKUP($C91,Tests!$A$2:$L$841,11,FALSE),VLOOKUP($C91,Questions!$A$3:$N$174,13,FALSE)))</f>
        <v xml:space="preserve">addOptionGroup
</v>
      </c>
      <c r="G91" s="187"/>
      <c r="H91" s="202"/>
    </row>
    <row r="92" spans="2:8" ht="12.75">
      <c r="B92" s="114" t="s">
        <v>4589</v>
      </c>
      <c r="C92" s="9">
        <v>168</v>
      </c>
      <c r="D92" s="9" t="s">
        <v>3287</v>
      </c>
      <c r="E92" s="9" t="str">
        <f>IF($B92 = "Mutant",VLOOKUP($C92,Mutants!$A$2:$L$560,12,FALSE),IF($B92 = "Test",VLOOKUP($C92,Tests!$A$2:$L$841,12,FALSE),VLOOKUP($C92,Questions!$A$3:$N$174,9,FALSE)))</f>
        <v>Y</v>
      </c>
      <c r="F92" s="187" t="str">
        <f>IF($B92 = "Mutant",VLOOKUP($C92,Mutants!$A$2:$L$560,11,FALSE),IF($B92 = "Test",VLOOKUP($C92,Tests!$A$2:$L$841,11,FALSE),VLOOKUP($C92,Questions!$A$3:$N$174,13,FALSE)))</f>
        <v xml:space="preserve">addOption
</v>
      </c>
      <c r="G92" s="187"/>
      <c r="H92" s="202"/>
    </row>
    <row r="93" spans="2:8" ht="12.75">
      <c r="B93" s="114" t="s">
        <v>4589</v>
      </c>
      <c r="C93" s="9">
        <v>181</v>
      </c>
      <c r="D93" s="9" t="s">
        <v>3320</v>
      </c>
      <c r="E93" s="9" t="str">
        <f>IF($B93 = "Mutant",VLOOKUP($C93,Mutants!$A$2:$L$560,12,FALSE),IF($B93 = "Test",VLOOKUP($C93,Tests!$A$2:$L$841,12,FALSE),VLOOKUP($C93,Questions!$A$3:$N$174,9,FALSE)))</f>
        <v>Y</v>
      </c>
      <c r="F93" s="187" t="str">
        <f>IF($B93 = "Mutant",VLOOKUP($C93,Mutants!$A$2:$L$560,11,FALSE),IF($B93 = "Test",VLOOKUP($C93,Tests!$A$2:$L$841,11,FALSE),VLOOKUP($C93,Questions!$A$3:$N$174,13,FALSE)))</f>
        <v xml:space="preserve">helpOptions
</v>
      </c>
      <c r="G93" s="187"/>
      <c r="H93" s="202"/>
    </row>
    <row r="94" spans="2:8" ht="12.75">
      <c r="B94" s="114" t="s">
        <v>4589</v>
      </c>
      <c r="C94" s="9">
        <v>188</v>
      </c>
      <c r="D94" s="9" t="s">
        <v>3342</v>
      </c>
      <c r="E94" s="9" t="str">
        <f>IF($B94 = "Mutant",VLOOKUP($C94,Mutants!$A$2:$L$560,12,FALSE),IF($B94 = "Test",VLOOKUP($C94,Tests!$A$2:$L$841,12,FALSE),VLOOKUP($C94,Questions!$A$3:$N$174,9,FALSE)))</f>
        <v>Y</v>
      </c>
      <c r="F94" s="187" t="str">
        <f>IF($B94 = "Mutant",VLOOKUP($C94,Mutants!$A$2:$L$560,11,FALSE),IF($B94 = "Test",VLOOKUP($C94,Tests!$A$2:$L$841,11,FALSE),VLOOKUP($C94,Questions!$A$3:$N$174,13,FALSE)))</f>
        <v xml:space="preserve">getRequiredOptions
</v>
      </c>
      <c r="G94" s="187"/>
      <c r="H94" s="202"/>
    </row>
    <row r="95" spans="2:8" ht="12.75">
      <c r="B95" s="114" t="s">
        <v>4589</v>
      </c>
      <c r="C95" s="9">
        <v>236</v>
      </c>
      <c r="D95" s="9" t="s">
        <v>3476</v>
      </c>
      <c r="E95" s="9" t="str">
        <f>IF($B95 = "Mutant",VLOOKUP($C95,Mutants!$A$2:$L$560,12,FALSE),IF($B95 = "Test",VLOOKUP($C95,Tests!$A$2:$L$841,12,FALSE),VLOOKUP($C95,Questions!$A$3:$N$174,9,FALSE)))</f>
        <v>Y</v>
      </c>
      <c r="F95" s="187" t="str">
        <f>IF($B95 = "Mutant",VLOOKUP($C95,Mutants!$A$2:$L$560,11,FALSE),IF($B95 = "Test",VLOOKUP($C95,Tests!$A$2:$L$841,11,FALSE),VLOOKUP($C95,Questions!$A$3:$N$174,13,FALSE)))</f>
        <v xml:space="preserve">addOptionGroup
</v>
      </c>
      <c r="G95" s="187"/>
      <c r="H95" s="202"/>
    </row>
    <row r="96" spans="2:8" ht="12.75">
      <c r="B96" s="114" t="s">
        <v>4589</v>
      </c>
      <c r="C96" s="9">
        <v>246</v>
      </c>
      <c r="D96" s="9" t="s">
        <v>3504</v>
      </c>
      <c r="E96" s="9" t="str">
        <f>IF($B96 = "Mutant",VLOOKUP($C96,Mutants!$A$2:$L$560,12,FALSE),IF($B96 = "Test",VLOOKUP($C96,Tests!$A$2:$L$841,12,FALSE),VLOOKUP($C96,Questions!$A$3:$N$174,9,FALSE)))</f>
        <v>Y</v>
      </c>
      <c r="F96" s="187" t="str">
        <f>IF($B96 = "Mutant",VLOOKUP($C96,Mutants!$A$2:$L$560,11,FALSE),IF($B96 = "Test",VLOOKUP($C96,Tests!$A$2:$L$841,11,FALSE),VLOOKUP($C96,Questions!$A$3:$N$174,13,FALSE)))</f>
        <v xml:space="preserve">getOptions
</v>
      </c>
      <c r="G96" s="187"/>
      <c r="H96" s="202"/>
    </row>
    <row r="97" spans="2:8" ht="12.75">
      <c r="B97" s="114" t="s">
        <v>4589</v>
      </c>
      <c r="C97" s="9">
        <v>249</v>
      </c>
      <c r="D97" s="9" t="s">
        <v>741</v>
      </c>
      <c r="E97" s="9" t="str">
        <f>IF($B97 = "Mutant",VLOOKUP($C97,Mutants!$A$2:$L$560,12,FALSE),IF($B97 = "Test",VLOOKUP($C97,Tests!$A$2:$L$841,12,FALSE),VLOOKUP($C97,Questions!$A$3:$N$174,9,FALSE)))</f>
        <v>Y</v>
      </c>
      <c r="F97" s="187" t="str">
        <f>IF($B97 = "Mutant",VLOOKUP($C97,Mutants!$A$2:$L$560,11,FALSE),IF($B97 = "Test",VLOOKUP($C97,Tests!$A$2:$L$841,11,FALSE),VLOOKUP($C97,Questions!$A$3:$N$174,13,FALSE)))</f>
        <v xml:space="preserve">addOption
</v>
      </c>
      <c r="G97" s="187"/>
      <c r="H97" s="202"/>
    </row>
    <row r="98" spans="2:8" ht="12.75">
      <c r="B98" s="114" t="s">
        <v>4589</v>
      </c>
      <c r="C98" s="9">
        <v>260</v>
      </c>
      <c r="D98" s="9" t="s">
        <v>3542</v>
      </c>
      <c r="E98" s="9" t="str">
        <f>IF($B98 = "Mutant",VLOOKUP($C98,Mutants!$A$2:$L$560,12,FALSE),IF($B98 = "Test",VLOOKUP($C98,Tests!$A$2:$L$841,12,FALSE),VLOOKUP($C98,Questions!$A$3:$N$174,9,FALSE)))</f>
        <v>Y</v>
      </c>
      <c r="F98" s="187" t="str">
        <f>IF($B98 = "Mutant",VLOOKUP($C98,Mutants!$A$2:$L$560,11,FALSE),IF($B98 = "Test",VLOOKUP($C98,Tests!$A$2:$L$841,11,FALSE),VLOOKUP($C98,Questions!$A$3:$N$174,13,FALSE)))</f>
        <v xml:space="preserve">getOption
</v>
      </c>
      <c r="G98" s="187"/>
      <c r="H98" s="202"/>
    </row>
    <row r="99" spans="2:8" ht="12.75">
      <c r="B99" s="114" t="s">
        <v>4589</v>
      </c>
      <c r="C99" s="9">
        <v>264</v>
      </c>
      <c r="D99" s="9" t="s">
        <v>774</v>
      </c>
      <c r="E99" s="9" t="str">
        <f>IF($B99 = "Mutant",VLOOKUP($C99,Mutants!$A$2:$L$560,12,FALSE),IF($B99 = "Test",VLOOKUP($C99,Tests!$A$2:$L$841,12,FALSE),VLOOKUP($C99,Questions!$A$3:$N$174,9,FALSE)))</f>
        <v>Y</v>
      </c>
      <c r="F99" s="187" t="str">
        <f>IF($B99 = "Mutant",VLOOKUP($C99,Mutants!$A$2:$L$560,11,FALSE),IF($B99 = "Test",VLOOKUP($C99,Tests!$A$2:$L$841,11,FALSE),VLOOKUP($C99,Questions!$A$3:$N$174,13,FALSE)))</f>
        <v xml:space="preserve">getMatchingOptions
</v>
      </c>
      <c r="G99" s="187"/>
      <c r="H99" s="202"/>
    </row>
    <row r="100" spans="2:8" ht="12.75">
      <c r="B100" s="114" t="s">
        <v>4589</v>
      </c>
      <c r="C100" s="9">
        <v>269</v>
      </c>
      <c r="D100" s="9" t="s">
        <v>3566</v>
      </c>
      <c r="E100" s="9" t="str">
        <f>IF($B100 = "Mutant",VLOOKUP($C100,Mutants!$A$2:$L$560,12,FALSE),IF($B100 = "Test",VLOOKUP($C100,Tests!$A$2:$L$841,12,FALSE),VLOOKUP($C100,Questions!$A$3:$N$174,9,FALSE)))</f>
        <v>Y</v>
      </c>
      <c r="F100" s="187" t="str">
        <f>IF($B100 = "Mutant",VLOOKUP($C100,Mutants!$A$2:$L$560,11,FALSE),IF($B100 = "Test",VLOOKUP($C100,Tests!$A$2:$L$841,11,FALSE),VLOOKUP($C100,Questions!$A$3:$N$174,13,FALSE)))</f>
        <v xml:space="preserve">hasOption
</v>
      </c>
      <c r="G100" s="187"/>
      <c r="H100" s="202"/>
    </row>
    <row r="101" spans="2:8" ht="12.75">
      <c r="B101" s="114" t="s">
        <v>4589</v>
      </c>
      <c r="C101" s="9">
        <v>276</v>
      </c>
      <c r="D101" s="9" t="s">
        <v>3586</v>
      </c>
      <c r="E101" s="9" t="str">
        <f>IF($B101 = "Mutant",VLOOKUP($C101,Mutants!$A$2:$L$560,12,FALSE),IF($B101 = "Test",VLOOKUP($C101,Tests!$A$2:$L$841,12,FALSE),VLOOKUP($C101,Questions!$A$3:$N$174,9,FALSE)))</f>
        <v>Y</v>
      </c>
      <c r="F101" s="187" t="str">
        <f>IF($B101 = "Mutant",VLOOKUP($C101,Mutants!$A$2:$L$560,11,FALSE),IF($B101 = "Test",VLOOKUP($C101,Tests!$A$2:$L$841,11,FALSE),VLOOKUP($C101,Questions!$A$3:$N$174,13,FALSE)))</f>
        <v xml:space="preserve">getOptionGroup
</v>
      </c>
      <c r="G101" s="187"/>
      <c r="H101" s="202"/>
    </row>
    <row r="102" spans="2:8" ht="12.75">
      <c r="B102" s="114" t="s">
        <v>4589</v>
      </c>
      <c r="C102" s="9">
        <v>297</v>
      </c>
      <c r="D102" s="9" t="s">
        <v>3640</v>
      </c>
      <c r="E102" s="9" t="str">
        <f>IF($B102 = "Mutant",VLOOKUP($C102,Mutants!$A$2:$L$560,12,FALSE),IF($B102 = "Test",VLOOKUP($C102,Tests!$A$2:$L$841,12,FALSE),VLOOKUP($C102,Questions!$A$3:$N$174,9,FALSE)))</f>
        <v>Y</v>
      </c>
      <c r="F102" s="187" t="str">
        <f>IF($B102 = "Mutant",VLOOKUP($C102,Mutants!$A$2:$L$560,11,FALSE),IF($B102 = "Test",VLOOKUP($C102,Tests!$A$2:$L$841,11,FALSE),VLOOKUP($C102,Questions!$A$3:$N$174,13,FALSE)))</f>
        <v xml:space="preserve">getOptionGroups
</v>
      </c>
      <c r="G102" s="187"/>
      <c r="H102" s="202"/>
    </row>
    <row r="103" spans="2:8" ht="12.75">
      <c r="B103" s="133" t="s">
        <v>4590</v>
      </c>
      <c r="C103" s="130">
        <v>463</v>
      </c>
      <c r="D103" s="130" t="s">
        <v>1721</v>
      </c>
      <c r="E103" s="130" t="str">
        <f>IF($B103 = "Mutant",VLOOKUP($C103,Mutants!$A$2:$L$560,12,FALSE),IF($B103 = "Test",VLOOKUP($C103,Tests!$A$2:$L$841,12,FALSE),VLOOKUP($C103,Questions!$A$3:$N$174,9,FALSE)))</f>
        <v>Y</v>
      </c>
      <c r="F103" s="203" t="str">
        <f>IF($B103 = "Mutant",VLOOKUP($C103,Mutants!$A$2:$L$560,11,FALSE),IF($B103 = "Test",VLOOKUP($C103,Tests!$A$2:$L$841,11,FALSE),VLOOKUP($C103,Questions!$A$3:$N$174,13,FALSE)))</f>
        <v xml:space="preserve">hasShortOption, stripLeadingHyphens
</v>
      </c>
      <c r="G103" s="203"/>
      <c r="H103" s="204"/>
    </row>
  </sheetData>
  <mergeCells count="64">
    <mergeCell ref="B12:C12"/>
    <mergeCell ref="B5:C5"/>
    <mergeCell ref="B6:C6"/>
    <mergeCell ref="B7:C7"/>
    <mergeCell ref="B8:C8"/>
    <mergeCell ref="B9:C9"/>
    <mergeCell ref="F51:H51"/>
    <mergeCell ref="F52:H52"/>
    <mergeCell ref="F53:H53"/>
    <mergeCell ref="F54:H54"/>
    <mergeCell ref="F55:H55"/>
    <mergeCell ref="F56:H56"/>
    <mergeCell ref="F57:H57"/>
    <mergeCell ref="F58:H58"/>
    <mergeCell ref="F59:H59"/>
    <mergeCell ref="F60:H60"/>
    <mergeCell ref="F61:H61"/>
    <mergeCell ref="F62:H62"/>
    <mergeCell ref="F63:H63"/>
    <mergeCell ref="F64:H64"/>
    <mergeCell ref="F65:H65"/>
    <mergeCell ref="F66:H66"/>
    <mergeCell ref="F67:H67"/>
    <mergeCell ref="F68:H68"/>
    <mergeCell ref="F69:H69"/>
    <mergeCell ref="F70:H70"/>
    <mergeCell ref="F71:H71"/>
    <mergeCell ref="F72:H72"/>
    <mergeCell ref="F73:H73"/>
    <mergeCell ref="F74:H74"/>
    <mergeCell ref="F75:H75"/>
    <mergeCell ref="F76:H76"/>
    <mergeCell ref="F77:H77"/>
    <mergeCell ref="F78:H78"/>
    <mergeCell ref="F79:H79"/>
    <mergeCell ref="F80:H80"/>
    <mergeCell ref="F81:H81"/>
    <mergeCell ref="F82:H82"/>
    <mergeCell ref="F83:H83"/>
    <mergeCell ref="F84:H84"/>
    <mergeCell ref="F85:H85"/>
    <mergeCell ref="F94:H94"/>
    <mergeCell ref="F95:H95"/>
    <mergeCell ref="F86:H86"/>
    <mergeCell ref="F87:H87"/>
    <mergeCell ref="F88:H88"/>
    <mergeCell ref="F89:H89"/>
    <mergeCell ref="F90:H90"/>
    <mergeCell ref="F101:H101"/>
    <mergeCell ref="F102:H102"/>
    <mergeCell ref="F103:H103"/>
    <mergeCell ref="B49:C49"/>
    <mergeCell ref="B60:C60"/>
    <mergeCell ref="B81:C81"/>
    <mergeCell ref="B86:C86"/>
    <mergeCell ref="F50:H50"/>
    <mergeCell ref="F96:H96"/>
    <mergeCell ref="F97:H97"/>
    <mergeCell ref="F98:H98"/>
    <mergeCell ref="F99:H99"/>
    <mergeCell ref="F100:H100"/>
    <mergeCell ref="F91:H91"/>
    <mergeCell ref="F92:H92"/>
    <mergeCell ref="F93:H93"/>
  </mergeCells>
  <conditionalFormatting sqref="A49:B49">
    <cfRule type="cellIs" dxfId="275" priority="31" operator="equal">
      <formula>"NO_KILL"</formula>
    </cfRule>
    <cfRule type="cellIs" dxfId="274" priority="32" operator="equal">
      <formula>"KILL"</formula>
    </cfRule>
    <cfRule type="cellIs" dxfId="273" priority="33" operator="equal">
      <formula>"ERROR"</formula>
    </cfRule>
  </conditionalFormatting>
  <conditionalFormatting sqref="A60:B60">
    <cfRule type="cellIs" dxfId="272" priority="25" operator="equal">
      <formula>"NO_KILL"</formula>
    </cfRule>
    <cfRule type="cellIs" dxfId="271" priority="26" operator="equal">
      <formula>"KILL"</formula>
    </cfRule>
    <cfRule type="cellIs" dxfId="270" priority="27" operator="equal">
      <formula>"ERROR"</formula>
    </cfRule>
  </conditionalFormatting>
  <conditionalFormatting sqref="A81:B81">
    <cfRule type="cellIs" dxfId="269" priority="19" operator="equal">
      <formula>"NO_KILL"</formula>
    </cfRule>
    <cfRule type="cellIs" dxfId="268" priority="20" operator="equal">
      <formula>"KILL"</formula>
    </cfRule>
    <cfRule type="cellIs" dxfId="267" priority="21" operator="equal">
      <formula>"ERROR"</formula>
    </cfRule>
  </conditionalFormatting>
  <conditionalFormatting sqref="A86:B86">
    <cfRule type="cellIs" dxfId="266" priority="13" operator="equal">
      <formula>"NO_KILL"</formula>
    </cfRule>
    <cfRule type="cellIs" dxfId="265" priority="14" operator="equal">
      <formula>"KILL"</formula>
    </cfRule>
    <cfRule type="cellIs" dxfId="264" priority="15" operator="equal">
      <formula>"ERROR"</formula>
    </cfRule>
  </conditionalFormatting>
  <conditionalFormatting sqref="A1:Z4 A5:B9 D5:Z9 A10:Z48 D49:Z49 A50:D59 I50:Z103 D60 A61:D80 D81 A82:D85 D86 A87:D103 A104:Z1045">
    <cfRule type="cellIs" dxfId="263" priority="40" operator="equal">
      <formula>"NO_KILL"</formula>
    </cfRule>
    <cfRule type="cellIs" dxfId="262" priority="41" operator="equal">
      <formula>"KILL"</formula>
    </cfRule>
    <cfRule type="cellIs" dxfId="261" priority="42" operator="equal">
      <formula>"ERROR"</formula>
    </cfRule>
  </conditionalFormatting>
  <conditionalFormatting sqref="B47:B1045">
    <cfRule type="cellIs" dxfId="260" priority="16" operator="equal">
      <formula>"Test"</formula>
    </cfRule>
    <cfRule type="cellIs" dxfId="259" priority="17" operator="equal">
      <formula>"Mutant"</formula>
    </cfRule>
    <cfRule type="cellIs" dxfId="258" priority="18" operator="equal">
      <formula>"Question"</formula>
    </cfRule>
  </conditionalFormatting>
  <conditionalFormatting sqref="E50:F103">
    <cfRule type="cellIs" dxfId="257" priority="1" operator="equal">
      <formula>"NO_KILL"</formula>
    </cfRule>
    <cfRule type="cellIs" dxfId="256" priority="2" operator="equal">
      <formula>"KILL"</formula>
    </cfRule>
    <cfRule type="cellIs" dxfId="255" priority="3" operator="equal">
      <formula>"ERROR"</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B2:T160"/>
  <sheetViews>
    <sheetView topLeftCell="A50" workbookViewId="0">
      <selection activeCell="E58" sqref="E58:H58"/>
    </sheetView>
  </sheetViews>
  <sheetFormatPr defaultColWidth="12.5703125" defaultRowHeight="15.75" customHeight="1"/>
  <cols>
    <col min="4" max="4" width="18.140625" bestFit="1" customWidth="1"/>
    <col min="6" max="6" width="14" customWidth="1"/>
    <col min="14" max="14" width="13.42578125" customWidth="1"/>
  </cols>
  <sheetData>
    <row r="2" spans="2:20" ht="12.75">
      <c r="B2" s="29" t="s">
        <v>4</v>
      </c>
      <c r="C2" s="29" t="s">
        <v>45</v>
      </c>
      <c r="D2" s="29" t="s">
        <v>46</v>
      </c>
    </row>
    <row r="3" spans="2:20" ht="12.75">
      <c r="B3" s="29">
        <v>117</v>
      </c>
      <c r="C3" s="29" t="s">
        <v>59</v>
      </c>
      <c r="D3" s="127" t="s">
        <v>19</v>
      </c>
    </row>
    <row r="5" spans="2:20" ht="12.75">
      <c r="B5" s="221" t="s">
        <v>3</v>
      </c>
      <c r="C5" s="222"/>
      <c r="D5" s="44" t="s">
        <v>5</v>
      </c>
      <c r="E5" s="43" t="s">
        <v>6</v>
      </c>
      <c r="F5" s="43" t="s">
        <v>7</v>
      </c>
      <c r="G5" s="43" t="s">
        <v>8</v>
      </c>
      <c r="H5" s="44" t="s">
        <v>9</v>
      </c>
      <c r="I5" s="43" t="s">
        <v>10</v>
      </c>
      <c r="J5" s="43" t="s">
        <v>11</v>
      </c>
      <c r="K5" s="44" t="s">
        <v>12</v>
      </c>
      <c r="L5" s="43" t="s">
        <v>13</v>
      </c>
      <c r="M5" s="43" t="s">
        <v>14</v>
      </c>
      <c r="N5" s="61" t="s">
        <v>15</v>
      </c>
    </row>
    <row r="6" spans="2:20" ht="12.75">
      <c r="B6" s="223">
        <v>185</v>
      </c>
      <c r="C6" s="224"/>
      <c r="D6" s="47">
        <f ca="1">COUNTIF(Valid_questions!F$1:F1102, B6)</f>
        <v>0</v>
      </c>
      <c r="E6" s="40">
        <v>1</v>
      </c>
      <c r="F6" s="40">
        <v>7</v>
      </c>
      <c r="G6" s="40">
        <v>0</v>
      </c>
      <c r="H6" s="47">
        <v>8</v>
      </c>
      <c r="I6" s="40">
        <f>COUNTIFS(Tests!E$1:E1102,B6,Tests!D$1:D1102,"&lt;&gt;\N")</f>
        <v>15</v>
      </c>
      <c r="J6" s="40">
        <f>COUNTIFS(Tests!E$1:E1102,B6,Tests!D$1:D1102,"=\N")</f>
        <v>7</v>
      </c>
      <c r="K6" s="47">
        <v>2</v>
      </c>
      <c r="L6" s="40">
        <f>COUNTIFS(Mutants!E$1:E1102,B6,Mutants!D$1:D1102,"&lt;&gt;\N")</f>
        <v>3</v>
      </c>
      <c r="M6" s="40">
        <f>COUNTIFS(Mutants!E$1:E1102,B6,Mutants!D$1:D1102,"=\N")</f>
        <v>0</v>
      </c>
      <c r="N6" s="45">
        <v>2</v>
      </c>
    </row>
    <row r="7" spans="2:20" ht="12.75">
      <c r="B7" s="225">
        <v>186</v>
      </c>
      <c r="C7" s="226"/>
      <c r="D7" s="10">
        <f ca="1">COUNTIF(Valid_questions!F$1:F1102, B7)</f>
        <v>0</v>
      </c>
      <c r="E7" s="9">
        <v>2</v>
      </c>
      <c r="F7" s="9">
        <v>0</v>
      </c>
      <c r="G7" s="9">
        <v>0</v>
      </c>
      <c r="H7" s="10">
        <v>2</v>
      </c>
      <c r="I7" s="9">
        <f>COUNTIFS(Tests!E$1:E1102,B7,Tests!D$1:D1102,"&lt;&gt;\N")</f>
        <v>1</v>
      </c>
      <c r="J7" s="9">
        <f>COUNTIFS(Tests!E$1:E1102,B7,Tests!D$1:D1102,"=\N")</f>
        <v>12</v>
      </c>
      <c r="K7" s="10">
        <v>0</v>
      </c>
      <c r="L7" s="9">
        <f>COUNTIFS(Mutants!E$1:E1102,B7,Mutants!D$1:D1102,"&lt;&gt;\N")</f>
        <v>2</v>
      </c>
      <c r="M7" s="9">
        <f>COUNTIFS(Mutants!E$1:E1102,B7,Mutants!D$1:D1102,"=\N")</f>
        <v>0</v>
      </c>
      <c r="N7" s="14">
        <v>2</v>
      </c>
    </row>
    <row r="8" spans="2:20" ht="12.75">
      <c r="B8" s="225">
        <v>187</v>
      </c>
      <c r="C8" s="226"/>
      <c r="D8" s="10">
        <f ca="1">COUNTIF(Valid_questions!F$1:F1102, B8)</f>
        <v>0</v>
      </c>
      <c r="E8" s="9">
        <v>1</v>
      </c>
      <c r="F8" s="9">
        <v>0</v>
      </c>
      <c r="G8" s="9">
        <v>0</v>
      </c>
      <c r="H8" s="10">
        <v>1</v>
      </c>
      <c r="I8" s="9">
        <f>COUNTIFS(Tests!E$1:E1102,B8,Tests!D$1:D1102,"&lt;&gt;\N")</f>
        <v>3</v>
      </c>
      <c r="J8" s="9">
        <f>COUNTIFS(Tests!E$1:E1102,B8,Tests!D$1:D1102,"=\N")</f>
        <v>0</v>
      </c>
      <c r="K8" s="10">
        <v>0</v>
      </c>
      <c r="L8" s="9">
        <f>COUNTIFS(Mutants!E$1:E1102,B8,Mutants!D$1:D1102,"&lt;&gt;\N")</f>
        <v>5</v>
      </c>
      <c r="M8" s="9">
        <f>COUNTIFS(Mutants!E$1:E1102,B8,Mutants!D$1:D1102,"=\N")</f>
        <v>2</v>
      </c>
      <c r="N8" s="14">
        <v>2</v>
      </c>
    </row>
    <row r="9" spans="2:20" ht="12.75">
      <c r="B9" s="227">
        <v>188</v>
      </c>
      <c r="C9" s="228"/>
      <c r="D9" s="22">
        <f ca="1">COUNTIF(Valid_questions!F$1:F1102, B9)</f>
        <v>0</v>
      </c>
      <c r="E9" s="21">
        <v>18</v>
      </c>
      <c r="F9" s="21">
        <v>0</v>
      </c>
      <c r="G9" s="21">
        <v>0</v>
      </c>
      <c r="H9" s="22">
        <v>18</v>
      </c>
      <c r="I9" s="21">
        <f>COUNTIFS(Tests!E$1:E1102,B9,Tests!D$1:D1102,"&lt;&gt;\N")</f>
        <v>4</v>
      </c>
      <c r="J9" s="21">
        <f>COUNTIFS(Tests!E$1:E1102,B9,Tests!D$1:D1102,"=\N")</f>
        <v>4</v>
      </c>
      <c r="K9" s="22">
        <v>3</v>
      </c>
      <c r="L9" s="21">
        <f>COUNTIFS(Mutants!E$1:E1102,B9,Mutants!D$1:D1102,"&lt;&gt;\N")</f>
        <v>29</v>
      </c>
      <c r="M9" s="21">
        <f>COUNTIFS(Mutants!E$1:E1102,B9,Mutants!D$1:D1102,"=\N")</f>
        <v>3</v>
      </c>
      <c r="N9" s="38">
        <v>18</v>
      </c>
    </row>
    <row r="12" spans="2:20" ht="27" customHeight="1">
      <c r="B12" s="220" t="s">
        <v>4588</v>
      </c>
      <c r="C12" s="173"/>
    </row>
    <row r="14" spans="2:20" ht="12.75">
      <c r="C14" s="29" t="s">
        <v>4589</v>
      </c>
    </row>
    <row r="15" spans="2:20" ht="12.75">
      <c r="B15" s="29" t="s">
        <v>4590</v>
      </c>
      <c r="C15" s="29"/>
      <c r="D15" s="43">
        <v>115</v>
      </c>
      <c r="E15" s="43">
        <v>120</v>
      </c>
      <c r="F15" s="43">
        <v>149</v>
      </c>
      <c r="G15" s="43">
        <v>189</v>
      </c>
      <c r="H15" s="43">
        <v>225</v>
      </c>
      <c r="I15" s="43">
        <v>254</v>
      </c>
      <c r="J15" s="43">
        <v>257</v>
      </c>
      <c r="K15" s="43">
        <v>259</v>
      </c>
      <c r="L15" s="43">
        <v>279</v>
      </c>
      <c r="M15" s="43">
        <v>281</v>
      </c>
      <c r="N15" s="43">
        <v>287</v>
      </c>
      <c r="O15" s="43">
        <v>387</v>
      </c>
      <c r="P15" s="43">
        <v>407</v>
      </c>
      <c r="Q15" s="43">
        <v>426</v>
      </c>
      <c r="R15" s="43">
        <v>428</v>
      </c>
      <c r="S15" s="43">
        <v>442</v>
      </c>
      <c r="T15" s="61">
        <v>456</v>
      </c>
    </row>
    <row r="16" spans="2:20" ht="12.75">
      <c r="B16" s="9"/>
      <c r="C16" s="81">
        <v>112</v>
      </c>
      <c r="D16" s="9" t="s">
        <v>4591</v>
      </c>
      <c r="E16" s="9" t="s">
        <v>4591</v>
      </c>
      <c r="F16" s="9" t="s">
        <v>4591</v>
      </c>
      <c r="G16" s="9" t="s">
        <v>4591</v>
      </c>
      <c r="H16" s="9" t="s">
        <v>4591</v>
      </c>
      <c r="I16" s="9" t="s">
        <v>4591</v>
      </c>
      <c r="J16" s="9" t="s">
        <v>4591</v>
      </c>
      <c r="K16" s="9" t="s">
        <v>4591</v>
      </c>
      <c r="L16" s="9" t="s">
        <v>4591</v>
      </c>
      <c r="M16" s="9" t="s">
        <v>4591</v>
      </c>
      <c r="N16" s="9" t="s">
        <v>4591</v>
      </c>
      <c r="O16" s="9" t="s">
        <v>4591</v>
      </c>
      <c r="P16" s="9" t="s">
        <v>4591</v>
      </c>
      <c r="Q16" s="9" t="s">
        <v>4593</v>
      </c>
      <c r="R16" s="9" t="s">
        <v>4591</v>
      </c>
      <c r="S16" s="9" t="s">
        <v>4591</v>
      </c>
      <c r="T16" s="14" t="s">
        <v>4591</v>
      </c>
    </row>
    <row r="17" spans="2:20" ht="12.75">
      <c r="B17" s="9"/>
      <c r="C17" s="81">
        <v>116</v>
      </c>
      <c r="D17" s="9" t="s">
        <v>4591</v>
      </c>
      <c r="E17" s="9" t="s">
        <v>4591</v>
      </c>
      <c r="F17" s="9" t="s">
        <v>4591</v>
      </c>
      <c r="G17" s="9" t="s">
        <v>4591</v>
      </c>
      <c r="H17" s="9" t="s">
        <v>4591</v>
      </c>
      <c r="I17" s="9" t="s">
        <v>4591</v>
      </c>
      <c r="J17" s="9" t="s">
        <v>4591</v>
      </c>
      <c r="K17" s="9" t="s">
        <v>4591</v>
      </c>
      <c r="L17" s="9" t="s">
        <v>4591</v>
      </c>
      <c r="M17" s="9" t="s">
        <v>4591</v>
      </c>
      <c r="N17" s="9" t="s">
        <v>4591</v>
      </c>
      <c r="O17" s="9" t="s">
        <v>4591</v>
      </c>
      <c r="P17" s="9" t="s">
        <v>4591</v>
      </c>
      <c r="Q17" s="9" t="s">
        <v>4591</v>
      </c>
      <c r="R17" s="9" t="s">
        <v>4591</v>
      </c>
      <c r="S17" s="9" t="s">
        <v>4591</v>
      </c>
      <c r="T17" s="14" t="s">
        <v>4591</v>
      </c>
    </row>
    <row r="18" spans="2:20" ht="12.75">
      <c r="B18" s="9"/>
      <c r="C18" s="81">
        <v>122</v>
      </c>
      <c r="D18" s="9" t="s">
        <v>4591</v>
      </c>
      <c r="E18" s="9" t="s">
        <v>4591</v>
      </c>
      <c r="F18" s="9" t="s">
        <v>4591</v>
      </c>
      <c r="G18" s="9" t="s">
        <v>4591</v>
      </c>
      <c r="H18" s="9" t="s">
        <v>4591</v>
      </c>
      <c r="I18" s="9" t="s">
        <v>4591</v>
      </c>
      <c r="J18" s="9" t="s">
        <v>4591</v>
      </c>
      <c r="K18" s="9" t="s">
        <v>4591</v>
      </c>
      <c r="L18" s="9" t="s">
        <v>4591</v>
      </c>
      <c r="M18" s="9" t="s">
        <v>4591</v>
      </c>
      <c r="N18" s="9" t="s">
        <v>4591</v>
      </c>
      <c r="O18" s="9" t="s">
        <v>4591</v>
      </c>
      <c r="P18" s="9" t="s">
        <v>4591</v>
      </c>
      <c r="Q18" s="9" t="s">
        <v>4591</v>
      </c>
      <c r="R18" s="9" t="s">
        <v>4591</v>
      </c>
      <c r="S18" s="9" t="s">
        <v>4591</v>
      </c>
      <c r="T18" s="14" t="s">
        <v>4591</v>
      </c>
    </row>
    <row r="19" spans="2:20" ht="12.75">
      <c r="B19" s="9"/>
      <c r="C19" s="81">
        <v>124</v>
      </c>
      <c r="D19" s="9" t="s">
        <v>4592</v>
      </c>
      <c r="E19" s="9" t="s">
        <v>4591</v>
      </c>
      <c r="F19" s="9" t="s">
        <v>4591</v>
      </c>
      <c r="G19" s="9" t="s">
        <v>4592</v>
      </c>
      <c r="H19" s="9" t="s">
        <v>4591</v>
      </c>
      <c r="I19" s="9" t="s">
        <v>4591</v>
      </c>
      <c r="J19" s="9" t="s">
        <v>4591</v>
      </c>
      <c r="K19" s="9" t="s">
        <v>4591</v>
      </c>
      <c r="L19" s="9" t="s">
        <v>4591</v>
      </c>
      <c r="M19" s="9" t="s">
        <v>4591</v>
      </c>
      <c r="N19" s="9" t="s">
        <v>4591</v>
      </c>
      <c r="O19" s="9" t="s">
        <v>4591</v>
      </c>
      <c r="P19" s="9" t="s">
        <v>4591</v>
      </c>
      <c r="Q19" s="9" t="s">
        <v>4592</v>
      </c>
      <c r="R19" s="9" t="s">
        <v>4591</v>
      </c>
      <c r="S19" s="9" t="s">
        <v>4591</v>
      </c>
      <c r="T19" s="14" t="s">
        <v>4591</v>
      </c>
    </row>
    <row r="20" spans="2:20" ht="12.75">
      <c r="B20" s="9"/>
      <c r="C20" s="81">
        <v>127</v>
      </c>
      <c r="D20" s="9" t="s">
        <v>4591</v>
      </c>
      <c r="E20" s="9" t="s">
        <v>4591</v>
      </c>
      <c r="F20" s="9" t="s">
        <v>4591</v>
      </c>
      <c r="G20" s="9" t="s">
        <v>4591</v>
      </c>
      <c r="H20" s="9" t="s">
        <v>4591</v>
      </c>
      <c r="I20" s="9" t="s">
        <v>4591</v>
      </c>
      <c r="J20" s="9" t="s">
        <v>4591</v>
      </c>
      <c r="K20" s="9" t="s">
        <v>4591</v>
      </c>
      <c r="L20" s="9" t="s">
        <v>4591</v>
      </c>
      <c r="M20" s="9" t="s">
        <v>4591</v>
      </c>
      <c r="N20" s="9" t="s">
        <v>4591</v>
      </c>
      <c r="O20" s="9" t="s">
        <v>4591</v>
      </c>
      <c r="P20" s="9" t="s">
        <v>4591</v>
      </c>
      <c r="Q20" s="9" t="s">
        <v>4591</v>
      </c>
      <c r="R20" s="9" t="s">
        <v>4591</v>
      </c>
      <c r="S20" s="9" t="s">
        <v>4591</v>
      </c>
      <c r="T20" s="14" t="s">
        <v>4591</v>
      </c>
    </row>
    <row r="21" spans="2:20" ht="12.75">
      <c r="B21" s="9"/>
      <c r="C21" s="81">
        <v>132</v>
      </c>
      <c r="D21" s="9" t="s">
        <v>4592</v>
      </c>
      <c r="E21" s="9" t="s">
        <v>4591</v>
      </c>
      <c r="F21" s="9" t="s">
        <v>4591</v>
      </c>
      <c r="G21" s="9" t="s">
        <v>4591</v>
      </c>
      <c r="H21" s="9" t="s">
        <v>4591</v>
      </c>
      <c r="I21" s="9" t="s">
        <v>4591</v>
      </c>
      <c r="J21" s="9" t="s">
        <v>4591</v>
      </c>
      <c r="K21" s="9" t="s">
        <v>4591</v>
      </c>
      <c r="L21" s="9" t="s">
        <v>4591</v>
      </c>
      <c r="M21" s="9" t="s">
        <v>4591</v>
      </c>
      <c r="N21" s="9" t="s">
        <v>4591</v>
      </c>
      <c r="O21" s="9" t="s">
        <v>4591</v>
      </c>
      <c r="P21" s="9" t="s">
        <v>4591</v>
      </c>
      <c r="Q21" s="9" t="s">
        <v>4591</v>
      </c>
      <c r="R21" s="9" t="s">
        <v>4591</v>
      </c>
      <c r="S21" s="9" t="s">
        <v>4591</v>
      </c>
      <c r="T21" s="14" t="s">
        <v>4591</v>
      </c>
    </row>
    <row r="22" spans="2:20" ht="12.75">
      <c r="B22" s="9"/>
      <c r="C22" s="81">
        <v>135</v>
      </c>
      <c r="D22" s="9" t="s">
        <v>4591</v>
      </c>
      <c r="E22" s="9" t="s">
        <v>4592</v>
      </c>
      <c r="F22" s="9" t="s">
        <v>4593</v>
      </c>
      <c r="G22" s="9" t="s">
        <v>4591</v>
      </c>
      <c r="H22" s="9" t="s">
        <v>4591</v>
      </c>
      <c r="I22" s="9" t="s">
        <v>4591</v>
      </c>
      <c r="J22" s="9" t="s">
        <v>4591</v>
      </c>
      <c r="K22" s="9" t="s">
        <v>4591</v>
      </c>
      <c r="L22" s="9" t="s">
        <v>4591</v>
      </c>
      <c r="M22" s="9" t="s">
        <v>4591</v>
      </c>
      <c r="N22" s="9" t="s">
        <v>4591</v>
      </c>
      <c r="O22" s="9" t="s">
        <v>4591</v>
      </c>
      <c r="P22" s="9" t="s">
        <v>4591</v>
      </c>
      <c r="Q22" s="9" t="s">
        <v>4591</v>
      </c>
      <c r="R22" s="9" t="s">
        <v>4591</v>
      </c>
      <c r="S22" s="9" t="s">
        <v>4591</v>
      </c>
      <c r="T22" s="14" t="s">
        <v>4591</v>
      </c>
    </row>
    <row r="23" spans="2:20" ht="12.75">
      <c r="B23" s="9"/>
      <c r="C23" s="81">
        <v>143</v>
      </c>
      <c r="D23" s="9" t="s">
        <v>4591</v>
      </c>
      <c r="E23" s="9" t="s">
        <v>4592</v>
      </c>
      <c r="F23" s="9" t="s">
        <v>4593</v>
      </c>
      <c r="G23" s="9" t="s">
        <v>4591</v>
      </c>
      <c r="H23" s="9" t="s">
        <v>4591</v>
      </c>
      <c r="I23" s="9" t="s">
        <v>4591</v>
      </c>
      <c r="J23" s="9" t="s">
        <v>4591</v>
      </c>
      <c r="K23" s="9" t="s">
        <v>4591</v>
      </c>
      <c r="L23" s="9" t="s">
        <v>4591</v>
      </c>
      <c r="M23" s="9" t="s">
        <v>4591</v>
      </c>
      <c r="N23" s="9" t="s">
        <v>4591</v>
      </c>
      <c r="O23" s="9" t="s">
        <v>4591</v>
      </c>
      <c r="P23" s="9" t="s">
        <v>4591</v>
      </c>
      <c r="Q23" s="9" t="s">
        <v>4591</v>
      </c>
      <c r="R23" s="9" t="s">
        <v>4591</v>
      </c>
      <c r="S23" s="9" t="s">
        <v>4591</v>
      </c>
      <c r="T23" s="14" t="s">
        <v>4591</v>
      </c>
    </row>
    <row r="24" spans="2:20" ht="12.75">
      <c r="B24" s="9"/>
      <c r="C24" s="81">
        <v>145</v>
      </c>
      <c r="D24" s="9" t="s">
        <v>4591</v>
      </c>
      <c r="E24" s="9" t="s">
        <v>4591</v>
      </c>
      <c r="F24" s="9" t="s">
        <v>4591</v>
      </c>
      <c r="G24" s="9" t="s">
        <v>4591</v>
      </c>
      <c r="H24" s="9" t="s">
        <v>4591</v>
      </c>
      <c r="I24" s="9" t="s">
        <v>4591</v>
      </c>
      <c r="J24" s="9" t="s">
        <v>4591</v>
      </c>
      <c r="K24" s="9" t="s">
        <v>4591</v>
      </c>
      <c r="L24" s="9" t="s">
        <v>4591</v>
      </c>
      <c r="M24" s="9" t="s">
        <v>4591</v>
      </c>
      <c r="N24" s="9" t="s">
        <v>4591</v>
      </c>
      <c r="O24" s="9" t="s">
        <v>4591</v>
      </c>
      <c r="P24" s="9" t="s">
        <v>4591</v>
      </c>
      <c r="Q24" s="9" t="s">
        <v>4591</v>
      </c>
      <c r="R24" s="9" t="s">
        <v>4591</v>
      </c>
      <c r="S24" s="9" t="s">
        <v>4591</v>
      </c>
      <c r="T24" s="14" t="s">
        <v>4591</v>
      </c>
    </row>
    <row r="25" spans="2:20" ht="12.75">
      <c r="B25" s="9"/>
      <c r="C25" s="81">
        <v>152</v>
      </c>
      <c r="D25" s="9" t="s">
        <v>4591</v>
      </c>
      <c r="E25" s="9" t="s">
        <v>4591</v>
      </c>
      <c r="F25" s="9" t="s">
        <v>4591</v>
      </c>
      <c r="G25" s="9" t="s">
        <v>4591</v>
      </c>
      <c r="H25" s="9" t="s">
        <v>4591</v>
      </c>
      <c r="I25" s="9" t="s">
        <v>4591</v>
      </c>
      <c r="J25" s="9" t="s">
        <v>4591</v>
      </c>
      <c r="K25" s="9" t="s">
        <v>4591</v>
      </c>
      <c r="L25" s="9" t="s">
        <v>4591</v>
      </c>
      <c r="M25" s="9" t="s">
        <v>4591</v>
      </c>
      <c r="N25" s="9" t="s">
        <v>4591</v>
      </c>
      <c r="O25" s="9" t="s">
        <v>4591</v>
      </c>
      <c r="P25" s="9" t="s">
        <v>4591</v>
      </c>
      <c r="Q25" s="9" t="s">
        <v>4591</v>
      </c>
      <c r="R25" s="9" t="s">
        <v>4591</v>
      </c>
      <c r="S25" s="9" t="s">
        <v>4591</v>
      </c>
      <c r="T25" s="14" t="s">
        <v>4591</v>
      </c>
    </row>
    <row r="26" spans="2:20" ht="12.75">
      <c r="B26" s="9"/>
      <c r="C26" s="81">
        <v>163</v>
      </c>
      <c r="D26" s="9" t="s">
        <v>4592</v>
      </c>
      <c r="E26" s="9" t="s">
        <v>4591</v>
      </c>
      <c r="F26" s="9" t="s">
        <v>4591</v>
      </c>
      <c r="G26" s="9" t="s">
        <v>4591</v>
      </c>
      <c r="H26" s="9" t="s">
        <v>4591</v>
      </c>
      <c r="I26" s="9" t="s">
        <v>4591</v>
      </c>
      <c r="J26" s="9" t="s">
        <v>4591</v>
      </c>
      <c r="K26" s="9" t="s">
        <v>4591</v>
      </c>
      <c r="L26" s="9" t="s">
        <v>4591</v>
      </c>
      <c r="M26" s="9" t="s">
        <v>4591</v>
      </c>
      <c r="N26" s="9" t="s">
        <v>4591</v>
      </c>
      <c r="O26" s="9" t="s">
        <v>4591</v>
      </c>
      <c r="P26" s="9" t="s">
        <v>4591</v>
      </c>
      <c r="Q26" s="9" t="s">
        <v>4591</v>
      </c>
      <c r="R26" s="9" t="s">
        <v>4591</v>
      </c>
      <c r="S26" s="9" t="s">
        <v>4591</v>
      </c>
      <c r="T26" s="14" t="s">
        <v>4591</v>
      </c>
    </row>
    <row r="27" spans="2:20" ht="12.75">
      <c r="B27" s="9"/>
      <c r="C27" s="81">
        <v>164</v>
      </c>
      <c r="D27" s="9" t="s">
        <v>4591</v>
      </c>
      <c r="E27" s="9" t="s">
        <v>4591</v>
      </c>
      <c r="F27" s="9" t="s">
        <v>4591</v>
      </c>
      <c r="G27" s="9" t="s">
        <v>4591</v>
      </c>
      <c r="H27" s="9" t="s">
        <v>4591</v>
      </c>
      <c r="I27" s="9" t="s">
        <v>4591</v>
      </c>
      <c r="J27" s="9" t="s">
        <v>4591</v>
      </c>
      <c r="K27" s="9" t="s">
        <v>4591</v>
      </c>
      <c r="L27" s="9" t="s">
        <v>4591</v>
      </c>
      <c r="M27" s="9" t="s">
        <v>4591</v>
      </c>
      <c r="N27" s="9" t="s">
        <v>4591</v>
      </c>
      <c r="O27" s="9" t="s">
        <v>4591</v>
      </c>
      <c r="P27" s="9" t="s">
        <v>4591</v>
      </c>
      <c r="Q27" s="9" t="s">
        <v>4591</v>
      </c>
      <c r="R27" s="9" t="s">
        <v>4591</v>
      </c>
      <c r="S27" s="9" t="s">
        <v>4591</v>
      </c>
      <c r="T27" s="14" t="s">
        <v>4591</v>
      </c>
    </row>
    <row r="28" spans="2:20" ht="12.75">
      <c r="B28" s="9"/>
      <c r="C28" s="81">
        <v>171</v>
      </c>
      <c r="D28" s="9" t="s">
        <v>4591</v>
      </c>
      <c r="E28" s="9" t="s">
        <v>4591</v>
      </c>
      <c r="F28" s="9" t="s">
        <v>4591</v>
      </c>
      <c r="G28" s="9" t="s">
        <v>4591</v>
      </c>
      <c r="H28" s="9" t="s">
        <v>4591</v>
      </c>
      <c r="I28" s="9" t="s">
        <v>4591</v>
      </c>
      <c r="J28" s="9" t="s">
        <v>4591</v>
      </c>
      <c r="K28" s="9" t="s">
        <v>4591</v>
      </c>
      <c r="L28" s="9" t="s">
        <v>4591</v>
      </c>
      <c r="M28" s="9" t="s">
        <v>4591</v>
      </c>
      <c r="N28" s="9" t="s">
        <v>4591</v>
      </c>
      <c r="O28" s="9" t="s">
        <v>4591</v>
      </c>
      <c r="P28" s="9" t="s">
        <v>4591</v>
      </c>
      <c r="Q28" s="9" t="s">
        <v>4591</v>
      </c>
      <c r="R28" s="9" t="s">
        <v>4591</v>
      </c>
      <c r="S28" s="9" t="s">
        <v>4591</v>
      </c>
      <c r="T28" s="14" t="s">
        <v>4591</v>
      </c>
    </row>
    <row r="29" spans="2:20" ht="12.75">
      <c r="B29" s="9"/>
      <c r="C29" s="81">
        <v>190</v>
      </c>
      <c r="D29" s="9" t="s">
        <v>4591</v>
      </c>
      <c r="E29" s="9" t="s">
        <v>4591</v>
      </c>
      <c r="F29" s="9" t="s">
        <v>4591</v>
      </c>
      <c r="G29" s="9" t="s">
        <v>4591</v>
      </c>
      <c r="H29" s="9" t="s">
        <v>4591</v>
      </c>
      <c r="I29" s="9" t="s">
        <v>4591</v>
      </c>
      <c r="J29" s="9" t="s">
        <v>4591</v>
      </c>
      <c r="K29" s="9" t="s">
        <v>4591</v>
      </c>
      <c r="L29" s="9" t="s">
        <v>4591</v>
      </c>
      <c r="M29" s="9" t="s">
        <v>4591</v>
      </c>
      <c r="N29" s="9" t="s">
        <v>4591</v>
      </c>
      <c r="O29" s="9" t="s">
        <v>4591</v>
      </c>
      <c r="P29" s="9" t="s">
        <v>4591</v>
      </c>
      <c r="Q29" s="9" t="s">
        <v>4591</v>
      </c>
      <c r="R29" s="9" t="s">
        <v>4591</v>
      </c>
      <c r="S29" s="9" t="s">
        <v>4591</v>
      </c>
      <c r="T29" s="14" t="s">
        <v>4591</v>
      </c>
    </row>
    <row r="30" spans="2:20" ht="12.75">
      <c r="B30" s="9"/>
      <c r="C30" s="81">
        <v>198</v>
      </c>
      <c r="D30" s="9" t="s">
        <v>4591</v>
      </c>
      <c r="E30" s="9" t="s">
        <v>4591</v>
      </c>
      <c r="F30" s="9" t="s">
        <v>4591</v>
      </c>
      <c r="G30" s="9" t="s">
        <v>4591</v>
      </c>
      <c r="H30" s="9" t="s">
        <v>4591</v>
      </c>
      <c r="I30" s="9" t="s">
        <v>4591</v>
      </c>
      <c r="J30" s="9" t="s">
        <v>4591</v>
      </c>
      <c r="K30" s="9" t="s">
        <v>4591</v>
      </c>
      <c r="L30" s="9" t="s">
        <v>4591</v>
      </c>
      <c r="M30" s="9" t="s">
        <v>4591</v>
      </c>
      <c r="N30" s="9" t="s">
        <v>4591</v>
      </c>
      <c r="O30" s="9" t="s">
        <v>4591</v>
      </c>
      <c r="P30" s="9" t="s">
        <v>4591</v>
      </c>
      <c r="Q30" s="9" t="s">
        <v>4591</v>
      </c>
      <c r="R30" s="9" t="s">
        <v>4591</v>
      </c>
      <c r="S30" s="9" t="s">
        <v>4591</v>
      </c>
      <c r="T30" s="14" t="s">
        <v>4591</v>
      </c>
    </row>
    <row r="31" spans="2:20" ht="12.75">
      <c r="B31" s="9"/>
      <c r="C31" s="81">
        <v>212</v>
      </c>
      <c r="D31" s="9" t="s">
        <v>4591</v>
      </c>
      <c r="E31" s="9" t="s">
        <v>4591</v>
      </c>
      <c r="F31" s="9" t="s">
        <v>4591</v>
      </c>
      <c r="G31" s="9" t="s">
        <v>4592</v>
      </c>
      <c r="H31" s="9" t="s">
        <v>4591</v>
      </c>
      <c r="I31" s="9" t="s">
        <v>4591</v>
      </c>
      <c r="J31" s="9" t="s">
        <v>4591</v>
      </c>
      <c r="K31" s="9" t="s">
        <v>4591</v>
      </c>
      <c r="L31" s="9" t="s">
        <v>4591</v>
      </c>
      <c r="M31" s="9" t="s">
        <v>4591</v>
      </c>
      <c r="N31" s="9" t="s">
        <v>4591</v>
      </c>
      <c r="O31" s="9" t="s">
        <v>4591</v>
      </c>
      <c r="P31" s="9" t="s">
        <v>4591</v>
      </c>
      <c r="Q31" s="9" t="s">
        <v>4591</v>
      </c>
      <c r="R31" s="9" t="s">
        <v>4591</v>
      </c>
      <c r="S31" s="9" t="s">
        <v>4591</v>
      </c>
      <c r="T31" s="14" t="s">
        <v>4591</v>
      </c>
    </row>
    <row r="32" spans="2:20" ht="12.75">
      <c r="B32" s="9"/>
      <c r="C32" s="81">
        <v>227</v>
      </c>
      <c r="D32" s="9" t="s">
        <v>4591</v>
      </c>
      <c r="E32" s="9" t="s">
        <v>4592</v>
      </c>
      <c r="F32" s="9" t="s">
        <v>4593</v>
      </c>
      <c r="G32" s="9" t="s">
        <v>4591</v>
      </c>
      <c r="H32" s="9" t="s">
        <v>4591</v>
      </c>
      <c r="I32" s="9" t="s">
        <v>4591</v>
      </c>
      <c r="J32" s="9" t="s">
        <v>4591</v>
      </c>
      <c r="K32" s="9" t="s">
        <v>4591</v>
      </c>
      <c r="L32" s="9" t="s">
        <v>4591</v>
      </c>
      <c r="M32" s="9" t="s">
        <v>4591</v>
      </c>
      <c r="N32" s="9" t="s">
        <v>4591</v>
      </c>
      <c r="O32" s="9" t="s">
        <v>4591</v>
      </c>
      <c r="P32" s="9" t="s">
        <v>4591</v>
      </c>
      <c r="Q32" s="9" t="s">
        <v>4591</v>
      </c>
      <c r="R32" s="9" t="s">
        <v>4591</v>
      </c>
      <c r="S32" s="9" t="s">
        <v>4591</v>
      </c>
      <c r="T32" s="14" t="s">
        <v>4591</v>
      </c>
    </row>
    <row r="33" spans="2:20" ht="12.75">
      <c r="B33" s="9"/>
      <c r="C33" s="81">
        <v>234</v>
      </c>
      <c r="D33" s="9" t="s">
        <v>4591</v>
      </c>
      <c r="E33" s="9" t="s">
        <v>4591</v>
      </c>
      <c r="F33" s="9" t="s">
        <v>4591</v>
      </c>
      <c r="G33" s="9" t="s">
        <v>4591</v>
      </c>
      <c r="H33" s="9" t="s">
        <v>4591</v>
      </c>
      <c r="I33" s="9" t="s">
        <v>4591</v>
      </c>
      <c r="J33" s="9" t="s">
        <v>4591</v>
      </c>
      <c r="K33" s="9" t="s">
        <v>4595</v>
      </c>
      <c r="L33" s="9" t="s">
        <v>4591</v>
      </c>
      <c r="M33" s="9" t="s">
        <v>4591</v>
      </c>
      <c r="N33" s="9" t="s">
        <v>4591</v>
      </c>
      <c r="O33" s="9" t="s">
        <v>4591</v>
      </c>
      <c r="P33" s="9" t="s">
        <v>4591</v>
      </c>
      <c r="Q33" s="9" t="s">
        <v>4591</v>
      </c>
      <c r="R33" s="9" t="s">
        <v>4591</v>
      </c>
      <c r="S33" s="9" t="s">
        <v>4591</v>
      </c>
      <c r="T33" s="14" t="s">
        <v>4591</v>
      </c>
    </row>
    <row r="34" spans="2:20" ht="12.75">
      <c r="B34" s="9"/>
      <c r="C34" s="81">
        <v>241</v>
      </c>
      <c r="D34" s="9" t="s">
        <v>4591</v>
      </c>
      <c r="E34" s="9" t="s">
        <v>4591</v>
      </c>
      <c r="F34" s="9" t="s">
        <v>4591</v>
      </c>
      <c r="G34" s="9" t="s">
        <v>4591</v>
      </c>
      <c r="H34" s="9" t="s">
        <v>4591</v>
      </c>
      <c r="I34" s="9" t="s">
        <v>4591</v>
      </c>
      <c r="J34" s="9" t="s">
        <v>4591</v>
      </c>
      <c r="K34" s="9" t="s">
        <v>4591</v>
      </c>
      <c r="L34" s="9" t="s">
        <v>4591</v>
      </c>
      <c r="M34" s="9" t="s">
        <v>4591</v>
      </c>
      <c r="N34" s="9" t="s">
        <v>4591</v>
      </c>
      <c r="O34" s="9" t="s">
        <v>4591</v>
      </c>
      <c r="P34" s="9" t="s">
        <v>4591</v>
      </c>
      <c r="Q34" s="9" t="s">
        <v>4591</v>
      </c>
      <c r="R34" s="9" t="s">
        <v>4591</v>
      </c>
      <c r="S34" s="9" t="s">
        <v>4591</v>
      </c>
      <c r="T34" s="14" t="s">
        <v>4591</v>
      </c>
    </row>
    <row r="35" spans="2:20" ht="12.75">
      <c r="B35" s="9"/>
      <c r="C35" s="81">
        <v>247</v>
      </c>
      <c r="D35" s="9" t="s">
        <v>4591</v>
      </c>
      <c r="E35" s="9" t="s">
        <v>4591</v>
      </c>
      <c r="F35" s="9" t="s">
        <v>4591</v>
      </c>
      <c r="G35" s="9" t="s">
        <v>4591</v>
      </c>
      <c r="H35" s="9" t="s">
        <v>4591</v>
      </c>
      <c r="I35" s="9" t="s">
        <v>4592</v>
      </c>
      <c r="J35" s="9" t="s">
        <v>4591</v>
      </c>
      <c r="K35" s="9" t="s">
        <v>4591</v>
      </c>
      <c r="L35" s="9" t="s">
        <v>4592</v>
      </c>
      <c r="M35" s="9" t="s">
        <v>4592</v>
      </c>
      <c r="N35" s="9" t="s">
        <v>4591</v>
      </c>
      <c r="O35" s="9" t="s">
        <v>4591</v>
      </c>
      <c r="P35" s="9" t="s">
        <v>4591</v>
      </c>
      <c r="Q35" s="9" t="s">
        <v>4591</v>
      </c>
      <c r="R35" s="9" t="s">
        <v>4592</v>
      </c>
      <c r="S35" s="9" t="s">
        <v>4592</v>
      </c>
      <c r="T35" s="14" t="s">
        <v>4591</v>
      </c>
    </row>
    <row r="36" spans="2:20" ht="12.75">
      <c r="B36" s="9"/>
      <c r="C36" s="81">
        <v>248</v>
      </c>
      <c r="D36" s="9" t="s">
        <v>4591</v>
      </c>
      <c r="E36" s="9" t="s">
        <v>4591</v>
      </c>
      <c r="F36" s="9" t="s">
        <v>4591</v>
      </c>
      <c r="G36" s="9" t="s">
        <v>4591</v>
      </c>
      <c r="H36" s="9" t="s">
        <v>4591</v>
      </c>
      <c r="I36" s="9" t="s">
        <v>4591</v>
      </c>
      <c r="J36" s="9" t="s">
        <v>4591</v>
      </c>
      <c r="K36" s="9" t="s">
        <v>4591</v>
      </c>
      <c r="L36" s="9" t="s">
        <v>4591</v>
      </c>
      <c r="M36" s="9" t="s">
        <v>4591</v>
      </c>
      <c r="N36" s="9" t="s">
        <v>4591</v>
      </c>
      <c r="O36" s="9" t="s">
        <v>4591</v>
      </c>
      <c r="P36" s="9" t="s">
        <v>4591</v>
      </c>
      <c r="Q36" s="9" t="s">
        <v>4591</v>
      </c>
      <c r="R36" s="9" t="s">
        <v>4591</v>
      </c>
      <c r="S36" s="9" t="s">
        <v>4591</v>
      </c>
      <c r="T36" s="14" t="s">
        <v>4591</v>
      </c>
    </row>
    <row r="37" spans="2:20" ht="12.75">
      <c r="B37" s="9"/>
      <c r="C37" s="81">
        <v>261</v>
      </c>
      <c r="D37" s="9" t="s">
        <v>4591</v>
      </c>
      <c r="E37" s="9" t="s">
        <v>4591</v>
      </c>
      <c r="F37" s="9" t="s">
        <v>4591</v>
      </c>
      <c r="G37" s="9" t="s">
        <v>4591</v>
      </c>
      <c r="H37" s="9" t="s">
        <v>4591</v>
      </c>
      <c r="I37" s="9" t="s">
        <v>4592</v>
      </c>
      <c r="J37" s="9" t="s">
        <v>4591</v>
      </c>
      <c r="K37" s="9" t="s">
        <v>4591</v>
      </c>
      <c r="L37" s="9" t="s">
        <v>4592</v>
      </c>
      <c r="M37" s="9" t="s">
        <v>4592</v>
      </c>
      <c r="N37" s="9" t="s">
        <v>4591</v>
      </c>
      <c r="O37" s="9" t="s">
        <v>4592</v>
      </c>
      <c r="P37" s="9" t="s">
        <v>4592</v>
      </c>
      <c r="Q37" s="9" t="s">
        <v>4591</v>
      </c>
      <c r="R37" s="9" t="s">
        <v>4592</v>
      </c>
      <c r="S37" s="9" t="s">
        <v>4592</v>
      </c>
      <c r="T37" s="14" t="s">
        <v>4592</v>
      </c>
    </row>
    <row r="38" spans="2:20" ht="12.75">
      <c r="B38" s="9"/>
      <c r="C38" s="81">
        <v>268</v>
      </c>
      <c r="D38" s="9" t="s">
        <v>4591</v>
      </c>
      <c r="E38" s="9" t="s">
        <v>4591</v>
      </c>
      <c r="F38" s="9" t="s">
        <v>4591</v>
      </c>
      <c r="G38" s="9" t="s">
        <v>4591</v>
      </c>
      <c r="H38" s="9" t="s">
        <v>4591</v>
      </c>
      <c r="I38" s="9" t="s">
        <v>4591</v>
      </c>
      <c r="J38" s="9" t="s">
        <v>4591</v>
      </c>
      <c r="K38" s="9" t="s">
        <v>4591</v>
      </c>
      <c r="L38" s="9" t="s">
        <v>4591</v>
      </c>
      <c r="M38" s="9" t="s">
        <v>4591</v>
      </c>
      <c r="N38" s="9" t="s">
        <v>4591</v>
      </c>
      <c r="O38" s="9" t="s">
        <v>4591</v>
      </c>
      <c r="P38" s="9" t="s">
        <v>4591</v>
      </c>
      <c r="Q38" s="9" t="s">
        <v>4591</v>
      </c>
      <c r="R38" s="9" t="s">
        <v>4591</v>
      </c>
      <c r="S38" s="9" t="s">
        <v>4591</v>
      </c>
      <c r="T38" s="14" t="s">
        <v>4591</v>
      </c>
    </row>
    <row r="39" spans="2:20" ht="12.75">
      <c r="B39" s="9"/>
      <c r="C39" s="81">
        <v>270</v>
      </c>
      <c r="D39" s="9" t="s">
        <v>4591</v>
      </c>
      <c r="E39" s="9" t="s">
        <v>4591</v>
      </c>
      <c r="F39" s="9" t="s">
        <v>4591</v>
      </c>
      <c r="G39" s="9" t="s">
        <v>4591</v>
      </c>
      <c r="H39" s="9" t="s">
        <v>4591</v>
      </c>
      <c r="I39" s="9" t="s">
        <v>4591</v>
      </c>
      <c r="J39" s="9" t="s">
        <v>4591</v>
      </c>
      <c r="K39" s="9" t="s">
        <v>4591</v>
      </c>
      <c r="L39" s="9" t="s">
        <v>4591</v>
      </c>
      <c r="M39" s="9" t="s">
        <v>4591</v>
      </c>
      <c r="N39" s="9" t="s">
        <v>4591</v>
      </c>
      <c r="O39" s="9" t="s">
        <v>4591</v>
      </c>
      <c r="P39" s="9" t="s">
        <v>4591</v>
      </c>
      <c r="Q39" s="9" t="s">
        <v>4591</v>
      </c>
      <c r="R39" s="9" t="s">
        <v>4591</v>
      </c>
      <c r="S39" s="9" t="s">
        <v>4591</v>
      </c>
      <c r="T39" s="14" t="s">
        <v>4591</v>
      </c>
    </row>
    <row r="40" spans="2:20" ht="12.75">
      <c r="B40" s="9"/>
      <c r="C40" s="81">
        <v>279</v>
      </c>
      <c r="D40" s="9" t="s">
        <v>4591</v>
      </c>
      <c r="E40" s="9" t="s">
        <v>4591</v>
      </c>
      <c r="F40" s="9" t="s">
        <v>4591</v>
      </c>
      <c r="G40" s="9" t="s">
        <v>4591</v>
      </c>
      <c r="H40" s="9" t="s">
        <v>4591</v>
      </c>
      <c r="I40" s="9" t="s">
        <v>4591</v>
      </c>
      <c r="J40" s="9" t="s">
        <v>4591</v>
      </c>
      <c r="K40" s="9" t="s">
        <v>4591</v>
      </c>
      <c r="L40" s="9" t="s">
        <v>4591</v>
      </c>
      <c r="M40" s="9" t="s">
        <v>4591</v>
      </c>
      <c r="N40" s="9" t="s">
        <v>4591</v>
      </c>
      <c r="O40" s="9" t="s">
        <v>4591</v>
      </c>
      <c r="P40" s="9" t="s">
        <v>4591</v>
      </c>
      <c r="Q40" s="9" t="s">
        <v>4591</v>
      </c>
      <c r="R40" s="9" t="s">
        <v>4591</v>
      </c>
      <c r="S40" s="9" t="s">
        <v>4591</v>
      </c>
      <c r="T40" s="14" t="s">
        <v>4591</v>
      </c>
    </row>
    <row r="41" spans="2:20" ht="12.75">
      <c r="B41" s="9"/>
      <c r="C41" s="81">
        <v>280</v>
      </c>
      <c r="D41" s="9" t="s">
        <v>4591</v>
      </c>
      <c r="E41" s="9" t="s">
        <v>4591</v>
      </c>
      <c r="F41" s="9" t="s">
        <v>4591</v>
      </c>
      <c r="G41" s="9" t="s">
        <v>4591</v>
      </c>
      <c r="H41" s="9" t="s">
        <v>4591</v>
      </c>
      <c r="I41" s="9" t="s">
        <v>4591</v>
      </c>
      <c r="J41" s="9" t="s">
        <v>4591</v>
      </c>
      <c r="K41" s="9" t="s">
        <v>4591</v>
      </c>
      <c r="L41" s="9" t="s">
        <v>4591</v>
      </c>
      <c r="M41" s="9" t="s">
        <v>4591</v>
      </c>
      <c r="N41" s="9" t="s">
        <v>4591</v>
      </c>
      <c r="O41" s="9" t="s">
        <v>4591</v>
      </c>
      <c r="P41" s="9" t="s">
        <v>4591</v>
      </c>
      <c r="Q41" s="9" t="s">
        <v>4591</v>
      </c>
      <c r="R41" s="9" t="s">
        <v>4591</v>
      </c>
      <c r="S41" s="9" t="s">
        <v>4591</v>
      </c>
      <c r="T41" s="14" t="s">
        <v>4591</v>
      </c>
    </row>
    <row r="42" spans="2:20" ht="12.75">
      <c r="B42" s="9"/>
      <c r="C42" s="81">
        <v>282</v>
      </c>
      <c r="D42" s="9" t="s">
        <v>4591</v>
      </c>
      <c r="E42" s="9" t="s">
        <v>4591</v>
      </c>
      <c r="F42" s="9" t="s">
        <v>4591</v>
      </c>
      <c r="G42" s="9" t="s">
        <v>4591</v>
      </c>
      <c r="H42" s="9" t="s">
        <v>4591</v>
      </c>
      <c r="I42" s="9" t="s">
        <v>4591</v>
      </c>
      <c r="J42" s="9" t="s">
        <v>4591</v>
      </c>
      <c r="K42" s="9" t="s">
        <v>4591</v>
      </c>
      <c r="L42" s="9" t="s">
        <v>4591</v>
      </c>
      <c r="M42" s="9" t="s">
        <v>4591</v>
      </c>
      <c r="N42" s="9" t="s">
        <v>4591</v>
      </c>
      <c r="O42" s="9" t="s">
        <v>4591</v>
      </c>
      <c r="P42" s="9" t="s">
        <v>4591</v>
      </c>
      <c r="Q42" s="9" t="s">
        <v>4592</v>
      </c>
      <c r="R42" s="9" t="s">
        <v>4591</v>
      </c>
      <c r="S42" s="9" t="s">
        <v>4591</v>
      </c>
      <c r="T42" s="14" t="s">
        <v>4591</v>
      </c>
    </row>
    <row r="43" spans="2:20" ht="12.75">
      <c r="B43" s="9"/>
      <c r="C43" s="81">
        <v>296</v>
      </c>
      <c r="D43" s="9" t="s">
        <v>4591</v>
      </c>
      <c r="E43" s="9" t="s">
        <v>4591</v>
      </c>
      <c r="F43" s="9" t="s">
        <v>4591</v>
      </c>
      <c r="G43" s="9" t="s">
        <v>4591</v>
      </c>
      <c r="H43" s="9" t="s">
        <v>4591</v>
      </c>
      <c r="I43" s="9" t="s">
        <v>4591</v>
      </c>
      <c r="J43" s="9" t="s">
        <v>4591</v>
      </c>
      <c r="K43" s="9" t="s">
        <v>4591</v>
      </c>
      <c r="L43" s="9" t="s">
        <v>4591</v>
      </c>
      <c r="M43" s="9" t="s">
        <v>4591</v>
      </c>
      <c r="N43" s="9" t="s">
        <v>4591</v>
      </c>
      <c r="O43" s="9" t="s">
        <v>4591</v>
      </c>
      <c r="P43" s="9" t="s">
        <v>4591</v>
      </c>
      <c r="Q43" s="9" t="s">
        <v>4591</v>
      </c>
      <c r="R43" s="9" t="s">
        <v>4591</v>
      </c>
      <c r="S43" s="9" t="s">
        <v>4591</v>
      </c>
      <c r="T43" s="14" t="s">
        <v>4591</v>
      </c>
    </row>
    <row r="44" spans="2:20" ht="12.75">
      <c r="B44" s="9"/>
      <c r="C44" s="81">
        <v>298</v>
      </c>
      <c r="D44" s="9" t="s">
        <v>4591</v>
      </c>
      <c r="E44" s="9" t="s">
        <v>4591</v>
      </c>
      <c r="F44" s="9" t="s">
        <v>4591</v>
      </c>
      <c r="G44" s="9" t="s">
        <v>4591</v>
      </c>
      <c r="H44" s="9" t="s">
        <v>4591</v>
      </c>
      <c r="I44" s="9" t="s">
        <v>4591</v>
      </c>
      <c r="J44" s="9" t="s">
        <v>4591</v>
      </c>
      <c r="K44" s="9" t="s">
        <v>4591</v>
      </c>
      <c r="L44" s="9" t="s">
        <v>4591</v>
      </c>
      <c r="M44" s="9" t="s">
        <v>4591</v>
      </c>
      <c r="N44" s="9" t="s">
        <v>4591</v>
      </c>
      <c r="O44" s="9" t="s">
        <v>4591</v>
      </c>
      <c r="P44" s="9" t="s">
        <v>4591</v>
      </c>
      <c r="Q44" s="9" t="s">
        <v>4591</v>
      </c>
      <c r="R44" s="9" t="s">
        <v>4591</v>
      </c>
      <c r="S44" s="9" t="s">
        <v>4591</v>
      </c>
      <c r="T44" s="14" t="s">
        <v>4591</v>
      </c>
    </row>
    <row r="45" spans="2:20" ht="12.75">
      <c r="B45" s="9"/>
      <c r="C45" s="81">
        <v>299</v>
      </c>
      <c r="D45" s="9" t="s">
        <v>4591</v>
      </c>
      <c r="E45" s="9" t="s">
        <v>4591</v>
      </c>
      <c r="F45" s="9" t="s">
        <v>4591</v>
      </c>
      <c r="G45" s="9" t="s">
        <v>4591</v>
      </c>
      <c r="H45" s="9" t="s">
        <v>4591</v>
      </c>
      <c r="I45" s="9" t="s">
        <v>4591</v>
      </c>
      <c r="J45" s="9" t="s">
        <v>4591</v>
      </c>
      <c r="K45" s="9" t="s">
        <v>4591</v>
      </c>
      <c r="L45" s="9" t="s">
        <v>4591</v>
      </c>
      <c r="M45" s="9" t="s">
        <v>4591</v>
      </c>
      <c r="N45" s="9" t="s">
        <v>4591</v>
      </c>
      <c r="O45" s="9" t="s">
        <v>4591</v>
      </c>
      <c r="P45" s="9" t="s">
        <v>4591</v>
      </c>
      <c r="Q45" s="9" t="s">
        <v>4592</v>
      </c>
      <c r="R45" s="9" t="s">
        <v>4591</v>
      </c>
      <c r="S45" s="9" t="s">
        <v>4591</v>
      </c>
      <c r="T45" s="14" t="s">
        <v>4591</v>
      </c>
    </row>
    <row r="46" spans="2:20" ht="12.75">
      <c r="B46" s="9"/>
      <c r="C46" s="81">
        <v>302</v>
      </c>
      <c r="D46" s="9" t="s">
        <v>4591</v>
      </c>
      <c r="E46" s="9" t="s">
        <v>4592</v>
      </c>
      <c r="F46" s="9" t="s">
        <v>4593</v>
      </c>
      <c r="G46" s="9" t="s">
        <v>4591</v>
      </c>
      <c r="H46" s="9" t="s">
        <v>4591</v>
      </c>
      <c r="I46" s="9" t="s">
        <v>4591</v>
      </c>
      <c r="J46" s="9" t="s">
        <v>4591</v>
      </c>
      <c r="K46" s="9" t="s">
        <v>4591</v>
      </c>
      <c r="L46" s="9" t="s">
        <v>4591</v>
      </c>
      <c r="M46" s="9" t="s">
        <v>4591</v>
      </c>
      <c r="N46" s="9" t="s">
        <v>4591</v>
      </c>
      <c r="O46" s="9" t="s">
        <v>4591</v>
      </c>
      <c r="P46" s="9" t="s">
        <v>4591</v>
      </c>
      <c r="Q46" s="9" t="s">
        <v>4591</v>
      </c>
      <c r="R46" s="9" t="s">
        <v>4591</v>
      </c>
      <c r="S46" s="9" t="s">
        <v>4591</v>
      </c>
      <c r="T46" s="14" t="s">
        <v>4591</v>
      </c>
    </row>
    <row r="47" spans="2:20" ht="12.75">
      <c r="B47" s="9"/>
      <c r="C47" s="81">
        <v>304</v>
      </c>
      <c r="D47" s="9" t="s">
        <v>4592</v>
      </c>
      <c r="E47" s="9" t="s">
        <v>4591</v>
      </c>
      <c r="F47" s="9" t="s">
        <v>4591</v>
      </c>
      <c r="G47" s="9" t="s">
        <v>4592</v>
      </c>
      <c r="H47" s="9" t="s">
        <v>4591</v>
      </c>
      <c r="I47" s="9" t="s">
        <v>4591</v>
      </c>
      <c r="J47" s="9" t="s">
        <v>4591</v>
      </c>
      <c r="K47" s="9" t="s">
        <v>4591</v>
      </c>
      <c r="L47" s="9" t="s">
        <v>4591</v>
      </c>
      <c r="M47" s="9" t="s">
        <v>4591</v>
      </c>
      <c r="N47" s="9" t="s">
        <v>4591</v>
      </c>
      <c r="O47" s="9" t="s">
        <v>4591</v>
      </c>
      <c r="P47" s="9" t="s">
        <v>4591</v>
      </c>
      <c r="Q47" s="9" t="s">
        <v>4592</v>
      </c>
      <c r="R47" s="9" t="s">
        <v>4591</v>
      </c>
      <c r="S47" s="9" t="s">
        <v>4591</v>
      </c>
      <c r="T47" s="14" t="s">
        <v>4591</v>
      </c>
    </row>
    <row r="48" spans="2:20" ht="12.75">
      <c r="B48" s="9"/>
      <c r="C48" s="81">
        <v>307</v>
      </c>
      <c r="D48" s="9" t="s">
        <v>4591</v>
      </c>
      <c r="E48" s="9" t="s">
        <v>4591</v>
      </c>
      <c r="F48" s="9" t="s">
        <v>4591</v>
      </c>
      <c r="G48" s="9" t="s">
        <v>4591</v>
      </c>
      <c r="H48" s="9" t="s">
        <v>4591</v>
      </c>
      <c r="I48" s="9" t="s">
        <v>4591</v>
      </c>
      <c r="J48" s="9" t="s">
        <v>4591</v>
      </c>
      <c r="K48" s="9" t="s">
        <v>4591</v>
      </c>
      <c r="L48" s="9" t="s">
        <v>4591</v>
      </c>
      <c r="M48" s="9" t="s">
        <v>4591</v>
      </c>
      <c r="N48" s="9" t="s">
        <v>4591</v>
      </c>
      <c r="O48" s="9" t="s">
        <v>4591</v>
      </c>
      <c r="P48" s="9" t="s">
        <v>4591</v>
      </c>
      <c r="Q48" s="9" t="s">
        <v>4591</v>
      </c>
      <c r="R48" s="9" t="s">
        <v>4591</v>
      </c>
      <c r="S48" s="9" t="s">
        <v>4591</v>
      </c>
      <c r="T48" s="14" t="s">
        <v>4591</v>
      </c>
    </row>
    <row r="49" spans="2:20" ht="12.75">
      <c r="B49" s="9"/>
      <c r="C49" s="81">
        <v>309</v>
      </c>
      <c r="D49" s="9" t="s">
        <v>4591</v>
      </c>
      <c r="E49" s="9" t="s">
        <v>4591</v>
      </c>
      <c r="F49" s="9" t="s">
        <v>4591</v>
      </c>
      <c r="G49" s="9" t="s">
        <v>4592</v>
      </c>
      <c r="H49" s="9" t="s">
        <v>4591</v>
      </c>
      <c r="I49" s="9" t="s">
        <v>4591</v>
      </c>
      <c r="J49" s="9" t="s">
        <v>4591</v>
      </c>
      <c r="K49" s="9" t="s">
        <v>4591</v>
      </c>
      <c r="L49" s="9" t="s">
        <v>4591</v>
      </c>
      <c r="M49" s="9" t="s">
        <v>4591</v>
      </c>
      <c r="N49" s="9" t="s">
        <v>4591</v>
      </c>
      <c r="O49" s="9" t="s">
        <v>4591</v>
      </c>
      <c r="P49" s="9" t="s">
        <v>4591</v>
      </c>
      <c r="Q49" s="9" t="s">
        <v>4592</v>
      </c>
      <c r="R49" s="9" t="s">
        <v>4591</v>
      </c>
      <c r="S49" s="9" t="s">
        <v>4591</v>
      </c>
      <c r="T49" s="14" t="s">
        <v>4591</v>
      </c>
    </row>
    <row r="50" spans="2:20" ht="12.75">
      <c r="B50" s="9"/>
      <c r="C50" s="81">
        <v>311</v>
      </c>
      <c r="D50" s="9" t="s">
        <v>4591</v>
      </c>
      <c r="E50" s="9" t="s">
        <v>4591</v>
      </c>
      <c r="F50" s="9" t="s">
        <v>4591</v>
      </c>
      <c r="G50" s="9" t="s">
        <v>4591</v>
      </c>
      <c r="H50" s="9" t="s">
        <v>4591</v>
      </c>
      <c r="I50" s="9" t="s">
        <v>4591</v>
      </c>
      <c r="J50" s="9" t="s">
        <v>4591</v>
      </c>
      <c r="K50" s="9" t="s">
        <v>4591</v>
      </c>
      <c r="L50" s="9" t="s">
        <v>4591</v>
      </c>
      <c r="M50" s="9" t="s">
        <v>4591</v>
      </c>
      <c r="N50" s="9" t="s">
        <v>4591</v>
      </c>
      <c r="O50" s="9" t="s">
        <v>4591</v>
      </c>
      <c r="P50" s="9" t="s">
        <v>4591</v>
      </c>
      <c r="Q50" s="9" t="s">
        <v>4591</v>
      </c>
      <c r="R50" s="9" t="s">
        <v>4591</v>
      </c>
      <c r="S50" s="9" t="s">
        <v>4591</v>
      </c>
      <c r="T50" s="14" t="s">
        <v>4591</v>
      </c>
    </row>
    <row r="51" spans="2:20" ht="12.75">
      <c r="B51" s="9"/>
      <c r="C51" s="81">
        <v>317</v>
      </c>
      <c r="D51" s="9" t="s">
        <v>4591</v>
      </c>
      <c r="E51" s="9" t="s">
        <v>4591</v>
      </c>
      <c r="F51" s="9" t="s">
        <v>4591</v>
      </c>
      <c r="G51" s="9" t="s">
        <v>4593</v>
      </c>
      <c r="H51" s="9" t="s">
        <v>4591</v>
      </c>
      <c r="I51" s="9" t="s">
        <v>4591</v>
      </c>
      <c r="J51" s="9" t="s">
        <v>4591</v>
      </c>
      <c r="K51" s="9" t="s">
        <v>4591</v>
      </c>
      <c r="L51" s="9" t="s">
        <v>4591</v>
      </c>
      <c r="M51" s="9" t="s">
        <v>4591</v>
      </c>
      <c r="N51" s="9" t="s">
        <v>4591</v>
      </c>
      <c r="O51" s="9" t="s">
        <v>4591</v>
      </c>
      <c r="P51" s="9" t="s">
        <v>4591</v>
      </c>
      <c r="Q51" s="9" t="s">
        <v>4591</v>
      </c>
      <c r="R51" s="9" t="s">
        <v>4591</v>
      </c>
      <c r="S51" s="9" t="s">
        <v>4591</v>
      </c>
      <c r="T51" s="14" t="s">
        <v>4591</v>
      </c>
    </row>
    <row r="52" spans="2:20" ht="12.75">
      <c r="B52" s="9"/>
      <c r="C52" s="81">
        <v>328</v>
      </c>
      <c r="D52" s="9" t="s">
        <v>4591</v>
      </c>
      <c r="E52" s="9" t="s">
        <v>4591</v>
      </c>
      <c r="F52" s="9" t="s">
        <v>4591</v>
      </c>
      <c r="G52" s="9" t="s">
        <v>4591</v>
      </c>
      <c r="H52" s="9" t="s">
        <v>4591</v>
      </c>
      <c r="I52" s="9" t="s">
        <v>4591</v>
      </c>
      <c r="J52" s="9" t="s">
        <v>4591</v>
      </c>
      <c r="K52" s="9" t="s">
        <v>4591</v>
      </c>
      <c r="L52" s="9" t="s">
        <v>4591</v>
      </c>
      <c r="M52" s="9" t="s">
        <v>4591</v>
      </c>
      <c r="N52" s="9" t="s">
        <v>4591</v>
      </c>
      <c r="O52" s="9" t="s">
        <v>4591</v>
      </c>
      <c r="P52" s="9" t="s">
        <v>4591</v>
      </c>
      <c r="Q52" s="9" t="s">
        <v>4591</v>
      </c>
      <c r="R52" s="9" t="s">
        <v>4591</v>
      </c>
      <c r="S52" s="9" t="s">
        <v>4591</v>
      </c>
      <c r="T52" s="14" t="s">
        <v>4591</v>
      </c>
    </row>
    <row r="53" spans="2:20" ht="12.75">
      <c r="B53" s="9"/>
      <c r="C53" s="81">
        <v>357</v>
      </c>
      <c r="D53" s="9" t="s">
        <v>4591</v>
      </c>
      <c r="E53" s="9" t="s">
        <v>4591</v>
      </c>
      <c r="F53" s="9" t="s">
        <v>4591</v>
      </c>
      <c r="G53" s="9" t="s">
        <v>4591</v>
      </c>
      <c r="H53" s="9" t="s">
        <v>4591</v>
      </c>
      <c r="I53" s="9" t="s">
        <v>4591</v>
      </c>
      <c r="J53" s="9" t="s">
        <v>4591</v>
      </c>
      <c r="K53" s="9" t="s">
        <v>4591</v>
      </c>
      <c r="L53" s="9" t="s">
        <v>4591</v>
      </c>
      <c r="M53" s="9" t="s">
        <v>4591</v>
      </c>
      <c r="N53" s="9" t="s">
        <v>4591</v>
      </c>
      <c r="O53" s="9" t="s">
        <v>4591</v>
      </c>
      <c r="P53" s="9" t="s">
        <v>4591</v>
      </c>
      <c r="Q53" s="9" t="s">
        <v>4591</v>
      </c>
      <c r="R53" s="9" t="s">
        <v>4591</v>
      </c>
      <c r="S53" s="9" t="s">
        <v>4591</v>
      </c>
      <c r="T53" s="14" t="s">
        <v>4591</v>
      </c>
    </row>
    <row r="54" spans="2:20" ht="12.75">
      <c r="B54" s="9"/>
      <c r="C54" s="82">
        <v>360</v>
      </c>
      <c r="D54" s="21" t="s">
        <v>4592</v>
      </c>
      <c r="E54" s="21" t="s">
        <v>4591</v>
      </c>
      <c r="F54" s="21" t="s">
        <v>4591</v>
      </c>
      <c r="G54" s="21" t="s">
        <v>4591</v>
      </c>
      <c r="H54" s="21" t="s">
        <v>4591</v>
      </c>
      <c r="I54" s="21" t="s">
        <v>4591</v>
      </c>
      <c r="J54" s="21" t="s">
        <v>4591</v>
      </c>
      <c r="K54" s="21" t="s">
        <v>4591</v>
      </c>
      <c r="L54" s="21" t="s">
        <v>4591</v>
      </c>
      <c r="M54" s="21" t="s">
        <v>4591</v>
      </c>
      <c r="N54" s="21" t="s">
        <v>4591</v>
      </c>
      <c r="O54" s="21" t="s">
        <v>4591</v>
      </c>
      <c r="P54" s="21" t="s">
        <v>4591</v>
      </c>
      <c r="Q54" s="21" t="s">
        <v>4591</v>
      </c>
      <c r="R54" s="21" t="s">
        <v>4591</v>
      </c>
      <c r="S54" s="21" t="s">
        <v>4591</v>
      </c>
      <c r="T54" s="38" t="s">
        <v>4591</v>
      </c>
    </row>
    <row r="57" spans="2:20" ht="13.5" thickBot="1">
      <c r="B57" s="219" t="s">
        <v>4604</v>
      </c>
      <c r="C57" s="201"/>
      <c r="D57" s="45">
        <v>185</v>
      </c>
    </row>
    <row r="58" spans="2:20" ht="13.5" thickTop="1">
      <c r="B58" s="134" t="s">
        <v>4594</v>
      </c>
      <c r="C58" s="135" t="s">
        <v>44</v>
      </c>
      <c r="D58" s="135" t="s">
        <v>110</v>
      </c>
      <c r="E58" s="136" t="s">
        <v>2</v>
      </c>
      <c r="F58" s="229" t="s">
        <v>4612</v>
      </c>
      <c r="G58" s="229"/>
      <c r="H58" s="230"/>
    </row>
    <row r="59" spans="2:20" ht="12.75">
      <c r="B59" s="137" t="s">
        <v>4589</v>
      </c>
      <c r="C59" s="93">
        <v>116</v>
      </c>
      <c r="D59" s="93" t="s">
        <v>3137</v>
      </c>
      <c r="E59" s="93" t="str">
        <f>IF($B59 = "Mutant",VLOOKUP($C59,Mutants!$A$2:$L$560,12,FALSE),IF($B59 = "Test",VLOOKUP($C59,Tests!$A$2:$L$841,12,FALSE),VLOOKUP($C59,Questions!$A$3:$N$174,9,FALSE)))</f>
        <v>Y</v>
      </c>
      <c r="F59" s="205" t="str">
        <f>IF($B59 = "Mutant",VLOOKUP($C59,Mutants!$A$2:$L$560,11,FALSE),IF($B59 = "Test",VLOOKUP($C59,Tests!$A$2:$L$841,11,FALSE),VLOOKUP($C59,Questions!$A$3:$N$174,13,FALSE)))</f>
        <v xml:space="preserve">addOptionGroup
</v>
      </c>
      <c r="G59" s="205"/>
      <c r="H59" s="206"/>
    </row>
    <row r="60" spans="2:20" ht="12.75">
      <c r="B60" s="114" t="s">
        <v>4589</v>
      </c>
      <c r="C60" s="9">
        <v>135</v>
      </c>
      <c r="D60" s="9" t="s">
        <v>3194</v>
      </c>
      <c r="E60" s="9" t="str">
        <f>IF($B60 = "Mutant",VLOOKUP($C60,Mutants!$A$2:$L$560,12,FALSE),IF($B60 = "Test",VLOOKUP($C60,Tests!$A$2:$L$841,12,FALSE),VLOOKUP($C60,Questions!$A$3:$N$174,9,FALSE)))</f>
        <v>Y</v>
      </c>
      <c r="F60" s="187" t="str">
        <f>IF($B60 = "Mutant",VLOOKUP($C60,Mutants!$A$2:$L$560,11,FALSE),IF($B60 = "Test",VLOOKUP($C60,Tests!$A$2:$L$841,11,FALSE),VLOOKUP($C60,Questions!$A$3:$N$174,13,FALSE)))</f>
        <v xml:space="preserve">toString
</v>
      </c>
      <c r="G60" s="187"/>
      <c r="H60" s="202"/>
    </row>
    <row r="61" spans="2:20" ht="12.75">
      <c r="B61" s="114" t="s">
        <v>4589</v>
      </c>
      <c r="C61" s="9">
        <v>163</v>
      </c>
      <c r="D61" s="9" t="s">
        <v>3270</v>
      </c>
      <c r="E61" s="9" t="str">
        <f>IF($B61 = "Mutant",VLOOKUP($C61,Mutants!$A$2:$L$560,12,FALSE),IF($B61 = "Test",VLOOKUP($C61,Tests!$A$2:$L$841,12,FALSE),VLOOKUP($C61,Questions!$A$3:$N$174,9,FALSE)))</f>
        <v>Y</v>
      </c>
      <c r="F61" s="187" t="str">
        <f>IF($B61 = "Mutant",VLOOKUP($C61,Mutants!$A$2:$L$560,11,FALSE),IF($B61 = "Test",VLOOKUP($C61,Tests!$A$2:$L$841,11,FALSE),VLOOKUP($C61,Questions!$A$3:$N$174,13,FALSE)))</f>
        <v xml:space="preserve">stripLeadingHyphens
</v>
      </c>
      <c r="G61" s="187"/>
      <c r="H61" s="202"/>
    </row>
    <row r="62" spans="2:20" ht="12.75">
      <c r="B62" s="114" t="s">
        <v>4590</v>
      </c>
      <c r="C62" s="9">
        <v>118</v>
      </c>
      <c r="D62" s="9" t="s">
        <v>741</v>
      </c>
      <c r="E62" s="9" t="str">
        <f>IF($B62 = "Mutant",VLOOKUP($C62,Mutants!$A$2:$L$560,12,FALSE),IF($B62 = "Test",VLOOKUP($C62,Tests!$A$2:$L$841,12,FALSE),VLOOKUP($C62,Questions!$A$3:$N$174,9,FALSE)))</f>
        <v>N</v>
      </c>
      <c r="F62" s="187" t="str">
        <f>IF($B62 = "Mutant",VLOOKUP($C62,Mutants!$A$2:$L$560,11,FALSE),IF($B62 = "Test",VLOOKUP($C62,Tests!$A$2:$L$841,11,FALSE),VLOOKUP($C62,Questions!$A$3:$N$174,13,FALSE)))</f>
        <v xml:space="preserve">
</v>
      </c>
      <c r="G62" s="187"/>
      <c r="H62" s="202"/>
    </row>
    <row r="63" spans="2:20" ht="12.75">
      <c r="B63" s="114" t="s">
        <v>4590</v>
      </c>
      <c r="C63" s="9">
        <v>120</v>
      </c>
      <c r="D63" s="9" t="s">
        <v>749</v>
      </c>
      <c r="E63" s="9" t="str">
        <f>IF($B63 = "Mutant",VLOOKUP($C63,Mutants!$A$2:$L$560,12,FALSE),IF($B63 = "Test",VLOOKUP($C63,Tests!$A$2:$L$841,12,FALSE),VLOOKUP($C63,Questions!$A$3:$N$174,9,FALSE)))</f>
        <v>Y</v>
      </c>
      <c r="F63" s="187" t="str">
        <f>IF($B63 = "Mutant",VLOOKUP($C63,Mutants!$A$2:$L$560,11,FALSE),IF($B63 = "Test",VLOOKUP($C63,Tests!$A$2:$L$841,11,FALSE),VLOOKUP($C63,Questions!$A$3:$N$174,13,FALSE)))</f>
        <v xml:space="preserve">toString
</v>
      </c>
      <c r="G63" s="187"/>
      <c r="H63" s="202"/>
    </row>
    <row r="64" spans="2:20" ht="12.75">
      <c r="B64" s="114" t="s">
        <v>4590</v>
      </c>
      <c r="C64" s="9">
        <v>140</v>
      </c>
      <c r="D64" s="9" t="s">
        <v>798</v>
      </c>
      <c r="E64" s="9" t="str">
        <f>IF($B64 = "Mutant",VLOOKUP($C64,Mutants!$A$2:$L$560,12,FALSE),IF($B64 = "Test",VLOOKUP($C64,Tests!$A$2:$L$841,12,FALSE),VLOOKUP($C64,Questions!$A$3:$N$174,9,FALSE)))</f>
        <v>Y</v>
      </c>
      <c r="F64" s="187" t="str">
        <f>IF($B64 = "Mutant",VLOOKUP($C64,Mutants!$A$2:$L$560,11,FALSE),IF($B64 = "Test",VLOOKUP($C64,Tests!$A$2:$L$841,11,FALSE),VLOOKUP($C64,Questions!$A$3:$N$174,13,FALSE)))</f>
        <v xml:space="preserve">toString
</v>
      </c>
      <c r="G64" s="187"/>
      <c r="H64" s="202"/>
    </row>
    <row r="65" spans="2:8" ht="12.75">
      <c r="B65" s="114" t="s">
        <v>4590</v>
      </c>
      <c r="C65" s="9">
        <v>145</v>
      </c>
      <c r="D65" s="9" t="s">
        <v>812</v>
      </c>
      <c r="E65" s="9" t="str">
        <f>IF($B65 = "Mutant",VLOOKUP($C65,Mutants!$A$2:$L$560,12,FALSE),IF($B65 = "Test",VLOOKUP($C65,Tests!$A$2:$L$841,12,FALSE),VLOOKUP($C65,Questions!$A$3:$N$174,9,FALSE)))</f>
        <v>Y</v>
      </c>
      <c r="F65" s="187" t="str">
        <f>IF($B65 = "Mutant",VLOOKUP($C65,Mutants!$A$2:$L$560,11,FALSE),IF($B65 = "Test",VLOOKUP($C65,Tests!$A$2:$L$841,11,FALSE),VLOOKUP($C65,Questions!$A$3:$N$174,13,FALSE)))</f>
        <v xml:space="preserve">toString
</v>
      </c>
      <c r="G65" s="187"/>
      <c r="H65" s="202"/>
    </row>
    <row r="66" spans="2:8" ht="12.75">
      <c r="B66" s="114" t="s">
        <v>4590</v>
      </c>
      <c r="C66" s="9">
        <v>149</v>
      </c>
      <c r="D66" s="9" t="s">
        <v>820</v>
      </c>
      <c r="E66" s="9" t="str">
        <f>IF($B66 = "Mutant",VLOOKUP($C66,Mutants!$A$2:$L$560,12,FALSE),IF($B66 = "Test",VLOOKUP($C66,Tests!$A$2:$L$841,12,FALSE),VLOOKUP($C66,Questions!$A$3:$N$174,9,FALSE)))</f>
        <v>Y</v>
      </c>
      <c r="F66" s="187" t="str">
        <f>IF($B66 = "Mutant",VLOOKUP($C66,Mutants!$A$2:$L$560,11,FALSE),IF($B66 = "Test",VLOOKUP($C66,Tests!$A$2:$L$841,11,FALSE),VLOOKUP($C66,Questions!$A$3:$N$174,13,FALSE)))</f>
        <v xml:space="preserve">toString
</v>
      </c>
      <c r="G66" s="187"/>
      <c r="H66" s="202"/>
    </row>
    <row r="67" spans="2:8" ht="12.75">
      <c r="B67" s="114" t="s">
        <v>4590</v>
      </c>
      <c r="C67" s="9">
        <v>189</v>
      </c>
      <c r="D67" s="9" t="s">
        <v>920</v>
      </c>
      <c r="E67" s="9" t="str">
        <f>IF($B67 = "Mutant",VLOOKUP($C67,Mutants!$A$2:$L$560,12,FALSE),IF($B67 = "Test",VLOOKUP($C67,Tests!$A$2:$L$841,12,FALSE),VLOOKUP($C67,Questions!$A$3:$N$174,9,FALSE)))</f>
        <v>Y</v>
      </c>
      <c r="F67" s="187" t="str">
        <f>IF($B67 = "Mutant",VLOOKUP($C67,Mutants!$A$2:$L$560,11,FALSE),IF($B67 = "Test",VLOOKUP($C67,Tests!$A$2:$L$841,11,FALSE),VLOOKUP($C67,Questions!$A$3:$N$174,13,FALSE)))</f>
        <v xml:space="preserve">hasOption, stripLeadingHyphens
</v>
      </c>
      <c r="G67" s="187"/>
      <c r="H67" s="202"/>
    </row>
    <row r="68" spans="2:8" ht="12.75">
      <c r="B68" s="114" t="s">
        <v>4590</v>
      </c>
      <c r="C68" s="9">
        <v>231</v>
      </c>
      <c r="D68" s="9" t="s">
        <v>1040</v>
      </c>
      <c r="E68" s="9" t="str">
        <f>IF($B68 = "Mutant",VLOOKUP($C68,Mutants!$A$2:$L$560,12,FALSE),IF($B68 = "Test",VLOOKUP($C68,Tests!$A$2:$L$841,12,FALSE),VLOOKUP($C68,Questions!$A$3:$N$174,9,FALSE)))</f>
        <v>N</v>
      </c>
      <c r="F68" s="187" t="str">
        <f>IF($B68 = "Mutant",VLOOKUP($C68,Mutants!$A$2:$L$560,11,FALSE),IF($B68 = "Test",VLOOKUP($C68,Tests!$A$2:$L$841,11,FALSE),VLOOKUP($C68,Questions!$A$3:$N$174,13,FALSE)))</f>
        <v xml:space="preserve">
</v>
      </c>
      <c r="G68" s="187"/>
      <c r="H68" s="202"/>
    </row>
    <row r="69" spans="2:8" ht="12.75">
      <c r="B69" s="114" t="s">
        <v>4590</v>
      </c>
      <c r="C69" s="9">
        <v>232</v>
      </c>
      <c r="D69" s="9" t="s">
        <v>1042</v>
      </c>
      <c r="E69" s="9" t="str">
        <f>IF($B69 = "Mutant",VLOOKUP($C69,Mutants!$A$2:$L$560,12,FALSE),IF($B69 = "Test",VLOOKUP($C69,Tests!$A$2:$L$841,12,FALSE),VLOOKUP($C69,Questions!$A$3:$N$174,9,FALSE)))</f>
        <v>N</v>
      </c>
      <c r="F69" s="187" t="str">
        <f>IF($B69 = "Mutant",VLOOKUP($C69,Mutants!$A$2:$L$560,11,FALSE),IF($B69 = "Test",VLOOKUP($C69,Tests!$A$2:$L$841,11,FALSE),VLOOKUP($C69,Questions!$A$3:$N$174,13,FALSE)))</f>
        <v xml:space="preserve">
</v>
      </c>
      <c r="G69" s="187"/>
      <c r="H69" s="202"/>
    </row>
    <row r="70" spans="2:8" ht="12.75">
      <c r="B70" s="114" t="s">
        <v>4590</v>
      </c>
      <c r="C70" s="9">
        <v>251</v>
      </c>
      <c r="D70" s="9" t="s">
        <v>1101</v>
      </c>
      <c r="E70" s="9" t="str">
        <f>IF($B70 = "Mutant",VLOOKUP($C70,Mutants!$A$2:$L$560,12,FALSE),IF($B70 = "Test",VLOOKUP($C70,Tests!$A$2:$L$841,12,FALSE),VLOOKUP($C70,Questions!$A$3:$N$174,9,FALSE)))</f>
        <v>N</v>
      </c>
      <c r="F70" s="187" t="str">
        <f>IF($B70 = "Mutant",VLOOKUP($C70,Mutants!$A$2:$L$560,11,FALSE),IF($B70 = "Test",VLOOKUP($C70,Tests!$A$2:$L$841,11,FALSE),VLOOKUP($C70,Questions!$A$3:$N$174,13,FALSE)))</f>
        <v xml:space="preserve">
</v>
      </c>
      <c r="G70" s="187"/>
      <c r="H70" s="202"/>
    </row>
    <row r="71" spans="2:8" ht="12.75">
      <c r="B71" s="114" t="s">
        <v>4590</v>
      </c>
      <c r="C71" s="9">
        <v>254</v>
      </c>
      <c r="D71" s="9" t="s">
        <v>1108</v>
      </c>
      <c r="E71" s="9" t="str">
        <f>IF($B71 = "Mutant",VLOOKUP($C71,Mutants!$A$2:$L$560,12,FALSE),IF($B71 = "Test",VLOOKUP($C71,Tests!$A$2:$L$841,12,FALSE),VLOOKUP($C71,Questions!$A$3:$N$174,9,FALSE)))</f>
        <v>Y</v>
      </c>
      <c r="F71" s="187" t="str">
        <f>IF($B71 = "Mutant",VLOOKUP($C71,Mutants!$A$2:$L$560,11,FALSE),IF($B71 = "Test",VLOOKUP($C71,Tests!$A$2:$L$841,11,FALSE),VLOOKUP($C71,Questions!$A$3:$N$174,13,FALSE)))</f>
        <v xml:space="preserve">getOptions, helpOptions
</v>
      </c>
      <c r="G71" s="187"/>
      <c r="H71" s="202"/>
    </row>
    <row r="72" spans="2:8" ht="12.75">
      <c r="B72" s="114" t="s">
        <v>4590</v>
      </c>
      <c r="C72" s="9">
        <v>259</v>
      </c>
      <c r="D72" s="9" t="s">
        <v>1121</v>
      </c>
      <c r="E72" s="9" t="str">
        <f>IF($B72 = "Mutant",VLOOKUP($C72,Mutants!$A$2:$L$560,12,FALSE),IF($B72 = "Test",VLOOKUP($C72,Tests!$A$2:$L$841,12,FALSE),VLOOKUP($C72,Questions!$A$3:$N$174,9,FALSE)))</f>
        <v>Y</v>
      </c>
      <c r="F72" s="187" t="str">
        <f>IF($B72 = "Mutant",VLOOKUP($C72,Mutants!$A$2:$L$560,11,FALSE),IF($B72 = "Test",VLOOKUP($C72,Tests!$A$2:$L$841,11,FALSE),VLOOKUP($C72,Questions!$A$3:$N$174,13,FALSE)))</f>
        <v xml:space="preserve">getOptionGroups
</v>
      </c>
      <c r="G72" s="187"/>
      <c r="H72" s="202"/>
    </row>
    <row r="73" spans="2:8" ht="12.75">
      <c r="B73" s="114" t="s">
        <v>4590</v>
      </c>
      <c r="C73" s="9">
        <v>275</v>
      </c>
      <c r="D73" s="9" t="s">
        <v>1156</v>
      </c>
      <c r="E73" s="9" t="str">
        <f>IF($B73 = "Mutant",VLOOKUP($C73,Mutants!$A$2:$L$560,12,FALSE),IF($B73 = "Test",VLOOKUP($C73,Tests!$A$2:$L$841,12,FALSE),VLOOKUP($C73,Questions!$A$3:$N$174,9,FALSE)))</f>
        <v>Y</v>
      </c>
      <c r="F73" s="187" t="str">
        <f>IF($B73 = "Mutant",VLOOKUP($C73,Mutants!$A$2:$L$560,11,FALSE),IF($B73 = "Test",VLOOKUP($C73,Tests!$A$2:$L$841,11,FALSE),VLOOKUP($C73,Questions!$A$3:$N$174,13,FALSE)))</f>
        <v xml:space="preserve">getOptions, helpOptions
</v>
      </c>
      <c r="G73" s="187"/>
      <c r="H73" s="202"/>
    </row>
    <row r="74" spans="2:8" ht="12.75">
      <c r="B74" s="114" t="s">
        <v>4590</v>
      </c>
      <c r="C74" s="9">
        <v>279</v>
      </c>
      <c r="D74" s="9" t="s">
        <v>1169</v>
      </c>
      <c r="E74" s="9" t="str">
        <f>IF($B74 = "Mutant",VLOOKUP($C74,Mutants!$A$2:$L$560,12,FALSE),IF($B74 = "Test",VLOOKUP($C74,Tests!$A$2:$L$841,12,FALSE),VLOOKUP($C74,Questions!$A$3:$N$174,9,FALSE)))</f>
        <v>Y</v>
      </c>
      <c r="F74" s="187" t="str">
        <f>IF($B74 = "Mutant",VLOOKUP($C74,Mutants!$A$2:$L$560,11,FALSE),IF($B74 = "Test",VLOOKUP($C74,Tests!$A$2:$L$841,11,FALSE),VLOOKUP($C74,Questions!$A$3:$N$174,13,FALSE)))</f>
        <v xml:space="preserve">getOptions, helpOptions
</v>
      </c>
      <c r="G74" s="187"/>
      <c r="H74" s="202"/>
    </row>
    <row r="75" spans="2:8" ht="12.75">
      <c r="B75" s="114" t="s">
        <v>4590</v>
      </c>
      <c r="C75" s="9">
        <v>281</v>
      </c>
      <c r="D75" s="9" t="s">
        <v>1177</v>
      </c>
      <c r="E75" s="9" t="str">
        <f>IF($B75 = "Mutant",VLOOKUP($C75,Mutants!$A$2:$L$560,12,FALSE),IF($B75 = "Test",VLOOKUP($C75,Tests!$A$2:$L$841,12,FALSE),VLOOKUP($C75,Questions!$A$3:$N$174,9,FALSE)))</f>
        <v>Y</v>
      </c>
      <c r="F75" s="187" t="str">
        <f>IF($B75 = "Mutant",VLOOKUP($C75,Mutants!$A$2:$L$560,11,FALSE),IF($B75 = "Test",VLOOKUP($C75,Tests!$A$2:$L$841,11,FALSE),VLOOKUP($C75,Questions!$A$3:$N$174,13,FALSE)))</f>
        <v xml:space="preserve">getOptions, helpOptions
</v>
      </c>
      <c r="G75" s="187"/>
      <c r="H75" s="202"/>
    </row>
    <row r="76" spans="2:8" ht="12.75">
      <c r="B76" s="114" t="s">
        <v>4590</v>
      </c>
      <c r="C76" s="9">
        <v>303</v>
      </c>
      <c r="D76" s="9" t="s">
        <v>1245</v>
      </c>
      <c r="E76" s="9" t="str">
        <f>IF($B76 = "Mutant",VLOOKUP($C76,Mutants!$A$2:$L$560,12,FALSE),IF($B76 = "Test",VLOOKUP($C76,Tests!$A$2:$L$841,12,FALSE),VLOOKUP($C76,Questions!$A$3:$N$174,9,FALSE)))</f>
        <v>Y</v>
      </c>
      <c r="F76" s="187" t="str">
        <f>IF($B76 = "Mutant",VLOOKUP($C76,Mutants!$A$2:$L$560,11,FALSE),IF($B76 = "Test",VLOOKUP($C76,Tests!$A$2:$L$841,11,FALSE),VLOOKUP($C76,Questions!$A$3:$N$174,13,FALSE)))</f>
        <v xml:space="preserve">getOptions, helpOptions
</v>
      </c>
      <c r="G76" s="187"/>
      <c r="H76" s="202"/>
    </row>
    <row r="77" spans="2:8" ht="12.75">
      <c r="B77" s="114" t="s">
        <v>4590</v>
      </c>
      <c r="C77" s="9">
        <v>335</v>
      </c>
      <c r="D77" s="9" t="s">
        <v>1337</v>
      </c>
      <c r="E77" s="9" t="str">
        <f>IF($B77 = "Mutant",VLOOKUP($C77,Mutants!$A$2:$L$560,12,FALSE),IF($B77 = "Test",VLOOKUP($C77,Tests!$A$2:$L$841,12,FALSE),VLOOKUP($C77,Questions!$A$3:$N$174,9,FALSE)))</f>
        <v>Y</v>
      </c>
      <c r="F77" s="187" t="str">
        <f>IF($B77 = "Mutant",VLOOKUP($C77,Mutants!$A$2:$L$560,11,FALSE),IF($B77 = "Test",VLOOKUP($C77,Tests!$A$2:$L$841,11,FALSE),VLOOKUP($C77,Questions!$A$3:$N$174,13,FALSE)))</f>
        <v xml:space="preserve">getOptions, helpOptions
</v>
      </c>
      <c r="G77" s="187"/>
      <c r="H77" s="202"/>
    </row>
    <row r="78" spans="2:8" ht="12.75">
      <c r="B78" s="114" t="s">
        <v>4590</v>
      </c>
      <c r="C78" s="9">
        <v>359</v>
      </c>
      <c r="D78" s="9" t="s">
        <v>1397</v>
      </c>
      <c r="E78" s="9" t="str">
        <f>IF($B78 = "Mutant",VLOOKUP($C78,Mutants!$A$2:$L$560,12,FALSE),IF($B78 = "Test",VLOOKUP($C78,Tests!$A$2:$L$841,12,FALSE),VLOOKUP($C78,Questions!$A$3:$N$174,9,FALSE)))</f>
        <v>N</v>
      </c>
      <c r="F78" s="187" t="str">
        <f>IF($B78 = "Mutant",VLOOKUP($C78,Mutants!$A$2:$L$560,11,FALSE),IF($B78 = "Test",VLOOKUP($C78,Tests!$A$2:$L$841,11,FALSE),VLOOKUP($C78,Questions!$A$3:$N$174,13,FALSE)))</f>
        <v xml:space="preserve">
</v>
      </c>
      <c r="G78" s="187"/>
      <c r="H78" s="202"/>
    </row>
    <row r="79" spans="2:8" ht="12.75">
      <c r="B79" s="114" t="s">
        <v>4590</v>
      </c>
      <c r="C79" s="9">
        <v>428</v>
      </c>
      <c r="D79" s="9" t="s">
        <v>1616</v>
      </c>
      <c r="E79" s="9" t="str">
        <f>IF($B79 = "Mutant",VLOOKUP($C79,Mutants!$A$2:$L$560,12,FALSE),IF($B79 = "Test",VLOOKUP($C79,Tests!$A$2:$L$841,12,FALSE),VLOOKUP($C79,Questions!$A$3:$N$174,9,FALSE)))</f>
        <v>Y</v>
      </c>
      <c r="F79" s="187" t="str">
        <f>IF($B79 = "Mutant",VLOOKUP($C79,Mutants!$A$2:$L$560,11,FALSE),IF($B79 = "Test",VLOOKUP($C79,Tests!$A$2:$L$841,11,FALSE),VLOOKUP($C79,Questions!$A$3:$N$174,13,FALSE)))</f>
        <v xml:space="preserve">getOptions, helpOptions
</v>
      </c>
      <c r="G79" s="187"/>
      <c r="H79" s="202"/>
    </row>
    <row r="80" spans="2:8" ht="12.75">
      <c r="B80" s="114" t="s">
        <v>4590</v>
      </c>
      <c r="C80" s="9">
        <v>442</v>
      </c>
      <c r="D80" s="9" t="s">
        <v>1657</v>
      </c>
      <c r="E80" s="9" t="str">
        <f>IF($B80 = "Mutant",VLOOKUP($C80,Mutants!$A$2:$L$560,12,FALSE),IF($B80 = "Test",VLOOKUP($C80,Tests!$A$2:$L$841,12,FALSE),VLOOKUP($C80,Questions!$A$3:$N$174,9,FALSE)))</f>
        <v>Y</v>
      </c>
      <c r="F80" s="187" t="str">
        <f>IF($B80 = "Mutant",VLOOKUP($C80,Mutants!$A$2:$L$560,11,FALSE),IF($B80 = "Test",VLOOKUP($C80,Tests!$A$2:$L$841,11,FALSE),VLOOKUP($C80,Questions!$A$3:$N$174,13,FALSE)))</f>
        <v xml:space="preserve">getOptions, helpOptions
</v>
      </c>
      <c r="G80" s="187"/>
      <c r="H80" s="202"/>
    </row>
    <row r="81" spans="2:8" ht="12.75">
      <c r="B81" s="114" t="s">
        <v>4590</v>
      </c>
      <c r="C81" s="9">
        <v>452</v>
      </c>
      <c r="D81" s="9" t="s">
        <v>1693</v>
      </c>
      <c r="E81" s="9" t="str">
        <f>IF($B81 = "Mutant",VLOOKUP($C81,Mutants!$A$2:$L$560,12,FALSE),IF($B81 = "Test",VLOOKUP($C81,Tests!$A$2:$L$841,12,FALSE),VLOOKUP($C81,Questions!$A$3:$N$174,9,FALSE)))</f>
        <v>N</v>
      </c>
      <c r="F81" s="187" t="str">
        <f>IF($B81 = "Mutant",VLOOKUP($C81,Mutants!$A$2:$L$560,11,FALSE),IF($B81 = "Test",VLOOKUP($C81,Tests!$A$2:$L$841,11,FALSE),VLOOKUP($C81,Questions!$A$3:$N$174,13,FALSE)))</f>
        <v xml:space="preserve">
</v>
      </c>
      <c r="G81" s="187"/>
      <c r="H81" s="202"/>
    </row>
    <row r="82" spans="2:8" ht="12.75">
      <c r="B82" s="114" t="s">
        <v>4590</v>
      </c>
      <c r="C82" s="9">
        <v>456</v>
      </c>
      <c r="D82" s="9" t="s">
        <v>1704</v>
      </c>
      <c r="E82" s="9" t="str">
        <f>IF($B82 = "Mutant",VLOOKUP($C82,Mutants!$A$2:$L$560,12,FALSE),IF($B82 = "Test",VLOOKUP($C82,Tests!$A$2:$L$841,12,FALSE),VLOOKUP($C82,Questions!$A$3:$N$174,9,FALSE)))</f>
        <v>Y</v>
      </c>
      <c r="F82" s="187" t="str">
        <f>IF($B82 = "Mutant",VLOOKUP($C82,Mutants!$A$2:$L$560,11,FALSE),IF($B82 = "Test",VLOOKUP($C82,Tests!$A$2:$L$841,11,FALSE),VLOOKUP($C82,Questions!$A$3:$N$174,13,FALSE)))</f>
        <v xml:space="preserve">helpOptions
</v>
      </c>
      <c r="G82" s="187"/>
      <c r="H82" s="202"/>
    </row>
    <row r="83" spans="2:8" ht="12.75">
      <c r="B83" s="133" t="s">
        <v>4590</v>
      </c>
      <c r="C83" s="130">
        <v>469</v>
      </c>
      <c r="D83" s="130" t="s">
        <v>1738</v>
      </c>
      <c r="E83" s="130" t="str">
        <f>IF($B83 = "Mutant",VLOOKUP($C83,Mutants!$A$2:$L$560,12,FALSE),IF($B83 = "Test",VLOOKUP($C83,Tests!$A$2:$L$841,12,FALSE),VLOOKUP($C83,Questions!$A$3:$N$174,9,FALSE)))</f>
        <v>N</v>
      </c>
      <c r="F83" s="203" t="str">
        <f>IF($B83 = "Mutant",VLOOKUP($C83,Mutants!$A$2:$L$560,11,FALSE),IF($B83 = "Test",VLOOKUP($C83,Tests!$A$2:$L$841,11,FALSE),VLOOKUP($C83,Questions!$A$3:$N$174,13,FALSE)))</f>
        <v xml:space="preserve">
</v>
      </c>
      <c r="G83" s="203"/>
      <c r="H83" s="204"/>
    </row>
    <row r="84" spans="2:8" ht="15.75" customHeight="1">
      <c r="E84" s="9"/>
      <c r="F84" s="187"/>
      <c r="G84" s="187"/>
      <c r="H84" s="187"/>
    </row>
    <row r="85" spans="2:8" ht="15.75" customHeight="1">
      <c r="E85" s="9"/>
      <c r="F85" s="187"/>
      <c r="G85" s="187"/>
      <c r="H85" s="187"/>
    </row>
    <row r="86" spans="2:8" ht="13.5" thickBot="1">
      <c r="B86" s="219" t="s">
        <v>4604</v>
      </c>
      <c r="C86" s="201"/>
      <c r="D86" s="45">
        <v>186</v>
      </c>
      <c r="E86" s="9"/>
      <c r="F86" s="187"/>
      <c r="G86" s="187"/>
      <c r="H86" s="187"/>
    </row>
    <row r="87" spans="2:8" ht="13.5" thickTop="1">
      <c r="B87" s="134" t="s">
        <v>4594</v>
      </c>
      <c r="C87" s="135" t="s">
        <v>44</v>
      </c>
      <c r="D87" s="135" t="s">
        <v>110</v>
      </c>
      <c r="E87" s="136" t="s">
        <v>2</v>
      </c>
      <c r="F87" s="229" t="s">
        <v>4612</v>
      </c>
      <c r="G87" s="229"/>
      <c r="H87" s="230"/>
    </row>
    <row r="88" spans="2:8" ht="12.75">
      <c r="B88" s="137" t="s">
        <v>4589</v>
      </c>
      <c r="C88" s="93">
        <v>124</v>
      </c>
      <c r="D88" s="93" t="s">
        <v>3160</v>
      </c>
      <c r="E88" s="93" t="str">
        <f>IF($B88 = "Mutant",VLOOKUP($C88,Mutants!$A$2:$L$560,12,FALSE),IF($B88 = "Test",VLOOKUP($C88,Tests!$A$2:$L$841,12,FALSE),VLOOKUP($C88,Questions!$A$3:$N$174,9,FALSE)))</f>
        <v>Y</v>
      </c>
      <c r="F88" s="205" t="str">
        <f>IF($B88 = "Mutant",VLOOKUP($C88,Mutants!$A$2:$L$560,11,FALSE),IF($B88 = "Test",VLOOKUP($C88,Tests!$A$2:$L$841,11,FALSE),VLOOKUP($C88,Questions!$A$3:$N$174,13,FALSE)))</f>
        <v xml:space="preserve">stripLeadingHyphens
</v>
      </c>
      <c r="G88" s="205"/>
      <c r="H88" s="206"/>
    </row>
    <row r="89" spans="2:8" ht="12.75">
      <c r="B89" s="114" t="s">
        <v>4590</v>
      </c>
      <c r="C89" s="9">
        <v>105</v>
      </c>
      <c r="D89" s="9" t="s">
        <v>703</v>
      </c>
      <c r="E89" s="9" t="str">
        <f>IF($B89 = "Mutant",VLOOKUP($C89,Mutants!$A$2:$L$560,12,FALSE),IF($B89 = "Test",VLOOKUP($C89,Tests!$A$2:$L$841,12,FALSE),VLOOKUP($C89,Questions!$A$3:$N$174,9,FALSE)))</f>
        <v>N</v>
      </c>
      <c r="F89" s="187" t="str">
        <f>IF($B89 = "Mutant",VLOOKUP($C89,Mutants!$A$2:$L$560,11,FALSE),IF($B89 = "Test",VLOOKUP($C89,Tests!$A$2:$L$841,11,FALSE),VLOOKUP($C89,Questions!$A$3:$N$174,13,FALSE)))</f>
        <v xml:space="preserve">
</v>
      </c>
      <c r="G89" s="187"/>
      <c r="H89" s="202"/>
    </row>
    <row r="90" spans="2:8" ht="12.75">
      <c r="B90" s="114" t="s">
        <v>4590</v>
      </c>
      <c r="C90" s="9">
        <v>107</v>
      </c>
      <c r="D90" s="9" t="s">
        <v>707</v>
      </c>
      <c r="E90" s="9" t="str">
        <f>IF($B90 = "Mutant",VLOOKUP($C90,Mutants!$A$2:$L$560,12,FALSE),IF($B90 = "Test",VLOOKUP($C90,Tests!$A$2:$L$841,12,FALSE),VLOOKUP($C90,Questions!$A$3:$N$174,9,FALSE)))</f>
        <v>N</v>
      </c>
      <c r="F90" s="187" t="str">
        <f>IF($B90 = "Mutant",VLOOKUP($C90,Mutants!$A$2:$L$560,11,FALSE),IF($B90 = "Test",VLOOKUP($C90,Tests!$A$2:$L$841,11,FALSE),VLOOKUP($C90,Questions!$A$3:$N$174,13,FALSE)))</f>
        <v xml:space="preserve">
</v>
      </c>
      <c r="G90" s="187"/>
      <c r="H90" s="202"/>
    </row>
    <row r="91" spans="2:8" ht="12.75">
      <c r="B91" s="114" t="s">
        <v>4590</v>
      </c>
      <c r="C91" s="9">
        <v>110</v>
      </c>
      <c r="D91" s="9" t="s">
        <v>713</v>
      </c>
      <c r="E91" s="9" t="str">
        <f>IF($B91 = "Mutant",VLOOKUP($C91,Mutants!$A$2:$L$560,12,FALSE),IF($B91 = "Test",VLOOKUP($C91,Tests!$A$2:$L$841,12,FALSE),VLOOKUP($C91,Questions!$A$3:$N$174,9,FALSE)))</f>
        <v>N</v>
      </c>
      <c r="F91" s="187" t="str">
        <f>IF($B91 = "Mutant",VLOOKUP($C91,Mutants!$A$2:$L$560,11,FALSE),IF($B91 = "Test",VLOOKUP($C91,Tests!$A$2:$L$841,11,FALSE),VLOOKUP($C91,Questions!$A$3:$N$174,13,FALSE)))</f>
        <v xml:space="preserve">
</v>
      </c>
      <c r="G91" s="187"/>
      <c r="H91" s="202"/>
    </row>
    <row r="92" spans="2:8" ht="12.75">
      <c r="B92" s="114" t="s">
        <v>4590</v>
      </c>
      <c r="C92" s="9">
        <v>115</v>
      </c>
      <c r="D92" s="9" t="s">
        <v>728</v>
      </c>
      <c r="E92" s="9" t="str">
        <f>IF($B92 = "Mutant",VLOOKUP($C92,Mutants!$A$2:$L$560,12,FALSE),IF($B92 = "Test",VLOOKUP($C92,Tests!$A$2:$L$841,12,FALSE),VLOOKUP($C92,Questions!$A$3:$N$174,9,FALSE)))</f>
        <v>Y</v>
      </c>
      <c r="F92" s="187" t="str">
        <f>IF($B92 = "Mutant",VLOOKUP($C92,Mutants!$A$2:$L$560,11,FALSE),IF($B92 = "Test",VLOOKUP($C92,Tests!$A$2:$L$841,11,FALSE),VLOOKUP($C92,Questions!$A$3:$N$174,13,FALSE)))</f>
        <v xml:space="preserve">getOption, stripLeadingHyphens
</v>
      </c>
      <c r="G92" s="187"/>
      <c r="H92" s="202"/>
    </row>
    <row r="93" spans="2:8" ht="12.75">
      <c r="B93" s="114" t="s">
        <v>4590</v>
      </c>
      <c r="C93" s="9">
        <v>249</v>
      </c>
      <c r="D93" s="9" t="s">
        <v>1093</v>
      </c>
      <c r="E93" s="9" t="str">
        <f>IF($B93 = "Mutant",VLOOKUP($C93,Mutants!$A$2:$L$560,12,FALSE),IF($B93 = "Test",VLOOKUP($C93,Tests!$A$2:$L$841,12,FALSE),VLOOKUP($C93,Questions!$A$3:$N$174,9,FALSE)))</f>
        <v>N</v>
      </c>
      <c r="F93" s="187" t="str">
        <f>IF($B93 = "Mutant",VLOOKUP($C93,Mutants!$A$2:$L$560,11,FALSE),IF($B93 = "Test",VLOOKUP($C93,Tests!$A$2:$L$841,11,FALSE),VLOOKUP($C93,Questions!$A$3:$N$174,13,FALSE)))</f>
        <v xml:space="preserve">
</v>
      </c>
      <c r="G93" s="187"/>
      <c r="H93" s="202"/>
    </row>
    <row r="94" spans="2:8" ht="12.75">
      <c r="B94" s="114" t="s">
        <v>4590</v>
      </c>
      <c r="C94" s="9">
        <v>253</v>
      </c>
      <c r="D94" s="9" t="s">
        <v>1104</v>
      </c>
      <c r="E94" s="9" t="str">
        <f>IF($B94 = "Mutant",VLOOKUP($C94,Mutants!$A$2:$L$560,12,FALSE),IF($B94 = "Test",VLOOKUP($C94,Tests!$A$2:$L$841,12,FALSE),VLOOKUP($C94,Questions!$A$3:$N$174,9,FALSE)))</f>
        <v>N</v>
      </c>
      <c r="F94" s="187" t="str">
        <f>IF($B94 = "Mutant",VLOOKUP($C94,Mutants!$A$2:$L$560,11,FALSE),IF($B94 = "Test",VLOOKUP($C94,Tests!$A$2:$L$841,11,FALSE),VLOOKUP($C94,Questions!$A$3:$N$174,13,FALSE)))</f>
        <v xml:space="preserve">
</v>
      </c>
      <c r="G94" s="187"/>
      <c r="H94" s="202"/>
    </row>
    <row r="95" spans="2:8" ht="12.75">
      <c r="B95" s="114" t="s">
        <v>4590</v>
      </c>
      <c r="C95" s="9">
        <v>261</v>
      </c>
      <c r="D95" s="9" t="s">
        <v>1128</v>
      </c>
      <c r="E95" s="9" t="str">
        <f>IF($B95 = "Mutant",VLOOKUP($C95,Mutants!$A$2:$L$560,12,FALSE),IF($B95 = "Test",VLOOKUP($C95,Tests!$A$2:$L$841,12,FALSE),VLOOKUP($C95,Questions!$A$3:$N$174,9,FALSE)))</f>
        <v>N</v>
      </c>
      <c r="F95" s="187" t="str">
        <f>IF($B95 = "Mutant",VLOOKUP($C95,Mutants!$A$2:$L$560,11,FALSE),IF($B95 = "Test",VLOOKUP($C95,Tests!$A$2:$L$841,11,FALSE),VLOOKUP($C95,Questions!$A$3:$N$174,13,FALSE)))</f>
        <v xml:space="preserve">
</v>
      </c>
      <c r="G95" s="187"/>
      <c r="H95" s="202"/>
    </row>
    <row r="96" spans="2:8" ht="12.75">
      <c r="B96" s="114" t="s">
        <v>4590</v>
      </c>
      <c r="C96" s="9">
        <v>263</v>
      </c>
      <c r="D96" s="9" t="s">
        <v>1130</v>
      </c>
      <c r="E96" s="9" t="str">
        <f>IF($B96 = "Mutant",VLOOKUP($C96,Mutants!$A$2:$L$560,12,FALSE),IF($B96 = "Test",VLOOKUP($C96,Tests!$A$2:$L$841,12,FALSE),VLOOKUP($C96,Questions!$A$3:$N$174,9,FALSE)))</f>
        <v>N</v>
      </c>
      <c r="F96" s="187" t="str">
        <f>IF($B96 = "Mutant",VLOOKUP($C96,Mutants!$A$2:$L$560,11,FALSE),IF($B96 = "Test",VLOOKUP($C96,Tests!$A$2:$L$841,11,FALSE),VLOOKUP($C96,Questions!$A$3:$N$174,13,FALSE)))</f>
        <v xml:space="preserve">
</v>
      </c>
      <c r="G96" s="187"/>
      <c r="H96" s="202"/>
    </row>
    <row r="97" spans="2:8" ht="12.75">
      <c r="B97" s="114" t="s">
        <v>4590</v>
      </c>
      <c r="C97" s="9">
        <v>265</v>
      </c>
      <c r="D97" s="9" t="s">
        <v>1135</v>
      </c>
      <c r="E97" s="9" t="str">
        <f>IF($B97 = "Mutant",VLOOKUP($C97,Mutants!$A$2:$L$560,12,FALSE),IF($B97 = "Test",VLOOKUP($C97,Tests!$A$2:$L$841,12,FALSE),VLOOKUP($C97,Questions!$A$3:$N$174,9,FALSE)))</f>
        <v>N</v>
      </c>
      <c r="F97" s="187" t="str">
        <f>IF($B97 = "Mutant",VLOOKUP($C97,Mutants!$A$2:$L$560,11,FALSE),IF($B97 = "Test",VLOOKUP($C97,Tests!$A$2:$L$841,11,FALSE),VLOOKUP($C97,Questions!$A$3:$N$174,13,FALSE)))</f>
        <v xml:space="preserve">
</v>
      </c>
      <c r="G97" s="187"/>
      <c r="H97" s="202"/>
    </row>
    <row r="98" spans="2:8" ht="12.75">
      <c r="B98" s="114" t="s">
        <v>4590</v>
      </c>
      <c r="C98" s="9">
        <v>319</v>
      </c>
      <c r="D98" s="9" t="s">
        <v>1293</v>
      </c>
      <c r="E98" s="9" t="str">
        <f>IF($B98 = "Mutant",VLOOKUP($C98,Mutants!$A$2:$L$560,12,FALSE),IF($B98 = "Test",VLOOKUP($C98,Tests!$A$2:$L$841,12,FALSE),VLOOKUP($C98,Questions!$A$3:$N$174,9,FALSE)))</f>
        <v>N</v>
      </c>
      <c r="F98" s="187" t="str">
        <f>IF($B98 = "Mutant",VLOOKUP($C98,Mutants!$A$2:$L$560,11,FALSE),IF($B98 = "Test",VLOOKUP($C98,Tests!$A$2:$L$841,11,FALSE),VLOOKUP($C98,Questions!$A$3:$N$174,13,FALSE)))</f>
        <v xml:space="preserve">
</v>
      </c>
      <c r="G98" s="187"/>
      <c r="H98" s="202"/>
    </row>
    <row r="99" spans="2:8" ht="12.75">
      <c r="B99" s="114" t="s">
        <v>4590</v>
      </c>
      <c r="C99" s="9">
        <v>419</v>
      </c>
      <c r="D99" s="9" t="s">
        <v>1588</v>
      </c>
      <c r="E99" s="9" t="str">
        <f>IF($B99 = "Mutant",VLOOKUP($C99,Mutants!$A$2:$L$560,12,FALSE),IF($B99 = "Test",VLOOKUP($C99,Tests!$A$2:$L$841,12,FALSE),VLOOKUP($C99,Questions!$A$3:$N$174,9,FALSE)))</f>
        <v>N</v>
      </c>
      <c r="F99" s="187" t="str">
        <f>IF($B99 = "Mutant",VLOOKUP($C99,Mutants!$A$2:$L$560,11,FALSE),IF($B99 = "Test",VLOOKUP($C99,Tests!$A$2:$L$841,11,FALSE),VLOOKUP($C99,Questions!$A$3:$N$174,13,FALSE)))</f>
        <v xml:space="preserve">
</v>
      </c>
      <c r="G99" s="187"/>
      <c r="H99" s="202"/>
    </row>
    <row r="100" spans="2:8" ht="12.75">
      <c r="B100" s="114" t="s">
        <v>4590</v>
      </c>
      <c r="C100" s="9">
        <v>423</v>
      </c>
      <c r="D100" s="9" t="s">
        <v>1603</v>
      </c>
      <c r="E100" s="9" t="str">
        <f>IF($B100 = "Mutant",VLOOKUP($C100,Mutants!$A$2:$L$560,12,FALSE),IF($B100 = "Test",VLOOKUP($C100,Tests!$A$2:$L$841,12,FALSE),VLOOKUP($C100,Questions!$A$3:$N$174,9,FALSE)))</f>
        <v>N</v>
      </c>
      <c r="F100" s="187" t="str">
        <f>IF($B100 = "Mutant",VLOOKUP($C100,Mutants!$A$2:$L$560,11,FALSE),IF($B100 = "Test",VLOOKUP($C100,Tests!$A$2:$L$841,11,FALSE),VLOOKUP($C100,Questions!$A$3:$N$174,13,FALSE)))</f>
        <v xml:space="preserve">
</v>
      </c>
      <c r="G100" s="187"/>
      <c r="H100" s="202"/>
    </row>
    <row r="101" spans="2:8" ht="12.75">
      <c r="B101" s="114" t="s">
        <v>4590</v>
      </c>
      <c r="C101" s="9">
        <v>437</v>
      </c>
      <c r="D101" s="9" t="s">
        <v>1647</v>
      </c>
      <c r="E101" s="9" t="str">
        <f>IF($B101 = "Mutant",VLOOKUP($C101,Mutants!$A$2:$L$560,12,FALSE),IF($B101 = "Test",VLOOKUP($C101,Tests!$A$2:$L$841,12,FALSE),VLOOKUP($C101,Questions!$A$3:$N$174,9,FALSE)))</f>
        <v>N</v>
      </c>
      <c r="F101" s="187" t="str">
        <f>IF($B101 = "Mutant",VLOOKUP($C101,Mutants!$A$2:$L$560,11,FALSE),IF($B101 = "Test",VLOOKUP($C101,Tests!$A$2:$L$841,11,FALSE),VLOOKUP($C101,Questions!$A$3:$N$174,13,FALSE)))</f>
        <v xml:space="preserve">
</v>
      </c>
      <c r="G101" s="187"/>
      <c r="H101" s="202"/>
    </row>
    <row r="102" spans="2:8" ht="12.75">
      <c r="B102" s="133" t="s">
        <v>4589</v>
      </c>
      <c r="C102" s="130">
        <v>357</v>
      </c>
      <c r="D102" s="130" t="s">
        <v>3802</v>
      </c>
      <c r="E102" s="130" t="str">
        <f>IF($B102 = "Mutant",VLOOKUP($C102,Mutants!$A$2:$L$560,12,FALSE),IF($B102 = "Test",VLOOKUP($C102,Tests!$A$2:$L$841,12,FALSE),VLOOKUP($C102,Questions!$A$3:$N$174,9,FALSE)))</f>
        <v>Y</v>
      </c>
      <c r="F102" s="203" t="str">
        <f>IF($B102 = "Mutant",VLOOKUP($C102,Mutants!$A$2:$L$560,11,FALSE),IF($B102 = "Test",VLOOKUP($C102,Tests!$A$2:$L$841,11,FALSE),VLOOKUP($C102,Questions!$A$3:$N$174,13,FALSE)))</f>
        <v xml:space="preserve">hasLongOption
</v>
      </c>
      <c r="G102" s="203"/>
      <c r="H102" s="204"/>
    </row>
    <row r="103" spans="2:8" ht="15.75" customHeight="1">
      <c r="E103" s="9"/>
      <c r="F103" s="187"/>
      <c r="G103" s="187"/>
      <c r="H103" s="187"/>
    </row>
    <row r="104" spans="2:8" ht="15.75" customHeight="1">
      <c r="E104" s="9"/>
      <c r="F104" s="187"/>
      <c r="G104" s="187"/>
      <c r="H104" s="187"/>
    </row>
    <row r="105" spans="2:8" ht="13.5" thickBot="1">
      <c r="B105" s="219" t="s">
        <v>4604</v>
      </c>
      <c r="C105" s="201"/>
      <c r="D105" s="45">
        <v>187</v>
      </c>
      <c r="E105" s="9"/>
      <c r="F105" s="187"/>
      <c r="G105" s="187"/>
      <c r="H105" s="187"/>
    </row>
    <row r="106" spans="2:8" ht="13.5" thickTop="1">
      <c r="B106" s="134" t="s">
        <v>4594</v>
      </c>
      <c r="C106" s="135" t="s">
        <v>44</v>
      </c>
      <c r="D106" s="135" t="s">
        <v>110</v>
      </c>
      <c r="E106" s="136" t="s">
        <v>2</v>
      </c>
      <c r="F106" s="229" t="s">
        <v>4612</v>
      </c>
      <c r="G106" s="229"/>
      <c r="H106" s="230"/>
    </row>
    <row r="107" spans="2:8" ht="12.75">
      <c r="B107" s="137" t="s">
        <v>4589</v>
      </c>
      <c r="C107" s="93">
        <v>127</v>
      </c>
      <c r="D107" s="93" t="s">
        <v>3168</v>
      </c>
      <c r="E107" s="93" t="str">
        <f>IF($B107 = "Mutant",VLOOKUP($C107,Mutants!$A$2:$L$560,12,FALSE),IF($B107 = "Test",VLOOKUP($C107,Tests!$A$2:$L$841,12,FALSE),VLOOKUP($C107,Questions!$A$3:$N$174,9,FALSE)))</f>
        <v>Y</v>
      </c>
      <c r="F107" s="205" t="str">
        <f>IF($B107 = "Mutant",VLOOKUP($C107,Mutants!$A$2:$L$560,11,FALSE),IF($B107 = "Test",VLOOKUP($C107,Tests!$A$2:$L$841,11,FALSE),VLOOKUP($C107,Questions!$A$3:$N$174,13,FALSE)))</f>
        <v xml:space="preserve">hasLongOption
</v>
      </c>
      <c r="G107" s="205"/>
      <c r="H107" s="206"/>
    </row>
    <row r="108" spans="2:8" ht="12.75">
      <c r="B108" s="114" t="s">
        <v>4589</v>
      </c>
      <c r="C108" s="9">
        <v>143</v>
      </c>
      <c r="D108" s="9" t="s">
        <v>3215</v>
      </c>
      <c r="E108" s="9" t="str">
        <f>IF($B108 = "Mutant",VLOOKUP($C108,Mutants!$A$2:$L$560,12,FALSE),IF($B108 = "Test",VLOOKUP($C108,Tests!$A$2:$L$841,12,FALSE),VLOOKUP($C108,Questions!$A$3:$N$174,9,FALSE)))</f>
        <v>Y</v>
      </c>
      <c r="F108" s="187" t="str">
        <f>IF($B108 = "Mutant",VLOOKUP($C108,Mutants!$A$2:$L$560,11,FALSE),IF($B108 = "Test",VLOOKUP($C108,Tests!$A$2:$L$841,11,FALSE),VLOOKUP($C108,Questions!$A$3:$N$174,13,FALSE)))</f>
        <v xml:space="preserve">toString
</v>
      </c>
      <c r="G108" s="187"/>
      <c r="H108" s="202"/>
    </row>
    <row r="109" spans="2:8" ht="12.75">
      <c r="B109" s="114" t="s">
        <v>4589</v>
      </c>
      <c r="C109" s="9">
        <v>164</v>
      </c>
      <c r="D109" s="9" t="s">
        <v>3275</v>
      </c>
      <c r="E109" s="9" t="str">
        <f>IF($B109 = "Mutant",VLOOKUP($C109,Mutants!$A$2:$L$560,12,FALSE),IF($B109 = "Test",VLOOKUP($C109,Tests!$A$2:$L$841,12,FALSE),VLOOKUP($C109,Questions!$A$3:$N$174,9,FALSE)))</f>
        <v>Y</v>
      </c>
      <c r="F109" s="187" t="str">
        <f>IF($B109 = "Mutant",VLOOKUP($C109,Mutants!$A$2:$L$560,11,FALSE),IF($B109 = "Test",VLOOKUP($C109,Tests!$A$2:$L$841,11,FALSE),VLOOKUP($C109,Questions!$A$3:$N$174,13,FALSE)))</f>
        <v xml:space="preserve">addOptionGroup
</v>
      </c>
      <c r="G109" s="187"/>
      <c r="H109" s="202"/>
    </row>
    <row r="110" spans="2:8" ht="12.75">
      <c r="B110" s="114" t="s">
        <v>4589</v>
      </c>
      <c r="C110" s="9">
        <v>179</v>
      </c>
      <c r="D110" s="9" t="s">
        <v>3316</v>
      </c>
      <c r="E110" s="9" t="str">
        <f>IF($B110 = "Mutant",VLOOKUP($C110,Mutants!$A$2:$L$560,12,FALSE),IF($B110 = "Test",VLOOKUP($C110,Tests!$A$2:$L$841,12,FALSE),VLOOKUP($C110,Questions!$A$3:$N$174,9,FALSE)))</f>
        <v>N</v>
      </c>
      <c r="F110" s="187" t="str">
        <f>IF($B110 = "Mutant",VLOOKUP($C110,Mutants!$A$2:$L$560,11,FALSE),IF($B110 = "Test",VLOOKUP($C110,Tests!$A$2:$L$841,11,FALSE),VLOOKUP($C110,Questions!$A$3:$N$174,13,FALSE)))</f>
        <v xml:space="preserve">
</v>
      </c>
      <c r="G110" s="187"/>
      <c r="H110" s="202"/>
    </row>
    <row r="111" spans="2:8" ht="12.75">
      <c r="B111" s="114" t="s">
        <v>4589</v>
      </c>
      <c r="C111" s="9">
        <v>244</v>
      </c>
      <c r="D111" s="9" t="s">
        <v>3496</v>
      </c>
      <c r="E111" s="9" t="str">
        <f>IF($B111 = "Mutant",VLOOKUP($C111,Mutants!$A$2:$L$560,12,FALSE),IF($B111 = "Test",VLOOKUP($C111,Tests!$A$2:$L$841,12,FALSE),VLOOKUP($C111,Questions!$A$3:$N$174,9,FALSE)))</f>
        <v>N</v>
      </c>
      <c r="F111" s="187" t="str">
        <f>IF($B111 = "Mutant",VLOOKUP($C111,Mutants!$A$2:$L$560,11,FALSE),IF($B111 = "Test",VLOOKUP($C111,Tests!$A$2:$L$841,11,FALSE),VLOOKUP($C111,Questions!$A$3:$N$174,13,FALSE)))</f>
        <v xml:space="preserve">
</v>
      </c>
      <c r="G111" s="187"/>
      <c r="H111" s="202"/>
    </row>
    <row r="112" spans="2:8" ht="12.75">
      <c r="B112" s="114" t="s">
        <v>4589</v>
      </c>
      <c r="C112" s="9">
        <v>248</v>
      </c>
      <c r="D112" s="9" t="s">
        <v>3511</v>
      </c>
      <c r="E112" s="9" t="str">
        <f>IF($B112 = "Mutant",VLOOKUP($C112,Mutants!$A$2:$L$560,12,FALSE),IF($B112 = "Test",VLOOKUP($C112,Tests!$A$2:$L$841,12,FALSE),VLOOKUP($C112,Questions!$A$3:$N$174,9,FALSE)))</f>
        <v>Y</v>
      </c>
      <c r="F112" s="187" t="str">
        <f>IF($B112 = "Mutant",VLOOKUP($C112,Mutants!$A$2:$L$560,11,FALSE),IF($B112 = "Test",VLOOKUP($C112,Tests!$A$2:$L$841,11,FALSE),VLOOKUP($C112,Questions!$A$3:$N$174,13,FALSE)))</f>
        <v xml:space="preserve">addOptionGroup
</v>
      </c>
      <c r="G112" s="187"/>
      <c r="H112" s="202"/>
    </row>
    <row r="113" spans="2:8" ht="12.75">
      <c r="B113" s="114" t="s">
        <v>4589</v>
      </c>
      <c r="C113" s="9">
        <v>270</v>
      </c>
      <c r="D113" s="9" t="s">
        <v>3566</v>
      </c>
      <c r="E113" s="9" t="str">
        <f>IF($B113 = "Mutant",VLOOKUP($C113,Mutants!$A$2:$L$560,12,FALSE),IF($B113 = "Test",VLOOKUP($C113,Tests!$A$2:$L$841,12,FALSE),VLOOKUP($C113,Questions!$A$3:$N$174,9,FALSE)))</f>
        <v>Y</v>
      </c>
      <c r="F113" s="187" t="str">
        <f>IF($B113 = "Mutant",VLOOKUP($C113,Mutants!$A$2:$L$560,11,FALSE),IF($B113 = "Test",VLOOKUP($C113,Tests!$A$2:$L$841,11,FALSE),VLOOKUP($C113,Questions!$A$3:$N$174,13,FALSE)))</f>
        <v xml:space="preserve">addOption
</v>
      </c>
      <c r="G113" s="187"/>
      <c r="H113" s="202"/>
    </row>
    <row r="114" spans="2:8" ht="12.75">
      <c r="B114" s="114" t="s">
        <v>4590</v>
      </c>
      <c r="C114" s="9">
        <v>225</v>
      </c>
      <c r="D114" s="9" t="s">
        <v>183</v>
      </c>
      <c r="E114" s="9" t="str">
        <f>IF($B114 = "Mutant",VLOOKUP($C114,Mutants!$A$2:$L$560,12,FALSE),IF($B114 = "Test",VLOOKUP($C114,Tests!$A$2:$L$841,12,FALSE),VLOOKUP($C114,Questions!$A$3:$N$174,9,FALSE)))</f>
        <v>Y</v>
      </c>
      <c r="F114" s="187" t="str">
        <f>IF($B114 = "Mutant",VLOOKUP($C114,Mutants!$A$2:$L$560,11,FALSE),IF($B114 = "Test",VLOOKUP($C114,Tests!$A$2:$L$841,11,FALSE),VLOOKUP($C114,Questions!$A$3:$N$174,13,FALSE)))</f>
        <v xml:space="preserve">
</v>
      </c>
      <c r="G114" s="187"/>
      <c r="H114" s="202"/>
    </row>
    <row r="115" spans="2:8" ht="12.75">
      <c r="B115" s="114" t="s">
        <v>4590</v>
      </c>
      <c r="C115" s="9">
        <v>257</v>
      </c>
      <c r="D115" s="9" t="s">
        <v>1116</v>
      </c>
      <c r="E115" s="9" t="str">
        <f>IF($B115 = "Mutant",VLOOKUP($C115,Mutants!$A$2:$L$560,12,FALSE),IF($B115 = "Test",VLOOKUP($C115,Tests!$A$2:$L$841,12,FALSE),VLOOKUP($C115,Questions!$A$3:$N$174,9,FALSE)))</f>
        <v>Y</v>
      </c>
      <c r="F115" s="187" t="str">
        <f>IF($B115 = "Mutant",VLOOKUP($C115,Mutants!$A$2:$L$560,11,FALSE),IF($B115 = "Test",VLOOKUP($C115,Tests!$A$2:$L$841,11,FALSE),VLOOKUP($C115,Questions!$A$3:$N$174,13,FALSE)))</f>
        <v xml:space="preserve">
</v>
      </c>
      <c r="G115" s="187"/>
      <c r="H115" s="202"/>
    </row>
    <row r="116" spans="2:8" ht="12.75">
      <c r="B116" s="133" t="s">
        <v>4590</v>
      </c>
      <c r="C116" s="130">
        <v>287</v>
      </c>
      <c r="D116" s="130" t="s">
        <v>1195</v>
      </c>
      <c r="E116" s="130" t="str">
        <f>IF($B116 = "Mutant",VLOOKUP($C116,Mutants!$A$2:$L$560,12,FALSE),IF($B116 = "Test",VLOOKUP($C116,Tests!$A$2:$L$841,12,FALSE),VLOOKUP($C116,Questions!$A$3:$N$174,9,FALSE)))</f>
        <v>Y</v>
      </c>
      <c r="F116" s="203" t="str">
        <f>IF($B116 = "Mutant",VLOOKUP($C116,Mutants!$A$2:$L$560,11,FALSE),IF($B116 = "Test",VLOOKUP($C116,Tests!$A$2:$L$841,11,FALSE),VLOOKUP($C116,Questions!$A$3:$N$174,13,FALSE)))</f>
        <v xml:space="preserve">
</v>
      </c>
      <c r="G116" s="203"/>
      <c r="H116" s="204"/>
    </row>
    <row r="117" spans="2:8" ht="15.75" customHeight="1">
      <c r="E117" s="9"/>
      <c r="F117" s="187"/>
      <c r="G117" s="187"/>
      <c r="H117" s="187"/>
    </row>
    <row r="118" spans="2:8" ht="15.75" customHeight="1">
      <c r="E118" s="9"/>
      <c r="F118" s="187"/>
      <c r="G118" s="187"/>
      <c r="H118" s="187"/>
    </row>
    <row r="119" spans="2:8" ht="13.5" thickBot="1">
      <c r="B119" s="219" t="s">
        <v>4604</v>
      </c>
      <c r="C119" s="201"/>
      <c r="D119" s="45">
        <v>188</v>
      </c>
      <c r="E119" s="9"/>
      <c r="F119" s="187"/>
      <c r="G119" s="187"/>
      <c r="H119" s="187"/>
    </row>
    <row r="120" spans="2:8" ht="13.5" thickTop="1">
      <c r="B120" s="134" t="s">
        <v>4594</v>
      </c>
      <c r="C120" s="135" t="s">
        <v>44</v>
      </c>
      <c r="D120" s="135" t="s">
        <v>110</v>
      </c>
      <c r="E120" s="136" t="s">
        <v>2</v>
      </c>
      <c r="F120" s="229" t="s">
        <v>4612</v>
      </c>
      <c r="G120" s="229"/>
      <c r="H120" s="230"/>
    </row>
    <row r="121" spans="2:8" ht="12.75">
      <c r="B121" s="137" t="s">
        <v>4589</v>
      </c>
      <c r="C121" s="93">
        <v>109</v>
      </c>
      <c r="D121" s="93" t="s">
        <v>3115</v>
      </c>
      <c r="E121" s="93" t="str">
        <f>IF($B121 = "Mutant",VLOOKUP($C121,Mutants!$A$2:$L$560,12,FALSE),IF($B121 = "Test",VLOOKUP($C121,Tests!$A$2:$L$841,12,FALSE),VLOOKUP($C121,Questions!$A$3:$N$174,9,FALSE)))</f>
        <v>N</v>
      </c>
      <c r="F121" s="205" t="str">
        <f>IF($B121 = "Mutant",VLOOKUP($C121,Mutants!$A$2:$L$560,11,FALSE),IF($B121 = "Test",VLOOKUP($C121,Tests!$A$2:$L$841,11,FALSE),VLOOKUP($C121,Questions!$A$3:$N$174,13,FALSE)))</f>
        <v xml:space="preserve">
</v>
      </c>
      <c r="G121" s="205"/>
      <c r="H121" s="206"/>
    </row>
    <row r="122" spans="2:8" ht="12.75">
      <c r="B122" s="114" t="s">
        <v>4589</v>
      </c>
      <c r="C122" s="9">
        <v>112</v>
      </c>
      <c r="D122" s="9" t="s">
        <v>3124</v>
      </c>
      <c r="E122" s="9" t="str">
        <f>IF($B122 = "Mutant",VLOOKUP($C122,Mutants!$A$2:$L$560,12,FALSE),IF($B122 = "Test",VLOOKUP($C122,Tests!$A$2:$L$841,12,FALSE),VLOOKUP($C122,Questions!$A$3:$N$174,9,FALSE)))</f>
        <v>Y</v>
      </c>
      <c r="F122" s="187" t="str">
        <f>IF($B122 = "Mutant",VLOOKUP($C122,Mutants!$A$2:$L$560,11,FALSE),IF($B122 = "Test",VLOOKUP($C122,Tests!$A$2:$L$841,11,FALSE),VLOOKUP($C122,Questions!$A$3:$N$174,13,FALSE)))</f>
        <v xml:space="preserve">hasShortOption
</v>
      </c>
      <c r="G122" s="187"/>
      <c r="H122" s="202"/>
    </row>
    <row r="123" spans="2:8" ht="12.75">
      <c r="B123" s="114" t="s">
        <v>4589</v>
      </c>
      <c r="C123" s="9">
        <v>122</v>
      </c>
      <c r="D123" s="9" t="s">
        <v>3155</v>
      </c>
      <c r="E123" s="9" t="str">
        <f>IF($B123 = "Mutant",VLOOKUP($C123,Mutants!$A$2:$L$560,12,FALSE),IF($B123 = "Test",VLOOKUP($C123,Tests!$A$2:$L$841,12,FALSE),VLOOKUP($C123,Questions!$A$3:$N$174,9,FALSE)))</f>
        <v>Y</v>
      </c>
      <c r="F123" s="187" t="str">
        <f>IF($B123 = "Mutant",VLOOKUP($C123,Mutants!$A$2:$L$560,11,FALSE),IF($B123 = "Test",VLOOKUP($C123,Tests!$A$2:$L$841,11,FALSE),VLOOKUP($C123,Questions!$A$3:$N$174,13,FALSE)))</f>
        <v xml:space="preserve">getMatchingOptions
</v>
      </c>
      <c r="G123" s="187"/>
      <c r="H123" s="202"/>
    </row>
    <row r="124" spans="2:8" ht="12.75">
      <c r="B124" s="114" t="s">
        <v>4589</v>
      </c>
      <c r="C124" s="9">
        <v>132</v>
      </c>
      <c r="D124" s="9" t="s">
        <v>3184</v>
      </c>
      <c r="E124" s="9" t="str">
        <f>IF($B124 = "Mutant",VLOOKUP($C124,Mutants!$A$2:$L$560,12,FALSE),IF($B124 = "Test",VLOOKUP($C124,Tests!$A$2:$L$841,12,FALSE),VLOOKUP($C124,Questions!$A$3:$N$174,9,FALSE)))</f>
        <v>Y</v>
      </c>
      <c r="F124" s="187" t="str">
        <f>IF($B124 = "Mutant",VLOOKUP($C124,Mutants!$A$2:$L$560,11,FALSE),IF($B124 = "Test",VLOOKUP($C124,Tests!$A$2:$L$841,11,FALSE),VLOOKUP($C124,Questions!$A$3:$N$174,13,FALSE)))</f>
        <v xml:space="preserve">getOption
</v>
      </c>
      <c r="G124" s="187"/>
      <c r="H124" s="202"/>
    </row>
    <row r="125" spans="2:8" ht="12.75">
      <c r="B125" s="114" t="s">
        <v>4589</v>
      </c>
      <c r="C125" s="9">
        <v>145</v>
      </c>
      <c r="D125" s="9" t="s">
        <v>3218</v>
      </c>
      <c r="E125" s="9" t="str">
        <f>IF($B125 = "Mutant",VLOOKUP($C125,Mutants!$A$2:$L$560,12,FALSE),IF($B125 = "Test",VLOOKUP($C125,Tests!$A$2:$L$841,12,FALSE),VLOOKUP($C125,Questions!$A$3:$N$174,9,FALSE)))</f>
        <v>Y</v>
      </c>
      <c r="F125" s="187" t="str">
        <f>IF($B125 = "Mutant",VLOOKUP($C125,Mutants!$A$2:$L$560,11,FALSE),IF($B125 = "Test",VLOOKUP($C125,Tests!$A$2:$L$841,11,FALSE),VLOOKUP($C125,Questions!$A$3:$N$174,13,FALSE)))</f>
        <v xml:space="preserve">getMatchingOptions
</v>
      </c>
      <c r="G125" s="187"/>
      <c r="H125" s="202"/>
    </row>
    <row r="126" spans="2:8" ht="12.75">
      <c r="B126" s="114" t="s">
        <v>4589</v>
      </c>
      <c r="C126" s="9">
        <v>152</v>
      </c>
      <c r="D126" s="9" t="s">
        <v>3241</v>
      </c>
      <c r="E126" s="9" t="str">
        <f>IF($B126 = "Mutant",VLOOKUP($C126,Mutants!$A$2:$L$560,12,FALSE),IF($B126 = "Test",VLOOKUP($C126,Tests!$A$2:$L$841,12,FALSE),VLOOKUP($C126,Questions!$A$3:$N$174,9,FALSE)))</f>
        <v>Y</v>
      </c>
      <c r="F126" s="187" t="str">
        <f>IF($B126 = "Mutant",VLOOKUP($C126,Mutants!$A$2:$L$560,11,FALSE),IF($B126 = "Test",VLOOKUP($C126,Tests!$A$2:$L$841,11,FALSE),VLOOKUP($C126,Questions!$A$3:$N$174,13,FALSE)))</f>
        <v xml:space="preserve">stripLeadingHyphens
</v>
      </c>
      <c r="G126" s="187"/>
      <c r="H126" s="202"/>
    </row>
    <row r="127" spans="2:8" ht="12.75">
      <c r="B127" s="114" t="s">
        <v>4589</v>
      </c>
      <c r="C127" s="9">
        <v>171</v>
      </c>
      <c r="D127" s="9" t="s">
        <v>3296</v>
      </c>
      <c r="E127" s="9" t="str">
        <f>IF($B127 = "Mutant",VLOOKUP($C127,Mutants!$A$2:$L$560,12,FALSE),IF($B127 = "Test",VLOOKUP($C127,Tests!$A$2:$L$841,12,FALSE),VLOOKUP($C127,Questions!$A$3:$N$174,9,FALSE)))</f>
        <v>Y</v>
      </c>
      <c r="F127" s="187" t="str">
        <f>IF($B127 = "Mutant",VLOOKUP($C127,Mutants!$A$2:$L$560,11,FALSE),IF($B127 = "Test",VLOOKUP($C127,Tests!$A$2:$L$841,11,FALSE),VLOOKUP($C127,Questions!$A$3:$N$174,13,FALSE)))</f>
        <v xml:space="preserve">getMatchingOptions
</v>
      </c>
      <c r="G127" s="187"/>
      <c r="H127" s="202"/>
    </row>
    <row r="128" spans="2:8" ht="12.75">
      <c r="B128" s="114" t="s">
        <v>4589</v>
      </c>
      <c r="C128" s="9">
        <v>190</v>
      </c>
      <c r="D128" s="9" t="s">
        <v>3348</v>
      </c>
      <c r="E128" s="9" t="str">
        <f>IF($B128 = "Mutant",VLOOKUP($C128,Mutants!$A$2:$L$560,12,FALSE),IF($B128 = "Test",VLOOKUP($C128,Tests!$A$2:$L$841,12,FALSE),VLOOKUP($C128,Questions!$A$3:$N$174,9,FALSE)))</f>
        <v>Y</v>
      </c>
      <c r="F128" s="187" t="str">
        <f>IF($B128 = "Mutant",VLOOKUP($C128,Mutants!$A$2:$L$560,11,FALSE),IF($B128 = "Test",VLOOKUP($C128,Tests!$A$2:$L$841,11,FALSE),VLOOKUP($C128,Questions!$A$3:$N$174,13,FALSE)))</f>
        <v xml:space="preserve">addOption
</v>
      </c>
      <c r="G128" s="187"/>
      <c r="H128" s="202"/>
    </row>
    <row r="129" spans="2:8" ht="12.75">
      <c r="B129" s="114" t="s">
        <v>4589</v>
      </c>
      <c r="C129" s="9">
        <v>198</v>
      </c>
      <c r="D129" s="9" t="s">
        <v>141</v>
      </c>
      <c r="E129" s="9" t="str">
        <f>IF($B129 = "Mutant",VLOOKUP($C129,Mutants!$A$2:$L$560,12,FALSE),IF($B129 = "Test",VLOOKUP($C129,Tests!$A$2:$L$841,12,FALSE),VLOOKUP($C129,Questions!$A$3:$N$174,9,FALSE)))</f>
        <v>Y</v>
      </c>
      <c r="F129" s="187" t="str">
        <f>IF($B129 = "Mutant",VLOOKUP($C129,Mutants!$A$2:$L$560,11,FALSE),IF($B129 = "Test",VLOOKUP($C129,Tests!$A$2:$L$841,11,FALSE),VLOOKUP($C129,Questions!$A$3:$N$174,13,FALSE)))</f>
        <v xml:space="preserve">addOption
</v>
      </c>
      <c r="G129" s="187"/>
      <c r="H129" s="202"/>
    </row>
    <row r="130" spans="2:8" ht="12.75">
      <c r="B130" s="114" t="s">
        <v>4589</v>
      </c>
      <c r="C130" s="9">
        <v>212</v>
      </c>
      <c r="D130" s="9" t="s">
        <v>3410</v>
      </c>
      <c r="E130" s="9" t="str">
        <f>IF($B130 = "Mutant",VLOOKUP($C130,Mutants!$A$2:$L$560,12,FALSE),IF($B130 = "Test",VLOOKUP($C130,Tests!$A$2:$L$841,12,FALSE),VLOOKUP($C130,Questions!$A$3:$N$174,9,FALSE)))</f>
        <v>Y</v>
      </c>
      <c r="F130" s="187" t="str">
        <f>IF($B130 = "Mutant",VLOOKUP($C130,Mutants!$A$2:$L$560,11,FALSE),IF($B130 = "Test",VLOOKUP($C130,Tests!$A$2:$L$841,11,FALSE),VLOOKUP($C130,Questions!$A$3:$N$174,13,FALSE)))</f>
        <v xml:space="preserve">hasOption
</v>
      </c>
      <c r="G130" s="187"/>
      <c r="H130" s="202"/>
    </row>
    <row r="131" spans="2:8" ht="12.75">
      <c r="B131" s="114" t="s">
        <v>4589</v>
      </c>
      <c r="C131" s="9">
        <v>227</v>
      </c>
      <c r="D131" s="9" t="s">
        <v>3450</v>
      </c>
      <c r="E131" s="9" t="str">
        <f>IF($B131 = "Mutant",VLOOKUP($C131,Mutants!$A$2:$L$560,12,FALSE),IF($B131 = "Test",VLOOKUP($C131,Tests!$A$2:$L$841,12,FALSE),VLOOKUP($C131,Questions!$A$3:$N$174,9,FALSE)))</f>
        <v>Y</v>
      </c>
      <c r="F131" s="187" t="str">
        <f>IF($B131 = "Mutant",VLOOKUP($C131,Mutants!$A$2:$L$560,11,FALSE),IF($B131 = "Test",VLOOKUP($C131,Tests!$A$2:$L$841,11,FALSE),VLOOKUP($C131,Questions!$A$3:$N$174,13,FALSE)))</f>
        <v xml:space="preserve">toString
</v>
      </c>
      <c r="G131" s="187"/>
      <c r="H131" s="202"/>
    </row>
    <row r="132" spans="2:8" ht="12.75">
      <c r="B132" s="114" t="s">
        <v>4589</v>
      </c>
      <c r="C132" s="9">
        <v>234</v>
      </c>
      <c r="D132" s="9" t="s">
        <v>3470</v>
      </c>
      <c r="E132" s="9" t="str">
        <f>IF($B132 = "Mutant",VLOOKUP($C132,Mutants!$A$2:$L$560,12,FALSE),IF($B132 = "Test",VLOOKUP($C132,Tests!$A$2:$L$841,12,FALSE),VLOOKUP($C132,Questions!$A$3:$N$174,9,FALSE)))</f>
        <v>Y</v>
      </c>
      <c r="F132" s="187" t="str">
        <f>IF($B132 = "Mutant",VLOOKUP($C132,Mutants!$A$2:$L$560,11,FALSE),IF($B132 = "Test",VLOOKUP($C132,Tests!$A$2:$L$841,11,FALSE),VLOOKUP($C132,Questions!$A$3:$N$174,13,FALSE)))</f>
        <v xml:space="preserve">getOptionGroups
</v>
      </c>
      <c r="G132" s="187"/>
      <c r="H132" s="202"/>
    </row>
    <row r="133" spans="2:8" ht="12.75">
      <c r="B133" s="114" t="s">
        <v>4589</v>
      </c>
      <c r="C133" s="9">
        <v>241</v>
      </c>
      <c r="D133" s="9" t="s">
        <v>3489</v>
      </c>
      <c r="E133" s="9" t="str">
        <f>IF($B133 = "Mutant",VLOOKUP($C133,Mutants!$A$2:$L$560,12,FALSE),IF($B133 = "Test",VLOOKUP($C133,Tests!$A$2:$L$841,12,FALSE),VLOOKUP($C133,Questions!$A$3:$N$174,9,FALSE)))</f>
        <v>Y</v>
      </c>
      <c r="F133" s="187" t="str">
        <f>IF($B133 = "Mutant",VLOOKUP($C133,Mutants!$A$2:$L$560,11,FALSE),IF($B133 = "Test",VLOOKUP($C133,Tests!$A$2:$L$841,11,FALSE),VLOOKUP($C133,Questions!$A$3:$N$174,13,FALSE)))</f>
        <v xml:space="preserve">getRequiredOptions
</v>
      </c>
      <c r="G133" s="187"/>
      <c r="H133" s="202"/>
    </row>
    <row r="134" spans="2:8" ht="12.75">
      <c r="B134" s="114" t="s">
        <v>4589</v>
      </c>
      <c r="C134" s="9">
        <v>247</v>
      </c>
      <c r="D134" s="9" t="s">
        <v>3508</v>
      </c>
      <c r="E134" s="9" t="str">
        <f>IF($B134 = "Mutant",VLOOKUP($C134,Mutants!$A$2:$L$560,12,FALSE),IF($B134 = "Test",VLOOKUP($C134,Tests!$A$2:$L$841,12,FALSE),VLOOKUP($C134,Questions!$A$3:$N$174,9,FALSE)))</f>
        <v>Y</v>
      </c>
      <c r="F134" s="187" t="str">
        <f>IF($B134 = "Mutant",VLOOKUP($C134,Mutants!$A$2:$L$560,11,FALSE),IF($B134 = "Test",VLOOKUP($C134,Tests!$A$2:$L$841,11,FALSE),VLOOKUP($C134,Questions!$A$3:$N$174,13,FALSE)))</f>
        <v xml:space="preserve">getOptions
</v>
      </c>
      <c r="G134" s="187"/>
      <c r="H134" s="202"/>
    </row>
    <row r="135" spans="2:8" ht="12.75">
      <c r="B135" s="114" t="s">
        <v>4589</v>
      </c>
      <c r="C135" s="9">
        <v>252</v>
      </c>
      <c r="D135" s="9" t="s">
        <v>3521</v>
      </c>
      <c r="E135" s="9" t="str">
        <f>IF($B135 = "Mutant",VLOOKUP($C135,Mutants!$A$2:$L$560,12,FALSE),IF($B135 = "Test",VLOOKUP($C135,Tests!$A$2:$L$841,12,FALSE),VLOOKUP($C135,Questions!$A$3:$N$174,9,FALSE)))</f>
        <v>N</v>
      </c>
      <c r="F135" s="187" t="str">
        <f>IF($B135 = "Mutant",VLOOKUP($C135,Mutants!$A$2:$L$560,11,FALSE),IF($B135 = "Test",VLOOKUP($C135,Tests!$A$2:$L$841,11,FALSE),VLOOKUP($C135,Questions!$A$3:$N$174,13,FALSE)))</f>
        <v xml:space="preserve">
</v>
      </c>
      <c r="G135" s="187"/>
      <c r="H135" s="202"/>
    </row>
    <row r="136" spans="2:8" ht="12.75">
      <c r="B136" s="114" t="s">
        <v>4589</v>
      </c>
      <c r="C136" s="9">
        <v>261</v>
      </c>
      <c r="D136" s="9" t="s">
        <v>765</v>
      </c>
      <c r="E136" s="9" t="str">
        <f>IF($B136 = "Mutant",VLOOKUP($C136,Mutants!$A$2:$L$560,12,FALSE),IF($B136 = "Test",VLOOKUP($C136,Tests!$A$2:$L$841,12,FALSE),VLOOKUP($C136,Questions!$A$3:$N$174,9,FALSE)))</f>
        <v>Y</v>
      </c>
      <c r="F136" s="187" t="str">
        <f>IF($B136 = "Mutant",VLOOKUP($C136,Mutants!$A$2:$L$560,11,FALSE),IF($B136 = "Test",VLOOKUP($C136,Tests!$A$2:$L$841,11,FALSE),VLOOKUP($C136,Questions!$A$3:$N$174,13,FALSE)))</f>
        <v xml:space="preserve">helpOptions
</v>
      </c>
      <c r="G136" s="187"/>
      <c r="H136" s="202"/>
    </row>
    <row r="137" spans="2:8" ht="12.75">
      <c r="B137" s="114" t="s">
        <v>4589</v>
      </c>
      <c r="C137" s="9">
        <v>268</v>
      </c>
      <c r="D137" s="9" t="s">
        <v>3563</v>
      </c>
      <c r="E137" s="9" t="str">
        <f>IF($B137 = "Mutant",VLOOKUP($C137,Mutants!$A$2:$L$560,12,FALSE),IF($B137 = "Test",VLOOKUP($C137,Tests!$A$2:$L$841,12,FALSE),VLOOKUP($C137,Questions!$A$3:$N$174,9,FALSE)))</f>
        <v>Y</v>
      </c>
      <c r="F137" s="187" t="str">
        <f>IF($B137 = "Mutant",VLOOKUP($C137,Mutants!$A$2:$L$560,11,FALSE),IF($B137 = "Test",VLOOKUP($C137,Tests!$A$2:$L$841,11,FALSE),VLOOKUP($C137,Questions!$A$3:$N$174,13,FALSE)))</f>
        <v xml:space="preserve">getOptionGroup
</v>
      </c>
      <c r="G137" s="187"/>
      <c r="H137" s="202"/>
    </row>
    <row r="138" spans="2:8" ht="12.75">
      <c r="B138" s="114" t="s">
        <v>4589</v>
      </c>
      <c r="C138" s="9">
        <v>279</v>
      </c>
      <c r="D138" s="9" t="s">
        <v>3595</v>
      </c>
      <c r="E138" s="9" t="str">
        <f>IF($B138 = "Mutant",VLOOKUP($C138,Mutants!$A$2:$L$560,12,FALSE),IF($B138 = "Test",VLOOKUP($C138,Tests!$A$2:$L$841,12,FALSE),VLOOKUP($C138,Questions!$A$3:$N$174,9,FALSE)))</f>
        <v>Y</v>
      </c>
      <c r="F138" s="187" t="str">
        <f>IF($B138 = "Mutant",VLOOKUP($C138,Mutants!$A$2:$L$560,11,FALSE),IF($B138 = "Test",VLOOKUP($C138,Tests!$A$2:$L$841,11,FALSE),VLOOKUP($C138,Questions!$A$3:$N$174,13,FALSE)))</f>
        <v xml:space="preserve">addOptionGroup
</v>
      </c>
      <c r="G138" s="187"/>
      <c r="H138" s="202"/>
    </row>
    <row r="139" spans="2:8" ht="12.75">
      <c r="B139" s="114" t="s">
        <v>4589</v>
      </c>
      <c r="C139" s="9">
        <v>280</v>
      </c>
      <c r="D139" s="9" t="s">
        <v>3598</v>
      </c>
      <c r="E139" s="9" t="str">
        <f>IF($B139 = "Mutant",VLOOKUP($C139,Mutants!$A$2:$L$560,12,FALSE),IF($B139 = "Test",VLOOKUP($C139,Tests!$A$2:$L$841,12,FALSE),VLOOKUP($C139,Questions!$A$3:$N$174,9,FALSE)))</f>
        <v>Y</v>
      </c>
      <c r="F139" s="187" t="str">
        <f>IF($B139 = "Mutant",VLOOKUP($C139,Mutants!$A$2:$L$560,11,FALSE),IF($B139 = "Test",VLOOKUP($C139,Tests!$A$2:$L$841,11,FALSE),VLOOKUP($C139,Questions!$A$3:$N$174,13,FALSE)))</f>
        <v xml:space="preserve">addOption
</v>
      </c>
      <c r="G139" s="187"/>
      <c r="H139" s="202"/>
    </row>
    <row r="140" spans="2:8" ht="12.75">
      <c r="B140" s="114" t="s">
        <v>4589</v>
      </c>
      <c r="C140" s="9">
        <v>282</v>
      </c>
      <c r="D140" s="9" t="s">
        <v>3604</v>
      </c>
      <c r="E140" s="9" t="str">
        <f>IF($B140 = "Mutant",VLOOKUP($C140,Mutants!$A$2:$L$560,12,FALSE),IF($B140 = "Test",VLOOKUP($C140,Tests!$A$2:$L$841,12,FALSE),VLOOKUP($C140,Questions!$A$3:$N$174,9,FALSE)))</f>
        <v>Y</v>
      </c>
      <c r="F140" s="187" t="str">
        <f>IF($B140 = "Mutant",VLOOKUP($C140,Mutants!$A$2:$L$560,11,FALSE),IF($B140 = "Test",VLOOKUP($C140,Tests!$A$2:$L$841,11,FALSE),VLOOKUP($C140,Questions!$A$3:$N$174,13,FALSE)))</f>
        <v xml:space="preserve">hasShortOption
</v>
      </c>
      <c r="G140" s="187"/>
      <c r="H140" s="202"/>
    </row>
    <row r="141" spans="2:8" ht="12.75">
      <c r="B141" s="114" t="s">
        <v>4589</v>
      </c>
      <c r="C141" s="9">
        <v>286</v>
      </c>
      <c r="D141" s="9" t="s">
        <v>3613</v>
      </c>
      <c r="E141" s="9" t="str">
        <f>IF($B141 = "Mutant",VLOOKUP($C141,Mutants!$A$2:$L$560,12,FALSE),IF($B141 = "Test",VLOOKUP($C141,Tests!$A$2:$L$841,12,FALSE),VLOOKUP($C141,Questions!$A$3:$N$174,9,FALSE)))</f>
        <v>N</v>
      </c>
      <c r="F141" s="187" t="str">
        <f>IF($B141 = "Mutant",VLOOKUP($C141,Mutants!$A$2:$L$560,11,FALSE),IF($B141 = "Test",VLOOKUP($C141,Tests!$A$2:$L$841,11,FALSE),VLOOKUP($C141,Questions!$A$3:$N$174,13,FALSE)))</f>
        <v xml:space="preserve">
</v>
      </c>
      <c r="G141" s="187"/>
      <c r="H141" s="202"/>
    </row>
    <row r="142" spans="2:8" ht="12.75">
      <c r="B142" s="114" t="s">
        <v>4590</v>
      </c>
      <c r="C142" s="9">
        <v>215</v>
      </c>
      <c r="D142" s="9" t="s">
        <v>995</v>
      </c>
      <c r="E142" s="9" t="str">
        <f>IF($B142 = "Mutant",VLOOKUP($C142,Mutants!$A$2:$L$560,12,FALSE),IF($B142 = "Test",VLOOKUP($C142,Tests!$A$2:$L$841,12,FALSE),VLOOKUP($C142,Questions!$A$3:$N$174,9,FALSE)))</f>
        <v>N</v>
      </c>
      <c r="F142" s="187" t="str">
        <f>IF($B142 = "Mutant",VLOOKUP($C142,Mutants!$A$2:$L$560,11,FALSE),IF($B142 = "Test",VLOOKUP($C142,Tests!$A$2:$L$841,11,FALSE),VLOOKUP($C142,Questions!$A$3:$N$174,13,FALSE)))</f>
        <v xml:space="preserve">
</v>
      </c>
      <c r="G142" s="187"/>
      <c r="H142" s="202"/>
    </row>
    <row r="143" spans="2:8" ht="12.75">
      <c r="B143" s="114" t="s">
        <v>4590</v>
      </c>
      <c r="C143" s="9">
        <v>221</v>
      </c>
      <c r="D143" s="9" t="s">
        <v>1017</v>
      </c>
      <c r="E143" s="9" t="str">
        <f>IF($B143 = "Mutant",VLOOKUP($C143,Mutants!$A$2:$L$560,12,FALSE),IF($B143 = "Test",VLOOKUP($C143,Tests!$A$2:$L$841,12,FALSE),VLOOKUP($C143,Questions!$A$3:$N$174,9,FALSE)))</f>
        <v>N</v>
      </c>
      <c r="F143" s="187" t="str">
        <f>IF($B143 = "Mutant",VLOOKUP($C143,Mutants!$A$2:$L$560,11,FALSE),IF($B143 = "Test",VLOOKUP($C143,Tests!$A$2:$L$841,11,FALSE),VLOOKUP($C143,Questions!$A$3:$N$174,13,FALSE)))</f>
        <v xml:space="preserve">
</v>
      </c>
      <c r="G143" s="187"/>
      <c r="H143" s="202"/>
    </row>
    <row r="144" spans="2:8" ht="12.75">
      <c r="B144" s="114" t="s">
        <v>4589</v>
      </c>
      <c r="C144" s="9">
        <v>296</v>
      </c>
      <c r="D144" s="9" t="s">
        <v>1071</v>
      </c>
      <c r="E144" s="9" t="str">
        <f>IF($B144 = "Mutant",VLOOKUP($C144,Mutants!$A$2:$L$560,12,FALSE),IF($B144 = "Test",VLOOKUP($C144,Tests!$A$2:$L$841,12,FALSE),VLOOKUP($C144,Questions!$A$3:$N$174,9,FALSE)))</f>
        <v>Y</v>
      </c>
      <c r="F144" s="187" t="str">
        <f>IF($B144 = "Mutant",VLOOKUP($C144,Mutants!$A$2:$L$560,11,FALSE),IF($B144 = "Test",VLOOKUP($C144,Tests!$A$2:$L$841,11,FALSE),VLOOKUP($C144,Questions!$A$3:$N$174,13,FALSE)))</f>
        <v xml:space="preserve">getMatchingOptions
</v>
      </c>
      <c r="G144" s="187"/>
      <c r="H144" s="202"/>
    </row>
    <row r="145" spans="2:8" ht="12.75">
      <c r="B145" s="114" t="s">
        <v>4589</v>
      </c>
      <c r="C145" s="9">
        <v>298</v>
      </c>
      <c r="D145" s="9" t="s">
        <v>3643</v>
      </c>
      <c r="E145" s="9" t="str">
        <f>IF($B145 = "Mutant",VLOOKUP($C145,Mutants!$A$2:$L$560,12,FALSE),IF($B145 = "Test",VLOOKUP($C145,Tests!$A$2:$L$841,12,FALSE),VLOOKUP($C145,Questions!$A$3:$N$174,9,FALSE)))</f>
        <v>Y</v>
      </c>
      <c r="F145" s="187" t="str">
        <f>IF($B145 = "Mutant",VLOOKUP($C145,Mutants!$A$2:$L$560,11,FALSE),IF($B145 = "Test",VLOOKUP($C145,Tests!$A$2:$L$841,11,FALSE),VLOOKUP($C145,Questions!$A$3:$N$174,13,FALSE)))</f>
        <v xml:space="preserve">getMatchingOptions
</v>
      </c>
      <c r="G145" s="187"/>
      <c r="H145" s="202"/>
    </row>
    <row r="146" spans="2:8" ht="12.75">
      <c r="B146" s="114" t="s">
        <v>4589</v>
      </c>
      <c r="C146" s="9">
        <v>299</v>
      </c>
      <c r="D146" s="9" t="s">
        <v>3646</v>
      </c>
      <c r="E146" s="9" t="str">
        <f>IF($B146 = "Mutant",VLOOKUP($C146,Mutants!$A$2:$L$560,12,FALSE),IF($B146 = "Test",VLOOKUP($C146,Tests!$A$2:$L$841,12,FALSE),VLOOKUP($C146,Questions!$A$3:$N$174,9,FALSE)))</f>
        <v>Y</v>
      </c>
      <c r="F146" s="187" t="str">
        <f>IF($B146 = "Mutant",VLOOKUP($C146,Mutants!$A$2:$L$560,11,FALSE),IF($B146 = "Test",VLOOKUP($C146,Tests!$A$2:$L$841,11,FALSE),VLOOKUP($C146,Questions!$A$3:$N$174,13,FALSE)))</f>
        <v xml:space="preserve">hasShortOption
</v>
      </c>
      <c r="G146" s="187"/>
      <c r="H146" s="202"/>
    </row>
    <row r="147" spans="2:8" ht="12.75">
      <c r="B147" s="114" t="s">
        <v>4589</v>
      </c>
      <c r="C147" s="9">
        <v>302</v>
      </c>
      <c r="D147" s="9" t="s">
        <v>3654</v>
      </c>
      <c r="E147" s="9" t="str">
        <f>IF($B147 = "Mutant",VLOOKUP($C147,Mutants!$A$2:$L$560,12,FALSE),IF($B147 = "Test",VLOOKUP($C147,Tests!$A$2:$L$841,12,FALSE),VLOOKUP($C147,Questions!$A$3:$N$174,9,FALSE)))</f>
        <v>Y</v>
      </c>
      <c r="F147" s="187" t="str">
        <f>IF($B147 = "Mutant",VLOOKUP($C147,Mutants!$A$2:$L$560,11,FALSE),IF($B147 = "Test",VLOOKUP($C147,Tests!$A$2:$L$841,11,FALSE),VLOOKUP($C147,Questions!$A$3:$N$174,13,FALSE)))</f>
        <v xml:space="preserve">toString
</v>
      </c>
      <c r="G147" s="187"/>
      <c r="H147" s="202"/>
    </row>
    <row r="148" spans="2:8" ht="12.75">
      <c r="B148" s="114" t="s">
        <v>4589</v>
      </c>
      <c r="C148" s="9">
        <v>304</v>
      </c>
      <c r="D148" s="9" t="s">
        <v>1141</v>
      </c>
      <c r="E148" s="9" t="str">
        <f>IF($B148 = "Mutant",VLOOKUP($C148,Mutants!$A$2:$L$560,12,FALSE),IF($B148 = "Test",VLOOKUP($C148,Tests!$A$2:$L$841,12,FALSE),VLOOKUP($C148,Questions!$A$3:$N$174,9,FALSE)))</f>
        <v>Y</v>
      </c>
      <c r="F148" s="187" t="str">
        <f>IF($B148 = "Mutant",VLOOKUP($C148,Mutants!$A$2:$L$560,11,FALSE),IF($B148 = "Test",VLOOKUP($C148,Tests!$A$2:$L$841,11,FALSE),VLOOKUP($C148,Questions!$A$3:$N$174,13,FALSE)))</f>
        <v xml:space="preserve">stripLeadingHyphens
</v>
      </c>
      <c r="G148" s="187"/>
      <c r="H148" s="202"/>
    </row>
    <row r="149" spans="2:8" ht="12.75">
      <c r="B149" s="114" t="s">
        <v>4589</v>
      </c>
      <c r="C149" s="9">
        <v>307</v>
      </c>
      <c r="D149" s="9" t="s">
        <v>3666</v>
      </c>
      <c r="E149" s="9" t="str">
        <f>IF($B149 = "Mutant",VLOOKUP($C149,Mutants!$A$2:$L$560,12,FALSE),IF($B149 = "Test",VLOOKUP($C149,Tests!$A$2:$L$841,12,FALSE),VLOOKUP($C149,Questions!$A$3:$N$174,9,FALSE)))</f>
        <v>Y</v>
      </c>
      <c r="F149" s="187" t="str">
        <f>IF($B149 = "Mutant",VLOOKUP($C149,Mutants!$A$2:$L$560,11,FALSE),IF($B149 = "Test",VLOOKUP($C149,Tests!$A$2:$L$841,11,FALSE),VLOOKUP($C149,Questions!$A$3:$N$174,13,FALSE)))</f>
        <v xml:space="preserve">stripLeadingHyphens
</v>
      </c>
      <c r="G149" s="187"/>
      <c r="H149" s="202"/>
    </row>
    <row r="150" spans="2:8" ht="12.75">
      <c r="B150" s="114" t="s">
        <v>4589</v>
      </c>
      <c r="C150" s="9">
        <v>309</v>
      </c>
      <c r="D150" s="9" t="s">
        <v>3672</v>
      </c>
      <c r="E150" s="9" t="str">
        <f>IF($B150 = "Mutant",VLOOKUP($C150,Mutants!$A$2:$L$560,12,FALSE),IF($B150 = "Test",VLOOKUP($C150,Tests!$A$2:$L$841,12,FALSE),VLOOKUP($C150,Questions!$A$3:$N$174,9,FALSE)))</f>
        <v>Y</v>
      </c>
      <c r="F150" s="187" t="str">
        <f>IF($B150 = "Mutant",VLOOKUP($C150,Mutants!$A$2:$L$560,11,FALSE),IF($B150 = "Test",VLOOKUP($C150,Tests!$A$2:$L$841,11,FALSE),VLOOKUP($C150,Questions!$A$3:$N$174,13,FALSE)))</f>
        <v xml:space="preserve">stripLeadingHyphens
</v>
      </c>
      <c r="G150" s="187"/>
      <c r="H150" s="202"/>
    </row>
    <row r="151" spans="2:8" ht="12.75">
      <c r="B151" s="114" t="s">
        <v>4589</v>
      </c>
      <c r="C151" s="9">
        <v>311</v>
      </c>
      <c r="D151" s="9" t="s">
        <v>3678</v>
      </c>
      <c r="E151" s="9" t="str">
        <f>IF($B151 = "Mutant",VLOOKUP($C151,Mutants!$A$2:$L$560,12,FALSE),IF($B151 = "Test",VLOOKUP($C151,Tests!$A$2:$L$841,12,FALSE),VLOOKUP($C151,Questions!$A$3:$N$174,9,FALSE)))</f>
        <v>Y</v>
      </c>
      <c r="F151" s="187" t="str">
        <f>IF($B151 = "Mutant",VLOOKUP($C151,Mutants!$A$2:$L$560,11,FALSE),IF($B151 = "Test",VLOOKUP($C151,Tests!$A$2:$L$841,11,FALSE),VLOOKUP($C151,Questions!$A$3:$N$174,13,FALSE)))</f>
        <v xml:space="preserve">getMatchingOptions
</v>
      </c>
      <c r="G151" s="187"/>
      <c r="H151" s="202"/>
    </row>
    <row r="152" spans="2:8" ht="12.75">
      <c r="B152" s="114" t="s">
        <v>4590</v>
      </c>
      <c r="C152" s="9">
        <v>313</v>
      </c>
      <c r="D152" s="9" t="s">
        <v>1277</v>
      </c>
      <c r="E152" s="9" t="str">
        <f>IF($B152 = "Mutant",VLOOKUP($C152,Mutants!$A$2:$L$560,12,FALSE),IF($B152 = "Test",VLOOKUP($C152,Tests!$A$2:$L$841,12,FALSE),VLOOKUP($C152,Questions!$A$3:$N$174,9,FALSE)))</f>
        <v>N</v>
      </c>
      <c r="F152" s="187" t="str">
        <f>IF($B152 = "Mutant",VLOOKUP($C152,Mutants!$A$2:$L$560,11,FALSE),IF($B152 = "Test",VLOOKUP($C152,Tests!$A$2:$L$841,11,FALSE),VLOOKUP($C152,Questions!$A$3:$N$174,13,FALSE)))</f>
        <v xml:space="preserve">
</v>
      </c>
      <c r="G152" s="187"/>
      <c r="H152" s="202"/>
    </row>
    <row r="153" spans="2:8" ht="12.75">
      <c r="B153" s="114" t="s">
        <v>4589</v>
      </c>
      <c r="C153" s="9">
        <v>317</v>
      </c>
      <c r="D153" s="9" t="s">
        <v>3695</v>
      </c>
      <c r="E153" s="9" t="str">
        <f>IF($B153 = "Mutant",VLOOKUP($C153,Mutants!$A$2:$L$560,12,FALSE),IF($B153 = "Test",VLOOKUP($C153,Tests!$A$2:$L$841,12,FALSE),VLOOKUP($C153,Questions!$A$3:$N$174,9,FALSE)))</f>
        <v>Y</v>
      </c>
      <c r="F153" s="187" t="str">
        <f>IF($B153 = "Mutant",VLOOKUP($C153,Mutants!$A$2:$L$560,11,FALSE),IF($B153 = "Test",VLOOKUP($C153,Tests!$A$2:$L$841,11,FALSE),VLOOKUP($C153,Questions!$A$3:$N$174,13,FALSE)))</f>
        <v xml:space="preserve">hasOption
</v>
      </c>
      <c r="G153" s="187"/>
      <c r="H153" s="202"/>
    </row>
    <row r="154" spans="2:8" ht="12.75">
      <c r="B154" s="114" t="s">
        <v>4589</v>
      </c>
      <c r="C154" s="9">
        <v>328</v>
      </c>
      <c r="D154" s="9" t="s">
        <v>1422</v>
      </c>
      <c r="E154" s="9" t="str">
        <f>IF($B154 = "Mutant",VLOOKUP($C154,Mutants!$A$2:$L$560,12,FALSE),IF($B154 = "Test",VLOOKUP($C154,Tests!$A$2:$L$841,12,FALSE),VLOOKUP($C154,Questions!$A$3:$N$174,9,FALSE)))</f>
        <v>Y</v>
      </c>
      <c r="F154" s="187" t="str">
        <f>IF($B154 = "Mutant",VLOOKUP($C154,Mutants!$A$2:$L$560,11,FALSE),IF($B154 = "Test",VLOOKUP($C154,Tests!$A$2:$L$841,11,FALSE),VLOOKUP($C154,Questions!$A$3:$N$174,13,FALSE)))</f>
        <v xml:space="preserve">getMatchingOptions
</v>
      </c>
      <c r="G154" s="187"/>
      <c r="H154" s="202"/>
    </row>
    <row r="155" spans="2:8" ht="12.75">
      <c r="B155" s="114" t="s">
        <v>4590</v>
      </c>
      <c r="C155" s="9">
        <v>382</v>
      </c>
      <c r="D155" s="9" t="s">
        <v>1473</v>
      </c>
      <c r="E155" s="9" t="str">
        <f>IF($B155 = "Mutant",VLOOKUP($C155,Mutants!$A$2:$L$560,12,FALSE),IF($B155 = "Test",VLOOKUP($C155,Tests!$A$2:$L$841,12,FALSE),VLOOKUP($C155,Questions!$A$3:$N$174,9,FALSE)))</f>
        <v>N</v>
      </c>
      <c r="F155" s="187" t="str">
        <f>IF($B155 = "Mutant",VLOOKUP($C155,Mutants!$A$2:$L$560,11,FALSE),IF($B155 = "Test",VLOOKUP($C155,Tests!$A$2:$L$841,11,FALSE),VLOOKUP($C155,Questions!$A$3:$N$174,13,FALSE)))</f>
        <v xml:space="preserve">
</v>
      </c>
      <c r="G155" s="187"/>
      <c r="H155" s="202"/>
    </row>
    <row r="156" spans="2:8" ht="12.75">
      <c r="B156" s="114" t="s">
        <v>4590</v>
      </c>
      <c r="C156" s="9">
        <v>387</v>
      </c>
      <c r="D156" s="9" t="s">
        <v>1486</v>
      </c>
      <c r="E156" s="9" t="str">
        <f>IF($B156 = "Mutant",VLOOKUP($C156,Mutants!$A$2:$L$560,12,FALSE),IF($B156 = "Test",VLOOKUP($C156,Tests!$A$2:$L$841,12,FALSE),VLOOKUP($C156,Questions!$A$3:$N$174,9,FALSE)))</f>
        <v>Y</v>
      </c>
      <c r="F156" s="187" t="str">
        <f>IF($B156 = "Mutant",VLOOKUP($C156,Mutants!$A$2:$L$560,11,FALSE),IF($B156 = "Test",VLOOKUP($C156,Tests!$A$2:$L$841,11,FALSE),VLOOKUP($C156,Questions!$A$3:$N$174,13,FALSE)))</f>
        <v xml:space="preserve">helpOptions
</v>
      </c>
      <c r="G156" s="187"/>
      <c r="H156" s="202"/>
    </row>
    <row r="157" spans="2:8" ht="12.75">
      <c r="B157" s="114" t="s">
        <v>4590</v>
      </c>
      <c r="C157" s="9">
        <v>407</v>
      </c>
      <c r="D157" s="9" t="s">
        <v>1549</v>
      </c>
      <c r="E157" s="9" t="str">
        <f>IF($B157 = "Mutant",VLOOKUP($C157,Mutants!$A$2:$L$560,12,FALSE),IF($B157 = "Test",VLOOKUP($C157,Tests!$A$2:$L$841,12,FALSE),VLOOKUP($C157,Questions!$A$3:$N$174,9,FALSE)))</f>
        <v>Y</v>
      </c>
      <c r="F157" s="187" t="str">
        <f>IF($B157 = "Mutant",VLOOKUP($C157,Mutants!$A$2:$L$560,11,FALSE),IF($B157 = "Test",VLOOKUP($C157,Tests!$A$2:$L$841,11,FALSE),VLOOKUP($C157,Questions!$A$3:$N$174,13,FALSE)))</f>
        <v xml:space="preserve">helpOptions
</v>
      </c>
      <c r="G157" s="187"/>
      <c r="H157" s="202"/>
    </row>
    <row r="158" spans="2:8" ht="12.75">
      <c r="B158" s="114" t="s">
        <v>4590</v>
      </c>
      <c r="C158" s="9">
        <v>426</v>
      </c>
      <c r="D158" s="9" t="s">
        <v>1611</v>
      </c>
      <c r="E158" s="9" t="str">
        <f>IF($B158 = "Mutant",VLOOKUP($C158,Mutants!$A$2:$L$560,12,FALSE),IF($B158 = "Test",VLOOKUP($C158,Tests!$A$2:$L$841,12,FALSE),VLOOKUP($C158,Questions!$A$3:$N$174,9,FALSE)))</f>
        <v>Y</v>
      </c>
      <c r="F158" s="187" t="str">
        <f>IF($B158 = "Mutant",VLOOKUP($C158,Mutants!$A$2:$L$560,11,FALSE),IF($B158 = "Test",VLOOKUP($C158,Tests!$A$2:$L$841,11,FALSE),VLOOKUP($C158,Questions!$A$3:$N$174,13,FALSE)))</f>
        <v xml:space="preserve">hasShortOption, stripLeadingHyphens
</v>
      </c>
      <c r="G158" s="187"/>
      <c r="H158" s="202"/>
    </row>
    <row r="159" spans="2:8" ht="12.75">
      <c r="B159" s="114" t="s">
        <v>4590</v>
      </c>
      <c r="C159" s="9">
        <v>466</v>
      </c>
      <c r="D159" s="9" t="s">
        <v>1729</v>
      </c>
      <c r="E159" s="9" t="str">
        <f>IF($B159 = "Mutant",VLOOKUP($C159,Mutants!$A$2:$L$560,12,FALSE),IF($B159 = "Test",VLOOKUP($C159,Tests!$A$2:$L$841,12,FALSE),VLOOKUP($C159,Questions!$A$3:$N$174,9,FALSE)))</f>
        <v>Y</v>
      </c>
      <c r="F159" s="187" t="str">
        <f>IF($B159 = "Mutant",VLOOKUP($C159,Mutants!$A$2:$L$560,11,FALSE),IF($B159 = "Test",VLOOKUP($C159,Tests!$A$2:$L$841,11,FALSE),VLOOKUP($C159,Questions!$A$3:$N$174,13,FALSE)))</f>
        <v xml:space="preserve">addOption, getRequiredOptions
</v>
      </c>
      <c r="G159" s="187"/>
      <c r="H159" s="202"/>
    </row>
    <row r="160" spans="2:8" ht="12.75">
      <c r="B160" s="133" t="s">
        <v>4589</v>
      </c>
      <c r="C160" s="130">
        <v>360</v>
      </c>
      <c r="D160" s="130" t="s">
        <v>1741</v>
      </c>
      <c r="E160" s="130" t="str">
        <f>IF($B160 = "Mutant",VLOOKUP($C160,Mutants!$A$2:$L$560,12,FALSE),IF($B160 = "Test",VLOOKUP($C160,Tests!$A$2:$L$841,12,FALSE),VLOOKUP($C160,Questions!$A$3:$N$174,9,FALSE)))</f>
        <v>Y</v>
      </c>
      <c r="F160" s="203" t="str">
        <f>IF($B160 = "Mutant",VLOOKUP($C160,Mutants!$A$2:$L$560,11,FALSE),IF($B160 = "Test",VLOOKUP($C160,Tests!$A$2:$L$841,11,FALSE),VLOOKUP($C160,Questions!$A$3:$N$174,13,FALSE)))</f>
        <v xml:space="preserve">getOption
</v>
      </c>
      <c r="G160" s="203"/>
      <c r="H160" s="204"/>
    </row>
  </sheetData>
  <mergeCells count="113">
    <mergeCell ref="B12:C12"/>
    <mergeCell ref="B5:C5"/>
    <mergeCell ref="B6:C6"/>
    <mergeCell ref="B7:C7"/>
    <mergeCell ref="B8:C8"/>
    <mergeCell ref="B9:C9"/>
    <mergeCell ref="F64:H64"/>
    <mergeCell ref="F65:H65"/>
    <mergeCell ref="F66:H66"/>
    <mergeCell ref="F67:H67"/>
    <mergeCell ref="F68:H68"/>
    <mergeCell ref="F59:H59"/>
    <mergeCell ref="F60:H60"/>
    <mergeCell ref="F61:H61"/>
    <mergeCell ref="F62:H62"/>
    <mergeCell ref="F63:H63"/>
    <mergeCell ref="F74:H74"/>
    <mergeCell ref="F75:H75"/>
    <mergeCell ref="F76:H76"/>
    <mergeCell ref="F77:H77"/>
    <mergeCell ref="F78:H78"/>
    <mergeCell ref="F69:H69"/>
    <mergeCell ref="F70:H70"/>
    <mergeCell ref="F71:H71"/>
    <mergeCell ref="F72:H72"/>
    <mergeCell ref="F73:H73"/>
    <mergeCell ref="F84:H84"/>
    <mergeCell ref="F85:H85"/>
    <mergeCell ref="F86:H86"/>
    <mergeCell ref="F87:H87"/>
    <mergeCell ref="F88:H88"/>
    <mergeCell ref="F79:H79"/>
    <mergeCell ref="F80:H80"/>
    <mergeCell ref="F81:H81"/>
    <mergeCell ref="F82:H82"/>
    <mergeCell ref="F83:H83"/>
    <mergeCell ref="F94:H94"/>
    <mergeCell ref="F95:H95"/>
    <mergeCell ref="F96:H96"/>
    <mergeCell ref="F97:H97"/>
    <mergeCell ref="F98:H98"/>
    <mergeCell ref="F89:H89"/>
    <mergeCell ref="F90:H90"/>
    <mergeCell ref="F91:H91"/>
    <mergeCell ref="F92:H92"/>
    <mergeCell ref="F93:H93"/>
    <mergeCell ref="F104:H104"/>
    <mergeCell ref="F105:H105"/>
    <mergeCell ref="F106:H106"/>
    <mergeCell ref="F107:H107"/>
    <mergeCell ref="F108:H108"/>
    <mergeCell ref="F99:H99"/>
    <mergeCell ref="F100:H100"/>
    <mergeCell ref="F101:H101"/>
    <mergeCell ref="F102:H102"/>
    <mergeCell ref="F103:H103"/>
    <mergeCell ref="F114:H114"/>
    <mergeCell ref="F115:H115"/>
    <mergeCell ref="F116:H116"/>
    <mergeCell ref="F117:H117"/>
    <mergeCell ref="F118:H118"/>
    <mergeCell ref="F109:H109"/>
    <mergeCell ref="F110:H110"/>
    <mergeCell ref="F111:H111"/>
    <mergeCell ref="F112:H112"/>
    <mergeCell ref="F113:H113"/>
    <mergeCell ref="F124:H124"/>
    <mergeCell ref="F125:H125"/>
    <mergeCell ref="F126:H126"/>
    <mergeCell ref="F127:H127"/>
    <mergeCell ref="F128:H128"/>
    <mergeCell ref="F119:H119"/>
    <mergeCell ref="F120:H120"/>
    <mergeCell ref="F121:H121"/>
    <mergeCell ref="F122:H122"/>
    <mergeCell ref="F123:H123"/>
    <mergeCell ref="F141:H141"/>
    <mergeCell ref="F142:H142"/>
    <mergeCell ref="F143:H143"/>
    <mergeCell ref="F134:H134"/>
    <mergeCell ref="F135:H135"/>
    <mergeCell ref="F136:H136"/>
    <mergeCell ref="F137:H137"/>
    <mergeCell ref="F138:H138"/>
    <mergeCell ref="F129:H129"/>
    <mergeCell ref="F130:H130"/>
    <mergeCell ref="F131:H131"/>
    <mergeCell ref="F132:H132"/>
    <mergeCell ref="F133:H133"/>
    <mergeCell ref="B57:C57"/>
    <mergeCell ref="F159:H159"/>
    <mergeCell ref="F160:H160"/>
    <mergeCell ref="F58:H58"/>
    <mergeCell ref="B119:C119"/>
    <mergeCell ref="B105:C105"/>
    <mergeCell ref="B86:C86"/>
    <mergeCell ref="F154:H154"/>
    <mergeCell ref="F155:H155"/>
    <mergeCell ref="F156:H156"/>
    <mergeCell ref="F157:H157"/>
    <mergeCell ref="F158:H158"/>
    <mergeCell ref="F149:H149"/>
    <mergeCell ref="F150:H150"/>
    <mergeCell ref="F151:H151"/>
    <mergeCell ref="F152:H152"/>
    <mergeCell ref="F153:H153"/>
    <mergeCell ref="F144:H144"/>
    <mergeCell ref="F145:H145"/>
    <mergeCell ref="F146:H146"/>
    <mergeCell ref="F147:H147"/>
    <mergeCell ref="F148:H148"/>
    <mergeCell ref="F139:H139"/>
    <mergeCell ref="F140:H140"/>
  </mergeCells>
  <conditionalFormatting sqref="A57:B57">
    <cfRule type="cellIs" dxfId="254" priority="1" operator="equal">
      <formula>"NO_KILL"</formula>
    </cfRule>
    <cfRule type="cellIs" dxfId="253" priority="2" operator="equal">
      <formula>"KILL"</formula>
    </cfRule>
    <cfRule type="cellIs" dxfId="252" priority="3" operator="equal">
      <formula>"ERROR"</formula>
    </cfRule>
  </conditionalFormatting>
  <conditionalFormatting sqref="A86:B86">
    <cfRule type="cellIs" dxfId="251" priority="7" operator="equal">
      <formula>"NO_KILL"</formula>
    </cfRule>
    <cfRule type="cellIs" dxfId="250" priority="8" operator="equal">
      <formula>"KILL"</formula>
    </cfRule>
    <cfRule type="cellIs" dxfId="249" priority="9" operator="equal">
      <formula>"ERROR"</formula>
    </cfRule>
  </conditionalFormatting>
  <conditionalFormatting sqref="A105:B105">
    <cfRule type="cellIs" dxfId="248" priority="13" operator="equal">
      <formula>"NO_KILL"</formula>
    </cfRule>
    <cfRule type="cellIs" dxfId="247" priority="14" operator="equal">
      <formula>"KILL"</formula>
    </cfRule>
    <cfRule type="cellIs" dxfId="246" priority="15" operator="equal">
      <formula>"ERROR"</formula>
    </cfRule>
  </conditionalFormatting>
  <conditionalFormatting sqref="A119:B119">
    <cfRule type="cellIs" dxfId="245" priority="19" operator="equal">
      <formula>"NO_KILL"</formula>
    </cfRule>
    <cfRule type="cellIs" dxfId="244" priority="20" operator="equal">
      <formula>"KILL"</formula>
    </cfRule>
    <cfRule type="cellIs" dxfId="243" priority="21" operator="equal">
      <formula>"ERROR"</formula>
    </cfRule>
  </conditionalFormatting>
  <conditionalFormatting sqref="A1:Z4 A5:B9 D5:Z9 A10:Z56 D57:Z57 A58:D85 I58:Z160 D86 A87:D104 D105 A106:D118 D119 A120:D160 A161:Z1102">
    <cfRule type="cellIs" dxfId="242" priority="40" operator="equal">
      <formula>"NO_KILL"</formula>
    </cfRule>
    <cfRule type="cellIs" dxfId="241" priority="41" operator="equal">
      <formula>"KILL"</formula>
    </cfRule>
    <cfRule type="cellIs" dxfId="240" priority="42" operator="equal">
      <formula>"ERROR"</formula>
    </cfRule>
  </conditionalFormatting>
  <conditionalFormatting sqref="B55:B1102">
    <cfRule type="cellIs" dxfId="239" priority="4" operator="equal">
      <formula>"Test"</formula>
    </cfRule>
    <cfRule type="cellIs" dxfId="238" priority="5" operator="equal">
      <formula>"Mutant"</formula>
    </cfRule>
    <cfRule type="cellIs" dxfId="237" priority="6" operator="equal">
      <formula>"Question"</formula>
    </cfRule>
  </conditionalFormatting>
  <conditionalFormatting sqref="E58:F160">
    <cfRule type="cellIs" dxfId="236" priority="25" operator="equal">
      <formula>"NO_KILL"</formula>
    </cfRule>
    <cfRule type="cellIs" dxfId="235" priority="26" operator="equal">
      <formula>"KILL"</formula>
    </cfRule>
    <cfRule type="cellIs" dxfId="234" priority="27" operator="equal">
      <formula>"ERROR"</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1"/>
  <sheetViews>
    <sheetView workbookViewId="0">
      <pane ySplit="2" topLeftCell="A3" activePane="bottomLeft" state="frozen"/>
      <selection pane="bottomLeft" activeCell="C9" sqref="C9"/>
    </sheetView>
  </sheetViews>
  <sheetFormatPr defaultColWidth="12.5703125" defaultRowHeight="15.75" customHeight="1"/>
  <sheetData>
    <row r="1" spans="1:49">
      <c r="A1" s="182" t="s">
        <v>0</v>
      </c>
      <c r="B1" s="184" t="s">
        <v>2</v>
      </c>
      <c r="C1" s="181" t="s">
        <v>3</v>
      </c>
      <c r="D1" s="175"/>
      <c r="E1" s="186" t="s">
        <v>4</v>
      </c>
      <c r="F1" s="162"/>
      <c r="G1" s="181" t="s">
        <v>5</v>
      </c>
      <c r="H1" s="162"/>
      <c r="I1" s="181" t="s">
        <v>6</v>
      </c>
      <c r="J1" s="175"/>
      <c r="K1" s="186" t="s">
        <v>7</v>
      </c>
      <c r="L1" s="175"/>
      <c r="M1" s="186" t="s">
        <v>8</v>
      </c>
      <c r="N1" s="175"/>
      <c r="O1" s="186" t="s">
        <v>9</v>
      </c>
      <c r="P1" s="162"/>
      <c r="Q1" s="181" t="s">
        <v>10</v>
      </c>
      <c r="R1" s="175"/>
      <c r="S1" s="186" t="s">
        <v>11</v>
      </c>
      <c r="T1" s="175"/>
      <c r="U1" s="186" t="s">
        <v>12</v>
      </c>
      <c r="V1" s="162"/>
      <c r="W1" s="181" t="s">
        <v>13</v>
      </c>
      <c r="X1" s="175"/>
      <c r="Y1" s="186" t="s">
        <v>14</v>
      </c>
      <c r="Z1" s="175"/>
      <c r="AA1" s="186" t="s">
        <v>15</v>
      </c>
      <c r="AB1" s="176"/>
      <c r="AC1" s="3"/>
      <c r="AD1" s="3"/>
      <c r="AE1" s="3"/>
      <c r="AF1" s="3"/>
      <c r="AG1" s="3"/>
      <c r="AH1" s="3"/>
      <c r="AI1" s="3"/>
      <c r="AJ1" s="3"/>
      <c r="AK1" s="3"/>
      <c r="AL1" s="3"/>
      <c r="AM1" s="3"/>
      <c r="AN1" s="3"/>
      <c r="AO1" s="3"/>
      <c r="AP1" s="3"/>
      <c r="AQ1" s="3"/>
      <c r="AR1" s="3"/>
      <c r="AS1" s="3"/>
      <c r="AT1" s="3"/>
      <c r="AU1" s="3"/>
      <c r="AV1" s="3"/>
      <c r="AW1" s="3"/>
    </row>
    <row r="2" spans="1:49">
      <c r="A2" s="183"/>
      <c r="B2" s="185"/>
      <c r="C2" s="3" t="s">
        <v>16</v>
      </c>
      <c r="D2" s="4" t="s">
        <v>17</v>
      </c>
      <c r="E2" s="5" t="s">
        <v>16</v>
      </c>
      <c r="F2" s="6" t="s">
        <v>17</v>
      </c>
      <c r="G2" s="3" t="s">
        <v>16</v>
      </c>
      <c r="H2" s="6" t="s">
        <v>17</v>
      </c>
      <c r="I2" s="3" t="s">
        <v>16</v>
      </c>
      <c r="J2" s="4" t="s">
        <v>17</v>
      </c>
      <c r="K2" s="5" t="s">
        <v>16</v>
      </c>
      <c r="L2" s="4" t="s">
        <v>17</v>
      </c>
      <c r="M2" s="5" t="s">
        <v>16</v>
      </c>
      <c r="N2" s="4" t="s">
        <v>17</v>
      </c>
      <c r="O2" s="5" t="s">
        <v>16</v>
      </c>
      <c r="P2" s="6" t="s">
        <v>17</v>
      </c>
      <c r="Q2" s="3" t="s">
        <v>16</v>
      </c>
      <c r="R2" s="4" t="s">
        <v>17</v>
      </c>
      <c r="S2" s="5" t="s">
        <v>16</v>
      </c>
      <c r="T2" s="4" t="s">
        <v>17</v>
      </c>
      <c r="U2" s="5" t="s">
        <v>16</v>
      </c>
      <c r="V2" s="6" t="s">
        <v>17</v>
      </c>
      <c r="W2" s="3" t="s">
        <v>16</v>
      </c>
      <c r="X2" s="4" t="s">
        <v>17</v>
      </c>
      <c r="Y2" s="5" t="s">
        <v>16</v>
      </c>
      <c r="Z2" s="4" t="s">
        <v>17</v>
      </c>
      <c r="AA2" s="5" t="s">
        <v>16</v>
      </c>
      <c r="AB2" s="7" t="s">
        <v>17</v>
      </c>
      <c r="AC2" s="3"/>
      <c r="AD2" s="3"/>
      <c r="AE2" s="3"/>
      <c r="AF2" s="3"/>
      <c r="AG2" s="3"/>
      <c r="AH2" s="3"/>
      <c r="AI2" s="3"/>
      <c r="AJ2" s="3"/>
      <c r="AK2" s="3"/>
      <c r="AL2" s="3"/>
      <c r="AM2" s="3"/>
      <c r="AN2" s="3"/>
      <c r="AO2" s="3"/>
      <c r="AP2" s="3"/>
      <c r="AQ2" s="3"/>
      <c r="AR2" s="3"/>
      <c r="AS2" s="3"/>
      <c r="AT2" s="3"/>
      <c r="AU2" s="3"/>
      <c r="AV2" s="3"/>
      <c r="AW2" s="3"/>
    </row>
    <row r="3" spans="1:49">
      <c r="A3" s="48">
        <f ca="1">IFERROR(__xludf.DUMMYFUNCTION("FILTER('Players Recap'!A3:AC41, 'Players Recap'!C3:C41 = ""Y"")"),107)</f>
        <v>107</v>
      </c>
      <c r="B3" s="50" t="str">
        <f ca="1">IFERROR(__xludf.DUMMYFUNCTION("""COMPUTED_VALUE"""),"Y")</f>
        <v>Y</v>
      </c>
      <c r="C3" s="49">
        <f ca="1">IFERROR(__xludf.DUMMYFUNCTION("""COMPUTED_VALUE"""),158)</f>
        <v>158</v>
      </c>
      <c r="D3" s="51">
        <f ca="1">IFERROR(__xludf.DUMMYFUNCTION("""COMPUTED_VALUE"""),195)</f>
        <v>195</v>
      </c>
      <c r="E3" s="52">
        <f ca="1">IFERROR(__xludf.DUMMYFUNCTION("""COMPUTED_VALUE"""),112)</f>
        <v>112</v>
      </c>
      <c r="F3" s="50">
        <f ca="1">IFERROR(__xludf.DUMMYFUNCTION("""COMPUTED_VALUE"""),118)</f>
        <v>118</v>
      </c>
      <c r="G3" s="49">
        <f ca="1">IFERROR(__xludf.DUMMYFUNCTION("""COMPUTED_VALUE"""),3)</f>
        <v>3</v>
      </c>
      <c r="H3" s="50">
        <f ca="1">IFERROR(__xludf.DUMMYFUNCTION("""COMPUTED_VALUE"""),0)</f>
        <v>0</v>
      </c>
      <c r="I3" s="49">
        <f ca="1">IFERROR(__xludf.DUMMYFUNCTION("""COMPUTED_VALUE"""),8)</f>
        <v>8</v>
      </c>
      <c r="J3" s="51">
        <f ca="1">IFERROR(__xludf.DUMMYFUNCTION("""COMPUTED_VALUE"""),13)</f>
        <v>13</v>
      </c>
      <c r="K3" s="52">
        <f ca="1">IFERROR(__xludf.DUMMYFUNCTION("""COMPUTED_VALUE"""),0)</f>
        <v>0</v>
      </c>
      <c r="L3" s="51">
        <f ca="1">IFERROR(__xludf.DUMMYFUNCTION("""COMPUTED_VALUE"""),0)</f>
        <v>0</v>
      </c>
      <c r="M3" s="52">
        <f ca="1">IFERROR(__xludf.DUMMYFUNCTION("""COMPUTED_VALUE"""),0)</f>
        <v>0</v>
      </c>
      <c r="N3" s="51">
        <f ca="1">IFERROR(__xludf.DUMMYFUNCTION("""COMPUTED_VALUE"""),0)</f>
        <v>0</v>
      </c>
      <c r="O3" s="52">
        <f ca="1">IFERROR(__xludf.DUMMYFUNCTION("""COMPUTED_VALUE"""),8)</f>
        <v>8</v>
      </c>
      <c r="P3" s="50">
        <f ca="1">IFERROR(__xludf.DUMMYFUNCTION("""COMPUTED_VALUE"""),13)</f>
        <v>13</v>
      </c>
      <c r="Q3" s="49">
        <f ca="1">IFERROR(__xludf.DUMMYFUNCTION("""COMPUTED_VALUE"""),0)</f>
        <v>0</v>
      </c>
      <c r="R3" s="51">
        <f ca="1">IFERROR(__xludf.DUMMYFUNCTION("""COMPUTED_VALUE"""),0)</f>
        <v>0</v>
      </c>
      <c r="S3" s="52">
        <f ca="1">IFERROR(__xludf.DUMMYFUNCTION("""COMPUTED_VALUE"""),0)</f>
        <v>0</v>
      </c>
      <c r="T3" s="51">
        <f ca="1">IFERROR(__xludf.DUMMYFUNCTION("""COMPUTED_VALUE"""),0)</f>
        <v>0</v>
      </c>
      <c r="U3" s="52">
        <f ca="1">IFERROR(__xludf.DUMMYFUNCTION("""COMPUTED_VALUE"""),0)</f>
        <v>0</v>
      </c>
      <c r="V3" s="50">
        <f ca="1">IFERROR(__xludf.DUMMYFUNCTION("""COMPUTED_VALUE"""),0)</f>
        <v>0</v>
      </c>
      <c r="W3" s="49">
        <f ca="1">IFERROR(__xludf.DUMMYFUNCTION("""COMPUTED_VALUE"""),13)</f>
        <v>13</v>
      </c>
      <c r="X3" s="51">
        <f ca="1">IFERROR(__xludf.DUMMYFUNCTION("""COMPUTED_VALUE"""),13)</f>
        <v>13</v>
      </c>
      <c r="Y3" s="52">
        <f ca="1">IFERROR(__xludf.DUMMYFUNCTION("""COMPUTED_VALUE"""),1)</f>
        <v>1</v>
      </c>
      <c r="Z3" s="51">
        <f ca="1">IFERROR(__xludf.DUMMYFUNCTION("""COMPUTED_VALUE"""),1)</f>
        <v>1</v>
      </c>
      <c r="AA3" s="52">
        <f ca="1">IFERROR(__xludf.DUMMYFUNCTION("""COMPUTED_VALUE"""),13)</f>
        <v>13</v>
      </c>
      <c r="AB3" s="53">
        <f ca="1">IFERROR(__xludf.DUMMYFUNCTION("""COMPUTED_VALUE"""),11)</f>
        <v>11</v>
      </c>
      <c r="AC3" s="9"/>
      <c r="AD3" s="9"/>
      <c r="AE3" s="9"/>
      <c r="AF3" s="9"/>
      <c r="AG3" s="9"/>
      <c r="AH3" s="9"/>
      <c r="AI3" s="9"/>
      <c r="AJ3" s="9"/>
      <c r="AK3" s="9"/>
      <c r="AL3" s="9"/>
      <c r="AM3" s="9"/>
      <c r="AN3" s="9"/>
      <c r="AO3" s="9"/>
      <c r="AP3" s="9"/>
      <c r="AQ3" s="9"/>
      <c r="AR3" s="9"/>
      <c r="AS3" s="9"/>
      <c r="AT3" s="9"/>
      <c r="AU3" s="9"/>
      <c r="AV3" s="9"/>
      <c r="AW3" s="9"/>
    </row>
    <row r="4" spans="1:49">
      <c r="A4" s="54">
        <f ca="1">IFERROR(__xludf.DUMMYFUNCTION("""COMPUTED_VALUE"""),109)</f>
        <v>109</v>
      </c>
      <c r="B4" s="50" t="str">
        <f ca="1">IFERROR(__xludf.DUMMYFUNCTION("""COMPUTED_VALUE"""),"Y")</f>
        <v>Y</v>
      </c>
      <c r="C4" s="49">
        <f ca="1">IFERROR(__xludf.DUMMYFUNCTION("""COMPUTED_VALUE"""),151)</f>
        <v>151</v>
      </c>
      <c r="D4" s="51">
        <f ca="1">IFERROR(__xludf.DUMMYFUNCTION("""COMPUTED_VALUE"""),211)</f>
        <v>211</v>
      </c>
      <c r="E4" s="52">
        <f ca="1">IFERROR(__xludf.DUMMYFUNCTION("""COMPUTED_VALUE"""),111)</f>
        <v>111</v>
      </c>
      <c r="F4" s="50">
        <f ca="1">IFERROR(__xludf.DUMMYFUNCTION("""COMPUTED_VALUE"""),120)</f>
        <v>120</v>
      </c>
      <c r="G4" s="49">
        <f ca="1">IFERROR(__xludf.DUMMYFUNCTION("""COMPUTED_VALUE"""),4)</f>
        <v>4</v>
      </c>
      <c r="H4" s="50">
        <f ca="1">IFERROR(__xludf.DUMMYFUNCTION("""COMPUTED_VALUE"""),0)</f>
        <v>0</v>
      </c>
      <c r="I4" s="49">
        <f ca="1">IFERROR(__xludf.DUMMYFUNCTION("""COMPUTED_VALUE"""),0)</f>
        <v>0</v>
      </c>
      <c r="J4" s="51">
        <f ca="1">IFERROR(__xludf.DUMMYFUNCTION("""COMPUTED_VALUE"""),20)</f>
        <v>20</v>
      </c>
      <c r="K4" s="52">
        <f ca="1">IFERROR(__xludf.DUMMYFUNCTION("""COMPUTED_VALUE"""),13)</f>
        <v>13</v>
      </c>
      <c r="L4" s="51">
        <f ca="1">IFERROR(__xludf.DUMMYFUNCTION("""COMPUTED_VALUE"""),16)</f>
        <v>16</v>
      </c>
      <c r="M4" s="52">
        <f ca="1">IFERROR(__xludf.DUMMYFUNCTION("""COMPUTED_VALUE"""),0)</f>
        <v>0</v>
      </c>
      <c r="N4" s="51">
        <f ca="1">IFERROR(__xludf.DUMMYFUNCTION("""COMPUTED_VALUE"""),1)</f>
        <v>1</v>
      </c>
      <c r="O4" s="52">
        <f ca="1">IFERROR(__xludf.DUMMYFUNCTION("""COMPUTED_VALUE"""),13)</f>
        <v>13</v>
      </c>
      <c r="P4" s="50">
        <f ca="1">IFERROR(__xludf.DUMMYFUNCTION("""COMPUTED_VALUE"""),37)</f>
        <v>37</v>
      </c>
      <c r="Q4" s="49">
        <f ca="1">IFERROR(__xludf.DUMMYFUNCTION("""COMPUTED_VALUE"""),7)</f>
        <v>7</v>
      </c>
      <c r="R4" s="51">
        <f ca="1">IFERROR(__xludf.DUMMYFUNCTION("""COMPUTED_VALUE"""),8)</f>
        <v>8</v>
      </c>
      <c r="S4" s="52">
        <f ca="1">IFERROR(__xludf.DUMMYFUNCTION("""COMPUTED_VALUE"""),0)</f>
        <v>0</v>
      </c>
      <c r="T4" s="51">
        <f ca="1">IFERROR(__xludf.DUMMYFUNCTION("""COMPUTED_VALUE"""),0)</f>
        <v>0</v>
      </c>
      <c r="U4" s="52">
        <f ca="1">IFERROR(__xludf.DUMMYFUNCTION("""COMPUTED_VALUE"""),0)</f>
        <v>0</v>
      </c>
      <c r="V4" s="50">
        <f ca="1">IFERROR(__xludf.DUMMYFUNCTION("""COMPUTED_VALUE"""),0)</f>
        <v>0</v>
      </c>
      <c r="W4" s="49">
        <f ca="1">IFERROR(__xludf.DUMMYFUNCTION("""COMPUTED_VALUE"""),2)</f>
        <v>2</v>
      </c>
      <c r="X4" s="51">
        <f ca="1">IFERROR(__xludf.DUMMYFUNCTION("""COMPUTED_VALUE"""),5)</f>
        <v>5</v>
      </c>
      <c r="Y4" s="52">
        <f ca="1">IFERROR(__xludf.DUMMYFUNCTION("""COMPUTED_VALUE"""),0)</f>
        <v>0</v>
      </c>
      <c r="Z4" s="51">
        <f ca="1">IFERROR(__xludf.DUMMYFUNCTION("""COMPUTED_VALUE"""),0)</f>
        <v>0</v>
      </c>
      <c r="AA4" s="52">
        <f ca="1">IFERROR(__xludf.DUMMYFUNCTION("""COMPUTED_VALUE"""),1)</f>
        <v>1</v>
      </c>
      <c r="AB4" s="53">
        <f ca="1">IFERROR(__xludf.DUMMYFUNCTION("""COMPUTED_VALUE"""),1)</f>
        <v>1</v>
      </c>
      <c r="AC4" s="9"/>
      <c r="AD4" s="9"/>
      <c r="AE4" s="9"/>
      <c r="AF4" s="9"/>
      <c r="AG4" s="9"/>
      <c r="AH4" s="9"/>
      <c r="AI4" s="9"/>
      <c r="AJ4" s="9"/>
      <c r="AK4" s="9"/>
      <c r="AL4" s="9"/>
      <c r="AM4" s="9"/>
      <c r="AN4" s="9"/>
      <c r="AO4" s="9"/>
      <c r="AP4" s="9"/>
      <c r="AQ4" s="9"/>
      <c r="AR4" s="9"/>
      <c r="AS4" s="9"/>
      <c r="AT4" s="9"/>
      <c r="AU4" s="9"/>
      <c r="AV4" s="9"/>
      <c r="AW4" s="9"/>
    </row>
    <row r="5" spans="1:49">
      <c r="A5" s="54">
        <f ca="1">IFERROR(__xludf.DUMMYFUNCTION("""COMPUTED_VALUE"""),112)</f>
        <v>112</v>
      </c>
      <c r="B5" s="50" t="str">
        <f ca="1">IFERROR(__xludf.DUMMYFUNCTION("""COMPUTED_VALUE"""),"Y")</f>
        <v>Y</v>
      </c>
      <c r="C5" s="49">
        <f ca="1">IFERROR(__xludf.DUMMYFUNCTION("""COMPUTED_VALUE"""),135)</f>
        <v>135</v>
      </c>
      <c r="D5" s="51">
        <f ca="1">IFERROR(__xludf.DUMMYFUNCTION("""COMPUTED_VALUE"""),214)</f>
        <v>214</v>
      </c>
      <c r="E5" s="52">
        <f ca="1">IFERROR(__xludf.DUMMYFUNCTION("""COMPUTED_VALUE"""),109)</f>
        <v>109</v>
      </c>
      <c r="F5" s="50">
        <f ca="1">IFERROR(__xludf.DUMMYFUNCTION("""COMPUTED_VALUE"""),121)</f>
        <v>121</v>
      </c>
      <c r="G5" s="49">
        <f ca="1">IFERROR(__xludf.DUMMYFUNCTION("""COMPUTED_VALUE"""),2)</f>
        <v>2</v>
      </c>
      <c r="H5" s="50">
        <f ca="1">IFERROR(__xludf.DUMMYFUNCTION("""COMPUTED_VALUE"""),0)</f>
        <v>0</v>
      </c>
      <c r="I5" s="49">
        <f ca="1">IFERROR(__xludf.DUMMYFUNCTION("""COMPUTED_VALUE"""),3)</f>
        <v>3</v>
      </c>
      <c r="J5" s="51">
        <f ca="1">IFERROR(__xludf.DUMMYFUNCTION("""COMPUTED_VALUE"""),4)</f>
        <v>4</v>
      </c>
      <c r="K5" s="52">
        <f ca="1">IFERROR(__xludf.DUMMYFUNCTION("""COMPUTED_VALUE"""),0)</f>
        <v>0</v>
      </c>
      <c r="L5" s="51">
        <f ca="1">IFERROR(__xludf.DUMMYFUNCTION("""COMPUTED_VALUE"""),4)</f>
        <v>4</v>
      </c>
      <c r="M5" s="52">
        <f ca="1">IFERROR(__xludf.DUMMYFUNCTION("""COMPUTED_VALUE"""),0)</f>
        <v>0</v>
      </c>
      <c r="N5" s="51">
        <f ca="1">IFERROR(__xludf.DUMMYFUNCTION("""COMPUTED_VALUE"""),0)</f>
        <v>0</v>
      </c>
      <c r="O5" s="52">
        <f ca="1">IFERROR(__xludf.DUMMYFUNCTION("""COMPUTED_VALUE"""),3)</f>
        <v>3</v>
      </c>
      <c r="P5" s="50">
        <f ca="1">IFERROR(__xludf.DUMMYFUNCTION("""COMPUTED_VALUE"""),8)</f>
        <v>8</v>
      </c>
      <c r="Q5" s="49">
        <f ca="1">IFERROR(__xludf.DUMMYFUNCTION("""COMPUTED_VALUE"""),2)</f>
        <v>2</v>
      </c>
      <c r="R5" s="51">
        <f ca="1">IFERROR(__xludf.DUMMYFUNCTION("""COMPUTED_VALUE"""),4)</f>
        <v>4</v>
      </c>
      <c r="S5" s="52">
        <f ca="1">IFERROR(__xludf.DUMMYFUNCTION("""COMPUTED_VALUE"""),4)</f>
        <v>4</v>
      </c>
      <c r="T5" s="51">
        <f ca="1">IFERROR(__xludf.DUMMYFUNCTION("""COMPUTED_VALUE"""),0)</f>
        <v>0</v>
      </c>
      <c r="U5" s="52">
        <f ca="1">IFERROR(__xludf.DUMMYFUNCTION("""COMPUTED_VALUE"""),2)</f>
        <v>2</v>
      </c>
      <c r="V5" s="50">
        <f ca="1">IFERROR(__xludf.DUMMYFUNCTION("""COMPUTED_VALUE"""),4)</f>
        <v>4</v>
      </c>
      <c r="W5" s="49">
        <f ca="1">IFERROR(__xludf.DUMMYFUNCTION("""COMPUTED_VALUE"""),7)</f>
        <v>7</v>
      </c>
      <c r="X5" s="51">
        <f ca="1">IFERROR(__xludf.DUMMYFUNCTION("""COMPUTED_VALUE"""),6)</f>
        <v>6</v>
      </c>
      <c r="Y5" s="52">
        <f ca="1">IFERROR(__xludf.DUMMYFUNCTION("""COMPUTED_VALUE"""),0)</f>
        <v>0</v>
      </c>
      <c r="Z5" s="51">
        <f ca="1">IFERROR(__xludf.DUMMYFUNCTION("""COMPUTED_VALUE"""),0)</f>
        <v>0</v>
      </c>
      <c r="AA5" s="52">
        <f ca="1">IFERROR(__xludf.DUMMYFUNCTION("""COMPUTED_VALUE"""),5)</f>
        <v>5</v>
      </c>
      <c r="AB5" s="53">
        <f ca="1">IFERROR(__xludf.DUMMYFUNCTION("""COMPUTED_VALUE"""),6)</f>
        <v>6</v>
      </c>
      <c r="AC5" s="9"/>
      <c r="AD5" s="9"/>
      <c r="AE5" s="9"/>
      <c r="AF5" s="9"/>
      <c r="AG5" s="9"/>
      <c r="AH5" s="9"/>
      <c r="AI5" s="9"/>
      <c r="AJ5" s="9"/>
      <c r="AK5" s="9"/>
      <c r="AL5" s="9"/>
      <c r="AM5" s="9"/>
      <c r="AN5" s="9"/>
      <c r="AO5" s="9"/>
      <c r="AP5" s="9"/>
      <c r="AQ5" s="9"/>
      <c r="AR5" s="9"/>
      <c r="AS5" s="9"/>
      <c r="AT5" s="9"/>
      <c r="AU5" s="9"/>
      <c r="AV5" s="9"/>
      <c r="AW5" s="9"/>
    </row>
    <row r="6" spans="1:49">
      <c r="A6" s="54">
        <f ca="1">IFERROR(__xludf.DUMMYFUNCTION("""COMPUTED_VALUE"""),114)</f>
        <v>114</v>
      </c>
      <c r="B6" s="50" t="str">
        <f ca="1">IFERROR(__xludf.DUMMYFUNCTION("""COMPUTED_VALUE"""),"Y")</f>
        <v>Y</v>
      </c>
      <c r="C6" s="49">
        <f ca="1">IFERROR(__xludf.DUMMYFUNCTION("""COMPUTED_VALUE"""),143)</f>
        <v>143</v>
      </c>
      <c r="D6" s="51">
        <f ca="1">IFERROR(__xludf.DUMMYFUNCTION("""COMPUTED_VALUE"""),193)</f>
        <v>193</v>
      </c>
      <c r="E6" s="52">
        <f ca="1">IFERROR(__xludf.DUMMYFUNCTION("""COMPUTED_VALUE"""),110)</f>
        <v>110</v>
      </c>
      <c r="F6" s="50">
        <f ca="1">IFERROR(__xludf.DUMMYFUNCTION("""COMPUTED_VALUE"""),118)</f>
        <v>118</v>
      </c>
      <c r="G6" s="49">
        <f ca="1">IFERROR(__xludf.DUMMYFUNCTION("""COMPUTED_VALUE"""),3)</f>
        <v>3</v>
      </c>
      <c r="H6" s="50">
        <f ca="1">IFERROR(__xludf.DUMMYFUNCTION("""COMPUTED_VALUE"""),0)</f>
        <v>0</v>
      </c>
      <c r="I6" s="49">
        <f ca="1">IFERROR(__xludf.DUMMYFUNCTION("""COMPUTED_VALUE"""),4)</f>
        <v>4</v>
      </c>
      <c r="J6" s="51">
        <f ca="1">IFERROR(__xludf.DUMMYFUNCTION("""COMPUTED_VALUE"""),2)</f>
        <v>2</v>
      </c>
      <c r="K6" s="52">
        <f ca="1">IFERROR(__xludf.DUMMYFUNCTION("""COMPUTED_VALUE"""),6)</f>
        <v>6</v>
      </c>
      <c r="L6" s="51">
        <f ca="1">IFERROR(__xludf.DUMMYFUNCTION("""COMPUTED_VALUE"""),4)</f>
        <v>4</v>
      </c>
      <c r="M6" s="52">
        <f ca="1">IFERROR(__xludf.DUMMYFUNCTION("""COMPUTED_VALUE"""),0)</f>
        <v>0</v>
      </c>
      <c r="N6" s="51">
        <f ca="1">IFERROR(__xludf.DUMMYFUNCTION("""COMPUTED_VALUE"""),0)</f>
        <v>0</v>
      </c>
      <c r="O6" s="52">
        <f ca="1">IFERROR(__xludf.DUMMYFUNCTION("""COMPUTED_VALUE"""),10)</f>
        <v>10</v>
      </c>
      <c r="P6" s="50">
        <f ca="1">IFERROR(__xludf.DUMMYFUNCTION("""COMPUTED_VALUE"""),6)</f>
        <v>6</v>
      </c>
      <c r="Q6" s="49">
        <f ca="1">IFERROR(__xludf.DUMMYFUNCTION("""COMPUTED_VALUE"""),7)</f>
        <v>7</v>
      </c>
      <c r="R6" s="51">
        <f ca="1">IFERROR(__xludf.DUMMYFUNCTION("""COMPUTED_VALUE"""),16)</f>
        <v>16</v>
      </c>
      <c r="S6" s="52">
        <f ca="1">IFERROR(__xludf.DUMMYFUNCTION("""COMPUTED_VALUE"""),6)</f>
        <v>6</v>
      </c>
      <c r="T6" s="51">
        <f ca="1">IFERROR(__xludf.DUMMYFUNCTION("""COMPUTED_VALUE"""),1)</f>
        <v>1</v>
      </c>
      <c r="U6" s="52">
        <f ca="1">IFERROR(__xludf.DUMMYFUNCTION("""COMPUTED_VALUE"""),1)</f>
        <v>1</v>
      </c>
      <c r="V6" s="50">
        <f ca="1">IFERROR(__xludf.DUMMYFUNCTION("""COMPUTED_VALUE"""),2)</f>
        <v>2</v>
      </c>
      <c r="W6" s="49">
        <f ca="1">IFERROR(__xludf.DUMMYFUNCTION("""COMPUTED_VALUE"""),7)</f>
        <v>7</v>
      </c>
      <c r="X6" s="51">
        <f ca="1">IFERROR(__xludf.DUMMYFUNCTION("""COMPUTED_VALUE"""),10)</f>
        <v>10</v>
      </c>
      <c r="Y6" s="52">
        <f ca="1">IFERROR(__xludf.DUMMYFUNCTION("""COMPUTED_VALUE"""),0)</f>
        <v>0</v>
      </c>
      <c r="Z6" s="51">
        <f ca="1">IFERROR(__xludf.DUMMYFUNCTION("""COMPUTED_VALUE"""),4)</f>
        <v>4</v>
      </c>
      <c r="AA6" s="52">
        <f ca="1">IFERROR(__xludf.DUMMYFUNCTION("""COMPUTED_VALUE"""),6)</f>
        <v>6</v>
      </c>
      <c r="AB6" s="53">
        <f ca="1">IFERROR(__xludf.DUMMYFUNCTION("""COMPUTED_VALUE"""),9)</f>
        <v>9</v>
      </c>
      <c r="AC6" s="9"/>
      <c r="AD6" s="9"/>
      <c r="AE6" s="9"/>
      <c r="AF6" s="9"/>
      <c r="AG6" s="9"/>
      <c r="AH6" s="9"/>
      <c r="AI6" s="9"/>
      <c r="AJ6" s="9"/>
      <c r="AK6" s="9"/>
      <c r="AL6" s="9"/>
      <c r="AM6" s="9"/>
      <c r="AN6" s="9"/>
      <c r="AO6" s="9"/>
      <c r="AP6" s="9"/>
      <c r="AQ6" s="9"/>
      <c r="AR6" s="9"/>
      <c r="AS6" s="9"/>
      <c r="AT6" s="9"/>
      <c r="AU6" s="9"/>
      <c r="AV6" s="9"/>
      <c r="AW6" s="9"/>
    </row>
    <row r="7" spans="1:49">
      <c r="A7" s="54">
        <f ca="1">IFERROR(__xludf.DUMMYFUNCTION("""COMPUTED_VALUE"""),115)</f>
        <v>115</v>
      </c>
      <c r="B7" s="50" t="str">
        <f ca="1">IFERROR(__xludf.DUMMYFUNCTION("""COMPUTED_VALUE"""),"Y")</f>
        <v>Y</v>
      </c>
      <c r="C7" s="49">
        <f ca="1">IFERROR(__xludf.DUMMYFUNCTION("""COMPUTED_VALUE"""),144)</f>
        <v>144</v>
      </c>
      <c r="D7" s="51">
        <f ca="1">IFERROR(__xludf.DUMMYFUNCTION("""COMPUTED_VALUE"""),215)</f>
        <v>215</v>
      </c>
      <c r="E7" s="52">
        <f ca="1">IFERROR(__xludf.DUMMYFUNCTION("""COMPUTED_VALUE"""),110)</f>
        <v>110</v>
      </c>
      <c r="F7" s="50">
        <f ca="1">IFERROR(__xludf.DUMMYFUNCTION("""COMPUTED_VALUE"""),121)</f>
        <v>121</v>
      </c>
      <c r="G7" s="49">
        <f ca="1">IFERROR(__xludf.DUMMYFUNCTION("""COMPUTED_VALUE"""),5)</f>
        <v>5</v>
      </c>
      <c r="H7" s="50">
        <f ca="1">IFERROR(__xludf.DUMMYFUNCTION("""COMPUTED_VALUE"""),0)</f>
        <v>0</v>
      </c>
      <c r="I7" s="49">
        <f ca="1">IFERROR(__xludf.DUMMYFUNCTION("""COMPUTED_VALUE"""),9)</f>
        <v>9</v>
      </c>
      <c r="J7" s="51">
        <f ca="1">IFERROR(__xludf.DUMMYFUNCTION("""COMPUTED_VALUE"""),2)</f>
        <v>2</v>
      </c>
      <c r="K7" s="52">
        <f ca="1">IFERROR(__xludf.DUMMYFUNCTION("""COMPUTED_VALUE"""),12)</f>
        <v>12</v>
      </c>
      <c r="L7" s="51">
        <f ca="1">IFERROR(__xludf.DUMMYFUNCTION("""COMPUTED_VALUE"""),20)</f>
        <v>20</v>
      </c>
      <c r="M7" s="52">
        <f ca="1">IFERROR(__xludf.DUMMYFUNCTION("""COMPUTED_VALUE"""),1)</f>
        <v>1</v>
      </c>
      <c r="N7" s="51">
        <f ca="1">IFERROR(__xludf.DUMMYFUNCTION("""COMPUTED_VALUE"""),0)</f>
        <v>0</v>
      </c>
      <c r="O7" s="52">
        <f ca="1">IFERROR(__xludf.DUMMYFUNCTION("""COMPUTED_VALUE"""),22)</f>
        <v>22</v>
      </c>
      <c r="P7" s="50">
        <f ca="1">IFERROR(__xludf.DUMMYFUNCTION("""COMPUTED_VALUE"""),22)</f>
        <v>22</v>
      </c>
      <c r="Q7" s="49">
        <f ca="1">IFERROR(__xludf.DUMMYFUNCTION("""COMPUTED_VALUE"""),7)</f>
        <v>7</v>
      </c>
      <c r="R7" s="51">
        <f ca="1">IFERROR(__xludf.DUMMYFUNCTION("""COMPUTED_VALUE"""),17)</f>
        <v>17</v>
      </c>
      <c r="S7" s="52">
        <f ca="1">IFERROR(__xludf.DUMMYFUNCTION("""COMPUTED_VALUE"""),2)</f>
        <v>2</v>
      </c>
      <c r="T7" s="51">
        <f ca="1">IFERROR(__xludf.DUMMYFUNCTION("""COMPUTED_VALUE"""),0)</f>
        <v>0</v>
      </c>
      <c r="U7" s="52">
        <f ca="1">IFERROR(__xludf.DUMMYFUNCTION("""COMPUTED_VALUE"""),0)</f>
        <v>0</v>
      </c>
      <c r="V7" s="50">
        <f ca="1">IFERROR(__xludf.DUMMYFUNCTION("""COMPUTED_VALUE"""),0)</f>
        <v>0</v>
      </c>
      <c r="W7" s="49">
        <f ca="1">IFERROR(__xludf.DUMMYFUNCTION("""COMPUTED_VALUE"""),14)</f>
        <v>14</v>
      </c>
      <c r="X7" s="51">
        <f ca="1">IFERROR(__xludf.DUMMYFUNCTION("""COMPUTED_VALUE"""),6)</f>
        <v>6</v>
      </c>
      <c r="Y7" s="52">
        <f ca="1">IFERROR(__xludf.DUMMYFUNCTION("""COMPUTED_VALUE"""),4)</f>
        <v>4</v>
      </c>
      <c r="Z7" s="51">
        <f ca="1">IFERROR(__xludf.DUMMYFUNCTION("""COMPUTED_VALUE"""),1)</f>
        <v>1</v>
      </c>
      <c r="AA7" s="52">
        <f ca="1">IFERROR(__xludf.DUMMYFUNCTION("""COMPUTED_VALUE"""),8)</f>
        <v>8</v>
      </c>
      <c r="AB7" s="53">
        <f ca="1">IFERROR(__xludf.DUMMYFUNCTION("""COMPUTED_VALUE"""),5)</f>
        <v>5</v>
      </c>
      <c r="AC7" s="9"/>
      <c r="AD7" s="9"/>
      <c r="AE7" s="9"/>
      <c r="AF7" s="9"/>
      <c r="AG7" s="9"/>
      <c r="AH7" s="9"/>
      <c r="AI7" s="9"/>
      <c r="AJ7" s="9"/>
      <c r="AK7" s="9"/>
      <c r="AL7" s="9"/>
      <c r="AM7" s="9"/>
      <c r="AN7" s="9"/>
      <c r="AO7" s="9"/>
      <c r="AP7" s="9"/>
      <c r="AQ7" s="9"/>
      <c r="AR7" s="9"/>
      <c r="AS7" s="9"/>
      <c r="AT7" s="9"/>
      <c r="AU7" s="9"/>
      <c r="AV7" s="9"/>
      <c r="AW7" s="9"/>
    </row>
    <row r="8" spans="1:49">
      <c r="A8" s="54">
        <f ca="1">IFERROR(__xludf.DUMMYFUNCTION("""COMPUTED_VALUE"""),119)</f>
        <v>119</v>
      </c>
      <c r="B8" s="50" t="str">
        <f ca="1">IFERROR(__xludf.DUMMYFUNCTION("""COMPUTED_VALUE"""),"Y")</f>
        <v>Y</v>
      </c>
      <c r="C8" s="49">
        <f ca="1">IFERROR(__xludf.DUMMYFUNCTION("""COMPUTED_VALUE"""),156)</f>
        <v>156</v>
      </c>
      <c r="D8" s="51">
        <f ca="1">IFERROR(__xludf.DUMMYFUNCTION("""COMPUTED_VALUE"""),203)</f>
        <v>203</v>
      </c>
      <c r="E8" s="52">
        <f ca="1">IFERROR(__xludf.DUMMYFUNCTION("""COMPUTED_VALUE"""),112)</f>
        <v>112</v>
      </c>
      <c r="F8" s="50">
        <f ca="1">IFERROR(__xludf.DUMMYFUNCTION("""COMPUTED_VALUE"""),119)</f>
        <v>119</v>
      </c>
      <c r="G8" s="48">
        <f ca="1">IFERROR(__xludf.DUMMYFUNCTION("""COMPUTED_VALUE"""),7)</f>
        <v>7</v>
      </c>
      <c r="H8" s="50">
        <f ca="1">IFERROR(__xludf.DUMMYFUNCTION("""COMPUTED_VALUE"""),0)</f>
        <v>0</v>
      </c>
      <c r="I8" s="49">
        <f ca="1">IFERROR(__xludf.DUMMYFUNCTION("""COMPUTED_VALUE"""),0)</f>
        <v>0</v>
      </c>
      <c r="J8" s="51">
        <f ca="1">IFERROR(__xludf.DUMMYFUNCTION("""COMPUTED_VALUE"""),17)</f>
        <v>17</v>
      </c>
      <c r="K8" s="52">
        <f ca="1">IFERROR(__xludf.DUMMYFUNCTION("""COMPUTED_VALUE"""),17)</f>
        <v>17</v>
      </c>
      <c r="L8" s="51">
        <f ca="1">IFERROR(__xludf.DUMMYFUNCTION("""COMPUTED_VALUE"""),3)</f>
        <v>3</v>
      </c>
      <c r="M8" s="52">
        <f ca="1">IFERROR(__xludf.DUMMYFUNCTION("""COMPUTED_VALUE"""),2)</f>
        <v>2</v>
      </c>
      <c r="N8" s="51">
        <f ca="1">IFERROR(__xludf.DUMMYFUNCTION("""COMPUTED_VALUE"""),5)</f>
        <v>5</v>
      </c>
      <c r="O8" s="52">
        <f ca="1">IFERROR(__xludf.DUMMYFUNCTION("""COMPUTED_VALUE"""),19)</f>
        <v>19</v>
      </c>
      <c r="P8" s="50">
        <f ca="1">IFERROR(__xludf.DUMMYFUNCTION("""COMPUTED_VALUE"""),25)</f>
        <v>25</v>
      </c>
      <c r="Q8" s="49">
        <f ca="1">IFERROR(__xludf.DUMMYFUNCTION("""COMPUTED_VALUE"""),10)</f>
        <v>10</v>
      </c>
      <c r="R8" s="51">
        <f ca="1">IFERROR(__xludf.DUMMYFUNCTION("""COMPUTED_VALUE"""),13)</f>
        <v>13</v>
      </c>
      <c r="S8" s="52">
        <f ca="1">IFERROR(__xludf.DUMMYFUNCTION("""COMPUTED_VALUE"""),5)</f>
        <v>5</v>
      </c>
      <c r="T8" s="51">
        <f ca="1">IFERROR(__xludf.DUMMYFUNCTION("""COMPUTED_VALUE"""),5)</f>
        <v>5</v>
      </c>
      <c r="U8" s="52">
        <f ca="1">IFERROR(__xludf.DUMMYFUNCTION("""COMPUTED_VALUE"""),7)</f>
        <v>7</v>
      </c>
      <c r="V8" s="50">
        <f ca="1">IFERROR(__xludf.DUMMYFUNCTION("""COMPUTED_VALUE"""),8)</f>
        <v>8</v>
      </c>
      <c r="W8" s="49">
        <f ca="1">IFERROR(__xludf.DUMMYFUNCTION("""COMPUTED_VALUE"""),2)</f>
        <v>2</v>
      </c>
      <c r="X8" s="51">
        <f ca="1">IFERROR(__xludf.DUMMYFUNCTION("""COMPUTED_VALUE"""),4)</f>
        <v>4</v>
      </c>
      <c r="Y8" s="52">
        <f ca="1">IFERROR(__xludf.DUMMYFUNCTION("""COMPUTED_VALUE"""),0)</f>
        <v>0</v>
      </c>
      <c r="Z8" s="51">
        <f ca="1">IFERROR(__xludf.DUMMYFUNCTION("""COMPUTED_VALUE"""),1)</f>
        <v>1</v>
      </c>
      <c r="AA8" s="52">
        <f ca="1">IFERROR(__xludf.DUMMYFUNCTION("""COMPUTED_VALUE"""),2)</f>
        <v>2</v>
      </c>
      <c r="AB8" s="53">
        <f ca="1">IFERROR(__xludf.DUMMYFUNCTION("""COMPUTED_VALUE"""),4)</f>
        <v>4</v>
      </c>
      <c r="AC8" s="9"/>
      <c r="AD8" s="9"/>
      <c r="AE8" s="9"/>
      <c r="AF8" s="9"/>
      <c r="AG8" s="9"/>
      <c r="AH8" s="9"/>
      <c r="AI8" s="9"/>
      <c r="AJ8" s="9"/>
      <c r="AK8" s="9"/>
      <c r="AL8" s="9"/>
      <c r="AM8" s="9"/>
      <c r="AN8" s="9"/>
      <c r="AO8" s="9"/>
      <c r="AP8" s="9"/>
      <c r="AQ8" s="9"/>
      <c r="AR8" s="9"/>
      <c r="AS8" s="9"/>
      <c r="AT8" s="9"/>
      <c r="AU8" s="9"/>
      <c r="AV8" s="9"/>
      <c r="AW8" s="9"/>
    </row>
    <row r="9" spans="1:49">
      <c r="A9" s="54">
        <f ca="1">IFERROR(__xludf.DUMMYFUNCTION("""COMPUTED_VALUE"""),120)</f>
        <v>120</v>
      </c>
      <c r="B9" s="50" t="str">
        <f ca="1">IFERROR(__xludf.DUMMYFUNCTION("""COMPUTED_VALUE"""),"Y")</f>
        <v>Y</v>
      </c>
      <c r="C9" s="49">
        <f ca="1">IFERROR(__xludf.DUMMYFUNCTION("""COMPUTED_VALUE"""),157)</f>
        <v>157</v>
      </c>
      <c r="D9" s="51">
        <f ca="1">IFERROR(__xludf.DUMMYFUNCTION("""COMPUTED_VALUE"""),208)</f>
        <v>208</v>
      </c>
      <c r="E9" s="52">
        <f ca="1">IFERROR(__xludf.DUMMYFUNCTION("""COMPUTED_VALUE"""),112)</f>
        <v>112</v>
      </c>
      <c r="F9" s="50">
        <f ca="1">IFERROR(__xludf.DUMMYFUNCTION("""COMPUTED_VALUE"""),120)</f>
        <v>120</v>
      </c>
      <c r="G9" s="49">
        <f ca="1">IFERROR(__xludf.DUMMYFUNCTION("""COMPUTED_VALUE"""),9)</f>
        <v>9</v>
      </c>
      <c r="H9" s="50">
        <f ca="1">IFERROR(__xludf.DUMMYFUNCTION("""COMPUTED_VALUE"""),0)</f>
        <v>0</v>
      </c>
      <c r="I9" s="49">
        <f ca="1">IFERROR(__xludf.DUMMYFUNCTION("""COMPUTED_VALUE"""),35)</f>
        <v>35</v>
      </c>
      <c r="J9" s="51">
        <f ca="1">IFERROR(__xludf.DUMMYFUNCTION("""COMPUTED_VALUE"""),14)</f>
        <v>14</v>
      </c>
      <c r="K9" s="52">
        <f ca="1">IFERROR(__xludf.DUMMYFUNCTION("""COMPUTED_VALUE"""),1)</f>
        <v>1</v>
      </c>
      <c r="L9" s="51">
        <f ca="1">IFERROR(__xludf.DUMMYFUNCTION("""COMPUTED_VALUE"""),0)</f>
        <v>0</v>
      </c>
      <c r="M9" s="52">
        <f ca="1">IFERROR(__xludf.DUMMYFUNCTION("""COMPUTED_VALUE"""),0)</f>
        <v>0</v>
      </c>
      <c r="N9" s="51">
        <f ca="1">IFERROR(__xludf.DUMMYFUNCTION("""COMPUTED_VALUE"""),1)</f>
        <v>1</v>
      </c>
      <c r="O9" s="52">
        <f ca="1">IFERROR(__xludf.DUMMYFUNCTION("""COMPUTED_VALUE"""),36)</f>
        <v>36</v>
      </c>
      <c r="P9" s="50">
        <f ca="1">IFERROR(__xludf.DUMMYFUNCTION("""COMPUTED_VALUE"""),15)</f>
        <v>15</v>
      </c>
      <c r="Q9" s="49">
        <f ca="1">IFERROR(__xludf.DUMMYFUNCTION("""COMPUTED_VALUE"""),2)</f>
        <v>2</v>
      </c>
      <c r="R9" s="51">
        <f ca="1">IFERROR(__xludf.DUMMYFUNCTION("""COMPUTED_VALUE"""),5)</f>
        <v>5</v>
      </c>
      <c r="S9" s="52">
        <f ca="1">IFERROR(__xludf.DUMMYFUNCTION("""COMPUTED_VALUE"""),8)</f>
        <v>8</v>
      </c>
      <c r="T9" s="51">
        <f ca="1">IFERROR(__xludf.DUMMYFUNCTION("""COMPUTED_VALUE"""),4)</f>
        <v>4</v>
      </c>
      <c r="U9" s="52">
        <f ca="1">IFERROR(__xludf.DUMMYFUNCTION("""COMPUTED_VALUE"""),1)</f>
        <v>1</v>
      </c>
      <c r="V9" s="50">
        <f ca="1">IFERROR(__xludf.DUMMYFUNCTION("""COMPUTED_VALUE"""),3)</f>
        <v>3</v>
      </c>
      <c r="W9" s="49">
        <f ca="1">IFERROR(__xludf.DUMMYFUNCTION("""COMPUTED_VALUE"""),10)</f>
        <v>10</v>
      </c>
      <c r="X9" s="51">
        <f ca="1">IFERROR(__xludf.DUMMYFUNCTION("""COMPUTED_VALUE"""),18)</f>
        <v>18</v>
      </c>
      <c r="Y9" s="52">
        <f ca="1">IFERROR(__xludf.DUMMYFUNCTION("""COMPUTED_VALUE"""),0)</f>
        <v>0</v>
      </c>
      <c r="Z9" s="51">
        <f ca="1">IFERROR(__xludf.DUMMYFUNCTION("""COMPUTED_VALUE"""),1)</f>
        <v>1</v>
      </c>
      <c r="AA9" s="52">
        <f ca="1">IFERROR(__xludf.DUMMYFUNCTION("""COMPUTED_VALUE"""),6)</f>
        <v>6</v>
      </c>
      <c r="AB9" s="53">
        <f ca="1">IFERROR(__xludf.DUMMYFUNCTION("""COMPUTED_VALUE"""),16)</f>
        <v>16</v>
      </c>
      <c r="AC9" s="9"/>
      <c r="AD9" s="9"/>
      <c r="AE9" s="9"/>
      <c r="AF9" s="9"/>
      <c r="AG9" s="9"/>
      <c r="AH9" s="9"/>
      <c r="AI9" s="9"/>
      <c r="AJ9" s="9"/>
      <c r="AK9" s="9"/>
      <c r="AL9" s="9"/>
      <c r="AM9" s="9"/>
      <c r="AN9" s="9"/>
      <c r="AO9" s="9"/>
      <c r="AP9" s="9"/>
      <c r="AQ9" s="9"/>
      <c r="AR9" s="9"/>
      <c r="AS9" s="9"/>
      <c r="AT9" s="9"/>
      <c r="AU9" s="9"/>
      <c r="AV9" s="9"/>
      <c r="AW9" s="9"/>
    </row>
    <row r="10" spans="1:49">
      <c r="A10" s="54">
        <f ca="1">IFERROR(__xludf.DUMMYFUNCTION("""COMPUTED_VALUE"""),123)</f>
        <v>123</v>
      </c>
      <c r="B10" s="50" t="str">
        <f ca="1">IFERROR(__xludf.DUMMYFUNCTION("""COMPUTED_VALUE"""),"Y")</f>
        <v>Y</v>
      </c>
      <c r="C10" s="49">
        <f ca="1">IFERROR(__xludf.DUMMYFUNCTION("""COMPUTED_VALUE"""),145)</f>
        <v>145</v>
      </c>
      <c r="D10" s="51">
        <f ca="1">IFERROR(__xludf.DUMMYFUNCTION("""COMPUTED_VALUE"""),216)</f>
        <v>216</v>
      </c>
      <c r="E10" s="52">
        <f ca="1">IFERROR(__xludf.DUMMYFUNCTION("""COMPUTED_VALUE"""),110)</f>
        <v>110</v>
      </c>
      <c r="F10" s="50">
        <f ca="1">IFERROR(__xludf.DUMMYFUNCTION("""COMPUTED_VALUE"""),121)</f>
        <v>121</v>
      </c>
      <c r="G10" s="49">
        <f ca="1">IFERROR(__xludf.DUMMYFUNCTION("""COMPUTED_VALUE"""),6)</f>
        <v>6</v>
      </c>
      <c r="H10" s="50">
        <f ca="1">IFERROR(__xludf.DUMMYFUNCTION("""COMPUTED_VALUE"""),0)</f>
        <v>0</v>
      </c>
      <c r="I10" s="49">
        <f ca="1">IFERROR(__xludf.DUMMYFUNCTION("""COMPUTED_VALUE"""),1)</f>
        <v>1</v>
      </c>
      <c r="J10" s="51">
        <f ca="1">IFERROR(__xludf.DUMMYFUNCTION("""COMPUTED_VALUE"""),8)</f>
        <v>8</v>
      </c>
      <c r="K10" s="52">
        <f ca="1">IFERROR(__xludf.DUMMYFUNCTION("""COMPUTED_VALUE"""),0)</f>
        <v>0</v>
      </c>
      <c r="L10" s="51">
        <f ca="1">IFERROR(__xludf.DUMMYFUNCTION("""COMPUTED_VALUE"""),5)</f>
        <v>5</v>
      </c>
      <c r="M10" s="52">
        <f ca="1">IFERROR(__xludf.DUMMYFUNCTION("""COMPUTED_VALUE"""),0)</f>
        <v>0</v>
      </c>
      <c r="N10" s="51">
        <f ca="1">IFERROR(__xludf.DUMMYFUNCTION("""COMPUTED_VALUE"""),0)</f>
        <v>0</v>
      </c>
      <c r="O10" s="52">
        <f ca="1">IFERROR(__xludf.DUMMYFUNCTION("""COMPUTED_VALUE"""),1)</f>
        <v>1</v>
      </c>
      <c r="P10" s="50">
        <f ca="1">IFERROR(__xludf.DUMMYFUNCTION("""COMPUTED_VALUE"""),13)</f>
        <v>13</v>
      </c>
      <c r="Q10" s="49">
        <f ca="1">IFERROR(__xludf.DUMMYFUNCTION("""COMPUTED_VALUE"""),4)</f>
        <v>4</v>
      </c>
      <c r="R10" s="51">
        <f ca="1">IFERROR(__xludf.DUMMYFUNCTION("""COMPUTED_VALUE"""),7)</f>
        <v>7</v>
      </c>
      <c r="S10" s="52">
        <f ca="1">IFERROR(__xludf.DUMMYFUNCTION("""COMPUTED_VALUE"""),5)</f>
        <v>5</v>
      </c>
      <c r="T10" s="51">
        <f ca="1">IFERROR(__xludf.DUMMYFUNCTION("""COMPUTED_VALUE"""),10)</f>
        <v>10</v>
      </c>
      <c r="U10" s="52">
        <f ca="1">IFERROR(__xludf.DUMMYFUNCTION("""COMPUTED_VALUE"""),1)</f>
        <v>1</v>
      </c>
      <c r="V10" s="50">
        <f ca="1">IFERROR(__xludf.DUMMYFUNCTION("""COMPUTED_VALUE"""),5)</f>
        <v>5</v>
      </c>
      <c r="W10" s="49">
        <f ca="1">IFERROR(__xludf.DUMMYFUNCTION("""COMPUTED_VALUE"""),3)</f>
        <v>3</v>
      </c>
      <c r="X10" s="51">
        <f ca="1">IFERROR(__xludf.DUMMYFUNCTION("""COMPUTED_VALUE"""),6)</f>
        <v>6</v>
      </c>
      <c r="Y10" s="52">
        <f ca="1">IFERROR(__xludf.DUMMYFUNCTION("""COMPUTED_VALUE"""),0)</f>
        <v>0</v>
      </c>
      <c r="Z10" s="51">
        <f ca="1">IFERROR(__xludf.DUMMYFUNCTION("""COMPUTED_VALUE"""),4)</f>
        <v>4</v>
      </c>
      <c r="AA10" s="52">
        <f ca="1">IFERROR(__xludf.DUMMYFUNCTION("""COMPUTED_VALUE"""),1)</f>
        <v>1</v>
      </c>
      <c r="AB10" s="53">
        <f ca="1">IFERROR(__xludf.DUMMYFUNCTION("""COMPUTED_VALUE"""),3)</f>
        <v>3</v>
      </c>
      <c r="AC10" s="9"/>
      <c r="AD10" s="9"/>
      <c r="AE10" s="9"/>
      <c r="AF10" s="9"/>
      <c r="AG10" s="9"/>
      <c r="AH10" s="9"/>
      <c r="AI10" s="9"/>
      <c r="AJ10" s="9"/>
      <c r="AK10" s="9"/>
      <c r="AL10" s="9"/>
      <c r="AM10" s="9"/>
      <c r="AN10" s="9"/>
      <c r="AO10" s="9"/>
      <c r="AP10" s="9"/>
      <c r="AQ10" s="9"/>
      <c r="AR10" s="9"/>
      <c r="AS10" s="9"/>
      <c r="AT10" s="9"/>
      <c r="AU10" s="9"/>
      <c r="AV10" s="9"/>
      <c r="AW10" s="9"/>
    </row>
    <row r="11" spans="1:49">
      <c r="A11" s="54">
        <f ca="1">IFERROR(__xludf.DUMMYFUNCTION("""COMPUTED_VALUE"""),125)</f>
        <v>125</v>
      </c>
      <c r="B11" s="50" t="str">
        <f ca="1">IFERROR(__xludf.DUMMYFUNCTION("""COMPUTED_VALUE"""),"Y")</f>
        <v>Y</v>
      </c>
      <c r="C11" s="49">
        <f ca="1">IFERROR(__xludf.DUMMYFUNCTION("""COMPUTED_VALUE"""),139)</f>
        <v>139</v>
      </c>
      <c r="D11" s="51">
        <f ca="1">IFERROR(__xludf.DUMMYFUNCTION("""COMPUTED_VALUE"""),217)</f>
        <v>217</v>
      </c>
      <c r="E11" s="52">
        <f ca="1">IFERROR(__xludf.DUMMYFUNCTION("""COMPUTED_VALUE"""),109)</f>
        <v>109</v>
      </c>
      <c r="F11" s="50">
        <f ca="1">IFERROR(__xludf.DUMMYFUNCTION("""COMPUTED_VALUE"""),121)</f>
        <v>121</v>
      </c>
      <c r="G11" s="49">
        <f ca="1">IFERROR(__xludf.DUMMYFUNCTION("""COMPUTED_VALUE"""),7)</f>
        <v>7</v>
      </c>
      <c r="H11" s="50">
        <f ca="1">IFERROR(__xludf.DUMMYFUNCTION("""COMPUTED_VALUE"""),0)</f>
        <v>0</v>
      </c>
      <c r="I11" s="49">
        <f ca="1">IFERROR(__xludf.DUMMYFUNCTION("""COMPUTED_VALUE"""),25)</f>
        <v>25</v>
      </c>
      <c r="J11" s="51">
        <f ca="1">IFERROR(__xludf.DUMMYFUNCTION("""COMPUTED_VALUE"""),4)</f>
        <v>4</v>
      </c>
      <c r="K11" s="52">
        <f ca="1">IFERROR(__xludf.DUMMYFUNCTION("""COMPUTED_VALUE"""),0)</f>
        <v>0</v>
      </c>
      <c r="L11" s="51">
        <f ca="1">IFERROR(__xludf.DUMMYFUNCTION("""COMPUTED_VALUE"""),0)</f>
        <v>0</v>
      </c>
      <c r="M11" s="52">
        <f ca="1">IFERROR(__xludf.DUMMYFUNCTION("""COMPUTED_VALUE"""),0)</f>
        <v>0</v>
      </c>
      <c r="N11" s="51">
        <f ca="1">IFERROR(__xludf.DUMMYFUNCTION("""COMPUTED_VALUE"""),0)</f>
        <v>0</v>
      </c>
      <c r="O11" s="52">
        <f ca="1">IFERROR(__xludf.DUMMYFUNCTION("""COMPUTED_VALUE"""),25)</f>
        <v>25</v>
      </c>
      <c r="P11" s="50">
        <f ca="1">IFERROR(__xludf.DUMMYFUNCTION("""COMPUTED_VALUE"""),4)</f>
        <v>4</v>
      </c>
      <c r="Q11" s="49">
        <f ca="1">IFERROR(__xludf.DUMMYFUNCTION("""COMPUTED_VALUE"""),0)</f>
        <v>0</v>
      </c>
      <c r="R11" s="51">
        <f ca="1">IFERROR(__xludf.DUMMYFUNCTION("""COMPUTED_VALUE"""),3)</f>
        <v>3</v>
      </c>
      <c r="S11" s="52">
        <f ca="1">IFERROR(__xludf.DUMMYFUNCTION("""COMPUTED_VALUE"""),3)</f>
        <v>3</v>
      </c>
      <c r="T11" s="51">
        <f ca="1">IFERROR(__xludf.DUMMYFUNCTION("""COMPUTED_VALUE"""),1)</f>
        <v>1</v>
      </c>
      <c r="U11" s="52">
        <f ca="1">IFERROR(__xludf.DUMMYFUNCTION("""COMPUTED_VALUE"""),0)</f>
        <v>0</v>
      </c>
      <c r="V11" s="50">
        <f ca="1">IFERROR(__xludf.DUMMYFUNCTION("""COMPUTED_VALUE"""),1)</f>
        <v>1</v>
      </c>
      <c r="W11" s="49">
        <f ca="1">IFERROR(__xludf.DUMMYFUNCTION("""COMPUTED_VALUE"""),5)</f>
        <v>5</v>
      </c>
      <c r="X11" s="51">
        <f ca="1">IFERROR(__xludf.DUMMYFUNCTION("""COMPUTED_VALUE"""),11)</f>
        <v>11</v>
      </c>
      <c r="Y11" s="52">
        <f ca="1">IFERROR(__xludf.DUMMYFUNCTION("""COMPUTED_VALUE"""),0)</f>
        <v>0</v>
      </c>
      <c r="Z11" s="51">
        <f ca="1">IFERROR(__xludf.DUMMYFUNCTION("""COMPUTED_VALUE"""),0)</f>
        <v>0</v>
      </c>
      <c r="AA11" s="52">
        <f ca="1">IFERROR(__xludf.DUMMYFUNCTION("""COMPUTED_VALUE"""),5)</f>
        <v>5</v>
      </c>
      <c r="AB11" s="53">
        <f ca="1">IFERROR(__xludf.DUMMYFUNCTION("""COMPUTED_VALUE"""),6)</f>
        <v>6</v>
      </c>
      <c r="AC11" s="9"/>
      <c r="AD11" s="9"/>
      <c r="AE11" s="9"/>
      <c r="AF11" s="9"/>
      <c r="AG11" s="9"/>
      <c r="AH11" s="9"/>
      <c r="AI11" s="9"/>
      <c r="AJ11" s="9"/>
      <c r="AK11" s="9"/>
      <c r="AL11" s="9"/>
      <c r="AM11" s="9"/>
      <c r="AN11" s="9"/>
      <c r="AO11" s="9"/>
      <c r="AP11" s="9"/>
      <c r="AQ11" s="9"/>
      <c r="AR11" s="9"/>
      <c r="AS11" s="9"/>
      <c r="AT11" s="9"/>
      <c r="AU11" s="9"/>
      <c r="AV11" s="9"/>
      <c r="AW11" s="9"/>
    </row>
    <row r="12" spans="1:49">
      <c r="A12" s="54">
        <f ca="1">IFERROR(__xludf.DUMMYFUNCTION("""COMPUTED_VALUE"""),127)</f>
        <v>127</v>
      </c>
      <c r="B12" s="50" t="str">
        <f ca="1">IFERROR(__xludf.DUMMYFUNCTION("""COMPUTED_VALUE"""),"Y")</f>
        <v>Y</v>
      </c>
      <c r="C12" s="49">
        <f ca="1">IFERROR(__xludf.DUMMYFUNCTION("""COMPUTED_VALUE"""),152)</f>
        <v>152</v>
      </c>
      <c r="D12" s="51">
        <f ca="1">IFERROR(__xludf.DUMMYFUNCTION("""COMPUTED_VALUE"""),204)</f>
        <v>204</v>
      </c>
      <c r="E12" s="52">
        <f ca="1">IFERROR(__xludf.DUMMYFUNCTION("""COMPUTED_VALUE"""),111)</f>
        <v>111</v>
      </c>
      <c r="F12" s="50">
        <f ca="1">IFERROR(__xludf.DUMMYFUNCTION("""COMPUTED_VALUE"""),119)</f>
        <v>119</v>
      </c>
      <c r="G12" s="49">
        <f ca="1">IFERROR(__xludf.DUMMYFUNCTION("""COMPUTED_VALUE"""),7)</f>
        <v>7</v>
      </c>
      <c r="H12" s="50">
        <f ca="1">IFERROR(__xludf.DUMMYFUNCTION("""COMPUTED_VALUE"""),0)</f>
        <v>0</v>
      </c>
      <c r="I12" s="49">
        <f ca="1">IFERROR(__xludf.DUMMYFUNCTION("""COMPUTED_VALUE"""),1)</f>
        <v>1</v>
      </c>
      <c r="J12" s="51">
        <f ca="1">IFERROR(__xludf.DUMMYFUNCTION("""COMPUTED_VALUE"""),0)</f>
        <v>0</v>
      </c>
      <c r="K12" s="52">
        <f ca="1">IFERROR(__xludf.DUMMYFUNCTION("""COMPUTED_VALUE"""),0)</f>
        <v>0</v>
      </c>
      <c r="L12" s="51">
        <f ca="1">IFERROR(__xludf.DUMMYFUNCTION("""COMPUTED_VALUE"""),0)</f>
        <v>0</v>
      </c>
      <c r="M12" s="52">
        <f ca="1">IFERROR(__xludf.DUMMYFUNCTION("""COMPUTED_VALUE"""),0)</f>
        <v>0</v>
      </c>
      <c r="N12" s="51">
        <f ca="1">IFERROR(__xludf.DUMMYFUNCTION("""COMPUTED_VALUE"""),1)</f>
        <v>1</v>
      </c>
      <c r="O12" s="52">
        <f ca="1">IFERROR(__xludf.DUMMYFUNCTION("""COMPUTED_VALUE"""),1)</f>
        <v>1</v>
      </c>
      <c r="P12" s="50">
        <f ca="1">IFERROR(__xludf.DUMMYFUNCTION("""COMPUTED_VALUE"""),1)</f>
        <v>1</v>
      </c>
      <c r="Q12" s="49">
        <f ca="1">IFERROR(__xludf.DUMMYFUNCTION("""COMPUTED_VALUE"""),8)</f>
        <v>8</v>
      </c>
      <c r="R12" s="51">
        <f ca="1">IFERROR(__xludf.DUMMYFUNCTION("""COMPUTED_VALUE"""),11)</f>
        <v>11</v>
      </c>
      <c r="S12" s="52">
        <f ca="1">IFERROR(__xludf.DUMMYFUNCTION("""COMPUTED_VALUE"""),7)</f>
        <v>7</v>
      </c>
      <c r="T12" s="51">
        <f ca="1">IFERROR(__xludf.DUMMYFUNCTION("""COMPUTED_VALUE"""),7)</f>
        <v>7</v>
      </c>
      <c r="U12" s="52">
        <f ca="1">IFERROR(__xludf.DUMMYFUNCTION("""COMPUTED_VALUE"""),1)</f>
        <v>1</v>
      </c>
      <c r="V12" s="50">
        <f ca="1">IFERROR(__xludf.DUMMYFUNCTION("""COMPUTED_VALUE"""),4)</f>
        <v>4</v>
      </c>
      <c r="W12" s="49">
        <f ca="1">IFERROR(__xludf.DUMMYFUNCTION("""COMPUTED_VALUE"""),1)</f>
        <v>1</v>
      </c>
      <c r="X12" s="51">
        <f ca="1">IFERROR(__xludf.DUMMYFUNCTION("""COMPUTED_VALUE"""),8)</f>
        <v>8</v>
      </c>
      <c r="Y12" s="52">
        <f ca="1">IFERROR(__xludf.DUMMYFUNCTION("""COMPUTED_VALUE"""),1)</f>
        <v>1</v>
      </c>
      <c r="Z12" s="51">
        <f ca="1">IFERROR(__xludf.DUMMYFUNCTION("""COMPUTED_VALUE"""),4)</f>
        <v>4</v>
      </c>
      <c r="AA12" s="52">
        <f ca="1">IFERROR(__xludf.DUMMYFUNCTION("""COMPUTED_VALUE"""),1)</f>
        <v>1</v>
      </c>
      <c r="AB12" s="53">
        <f ca="1">IFERROR(__xludf.DUMMYFUNCTION("""COMPUTED_VALUE"""),4)</f>
        <v>4</v>
      </c>
      <c r="AC12" s="9"/>
      <c r="AD12" s="9"/>
      <c r="AE12" s="9"/>
      <c r="AF12" s="9"/>
      <c r="AG12" s="9"/>
      <c r="AH12" s="9"/>
      <c r="AI12" s="9"/>
      <c r="AJ12" s="9"/>
      <c r="AK12" s="9"/>
      <c r="AL12" s="9"/>
      <c r="AM12" s="9"/>
      <c r="AN12" s="9"/>
      <c r="AO12" s="9"/>
      <c r="AP12" s="9"/>
      <c r="AQ12" s="9"/>
      <c r="AR12" s="9"/>
      <c r="AS12" s="9"/>
      <c r="AT12" s="9"/>
      <c r="AU12" s="9"/>
      <c r="AV12" s="9"/>
      <c r="AW12" s="9"/>
    </row>
    <row r="13" spans="1:49">
      <c r="A13" s="54">
        <f ca="1">IFERROR(__xludf.DUMMYFUNCTION("""COMPUTED_VALUE"""),128)</f>
        <v>128</v>
      </c>
      <c r="B13" s="50" t="str">
        <f ca="1">IFERROR(__xludf.DUMMYFUNCTION("""COMPUTED_VALUE"""),"Y")</f>
        <v>Y</v>
      </c>
      <c r="C13" s="49">
        <f ca="1">IFERROR(__xludf.DUMMYFUNCTION("""COMPUTED_VALUE"""),142)</f>
        <v>142</v>
      </c>
      <c r="D13" s="51">
        <f ca="1">IFERROR(__xludf.DUMMYFUNCTION("""COMPUTED_VALUE"""),200)</f>
        <v>200</v>
      </c>
      <c r="E13" s="52">
        <f ca="1">IFERROR(__xludf.DUMMYFUNCTION("""COMPUTED_VALUE"""),110)</f>
        <v>110</v>
      </c>
      <c r="F13" s="50">
        <f ca="1">IFERROR(__xludf.DUMMYFUNCTION("""COMPUTED_VALUE"""),119)</f>
        <v>119</v>
      </c>
      <c r="G13" s="49">
        <f ca="1">IFERROR(__xludf.DUMMYFUNCTION("""COMPUTED_VALUE"""),5)</f>
        <v>5</v>
      </c>
      <c r="H13" s="50">
        <f ca="1">IFERROR(__xludf.DUMMYFUNCTION("""COMPUTED_VALUE"""),0)</f>
        <v>0</v>
      </c>
      <c r="I13" s="49">
        <f ca="1">IFERROR(__xludf.DUMMYFUNCTION("""COMPUTED_VALUE"""),0)</f>
        <v>0</v>
      </c>
      <c r="J13" s="51">
        <f ca="1">IFERROR(__xludf.DUMMYFUNCTION("""COMPUTED_VALUE"""),0)</f>
        <v>0</v>
      </c>
      <c r="K13" s="52">
        <f ca="1">IFERROR(__xludf.DUMMYFUNCTION("""COMPUTED_VALUE"""),0)</f>
        <v>0</v>
      </c>
      <c r="L13" s="51">
        <f ca="1">IFERROR(__xludf.DUMMYFUNCTION("""COMPUTED_VALUE"""),7)</f>
        <v>7</v>
      </c>
      <c r="M13" s="52">
        <f ca="1">IFERROR(__xludf.DUMMYFUNCTION("""COMPUTED_VALUE"""),0)</f>
        <v>0</v>
      </c>
      <c r="N13" s="51">
        <f ca="1">IFERROR(__xludf.DUMMYFUNCTION("""COMPUTED_VALUE"""),0)</f>
        <v>0</v>
      </c>
      <c r="O13" s="52">
        <f ca="1">IFERROR(__xludf.DUMMYFUNCTION("""COMPUTED_VALUE"""),0)</f>
        <v>0</v>
      </c>
      <c r="P13" s="50">
        <f ca="1">IFERROR(__xludf.DUMMYFUNCTION("""COMPUTED_VALUE"""),7)</f>
        <v>7</v>
      </c>
      <c r="Q13" s="49">
        <f ca="1">IFERROR(__xludf.DUMMYFUNCTION("""COMPUTED_VALUE"""),5)</f>
        <v>5</v>
      </c>
      <c r="R13" s="51">
        <f ca="1">IFERROR(__xludf.DUMMYFUNCTION("""COMPUTED_VALUE"""),13)</f>
        <v>13</v>
      </c>
      <c r="S13" s="52">
        <f ca="1">IFERROR(__xludf.DUMMYFUNCTION("""COMPUTED_VALUE"""),5)</f>
        <v>5</v>
      </c>
      <c r="T13" s="51">
        <f ca="1">IFERROR(__xludf.DUMMYFUNCTION("""COMPUTED_VALUE"""),5)</f>
        <v>5</v>
      </c>
      <c r="U13" s="52">
        <f ca="1">IFERROR(__xludf.DUMMYFUNCTION("""COMPUTED_VALUE"""),0)</f>
        <v>0</v>
      </c>
      <c r="V13" s="50">
        <f ca="1">IFERROR(__xludf.DUMMYFUNCTION("""COMPUTED_VALUE"""),3)</f>
        <v>3</v>
      </c>
      <c r="W13" s="49">
        <f ca="1">IFERROR(__xludf.DUMMYFUNCTION("""COMPUTED_VALUE"""),3)</f>
        <v>3</v>
      </c>
      <c r="X13" s="51">
        <f ca="1">IFERROR(__xludf.DUMMYFUNCTION("""COMPUTED_VALUE"""),1)</f>
        <v>1</v>
      </c>
      <c r="Y13" s="52">
        <f ca="1">IFERROR(__xludf.DUMMYFUNCTION("""COMPUTED_VALUE"""),1)</f>
        <v>1</v>
      </c>
      <c r="Z13" s="51">
        <f ca="1">IFERROR(__xludf.DUMMYFUNCTION("""COMPUTED_VALUE"""),1)</f>
        <v>1</v>
      </c>
      <c r="AA13" s="52">
        <f ca="1">IFERROR(__xludf.DUMMYFUNCTION("""COMPUTED_VALUE"""),1)</f>
        <v>1</v>
      </c>
      <c r="AB13" s="53">
        <f ca="1">IFERROR(__xludf.DUMMYFUNCTION("""COMPUTED_VALUE"""),1)</f>
        <v>1</v>
      </c>
      <c r="AC13" s="9"/>
      <c r="AD13" s="9"/>
      <c r="AE13" s="9"/>
      <c r="AF13" s="9"/>
      <c r="AG13" s="9"/>
      <c r="AH13" s="9"/>
      <c r="AI13" s="9"/>
      <c r="AJ13" s="9"/>
      <c r="AK13" s="9"/>
      <c r="AL13" s="9"/>
      <c r="AM13" s="9"/>
      <c r="AN13" s="9"/>
      <c r="AO13" s="9"/>
      <c r="AP13" s="9"/>
      <c r="AQ13" s="9"/>
      <c r="AR13" s="9"/>
      <c r="AS13" s="9"/>
      <c r="AT13" s="9"/>
      <c r="AU13" s="9"/>
      <c r="AV13" s="9"/>
      <c r="AW13" s="9"/>
    </row>
    <row r="14" spans="1:49">
      <c r="A14" s="54">
        <f ca="1">IFERROR(__xludf.DUMMYFUNCTION("""COMPUTED_VALUE"""),129)</f>
        <v>129</v>
      </c>
      <c r="B14" s="50" t="str">
        <f ca="1">IFERROR(__xludf.DUMMYFUNCTION("""COMPUTED_VALUE"""),"Y")</f>
        <v>Y</v>
      </c>
      <c r="C14" s="49">
        <f ca="1">IFERROR(__xludf.DUMMYFUNCTION("""COMPUTED_VALUE"""),136)</f>
        <v>136</v>
      </c>
      <c r="D14" s="51">
        <f ca="1">IFERROR(__xludf.DUMMYFUNCTION("""COMPUTED_VALUE"""),207)</f>
        <v>207</v>
      </c>
      <c r="E14" s="52">
        <f ca="1">IFERROR(__xludf.DUMMYFUNCTION("""COMPUTED_VALUE"""),109)</f>
        <v>109</v>
      </c>
      <c r="F14" s="50">
        <f ca="1">IFERROR(__xludf.DUMMYFUNCTION("""COMPUTED_VALUE"""),120)</f>
        <v>120</v>
      </c>
      <c r="G14" s="49">
        <f ca="1">IFERROR(__xludf.DUMMYFUNCTION("""COMPUTED_VALUE"""),4)</f>
        <v>4</v>
      </c>
      <c r="H14" s="50">
        <f ca="1">IFERROR(__xludf.DUMMYFUNCTION("""COMPUTED_VALUE"""),0)</f>
        <v>0</v>
      </c>
      <c r="I14" s="49">
        <f ca="1">IFERROR(__xludf.DUMMYFUNCTION("""COMPUTED_VALUE"""),0)</f>
        <v>0</v>
      </c>
      <c r="J14" s="51">
        <f ca="1">IFERROR(__xludf.DUMMYFUNCTION("""COMPUTED_VALUE"""),3)</f>
        <v>3</v>
      </c>
      <c r="K14" s="52">
        <f ca="1">IFERROR(__xludf.DUMMYFUNCTION("""COMPUTED_VALUE"""),36)</f>
        <v>36</v>
      </c>
      <c r="L14" s="51">
        <f ca="1">IFERROR(__xludf.DUMMYFUNCTION("""COMPUTED_VALUE"""),28)</f>
        <v>28</v>
      </c>
      <c r="M14" s="52">
        <f ca="1">IFERROR(__xludf.DUMMYFUNCTION("""COMPUTED_VALUE"""),0)</f>
        <v>0</v>
      </c>
      <c r="N14" s="51">
        <f ca="1">IFERROR(__xludf.DUMMYFUNCTION("""COMPUTED_VALUE"""),1)</f>
        <v>1</v>
      </c>
      <c r="O14" s="52">
        <f ca="1">IFERROR(__xludf.DUMMYFUNCTION("""COMPUTED_VALUE"""),36)</f>
        <v>36</v>
      </c>
      <c r="P14" s="50">
        <f ca="1">IFERROR(__xludf.DUMMYFUNCTION("""COMPUTED_VALUE"""),32)</f>
        <v>32</v>
      </c>
      <c r="Q14" s="49">
        <f ca="1">IFERROR(__xludf.DUMMYFUNCTION("""COMPUTED_VALUE"""),12)</f>
        <v>12</v>
      </c>
      <c r="R14" s="51">
        <f ca="1">IFERROR(__xludf.DUMMYFUNCTION("""COMPUTED_VALUE"""),18)</f>
        <v>18</v>
      </c>
      <c r="S14" s="52">
        <f ca="1">IFERROR(__xludf.DUMMYFUNCTION("""COMPUTED_VALUE"""),7)</f>
        <v>7</v>
      </c>
      <c r="T14" s="51">
        <f ca="1">IFERROR(__xludf.DUMMYFUNCTION("""COMPUTED_VALUE"""),3)</f>
        <v>3</v>
      </c>
      <c r="U14" s="52">
        <f ca="1">IFERROR(__xludf.DUMMYFUNCTION("""COMPUTED_VALUE"""),9)</f>
        <v>9</v>
      </c>
      <c r="V14" s="50">
        <f ca="1">IFERROR(__xludf.DUMMYFUNCTION("""COMPUTED_VALUE"""),13)</f>
        <v>13</v>
      </c>
      <c r="W14" s="49">
        <f ca="1">IFERROR(__xludf.DUMMYFUNCTION("""COMPUTED_VALUE"""),2)</f>
        <v>2</v>
      </c>
      <c r="X14" s="51">
        <f ca="1">IFERROR(__xludf.DUMMYFUNCTION("""COMPUTED_VALUE"""),4)</f>
        <v>4</v>
      </c>
      <c r="Y14" s="52">
        <f ca="1">IFERROR(__xludf.DUMMYFUNCTION("""COMPUTED_VALUE"""),0)</f>
        <v>0</v>
      </c>
      <c r="Z14" s="51">
        <f ca="1">IFERROR(__xludf.DUMMYFUNCTION("""COMPUTED_VALUE"""),3)</f>
        <v>3</v>
      </c>
      <c r="AA14" s="52">
        <f ca="1">IFERROR(__xludf.DUMMYFUNCTION("""COMPUTED_VALUE"""),1)</f>
        <v>1</v>
      </c>
      <c r="AB14" s="53">
        <f ca="1">IFERROR(__xludf.DUMMYFUNCTION("""COMPUTED_VALUE"""),3)</f>
        <v>3</v>
      </c>
      <c r="AC14" s="9"/>
      <c r="AD14" s="9"/>
      <c r="AE14" s="9"/>
      <c r="AF14" s="9"/>
      <c r="AG14" s="9"/>
      <c r="AH14" s="9"/>
      <c r="AI14" s="9"/>
      <c r="AJ14" s="9"/>
      <c r="AK14" s="9"/>
      <c r="AL14" s="9"/>
      <c r="AM14" s="9"/>
      <c r="AN14" s="9"/>
      <c r="AO14" s="9"/>
      <c r="AP14" s="9"/>
      <c r="AQ14" s="9"/>
      <c r="AR14" s="9"/>
      <c r="AS14" s="9"/>
      <c r="AT14" s="9"/>
      <c r="AU14" s="9"/>
      <c r="AV14" s="9"/>
      <c r="AW14" s="9"/>
    </row>
    <row r="15" spans="1:49">
      <c r="A15" s="54">
        <f ca="1">IFERROR(__xludf.DUMMYFUNCTION("""COMPUTED_VALUE"""),130)</f>
        <v>130</v>
      </c>
      <c r="B15" s="50" t="str">
        <f ca="1">IFERROR(__xludf.DUMMYFUNCTION("""COMPUTED_VALUE"""),"Y")</f>
        <v>Y</v>
      </c>
      <c r="C15" s="49">
        <f ca="1">IFERROR(__xludf.DUMMYFUNCTION("""COMPUTED_VALUE"""),155)</f>
        <v>155</v>
      </c>
      <c r="D15" s="51">
        <f ca="1">IFERROR(__xludf.DUMMYFUNCTION("""COMPUTED_VALUE"""),201)</f>
        <v>201</v>
      </c>
      <c r="E15" s="52">
        <f ca="1">IFERROR(__xludf.DUMMYFUNCTION("""COMPUTED_VALUE"""),112)</f>
        <v>112</v>
      </c>
      <c r="F15" s="50">
        <f ca="1">IFERROR(__xludf.DUMMYFUNCTION("""COMPUTED_VALUE"""),119)</f>
        <v>119</v>
      </c>
      <c r="G15" s="49">
        <f ca="1">IFERROR(__xludf.DUMMYFUNCTION("""COMPUTED_VALUE"""),3)</f>
        <v>3</v>
      </c>
      <c r="H15" s="50">
        <f ca="1">IFERROR(__xludf.DUMMYFUNCTION("""COMPUTED_VALUE"""),0)</f>
        <v>0</v>
      </c>
      <c r="I15" s="49">
        <f ca="1">IFERROR(__xludf.DUMMYFUNCTION("""COMPUTED_VALUE"""),7)</f>
        <v>7</v>
      </c>
      <c r="J15" s="51">
        <f ca="1">IFERROR(__xludf.DUMMYFUNCTION("""COMPUTED_VALUE"""),5)</f>
        <v>5</v>
      </c>
      <c r="K15" s="52">
        <f ca="1">IFERROR(__xludf.DUMMYFUNCTION("""COMPUTED_VALUE"""),22)</f>
        <v>22</v>
      </c>
      <c r="L15" s="51">
        <f ca="1">IFERROR(__xludf.DUMMYFUNCTION("""COMPUTED_VALUE"""),7)</f>
        <v>7</v>
      </c>
      <c r="M15" s="52">
        <f ca="1">IFERROR(__xludf.DUMMYFUNCTION("""COMPUTED_VALUE"""),0)</f>
        <v>0</v>
      </c>
      <c r="N15" s="51">
        <f ca="1">IFERROR(__xludf.DUMMYFUNCTION("""COMPUTED_VALUE"""),2)</f>
        <v>2</v>
      </c>
      <c r="O15" s="52">
        <f ca="1">IFERROR(__xludf.DUMMYFUNCTION("""COMPUTED_VALUE"""),29)</f>
        <v>29</v>
      </c>
      <c r="P15" s="50">
        <f ca="1">IFERROR(__xludf.DUMMYFUNCTION("""COMPUTED_VALUE"""),14)</f>
        <v>14</v>
      </c>
      <c r="Q15" s="49">
        <f ca="1">IFERROR(__xludf.DUMMYFUNCTION("""COMPUTED_VALUE"""),10)</f>
        <v>10</v>
      </c>
      <c r="R15" s="51">
        <f ca="1">IFERROR(__xludf.DUMMYFUNCTION("""COMPUTED_VALUE"""),18)</f>
        <v>18</v>
      </c>
      <c r="S15" s="52">
        <f ca="1">IFERROR(__xludf.DUMMYFUNCTION("""COMPUTED_VALUE"""),7)</f>
        <v>7</v>
      </c>
      <c r="T15" s="51">
        <f ca="1">IFERROR(__xludf.DUMMYFUNCTION("""COMPUTED_VALUE"""),9)</f>
        <v>9</v>
      </c>
      <c r="U15" s="52">
        <f ca="1">IFERROR(__xludf.DUMMYFUNCTION("""COMPUTED_VALUE"""),7)</f>
        <v>7</v>
      </c>
      <c r="V15" s="50">
        <f ca="1">IFERROR(__xludf.DUMMYFUNCTION("""COMPUTED_VALUE"""),15)</f>
        <v>15</v>
      </c>
      <c r="W15" s="49">
        <f ca="1">IFERROR(__xludf.DUMMYFUNCTION("""COMPUTED_VALUE"""),15)</f>
        <v>15</v>
      </c>
      <c r="X15" s="51">
        <f ca="1">IFERROR(__xludf.DUMMYFUNCTION("""COMPUTED_VALUE"""),13)</f>
        <v>13</v>
      </c>
      <c r="Y15" s="52">
        <f ca="1">IFERROR(__xludf.DUMMYFUNCTION("""COMPUTED_VALUE"""),0)</f>
        <v>0</v>
      </c>
      <c r="Z15" s="51">
        <f ca="1">IFERROR(__xludf.DUMMYFUNCTION("""COMPUTED_VALUE"""),1)</f>
        <v>1</v>
      </c>
      <c r="AA15" s="52">
        <f ca="1">IFERROR(__xludf.DUMMYFUNCTION("""COMPUTED_VALUE"""),10)</f>
        <v>10</v>
      </c>
      <c r="AB15" s="53">
        <f ca="1">IFERROR(__xludf.DUMMYFUNCTION("""COMPUTED_VALUE"""),9)</f>
        <v>9</v>
      </c>
      <c r="AC15" s="9"/>
      <c r="AD15" s="9"/>
      <c r="AE15" s="9"/>
      <c r="AF15" s="9"/>
      <c r="AG15" s="9"/>
      <c r="AH15" s="9"/>
      <c r="AI15" s="9"/>
      <c r="AJ15" s="9"/>
      <c r="AK15" s="9"/>
      <c r="AL15" s="9"/>
      <c r="AM15" s="9"/>
      <c r="AN15" s="9"/>
      <c r="AO15" s="9"/>
      <c r="AP15" s="9"/>
      <c r="AQ15" s="9"/>
      <c r="AR15" s="9"/>
      <c r="AS15" s="9"/>
      <c r="AT15" s="9"/>
      <c r="AU15" s="9"/>
      <c r="AV15" s="9"/>
      <c r="AW15" s="9"/>
    </row>
    <row r="16" spans="1:49">
      <c r="A16" s="54">
        <f ca="1">IFERROR(__xludf.DUMMYFUNCTION("""COMPUTED_VALUE"""),133)</f>
        <v>133</v>
      </c>
      <c r="B16" s="50" t="str">
        <f ca="1">IFERROR(__xludf.DUMMYFUNCTION("""COMPUTED_VALUE"""),"Y")</f>
        <v>Y</v>
      </c>
      <c r="C16" s="49">
        <f ca="1">IFERROR(__xludf.DUMMYFUNCTION("""COMPUTED_VALUE"""),189)</f>
        <v>189</v>
      </c>
      <c r="D16" s="51">
        <f ca="1">IFERROR(__xludf.DUMMYFUNCTION("""COMPUTED_VALUE"""),202)</f>
        <v>202</v>
      </c>
      <c r="E16" s="52">
        <f ca="1">IFERROR(__xludf.DUMMYFUNCTION("""COMPUTED_VALUE"""),111)</f>
        <v>111</v>
      </c>
      <c r="F16" s="50">
        <f ca="1">IFERROR(__xludf.DUMMYFUNCTION("""COMPUTED_VALUE"""),119)</f>
        <v>119</v>
      </c>
      <c r="G16" s="49">
        <f ca="1">IFERROR(__xludf.DUMMYFUNCTION("""COMPUTED_VALUE"""),2)</f>
        <v>2</v>
      </c>
      <c r="H16" s="50">
        <f ca="1">IFERROR(__xludf.DUMMYFUNCTION("""COMPUTED_VALUE"""),0)</f>
        <v>0</v>
      </c>
      <c r="I16" s="49">
        <f ca="1">IFERROR(__xludf.DUMMYFUNCTION("""COMPUTED_VALUE"""),3)</f>
        <v>3</v>
      </c>
      <c r="J16" s="51">
        <f ca="1">IFERROR(__xludf.DUMMYFUNCTION("""COMPUTED_VALUE"""),0)</f>
        <v>0</v>
      </c>
      <c r="K16" s="52">
        <f ca="1">IFERROR(__xludf.DUMMYFUNCTION("""COMPUTED_VALUE"""),0)</f>
        <v>0</v>
      </c>
      <c r="L16" s="51">
        <f ca="1">IFERROR(__xludf.DUMMYFUNCTION("""COMPUTED_VALUE"""),5)</f>
        <v>5</v>
      </c>
      <c r="M16" s="52">
        <f ca="1">IFERROR(__xludf.DUMMYFUNCTION("""COMPUTED_VALUE"""),0)</f>
        <v>0</v>
      </c>
      <c r="N16" s="51">
        <f ca="1">IFERROR(__xludf.DUMMYFUNCTION("""COMPUTED_VALUE"""),0)</f>
        <v>0</v>
      </c>
      <c r="O16" s="52">
        <f ca="1">IFERROR(__xludf.DUMMYFUNCTION("""COMPUTED_VALUE"""),3)</f>
        <v>3</v>
      </c>
      <c r="P16" s="50">
        <f ca="1">IFERROR(__xludf.DUMMYFUNCTION("""COMPUTED_VALUE"""),5)</f>
        <v>5</v>
      </c>
      <c r="Q16" s="49">
        <f ca="1">IFERROR(__xludf.DUMMYFUNCTION("""COMPUTED_VALUE"""),2)</f>
        <v>2</v>
      </c>
      <c r="R16" s="51">
        <f ca="1">IFERROR(__xludf.DUMMYFUNCTION("""COMPUTED_VALUE"""),7)</f>
        <v>7</v>
      </c>
      <c r="S16" s="52">
        <f ca="1">IFERROR(__xludf.DUMMYFUNCTION("""COMPUTED_VALUE"""),2)</f>
        <v>2</v>
      </c>
      <c r="T16" s="51">
        <f ca="1">IFERROR(__xludf.DUMMYFUNCTION("""COMPUTED_VALUE"""),0)</f>
        <v>0</v>
      </c>
      <c r="U16" s="52">
        <f ca="1">IFERROR(__xludf.DUMMYFUNCTION("""COMPUTED_VALUE"""),1)</f>
        <v>1</v>
      </c>
      <c r="V16" s="50">
        <f ca="1">IFERROR(__xludf.DUMMYFUNCTION("""COMPUTED_VALUE"""),6)</f>
        <v>6</v>
      </c>
      <c r="W16" s="49">
        <f ca="1">IFERROR(__xludf.DUMMYFUNCTION("""COMPUTED_VALUE"""),2)</f>
        <v>2</v>
      </c>
      <c r="X16" s="51">
        <f ca="1">IFERROR(__xludf.DUMMYFUNCTION("""COMPUTED_VALUE"""),0)</f>
        <v>0</v>
      </c>
      <c r="Y16" s="52">
        <f ca="1">IFERROR(__xludf.DUMMYFUNCTION("""COMPUTED_VALUE"""),1)</f>
        <v>1</v>
      </c>
      <c r="Z16" s="51">
        <f ca="1">IFERROR(__xludf.DUMMYFUNCTION("""COMPUTED_VALUE"""),0)</f>
        <v>0</v>
      </c>
      <c r="AA16" s="52">
        <f ca="1">IFERROR(__xludf.DUMMYFUNCTION("""COMPUTED_VALUE"""),2)</f>
        <v>2</v>
      </c>
      <c r="AB16" s="53">
        <f ca="1">IFERROR(__xludf.DUMMYFUNCTION("""COMPUTED_VALUE"""),0)</f>
        <v>0</v>
      </c>
      <c r="AC16" s="9"/>
      <c r="AD16" s="9"/>
      <c r="AE16" s="9"/>
      <c r="AF16" s="9"/>
      <c r="AG16" s="9"/>
      <c r="AH16" s="9"/>
      <c r="AI16" s="9"/>
      <c r="AJ16" s="9"/>
      <c r="AK16" s="9"/>
      <c r="AL16" s="9"/>
      <c r="AM16" s="9"/>
      <c r="AN16" s="9"/>
      <c r="AO16" s="9"/>
      <c r="AP16" s="9"/>
      <c r="AQ16" s="9"/>
      <c r="AR16" s="9"/>
      <c r="AS16" s="9"/>
      <c r="AT16" s="9"/>
      <c r="AU16" s="9"/>
      <c r="AV16" s="9"/>
      <c r="AW16" s="9"/>
    </row>
    <row r="17" spans="1:49">
      <c r="A17" s="54">
        <f ca="1">IFERROR(__xludf.DUMMYFUNCTION("""COMPUTED_VALUE"""),136)</f>
        <v>136</v>
      </c>
      <c r="B17" s="50" t="str">
        <f ca="1">IFERROR(__xludf.DUMMYFUNCTION("""COMPUTED_VALUE"""),"Y")</f>
        <v>Y</v>
      </c>
      <c r="C17" s="49">
        <f ca="1">IFERROR(__xludf.DUMMYFUNCTION("""COMPUTED_VALUE"""),137)</f>
        <v>137</v>
      </c>
      <c r="D17" s="51">
        <f ca="1">IFERROR(__xludf.DUMMYFUNCTION("""COMPUTED_VALUE"""),194)</f>
        <v>194</v>
      </c>
      <c r="E17" s="52">
        <f ca="1">IFERROR(__xludf.DUMMYFUNCTION("""COMPUTED_VALUE"""),109)</f>
        <v>109</v>
      </c>
      <c r="F17" s="50">
        <f ca="1">IFERROR(__xludf.DUMMYFUNCTION("""COMPUTED_VALUE"""),118)</f>
        <v>118</v>
      </c>
      <c r="G17" s="49">
        <f ca="1">IFERROR(__xludf.DUMMYFUNCTION("""COMPUTED_VALUE"""),1)</f>
        <v>1</v>
      </c>
      <c r="H17" s="50">
        <f ca="1">IFERROR(__xludf.DUMMYFUNCTION("""COMPUTED_VALUE"""),0)</f>
        <v>0</v>
      </c>
      <c r="I17" s="49">
        <f ca="1">IFERROR(__xludf.DUMMYFUNCTION("""COMPUTED_VALUE"""),4)</f>
        <v>4</v>
      </c>
      <c r="J17" s="51">
        <f ca="1">IFERROR(__xludf.DUMMYFUNCTION("""COMPUTED_VALUE"""),7)</f>
        <v>7</v>
      </c>
      <c r="K17" s="52">
        <f ca="1">IFERROR(__xludf.DUMMYFUNCTION("""COMPUTED_VALUE"""),0)</f>
        <v>0</v>
      </c>
      <c r="L17" s="51">
        <f ca="1">IFERROR(__xludf.DUMMYFUNCTION("""COMPUTED_VALUE"""),16)</f>
        <v>16</v>
      </c>
      <c r="M17" s="52">
        <f ca="1">IFERROR(__xludf.DUMMYFUNCTION("""COMPUTED_VALUE"""),0)</f>
        <v>0</v>
      </c>
      <c r="N17" s="51">
        <f ca="1">IFERROR(__xludf.DUMMYFUNCTION("""COMPUTED_VALUE"""),0)</f>
        <v>0</v>
      </c>
      <c r="O17" s="52">
        <f ca="1">IFERROR(__xludf.DUMMYFUNCTION("""COMPUTED_VALUE"""),4)</f>
        <v>4</v>
      </c>
      <c r="P17" s="50">
        <f ca="1">IFERROR(__xludf.DUMMYFUNCTION("""COMPUTED_VALUE"""),23)</f>
        <v>23</v>
      </c>
      <c r="Q17" s="49">
        <f ca="1">IFERROR(__xludf.DUMMYFUNCTION("""COMPUTED_VALUE"""),3)</f>
        <v>3</v>
      </c>
      <c r="R17" s="51">
        <f ca="1">IFERROR(__xludf.DUMMYFUNCTION("""COMPUTED_VALUE"""),8)</f>
        <v>8</v>
      </c>
      <c r="S17" s="52">
        <f ca="1">IFERROR(__xludf.DUMMYFUNCTION("""COMPUTED_VALUE"""),4)</f>
        <v>4</v>
      </c>
      <c r="T17" s="51">
        <f ca="1">IFERROR(__xludf.DUMMYFUNCTION("""COMPUTED_VALUE"""),2)</f>
        <v>2</v>
      </c>
      <c r="U17" s="52">
        <f ca="1">IFERROR(__xludf.DUMMYFUNCTION("""COMPUTED_VALUE"""),0)</f>
        <v>0</v>
      </c>
      <c r="V17" s="50">
        <f ca="1">IFERROR(__xludf.DUMMYFUNCTION("""COMPUTED_VALUE"""),5)</f>
        <v>5</v>
      </c>
      <c r="W17" s="49">
        <f ca="1">IFERROR(__xludf.DUMMYFUNCTION("""COMPUTED_VALUE"""),2)</f>
        <v>2</v>
      </c>
      <c r="X17" s="51">
        <f ca="1">IFERROR(__xludf.DUMMYFUNCTION("""COMPUTED_VALUE"""),4)</f>
        <v>4</v>
      </c>
      <c r="Y17" s="52">
        <f ca="1">IFERROR(__xludf.DUMMYFUNCTION("""COMPUTED_VALUE"""),0)</f>
        <v>0</v>
      </c>
      <c r="Z17" s="51">
        <f ca="1">IFERROR(__xludf.DUMMYFUNCTION("""COMPUTED_VALUE"""),0)</f>
        <v>0</v>
      </c>
      <c r="AA17" s="52">
        <f ca="1">IFERROR(__xludf.DUMMYFUNCTION("""COMPUTED_VALUE"""),1)</f>
        <v>1</v>
      </c>
      <c r="AB17" s="53">
        <f ca="1">IFERROR(__xludf.DUMMYFUNCTION("""COMPUTED_VALUE"""),4)</f>
        <v>4</v>
      </c>
      <c r="AC17" s="9"/>
      <c r="AD17" s="9"/>
      <c r="AE17" s="9"/>
      <c r="AF17" s="9"/>
      <c r="AG17" s="9"/>
      <c r="AH17" s="9"/>
      <c r="AI17" s="9"/>
      <c r="AJ17" s="9"/>
      <c r="AK17" s="9"/>
      <c r="AL17" s="9"/>
      <c r="AM17" s="9"/>
      <c r="AN17" s="9"/>
      <c r="AO17" s="9"/>
      <c r="AP17" s="9"/>
      <c r="AQ17" s="9"/>
      <c r="AR17" s="9"/>
      <c r="AS17" s="9"/>
      <c r="AT17" s="9"/>
      <c r="AU17" s="9"/>
      <c r="AV17" s="9"/>
      <c r="AW17" s="9"/>
    </row>
    <row r="18" spans="1:49">
      <c r="A18" s="54">
        <f ca="1">IFERROR(__xludf.DUMMYFUNCTION("""COMPUTED_VALUE"""),137)</f>
        <v>137</v>
      </c>
      <c r="B18" s="50" t="str">
        <f ca="1">IFERROR(__xludf.DUMMYFUNCTION("""COMPUTED_VALUE"""),"Y")</f>
        <v>Y</v>
      </c>
      <c r="C18" s="49">
        <f ca="1">IFERROR(__xludf.DUMMYFUNCTION("""COMPUTED_VALUE"""),149)</f>
        <v>149</v>
      </c>
      <c r="D18" s="51">
        <f ca="1">IFERROR(__xludf.DUMMYFUNCTION("""COMPUTED_VALUE"""),209)</f>
        <v>209</v>
      </c>
      <c r="E18" s="52">
        <f ca="1">IFERROR(__xludf.DUMMYFUNCTION("""COMPUTED_VALUE"""),111)</f>
        <v>111</v>
      </c>
      <c r="F18" s="50">
        <f ca="1">IFERROR(__xludf.DUMMYFUNCTION("""COMPUTED_VALUE"""),120)</f>
        <v>120</v>
      </c>
      <c r="G18" s="49">
        <f ca="1">IFERROR(__xludf.DUMMYFUNCTION("""COMPUTED_VALUE"""),2)</f>
        <v>2</v>
      </c>
      <c r="H18" s="50">
        <f ca="1">IFERROR(__xludf.DUMMYFUNCTION("""COMPUTED_VALUE"""),0)</f>
        <v>0</v>
      </c>
      <c r="I18" s="49">
        <f ca="1">IFERROR(__xludf.DUMMYFUNCTION("""COMPUTED_VALUE"""),0)</f>
        <v>0</v>
      </c>
      <c r="J18" s="51">
        <f ca="1">IFERROR(__xludf.DUMMYFUNCTION("""COMPUTED_VALUE"""),1)</f>
        <v>1</v>
      </c>
      <c r="K18" s="52">
        <f ca="1">IFERROR(__xludf.DUMMYFUNCTION("""COMPUTED_VALUE"""),0)</f>
        <v>0</v>
      </c>
      <c r="L18" s="51">
        <f ca="1">IFERROR(__xludf.DUMMYFUNCTION("""COMPUTED_VALUE"""),2)</f>
        <v>2</v>
      </c>
      <c r="M18" s="52">
        <f ca="1">IFERROR(__xludf.DUMMYFUNCTION("""COMPUTED_VALUE"""),0)</f>
        <v>0</v>
      </c>
      <c r="N18" s="51">
        <f ca="1">IFERROR(__xludf.DUMMYFUNCTION("""COMPUTED_VALUE"""),0)</f>
        <v>0</v>
      </c>
      <c r="O18" s="52">
        <f ca="1">IFERROR(__xludf.DUMMYFUNCTION("""COMPUTED_VALUE"""),0)</f>
        <v>0</v>
      </c>
      <c r="P18" s="50">
        <f ca="1">IFERROR(__xludf.DUMMYFUNCTION("""COMPUTED_VALUE"""),3)</f>
        <v>3</v>
      </c>
      <c r="Q18" s="49">
        <f ca="1">IFERROR(__xludf.DUMMYFUNCTION("""COMPUTED_VALUE"""),9)</f>
        <v>9</v>
      </c>
      <c r="R18" s="51">
        <f ca="1">IFERROR(__xludf.DUMMYFUNCTION("""COMPUTED_VALUE"""),16)</f>
        <v>16</v>
      </c>
      <c r="S18" s="52">
        <f ca="1">IFERROR(__xludf.DUMMYFUNCTION("""COMPUTED_VALUE"""),9)</f>
        <v>9</v>
      </c>
      <c r="T18" s="51">
        <f ca="1">IFERROR(__xludf.DUMMYFUNCTION("""COMPUTED_VALUE"""),12)</f>
        <v>12</v>
      </c>
      <c r="U18" s="52">
        <f ca="1">IFERROR(__xludf.DUMMYFUNCTION("""COMPUTED_VALUE"""),1)</f>
        <v>1</v>
      </c>
      <c r="V18" s="50">
        <f ca="1">IFERROR(__xludf.DUMMYFUNCTION("""COMPUTED_VALUE"""),4)</f>
        <v>4</v>
      </c>
      <c r="W18" s="49">
        <f ca="1">IFERROR(__xludf.DUMMYFUNCTION("""COMPUTED_VALUE"""),4)</f>
        <v>4</v>
      </c>
      <c r="X18" s="51">
        <f ca="1">IFERROR(__xludf.DUMMYFUNCTION("""COMPUTED_VALUE"""),5)</f>
        <v>5</v>
      </c>
      <c r="Y18" s="52">
        <f ca="1">IFERROR(__xludf.DUMMYFUNCTION("""COMPUTED_VALUE"""),1)</f>
        <v>1</v>
      </c>
      <c r="Z18" s="51">
        <f ca="1">IFERROR(__xludf.DUMMYFUNCTION("""COMPUTED_VALUE"""),0)</f>
        <v>0</v>
      </c>
      <c r="AA18" s="52">
        <f ca="1">IFERROR(__xludf.DUMMYFUNCTION("""COMPUTED_VALUE"""),1)</f>
        <v>1</v>
      </c>
      <c r="AB18" s="53">
        <f ca="1">IFERROR(__xludf.DUMMYFUNCTION("""COMPUTED_VALUE"""),3)</f>
        <v>3</v>
      </c>
      <c r="AC18" s="9"/>
      <c r="AD18" s="9"/>
      <c r="AE18" s="9"/>
      <c r="AF18" s="9"/>
      <c r="AG18" s="9"/>
      <c r="AH18" s="9"/>
      <c r="AI18" s="9"/>
      <c r="AJ18" s="9"/>
      <c r="AK18" s="9"/>
      <c r="AL18" s="9"/>
      <c r="AM18" s="9"/>
      <c r="AN18" s="9"/>
      <c r="AO18" s="9"/>
      <c r="AP18" s="9"/>
      <c r="AQ18" s="9"/>
      <c r="AR18" s="9"/>
      <c r="AS18" s="9"/>
      <c r="AT18" s="9"/>
      <c r="AU18" s="9"/>
      <c r="AV18" s="9"/>
      <c r="AW18" s="9"/>
    </row>
    <row r="19" spans="1:49">
      <c r="A19" s="54">
        <f ca="1">IFERROR(__xludf.DUMMYFUNCTION("""COMPUTED_VALUE"""),139)</f>
        <v>139</v>
      </c>
      <c r="B19" s="50" t="str">
        <f ca="1">IFERROR(__xludf.DUMMYFUNCTION("""COMPUTED_VALUE"""),"Y")</f>
        <v>Y</v>
      </c>
      <c r="C19" s="49">
        <f ca="1">IFERROR(__xludf.DUMMYFUNCTION("""COMPUTED_VALUE"""),150)</f>
        <v>150</v>
      </c>
      <c r="D19" s="51">
        <f ca="1">IFERROR(__xludf.DUMMYFUNCTION("""COMPUTED_VALUE"""),210)</f>
        <v>210</v>
      </c>
      <c r="E19" s="52">
        <f ca="1">IFERROR(__xludf.DUMMYFUNCTION("""COMPUTED_VALUE"""),111)</f>
        <v>111</v>
      </c>
      <c r="F19" s="50">
        <f ca="1">IFERROR(__xludf.DUMMYFUNCTION("""COMPUTED_VALUE"""),120)</f>
        <v>120</v>
      </c>
      <c r="G19" s="49">
        <f ca="1">IFERROR(__xludf.DUMMYFUNCTION("""COMPUTED_VALUE"""),3)</f>
        <v>3</v>
      </c>
      <c r="H19" s="50">
        <f ca="1">IFERROR(__xludf.DUMMYFUNCTION("""COMPUTED_VALUE"""),0)</f>
        <v>0</v>
      </c>
      <c r="I19" s="49">
        <f ca="1">IFERROR(__xludf.DUMMYFUNCTION("""COMPUTED_VALUE"""),1)</f>
        <v>1</v>
      </c>
      <c r="J19" s="51">
        <f ca="1">IFERROR(__xludf.DUMMYFUNCTION("""COMPUTED_VALUE"""),1)</f>
        <v>1</v>
      </c>
      <c r="K19" s="52">
        <f ca="1">IFERROR(__xludf.DUMMYFUNCTION("""COMPUTED_VALUE"""),0)</f>
        <v>0</v>
      </c>
      <c r="L19" s="51">
        <f ca="1">IFERROR(__xludf.DUMMYFUNCTION("""COMPUTED_VALUE"""),1)</f>
        <v>1</v>
      </c>
      <c r="M19" s="52">
        <f ca="1">IFERROR(__xludf.DUMMYFUNCTION("""COMPUTED_VALUE"""),0)</f>
        <v>0</v>
      </c>
      <c r="N19" s="51">
        <f ca="1">IFERROR(__xludf.DUMMYFUNCTION("""COMPUTED_VALUE"""),0)</f>
        <v>0</v>
      </c>
      <c r="O19" s="52">
        <f ca="1">IFERROR(__xludf.DUMMYFUNCTION("""COMPUTED_VALUE"""),1)</f>
        <v>1</v>
      </c>
      <c r="P19" s="50">
        <f ca="1">IFERROR(__xludf.DUMMYFUNCTION("""COMPUTED_VALUE"""),2)</f>
        <v>2</v>
      </c>
      <c r="Q19" s="49">
        <f ca="1">IFERROR(__xludf.DUMMYFUNCTION("""COMPUTED_VALUE"""),0)</f>
        <v>0</v>
      </c>
      <c r="R19" s="51">
        <f ca="1">IFERROR(__xludf.DUMMYFUNCTION("""COMPUTED_VALUE"""),2)</f>
        <v>2</v>
      </c>
      <c r="S19" s="52">
        <f ca="1">IFERROR(__xludf.DUMMYFUNCTION("""COMPUTED_VALUE"""),0)</f>
        <v>0</v>
      </c>
      <c r="T19" s="51">
        <f ca="1">IFERROR(__xludf.DUMMYFUNCTION("""COMPUTED_VALUE"""),2)</f>
        <v>2</v>
      </c>
      <c r="U19" s="52">
        <f ca="1">IFERROR(__xludf.DUMMYFUNCTION("""COMPUTED_VALUE"""),0)</f>
        <v>0</v>
      </c>
      <c r="V19" s="50">
        <f ca="1">IFERROR(__xludf.DUMMYFUNCTION("""COMPUTED_VALUE"""),1)</f>
        <v>1</v>
      </c>
      <c r="W19" s="49">
        <f ca="1">IFERROR(__xludf.DUMMYFUNCTION("""COMPUTED_VALUE"""),2)</f>
        <v>2</v>
      </c>
      <c r="X19" s="51">
        <f ca="1">IFERROR(__xludf.DUMMYFUNCTION("""COMPUTED_VALUE"""),4)</f>
        <v>4</v>
      </c>
      <c r="Y19" s="52">
        <f ca="1">IFERROR(__xludf.DUMMYFUNCTION("""COMPUTED_VALUE"""),0)</f>
        <v>0</v>
      </c>
      <c r="Z19" s="51">
        <f ca="1">IFERROR(__xludf.DUMMYFUNCTION("""COMPUTED_VALUE"""),0)</f>
        <v>0</v>
      </c>
      <c r="AA19" s="52">
        <f ca="1">IFERROR(__xludf.DUMMYFUNCTION("""COMPUTED_VALUE"""),1)</f>
        <v>1</v>
      </c>
      <c r="AB19" s="53">
        <f ca="1">IFERROR(__xludf.DUMMYFUNCTION("""COMPUTED_VALUE"""),2)</f>
        <v>2</v>
      </c>
      <c r="AC19" s="9"/>
      <c r="AD19" s="9"/>
      <c r="AE19" s="9"/>
      <c r="AF19" s="9"/>
      <c r="AG19" s="9"/>
      <c r="AH19" s="9"/>
      <c r="AI19" s="9"/>
      <c r="AJ19" s="9"/>
      <c r="AK19" s="9"/>
      <c r="AL19" s="9"/>
      <c r="AM19" s="9"/>
      <c r="AN19" s="9"/>
      <c r="AO19" s="9"/>
      <c r="AP19" s="9"/>
      <c r="AQ19" s="9"/>
      <c r="AR19" s="9"/>
      <c r="AS19" s="9"/>
      <c r="AT19" s="9"/>
      <c r="AU19" s="9"/>
      <c r="AV19" s="9"/>
      <c r="AW19" s="9"/>
    </row>
    <row r="20" spans="1:49">
      <c r="A20" s="54">
        <f ca="1">IFERROR(__xludf.DUMMYFUNCTION("""COMPUTED_VALUE"""),140)</f>
        <v>140</v>
      </c>
      <c r="B20" s="50" t="str">
        <f ca="1">IFERROR(__xludf.DUMMYFUNCTION("""COMPUTED_VALUE"""),"Y")</f>
        <v>Y</v>
      </c>
      <c r="C20" s="49">
        <f ca="1">IFERROR(__xludf.DUMMYFUNCTION("""COMPUTED_VALUE"""),146)</f>
        <v>146</v>
      </c>
      <c r="D20" s="51">
        <f ca="1">IFERROR(__xludf.DUMMYFUNCTION("""COMPUTED_VALUE"""),196)</f>
        <v>196</v>
      </c>
      <c r="E20" s="52">
        <f ca="1">IFERROR(__xludf.DUMMYFUNCTION("""COMPUTED_VALUE"""),110)</f>
        <v>110</v>
      </c>
      <c r="F20" s="50">
        <f ca="1">IFERROR(__xludf.DUMMYFUNCTION("""COMPUTED_VALUE"""),118)</f>
        <v>118</v>
      </c>
      <c r="G20" s="49">
        <f ca="1">IFERROR(__xludf.DUMMYFUNCTION("""COMPUTED_VALUE"""),2)</f>
        <v>2</v>
      </c>
      <c r="H20" s="50">
        <f ca="1">IFERROR(__xludf.DUMMYFUNCTION("""COMPUTED_VALUE"""),0)</f>
        <v>0</v>
      </c>
      <c r="I20" s="49">
        <f ca="1">IFERROR(__xludf.DUMMYFUNCTION("""COMPUTED_VALUE"""),10)</f>
        <v>10</v>
      </c>
      <c r="J20" s="51">
        <f ca="1">IFERROR(__xludf.DUMMYFUNCTION("""COMPUTED_VALUE"""),2)</f>
        <v>2</v>
      </c>
      <c r="K20" s="52">
        <f ca="1">IFERROR(__xludf.DUMMYFUNCTION("""COMPUTED_VALUE"""),3)</f>
        <v>3</v>
      </c>
      <c r="L20" s="51">
        <f ca="1">IFERROR(__xludf.DUMMYFUNCTION("""COMPUTED_VALUE"""),0)</f>
        <v>0</v>
      </c>
      <c r="M20" s="52">
        <f ca="1">IFERROR(__xludf.DUMMYFUNCTION("""COMPUTED_VALUE"""),0)</f>
        <v>0</v>
      </c>
      <c r="N20" s="51">
        <f ca="1">IFERROR(__xludf.DUMMYFUNCTION("""COMPUTED_VALUE"""),0)</f>
        <v>0</v>
      </c>
      <c r="O20" s="52">
        <f ca="1">IFERROR(__xludf.DUMMYFUNCTION("""COMPUTED_VALUE"""),13)</f>
        <v>13</v>
      </c>
      <c r="P20" s="50">
        <f ca="1">IFERROR(__xludf.DUMMYFUNCTION("""COMPUTED_VALUE"""),2)</f>
        <v>2</v>
      </c>
      <c r="Q20" s="49">
        <f ca="1">IFERROR(__xludf.DUMMYFUNCTION("""COMPUTED_VALUE"""),4)</f>
        <v>4</v>
      </c>
      <c r="R20" s="51">
        <f ca="1">IFERROR(__xludf.DUMMYFUNCTION("""COMPUTED_VALUE"""),13)</f>
        <v>13</v>
      </c>
      <c r="S20" s="52">
        <f ca="1">IFERROR(__xludf.DUMMYFUNCTION("""COMPUTED_VALUE"""),6)</f>
        <v>6</v>
      </c>
      <c r="T20" s="51">
        <f ca="1">IFERROR(__xludf.DUMMYFUNCTION("""COMPUTED_VALUE"""),6)</f>
        <v>6</v>
      </c>
      <c r="U20" s="52">
        <f ca="1">IFERROR(__xludf.DUMMYFUNCTION("""COMPUTED_VALUE"""),3)</f>
        <v>3</v>
      </c>
      <c r="V20" s="50">
        <f ca="1">IFERROR(__xludf.DUMMYFUNCTION("""COMPUTED_VALUE"""),1)</f>
        <v>1</v>
      </c>
      <c r="W20" s="49">
        <f ca="1">IFERROR(__xludf.DUMMYFUNCTION("""COMPUTED_VALUE"""),4)</f>
        <v>4</v>
      </c>
      <c r="X20" s="51">
        <f ca="1">IFERROR(__xludf.DUMMYFUNCTION("""COMPUTED_VALUE"""),3)</f>
        <v>3</v>
      </c>
      <c r="Y20" s="52">
        <f ca="1">IFERROR(__xludf.DUMMYFUNCTION("""COMPUTED_VALUE"""),0)</f>
        <v>0</v>
      </c>
      <c r="Z20" s="51">
        <f ca="1">IFERROR(__xludf.DUMMYFUNCTION("""COMPUTED_VALUE"""),0)</f>
        <v>0</v>
      </c>
      <c r="AA20" s="52">
        <f ca="1">IFERROR(__xludf.DUMMYFUNCTION("""COMPUTED_VALUE"""),3)</f>
        <v>3</v>
      </c>
      <c r="AB20" s="53">
        <f ca="1">IFERROR(__xludf.DUMMYFUNCTION("""COMPUTED_VALUE"""),2)</f>
        <v>2</v>
      </c>
      <c r="AC20" s="9"/>
      <c r="AD20" s="9"/>
      <c r="AE20" s="9"/>
      <c r="AF20" s="9"/>
      <c r="AG20" s="9"/>
      <c r="AH20" s="9"/>
      <c r="AI20" s="9"/>
      <c r="AJ20" s="9"/>
      <c r="AK20" s="9"/>
      <c r="AL20" s="9"/>
      <c r="AM20" s="9"/>
      <c r="AN20" s="9"/>
      <c r="AO20" s="9"/>
      <c r="AP20" s="9"/>
      <c r="AQ20" s="9"/>
      <c r="AR20" s="9"/>
      <c r="AS20" s="9"/>
      <c r="AT20" s="9"/>
      <c r="AU20" s="9"/>
      <c r="AV20" s="9"/>
      <c r="AW20" s="9"/>
    </row>
    <row r="21" spans="1:49">
      <c r="A21" s="54">
        <f ca="1">IFERROR(__xludf.DUMMYFUNCTION("""COMPUTED_VALUE"""),141)</f>
        <v>141</v>
      </c>
      <c r="B21" s="50" t="str">
        <f ca="1">IFERROR(__xludf.DUMMYFUNCTION("""COMPUTED_VALUE"""),"Y")</f>
        <v>Y</v>
      </c>
      <c r="C21" s="49">
        <f ca="1">IFERROR(__xludf.DUMMYFUNCTION("""COMPUTED_VALUE"""),247)</f>
        <v>247</v>
      </c>
      <c r="D21" s="51">
        <f ca="1">IFERROR(__xludf.DUMMYFUNCTION("""COMPUTED_VALUE"""),188)</f>
        <v>188</v>
      </c>
      <c r="E21" s="52">
        <f ca="1">IFERROR(__xludf.DUMMYFUNCTION("""COMPUTED_VALUE"""),126)</f>
        <v>126</v>
      </c>
      <c r="F21" s="50">
        <f ca="1">IFERROR(__xludf.DUMMYFUNCTION("""COMPUTED_VALUE"""),117)</f>
        <v>117</v>
      </c>
      <c r="G21" s="49">
        <f ca="1">IFERROR(__xludf.DUMMYFUNCTION("""COMPUTED_VALUE"""),3)</f>
        <v>3</v>
      </c>
      <c r="H21" s="50">
        <f ca="1">IFERROR(__xludf.DUMMYFUNCTION("""COMPUTED_VALUE"""),0)</f>
        <v>0</v>
      </c>
      <c r="I21" s="49">
        <f ca="1">IFERROR(__xludf.DUMMYFUNCTION("""COMPUTED_VALUE"""),2)</f>
        <v>2</v>
      </c>
      <c r="J21" s="51">
        <f ca="1">IFERROR(__xludf.DUMMYFUNCTION("""COMPUTED_VALUE"""),18)</f>
        <v>18</v>
      </c>
      <c r="K21" s="52">
        <f ca="1">IFERROR(__xludf.DUMMYFUNCTION("""COMPUTED_VALUE"""),5)</f>
        <v>5</v>
      </c>
      <c r="L21" s="51">
        <f ca="1">IFERROR(__xludf.DUMMYFUNCTION("""COMPUTED_VALUE"""),0)</f>
        <v>0</v>
      </c>
      <c r="M21" s="52">
        <f ca="1">IFERROR(__xludf.DUMMYFUNCTION("""COMPUTED_VALUE"""),0)</f>
        <v>0</v>
      </c>
      <c r="N21" s="51">
        <f ca="1">IFERROR(__xludf.DUMMYFUNCTION("""COMPUTED_VALUE"""),0)</f>
        <v>0</v>
      </c>
      <c r="O21" s="52">
        <f ca="1">IFERROR(__xludf.DUMMYFUNCTION("""COMPUTED_VALUE"""),7)</f>
        <v>7</v>
      </c>
      <c r="P21" s="50">
        <f ca="1">IFERROR(__xludf.DUMMYFUNCTION("""COMPUTED_VALUE"""),18)</f>
        <v>18</v>
      </c>
      <c r="Q21" s="49">
        <f ca="1">IFERROR(__xludf.DUMMYFUNCTION("""COMPUTED_VALUE"""),9)</f>
        <v>9</v>
      </c>
      <c r="R21" s="51">
        <f ca="1">IFERROR(__xludf.DUMMYFUNCTION("""COMPUTED_VALUE"""),4)</f>
        <v>4</v>
      </c>
      <c r="S21" s="52">
        <f ca="1">IFERROR(__xludf.DUMMYFUNCTION("""COMPUTED_VALUE"""),9)</f>
        <v>9</v>
      </c>
      <c r="T21" s="51">
        <f ca="1">IFERROR(__xludf.DUMMYFUNCTION("""COMPUTED_VALUE"""),4)</f>
        <v>4</v>
      </c>
      <c r="U21" s="52">
        <f ca="1">IFERROR(__xludf.DUMMYFUNCTION("""COMPUTED_VALUE"""),4)</f>
        <v>4</v>
      </c>
      <c r="V21" s="50">
        <f ca="1">IFERROR(__xludf.DUMMYFUNCTION("""COMPUTED_VALUE"""),3)</f>
        <v>3</v>
      </c>
      <c r="W21" s="49">
        <f ca="1">IFERROR(__xludf.DUMMYFUNCTION("""COMPUTED_VALUE"""),16)</f>
        <v>16</v>
      </c>
      <c r="X21" s="51">
        <f ca="1">IFERROR(__xludf.DUMMYFUNCTION("""COMPUTED_VALUE"""),29)</f>
        <v>29</v>
      </c>
      <c r="Y21" s="52">
        <f ca="1">IFERROR(__xludf.DUMMYFUNCTION("""COMPUTED_VALUE"""),3)</f>
        <v>3</v>
      </c>
      <c r="Z21" s="51">
        <f ca="1">IFERROR(__xludf.DUMMYFUNCTION("""COMPUTED_VALUE"""),3)</f>
        <v>3</v>
      </c>
      <c r="AA21" s="52">
        <f ca="1">IFERROR(__xludf.DUMMYFUNCTION("""COMPUTED_VALUE"""),10)</f>
        <v>10</v>
      </c>
      <c r="AB21" s="53">
        <f ca="1">IFERROR(__xludf.DUMMYFUNCTION("""COMPUTED_VALUE"""),18)</f>
        <v>18</v>
      </c>
      <c r="AC21" s="9"/>
      <c r="AD21" s="9"/>
      <c r="AE21" s="9"/>
      <c r="AF21" s="9"/>
      <c r="AG21" s="9"/>
      <c r="AH21" s="9"/>
      <c r="AI21" s="9"/>
      <c r="AJ21" s="9"/>
      <c r="AK21" s="9"/>
      <c r="AL21" s="9"/>
      <c r="AM21" s="9"/>
      <c r="AN21" s="9"/>
      <c r="AO21" s="9"/>
      <c r="AP21" s="9"/>
      <c r="AQ21" s="9"/>
      <c r="AR21" s="9"/>
      <c r="AS21" s="9"/>
      <c r="AT21" s="9"/>
      <c r="AU21" s="9"/>
      <c r="AV21" s="9"/>
      <c r="AW21" s="9"/>
    </row>
    <row r="22" spans="1:49">
      <c r="A22" s="54">
        <f ca="1">IFERROR(__xludf.DUMMYFUNCTION("""COMPUTED_VALUE"""),142)</f>
        <v>142</v>
      </c>
      <c r="B22" s="50" t="str">
        <f ca="1">IFERROR(__xludf.DUMMYFUNCTION("""COMPUTED_VALUE"""),"Y")</f>
        <v>Y</v>
      </c>
      <c r="C22" s="49">
        <f ca="1">IFERROR(__xludf.DUMMYFUNCTION("""COMPUTED_VALUE"""),235)</f>
        <v>235</v>
      </c>
      <c r="D22" s="51">
        <f ca="1">IFERROR(__xludf.DUMMYFUNCTION("""COMPUTED_VALUE"""),164)</f>
        <v>164</v>
      </c>
      <c r="E22" s="52">
        <f ca="1">IFERROR(__xludf.DUMMYFUNCTION("""COMPUTED_VALUE"""),124)</f>
        <v>124</v>
      </c>
      <c r="F22" s="50">
        <f ca="1">IFERROR(__xludf.DUMMYFUNCTION("""COMPUTED_VALUE"""),113)</f>
        <v>113</v>
      </c>
      <c r="G22" s="49">
        <f ca="1">IFERROR(__xludf.DUMMYFUNCTION("""COMPUTED_VALUE"""),4)</f>
        <v>4</v>
      </c>
      <c r="H22" s="50">
        <f ca="1">IFERROR(__xludf.DUMMYFUNCTION("""COMPUTED_VALUE"""),0)</f>
        <v>0</v>
      </c>
      <c r="I22" s="49">
        <f ca="1">IFERROR(__xludf.DUMMYFUNCTION("""COMPUTED_VALUE"""),0)</f>
        <v>0</v>
      </c>
      <c r="J22" s="51">
        <f ca="1">IFERROR(__xludf.DUMMYFUNCTION("""COMPUTED_VALUE"""),3)</f>
        <v>3</v>
      </c>
      <c r="K22" s="52">
        <f ca="1">IFERROR(__xludf.DUMMYFUNCTION("""COMPUTED_VALUE"""),4)</f>
        <v>4</v>
      </c>
      <c r="L22" s="51">
        <f ca="1">IFERROR(__xludf.DUMMYFUNCTION("""COMPUTED_VALUE"""),6)</f>
        <v>6</v>
      </c>
      <c r="M22" s="52">
        <f ca="1">IFERROR(__xludf.DUMMYFUNCTION("""COMPUTED_VALUE"""),0)</f>
        <v>0</v>
      </c>
      <c r="N22" s="51">
        <f ca="1">IFERROR(__xludf.DUMMYFUNCTION("""COMPUTED_VALUE"""),0)</f>
        <v>0</v>
      </c>
      <c r="O22" s="52">
        <f ca="1">IFERROR(__xludf.DUMMYFUNCTION("""COMPUTED_VALUE"""),4)</f>
        <v>4</v>
      </c>
      <c r="P22" s="50">
        <f ca="1">IFERROR(__xludf.DUMMYFUNCTION("""COMPUTED_VALUE"""),9)</f>
        <v>9</v>
      </c>
      <c r="Q22" s="49">
        <f ca="1">IFERROR(__xludf.DUMMYFUNCTION("""COMPUTED_VALUE"""),13)</f>
        <v>13</v>
      </c>
      <c r="R22" s="51">
        <f ca="1">IFERROR(__xludf.DUMMYFUNCTION("""COMPUTED_VALUE"""),14)</f>
        <v>14</v>
      </c>
      <c r="S22" s="52">
        <f ca="1">IFERROR(__xludf.DUMMYFUNCTION("""COMPUTED_VALUE"""),5)</f>
        <v>5</v>
      </c>
      <c r="T22" s="51">
        <f ca="1">IFERROR(__xludf.DUMMYFUNCTION("""COMPUTED_VALUE"""),7)</f>
        <v>7</v>
      </c>
      <c r="U22" s="52">
        <f ca="1">IFERROR(__xludf.DUMMYFUNCTION("""COMPUTED_VALUE"""),6)</f>
        <v>6</v>
      </c>
      <c r="V22" s="50">
        <f ca="1">IFERROR(__xludf.DUMMYFUNCTION("""COMPUTED_VALUE"""),8)</f>
        <v>8</v>
      </c>
      <c r="W22" s="49">
        <f ca="1">IFERROR(__xludf.DUMMYFUNCTION("""COMPUTED_VALUE"""),1)</f>
        <v>1</v>
      </c>
      <c r="X22" s="51">
        <f ca="1">IFERROR(__xludf.DUMMYFUNCTION("""COMPUTED_VALUE"""),1)</f>
        <v>1</v>
      </c>
      <c r="Y22" s="52">
        <f ca="1">IFERROR(__xludf.DUMMYFUNCTION("""COMPUTED_VALUE"""),2)</f>
        <v>2</v>
      </c>
      <c r="Z22" s="51">
        <f ca="1">IFERROR(__xludf.DUMMYFUNCTION("""COMPUTED_VALUE"""),0)</f>
        <v>0</v>
      </c>
      <c r="AA22" s="52">
        <f ca="1">IFERROR(__xludf.DUMMYFUNCTION("""COMPUTED_VALUE"""),1)</f>
        <v>1</v>
      </c>
      <c r="AB22" s="53">
        <f ca="1">IFERROR(__xludf.DUMMYFUNCTION("""COMPUTED_VALUE"""),1)</f>
        <v>1</v>
      </c>
      <c r="AC22" s="9"/>
      <c r="AD22" s="9"/>
      <c r="AE22" s="9"/>
      <c r="AF22" s="9"/>
      <c r="AG22" s="9"/>
      <c r="AH22" s="9"/>
      <c r="AI22" s="9"/>
      <c r="AJ22" s="9"/>
      <c r="AK22" s="9"/>
      <c r="AL22" s="9"/>
      <c r="AM22" s="9"/>
      <c r="AN22" s="9"/>
      <c r="AO22" s="9"/>
      <c r="AP22" s="9"/>
      <c r="AQ22" s="9"/>
      <c r="AR22" s="9"/>
      <c r="AS22" s="9"/>
      <c r="AT22" s="9"/>
      <c r="AU22" s="9"/>
      <c r="AV22" s="9"/>
      <c r="AW22" s="9"/>
    </row>
    <row r="23" spans="1:49">
      <c r="A23" s="54">
        <f ca="1">IFERROR(__xludf.DUMMYFUNCTION("""COMPUTED_VALUE"""),143)</f>
        <v>143</v>
      </c>
      <c r="B23" s="50" t="str">
        <f ca="1">IFERROR(__xludf.DUMMYFUNCTION("""COMPUTED_VALUE"""),"Y")</f>
        <v>Y</v>
      </c>
      <c r="C23" s="49">
        <f ca="1">IFERROR(__xludf.DUMMYFUNCTION("""COMPUTED_VALUE"""),229)</f>
        <v>229</v>
      </c>
      <c r="D23" s="51">
        <f ca="1">IFERROR(__xludf.DUMMYFUNCTION("""COMPUTED_VALUE"""),176)</f>
        <v>176</v>
      </c>
      <c r="E23" s="52">
        <f ca="1">IFERROR(__xludf.DUMMYFUNCTION("""COMPUTED_VALUE"""),123)</f>
        <v>123</v>
      </c>
      <c r="F23" s="50">
        <f ca="1">IFERROR(__xludf.DUMMYFUNCTION("""COMPUTED_VALUE"""),115)</f>
        <v>115</v>
      </c>
      <c r="G23" s="49">
        <f ca="1">IFERROR(__xludf.DUMMYFUNCTION("""COMPUTED_VALUE"""),5)</f>
        <v>5</v>
      </c>
      <c r="H23" s="50">
        <f ca="1">IFERROR(__xludf.DUMMYFUNCTION("""COMPUTED_VALUE"""),0)</f>
        <v>0</v>
      </c>
      <c r="I23" s="49">
        <f ca="1">IFERROR(__xludf.DUMMYFUNCTION("""COMPUTED_VALUE"""),6)</f>
        <v>6</v>
      </c>
      <c r="J23" s="51">
        <f ca="1">IFERROR(__xludf.DUMMYFUNCTION("""COMPUTED_VALUE"""),0)</f>
        <v>0</v>
      </c>
      <c r="K23" s="52">
        <f ca="1">IFERROR(__xludf.DUMMYFUNCTION("""COMPUTED_VALUE"""),4)</f>
        <v>4</v>
      </c>
      <c r="L23" s="51">
        <f ca="1">IFERROR(__xludf.DUMMYFUNCTION("""COMPUTED_VALUE"""),4)</f>
        <v>4</v>
      </c>
      <c r="M23" s="52">
        <f ca="1">IFERROR(__xludf.DUMMYFUNCTION("""COMPUTED_VALUE"""),0)</f>
        <v>0</v>
      </c>
      <c r="N23" s="51">
        <f ca="1">IFERROR(__xludf.DUMMYFUNCTION("""COMPUTED_VALUE"""),0)</f>
        <v>0</v>
      </c>
      <c r="O23" s="52">
        <f ca="1">IFERROR(__xludf.DUMMYFUNCTION("""COMPUTED_VALUE"""),10)</f>
        <v>10</v>
      </c>
      <c r="P23" s="50">
        <f ca="1">IFERROR(__xludf.DUMMYFUNCTION("""COMPUTED_VALUE"""),4)</f>
        <v>4</v>
      </c>
      <c r="Q23" s="49">
        <f ca="1">IFERROR(__xludf.DUMMYFUNCTION("""COMPUTED_VALUE"""),4)</f>
        <v>4</v>
      </c>
      <c r="R23" s="51">
        <f ca="1">IFERROR(__xludf.DUMMYFUNCTION("""COMPUTED_VALUE"""),2)</f>
        <v>2</v>
      </c>
      <c r="S23" s="52">
        <f ca="1">IFERROR(__xludf.DUMMYFUNCTION("""COMPUTED_VALUE"""),5)</f>
        <v>5</v>
      </c>
      <c r="T23" s="51">
        <f ca="1">IFERROR(__xludf.DUMMYFUNCTION("""COMPUTED_VALUE"""),3)</f>
        <v>3</v>
      </c>
      <c r="U23" s="52">
        <f ca="1">IFERROR(__xludf.DUMMYFUNCTION("""COMPUTED_VALUE"""),3)</f>
        <v>3</v>
      </c>
      <c r="V23" s="50">
        <f ca="1">IFERROR(__xludf.DUMMYFUNCTION("""COMPUTED_VALUE"""),2)</f>
        <v>2</v>
      </c>
      <c r="W23" s="49">
        <f ca="1">IFERROR(__xludf.DUMMYFUNCTION("""COMPUTED_VALUE"""),5)</f>
        <v>5</v>
      </c>
      <c r="X23" s="51">
        <f ca="1">IFERROR(__xludf.DUMMYFUNCTION("""COMPUTED_VALUE"""),6)</f>
        <v>6</v>
      </c>
      <c r="Y23" s="52">
        <f ca="1">IFERROR(__xludf.DUMMYFUNCTION("""COMPUTED_VALUE"""),1)</f>
        <v>1</v>
      </c>
      <c r="Z23" s="51">
        <f ca="1">IFERROR(__xludf.DUMMYFUNCTION("""COMPUTED_VALUE"""),0)</f>
        <v>0</v>
      </c>
      <c r="AA23" s="52">
        <f ca="1">IFERROR(__xludf.DUMMYFUNCTION("""COMPUTED_VALUE"""),5)</f>
        <v>5</v>
      </c>
      <c r="AB23" s="53">
        <f ca="1">IFERROR(__xludf.DUMMYFUNCTION("""COMPUTED_VALUE"""),4)</f>
        <v>4</v>
      </c>
      <c r="AC23" s="9"/>
      <c r="AD23" s="9"/>
      <c r="AE23" s="9"/>
      <c r="AF23" s="9"/>
      <c r="AG23" s="9"/>
      <c r="AH23" s="9"/>
      <c r="AI23" s="9"/>
      <c r="AJ23" s="9"/>
      <c r="AK23" s="9"/>
      <c r="AL23" s="9"/>
      <c r="AM23" s="9"/>
      <c r="AN23" s="9"/>
      <c r="AO23" s="9"/>
      <c r="AP23" s="9"/>
      <c r="AQ23" s="9"/>
      <c r="AR23" s="9"/>
      <c r="AS23" s="9"/>
      <c r="AT23" s="9"/>
      <c r="AU23" s="9"/>
      <c r="AV23" s="9"/>
      <c r="AW23" s="9"/>
    </row>
    <row r="24" spans="1:49">
      <c r="A24" s="54">
        <f ca="1">IFERROR(__xludf.DUMMYFUNCTION("""COMPUTED_VALUE"""),144)</f>
        <v>144</v>
      </c>
      <c r="B24" s="50" t="str">
        <f ca="1">IFERROR(__xludf.DUMMYFUNCTION("""COMPUTED_VALUE"""),"Y")</f>
        <v>Y</v>
      </c>
      <c r="C24" s="49">
        <f ca="1">IFERROR(__xludf.DUMMYFUNCTION("""COMPUTED_VALUE"""),232)</f>
        <v>232</v>
      </c>
      <c r="D24" s="51">
        <f ca="1">IFERROR(__xludf.DUMMYFUNCTION("""COMPUTED_VALUE"""),179)</f>
        <v>179</v>
      </c>
      <c r="E24" s="52">
        <f ca="1">IFERROR(__xludf.DUMMYFUNCTION("""COMPUTED_VALUE"""),124)</f>
        <v>124</v>
      </c>
      <c r="F24" s="50">
        <f ca="1">IFERROR(__xludf.DUMMYFUNCTION("""COMPUTED_VALUE"""),116)</f>
        <v>116</v>
      </c>
      <c r="G24" s="49">
        <f ca="1">IFERROR(__xludf.DUMMYFUNCTION("""COMPUTED_VALUE"""),3)</f>
        <v>3</v>
      </c>
      <c r="H24" s="50">
        <f ca="1">IFERROR(__xludf.DUMMYFUNCTION("""COMPUTED_VALUE"""),0)</f>
        <v>0</v>
      </c>
      <c r="I24" s="49">
        <f ca="1">IFERROR(__xludf.DUMMYFUNCTION("""COMPUTED_VALUE"""),0)</f>
        <v>0</v>
      </c>
      <c r="J24" s="51">
        <f ca="1">IFERROR(__xludf.DUMMYFUNCTION("""COMPUTED_VALUE"""),3)</f>
        <v>3</v>
      </c>
      <c r="K24" s="52">
        <f ca="1">IFERROR(__xludf.DUMMYFUNCTION("""COMPUTED_VALUE"""),2)</f>
        <v>2</v>
      </c>
      <c r="L24" s="51">
        <f ca="1">IFERROR(__xludf.DUMMYFUNCTION("""COMPUTED_VALUE"""),0)</f>
        <v>0</v>
      </c>
      <c r="M24" s="52">
        <f ca="1">IFERROR(__xludf.DUMMYFUNCTION("""COMPUTED_VALUE"""),0)</f>
        <v>0</v>
      </c>
      <c r="N24" s="51">
        <f ca="1">IFERROR(__xludf.DUMMYFUNCTION("""COMPUTED_VALUE"""),0)</f>
        <v>0</v>
      </c>
      <c r="O24" s="52">
        <f ca="1">IFERROR(__xludf.DUMMYFUNCTION("""COMPUTED_VALUE"""),2)</f>
        <v>2</v>
      </c>
      <c r="P24" s="50">
        <f ca="1">IFERROR(__xludf.DUMMYFUNCTION("""COMPUTED_VALUE"""),3)</f>
        <v>3</v>
      </c>
      <c r="Q24" s="49">
        <f ca="1">IFERROR(__xludf.DUMMYFUNCTION("""COMPUTED_VALUE"""),3)</f>
        <v>3</v>
      </c>
      <c r="R24" s="51">
        <f ca="1">IFERROR(__xludf.DUMMYFUNCTION("""COMPUTED_VALUE"""),1)</f>
        <v>1</v>
      </c>
      <c r="S24" s="52">
        <f ca="1">IFERROR(__xludf.DUMMYFUNCTION("""COMPUTED_VALUE"""),2)</f>
        <v>2</v>
      </c>
      <c r="T24" s="51">
        <f ca="1">IFERROR(__xludf.DUMMYFUNCTION("""COMPUTED_VALUE"""),1)</f>
        <v>1</v>
      </c>
      <c r="U24" s="52">
        <f ca="1">IFERROR(__xludf.DUMMYFUNCTION("""COMPUTED_VALUE"""),3)</f>
        <v>3</v>
      </c>
      <c r="V24" s="50">
        <f ca="1">IFERROR(__xludf.DUMMYFUNCTION("""COMPUTED_VALUE"""),0)</f>
        <v>0</v>
      </c>
      <c r="W24" s="49">
        <f ca="1">IFERROR(__xludf.DUMMYFUNCTION("""COMPUTED_VALUE"""),4)</f>
        <v>4</v>
      </c>
      <c r="X24" s="51">
        <f ca="1">IFERROR(__xludf.DUMMYFUNCTION("""COMPUTED_VALUE"""),5)</f>
        <v>5</v>
      </c>
      <c r="Y24" s="52">
        <f ca="1">IFERROR(__xludf.DUMMYFUNCTION("""COMPUTED_VALUE"""),0)</f>
        <v>0</v>
      </c>
      <c r="Z24" s="51">
        <f ca="1">IFERROR(__xludf.DUMMYFUNCTION("""COMPUTED_VALUE"""),0)</f>
        <v>0</v>
      </c>
      <c r="AA24" s="52">
        <f ca="1">IFERROR(__xludf.DUMMYFUNCTION("""COMPUTED_VALUE"""),3)</f>
        <v>3</v>
      </c>
      <c r="AB24" s="53">
        <f ca="1">IFERROR(__xludf.DUMMYFUNCTION("""COMPUTED_VALUE"""),2)</f>
        <v>2</v>
      </c>
      <c r="AC24" s="9"/>
      <c r="AD24" s="9"/>
      <c r="AE24" s="9"/>
      <c r="AF24" s="9"/>
      <c r="AG24" s="9"/>
      <c r="AH24" s="9"/>
      <c r="AI24" s="9"/>
      <c r="AJ24" s="9"/>
      <c r="AK24" s="9"/>
      <c r="AL24" s="9"/>
      <c r="AM24" s="9"/>
      <c r="AN24" s="9"/>
      <c r="AO24" s="9"/>
      <c r="AP24" s="9"/>
      <c r="AQ24" s="9"/>
      <c r="AR24" s="9"/>
      <c r="AS24" s="9"/>
      <c r="AT24" s="9"/>
      <c r="AU24" s="9"/>
      <c r="AV24" s="9"/>
      <c r="AW24" s="9"/>
    </row>
    <row r="25" spans="1:49">
      <c r="A25" s="54">
        <f ca="1">IFERROR(__xludf.DUMMYFUNCTION("""COMPUTED_VALUE"""),146)</f>
        <v>146</v>
      </c>
      <c r="B25" s="50" t="str">
        <f ca="1">IFERROR(__xludf.DUMMYFUNCTION("""COMPUTED_VALUE"""),"Y")</f>
        <v>Y</v>
      </c>
      <c r="C25" s="49">
        <f ca="1">IFERROR(__xludf.DUMMYFUNCTION("""COMPUTED_VALUE"""),226)</f>
        <v>226</v>
      </c>
      <c r="D25" s="51">
        <f ca="1">IFERROR(__xludf.DUMMYFUNCTION("""COMPUTED_VALUE"""),185)</f>
        <v>185</v>
      </c>
      <c r="E25" s="52">
        <f ca="1">IFERROR(__xludf.DUMMYFUNCTION("""COMPUTED_VALUE"""),123)</f>
        <v>123</v>
      </c>
      <c r="F25" s="50">
        <f ca="1">IFERROR(__xludf.DUMMYFUNCTION("""COMPUTED_VALUE"""),117)</f>
        <v>117</v>
      </c>
      <c r="G25" s="49">
        <f ca="1">IFERROR(__xludf.DUMMYFUNCTION("""COMPUTED_VALUE"""),9)</f>
        <v>9</v>
      </c>
      <c r="H25" s="50">
        <f ca="1">IFERROR(__xludf.DUMMYFUNCTION("""COMPUTED_VALUE"""),0)</f>
        <v>0</v>
      </c>
      <c r="I25" s="49">
        <f ca="1">IFERROR(__xludf.DUMMYFUNCTION("""COMPUTED_VALUE"""),0)</f>
        <v>0</v>
      </c>
      <c r="J25" s="51">
        <f ca="1">IFERROR(__xludf.DUMMYFUNCTION("""COMPUTED_VALUE"""),1)</f>
        <v>1</v>
      </c>
      <c r="K25" s="52">
        <f ca="1">IFERROR(__xludf.DUMMYFUNCTION("""COMPUTED_VALUE"""),1)</f>
        <v>1</v>
      </c>
      <c r="L25" s="51">
        <f ca="1">IFERROR(__xludf.DUMMYFUNCTION("""COMPUTED_VALUE"""),7)</f>
        <v>7</v>
      </c>
      <c r="M25" s="52">
        <f ca="1">IFERROR(__xludf.DUMMYFUNCTION("""COMPUTED_VALUE"""),0)</f>
        <v>0</v>
      </c>
      <c r="N25" s="51">
        <f ca="1">IFERROR(__xludf.DUMMYFUNCTION("""COMPUTED_VALUE"""),0)</f>
        <v>0</v>
      </c>
      <c r="O25" s="52">
        <f ca="1">IFERROR(__xludf.DUMMYFUNCTION("""COMPUTED_VALUE"""),1)</f>
        <v>1</v>
      </c>
      <c r="P25" s="50">
        <f ca="1">IFERROR(__xludf.DUMMYFUNCTION("""COMPUTED_VALUE"""),8)</f>
        <v>8</v>
      </c>
      <c r="Q25" s="49">
        <f ca="1">IFERROR(__xludf.DUMMYFUNCTION("""COMPUTED_VALUE"""),4)</f>
        <v>4</v>
      </c>
      <c r="R25" s="51">
        <f ca="1">IFERROR(__xludf.DUMMYFUNCTION("""COMPUTED_VALUE"""),15)</f>
        <v>15</v>
      </c>
      <c r="S25" s="52">
        <f ca="1">IFERROR(__xludf.DUMMYFUNCTION("""COMPUTED_VALUE"""),9)</f>
        <v>9</v>
      </c>
      <c r="T25" s="51">
        <f ca="1">IFERROR(__xludf.DUMMYFUNCTION("""COMPUTED_VALUE"""),7)</f>
        <v>7</v>
      </c>
      <c r="U25" s="52">
        <f ca="1">IFERROR(__xludf.DUMMYFUNCTION("""COMPUTED_VALUE"""),1)</f>
        <v>1</v>
      </c>
      <c r="V25" s="50">
        <f ca="1">IFERROR(__xludf.DUMMYFUNCTION("""COMPUTED_VALUE"""),2)</f>
        <v>2</v>
      </c>
      <c r="W25" s="49">
        <f ca="1">IFERROR(__xludf.DUMMYFUNCTION("""COMPUTED_VALUE"""),4)</f>
        <v>4</v>
      </c>
      <c r="X25" s="51">
        <f ca="1">IFERROR(__xludf.DUMMYFUNCTION("""COMPUTED_VALUE"""),3)</f>
        <v>3</v>
      </c>
      <c r="Y25" s="52">
        <f ca="1">IFERROR(__xludf.DUMMYFUNCTION("""COMPUTED_VALUE"""),4)</f>
        <v>4</v>
      </c>
      <c r="Z25" s="51">
        <f ca="1">IFERROR(__xludf.DUMMYFUNCTION("""COMPUTED_VALUE"""),0)</f>
        <v>0</v>
      </c>
      <c r="AA25" s="52">
        <f ca="1">IFERROR(__xludf.DUMMYFUNCTION("""COMPUTED_VALUE"""),4)</f>
        <v>4</v>
      </c>
      <c r="AB25" s="53">
        <f ca="1">IFERROR(__xludf.DUMMYFUNCTION("""COMPUTED_VALUE"""),2)</f>
        <v>2</v>
      </c>
      <c r="AC25" s="9"/>
      <c r="AD25" s="9"/>
      <c r="AE25" s="9"/>
      <c r="AF25" s="9"/>
      <c r="AG25" s="9"/>
      <c r="AH25" s="9"/>
      <c r="AI25" s="9"/>
      <c r="AJ25" s="9"/>
      <c r="AK25" s="9"/>
      <c r="AL25" s="9"/>
      <c r="AM25" s="9"/>
      <c r="AN25" s="9"/>
      <c r="AO25" s="9"/>
      <c r="AP25" s="9"/>
      <c r="AQ25" s="9"/>
      <c r="AR25" s="9"/>
      <c r="AS25" s="9"/>
      <c r="AT25" s="9"/>
      <c r="AU25" s="9"/>
      <c r="AV25" s="9"/>
      <c r="AW25" s="9"/>
    </row>
    <row r="26" spans="1:49">
      <c r="A26" s="54">
        <f ca="1">IFERROR(__xludf.DUMMYFUNCTION("""COMPUTED_VALUE"""),147)</f>
        <v>147</v>
      </c>
      <c r="B26" s="50" t="str">
        <f ca="1">IFERROR(__xludf.DUMMYFUNCTION("""COMPUTED_VALUE"""),"Y")</f>
        <v>Y</v>
      </c>
      <c r="C26" s="49">
        <f ca="1">IFERROR(__xludf.DUMMYFUNCTION("""COMPUTED_VALUE"""),244)</f>
        <v>244</v>
      </c>
      <c r="D26" s="51">
        <f ca="1">IFERROR(__xludf.DUMMYFUNCTION("""COMPUTED_VALUE"""),180)</f>
        <v>180</v>
      </c>
      <c r="E26" s="52">
        <f ca="1">IFERROR(__xludf.DUMMYFUNCTION("""COMPUTED_VALUE"""),126)</f>
        <v>126</v>
      </c>
      <c r="F26" s="50">
        <f ca="1">IFERROR(__xludf.DUMMYFUNCTION("""COMPUTED_VALUE"""),116)</f>
        <v>116</v>
      </c>
      <c r="G26" s="49">
        <f ca="1">IFERROR(__xludf.DUMMYFUNCTION("""COMPUTED_VALUE"""),12)</f>
        <v>12</v>
      </c>
      <c r="H26" s="50">
        <f ca="1">IFERROR(__xludf.DUMMYFUNCTION("""COMPUTED_VALUE"""),0)</f>
        <v>0</v>
      </c>
      <c r="I26" s="49">
        <f ca="1">IFERROR(__xludf.DUMMYFUNCTION("""COMPUTED_VALUE"""),0)</f>
        <v>0</v>
      </c>
      <c r="J26" s="51">
        <f ca="1">IFERROR(__xludf.DUMMYFUNCTION("""COMPUTED_VALUE"""),1)</f>
        <v>1</v>
      </c>
      <c r="K26" s="52">
        <f ca="1">IFERROR(__xludf.DUMMYFUNCTION("""COMPUTED_VALUE"""),8)</f>
        <v>8</v>
      </c>
      <c r="L26" s="51">
        <f ca="1">IFERROR(__xludf.DUMMYFUNCTION("""COMPUTED_VALUE"""),8)</f>
        <v>8</v>
      </c>
      <c r="M26" s="52">
        <f ca="1">IFERROR(__xludf.DUMMYFUNCTION("""COMPUTED_VALUE"""),0)</f>
        <v>0</v>
      </c>
      <c r="N26" s="51">
        <f ca="1">IFERROR(__xludf.DUMMYFUNCTION("""COMPUTED_VALUE"""),0)</f>
        <v>0</v>
      </c>
      <c r="O26" s="52">
        <f ca="1">IFERROR(__xludf.DUMMYFUNCTION("""COMPUTED_VALUE"""),8)</f>
        <v>8</v>
      </c>
      <c r="P26" s="50">
        <f ca="1">IFERROR(__xludf.DUMMYFUNCTION("""COMPUTED_VALUE"""),9)</f>
        <v>9</v>
      </c>
      <c r="Q26" s="49">
        <f ca="1">IFERROR(__xludf.DUMMYFUNCTION("""COMPUTED_VALUE"""),8)</f>
        <v>8</v>
      </c>
      <c r="R26" s="51">
        <f ca="1">IFERROR(__xludf.DUMMYFUNCTION("""COMPUTED_VALUE"""),5)</f>
        <v>5</v>
      </c>
      <c r="S26" s="52">
        <f ca="1">IFERROR(__xludf.DUMMYFUNCTION("""COMPUTED_VALUE"""),3)</f>
        <v>3</v>
      </c>
      <c r="T26" s="51">
        <f ca="1">IFERROR(__xludf.DUMMYFUNCTION("""COMPUTED_VALUE"""),1)</f>
        <v>1</v>
      </c>
      <c r="U26" s="52">
        <f ca="1">IFERROR(__xludf.DUMMYFUNCTION("""COMPUTED_VALUE"""),4)</f>
        <v>4</v>
      </c>
      <c r="V26" s="50">
        <f ca="1">IFERROR(__xludf.DUMMYFUNCTION("""COMPUTED_VALUE"""),4)</f>
        <v>4</v>
      </c>
      <c r="W26" s="49">
        <f ca="1">IFERROR(__xludf.DUMMYFUNCTION("""COMPUTED_VALUE"""),2)</f>
        <v>2</v>
      </c>
      <c r="X26" s="51">
        <f ca="1">IFERROR(__xludf.DUMMYFUNCTION("""COMPUTED_VALUE"""),11)</f>
        <v>11</v>
      </c>
      <c r="Y26" s="52">
        <f ca="1">IFERROR(__xludf.DUMMYFUNCTION("""COMPUTED_VALUE"""),0)</f>
        <v>0</v>
      </c>
      <c r="Z26" s="51">
        <f ca="1">IFERROR(__xludf.DUMMYFUNCTION("""COMPUTED_VALUE"""),0)</f>
        <v>0</v>
      </c>
      <c r="AA26" s="52">
        <f ca="1">IFERROR(__xludf.DUMMYFUNCTION("""COMPUTED_VALUE"""),1)</f>
        <v>1</v>
      </c>
      <c r="AB26" s="53">
        <f ca="1">IFERROR(__xludf.DUMMYFUNCTION("""COMPUTED_VALUE"""),7)</f>
        <v>7</v>
      </c>
      <c r="AC26" s="9"/>
      <c r="AD26" s="9"/>
      <c r="AE26" s="9"/>
      <c r="AF26" s="9"/>
      <c r="AG26" s="9"/>
      <c r="AH26" s="9"/>
      <c r="AI26" s="9"/>
      <c r="AJ26" s="9"/>
      <c r="AK26" s="9"/>
      <c r="AL26" s="9"/>
      <c r="AM26" s="9"/>
      <c r="AN26" s="9"/>
      <c r="AO26" s="9"/>
      <c r="AP26" s="9"/>
      <c r="AQ26" s="9"/>
      <c r="AR26" s="9"/>
      <c r="AS26" s="9"/>
      <c r="AT26" s="9"/>
      <c r="AU26" s="9"/>
      <c r="AV26" s="9"/>
      <c r="AW26" s="9"/>
    </row>
    <row r="27" spans="1:49">
      <c r="A27" s="54">
        <f ca="1">IFERROR(__xludf.DUMMYFUNCTION("""COMPUTED_VALUE"""),148)</f>
        <v>148</v>
      </c>
      <c r="B27" s="50" t="str">
        <f ca="1">IFERROR(__xludf.DUMMYFUNCTION("""COMPUTED_VALUE"""),"Y")</f>
        <v>Y</v>
      </c>
      <c r="C27" s="49">
        <f ca="1">IFERROR(__xludf.DUMMYFUNCTION("""COMPUTED_VALUE"""),227)</f>
        <v>227</v>
      </c>
      <c r="D27" s="51">
        <f ca="1">IFERROR(__xludf.DUMMYFUNCTION("""COMPUTED_VALUE"""),173)</f>
        <v>173</v>
      </c>
      <c r="E27" s="52">
        <f ca="1">IFERROR(__xludf.DUMMYFUNCTION("""COMPUTED_VALUE"""),123)</f>
        <v>123</v>
      </c>
      <c r="F27" s="50">
        <f ca="1">IFERROR(__xludf.DUMMYFUNCTION("""COMPUTED_VALUE"""),115)</f>
        <v>115</v>
      </c>
      <c r="G27" s="49">
        <f ca="1">IFERROR(__xludf.DUMMYFUNCTION("""COMPUTED_VALUE"""),12)</f>
        <v>12</v>
      </c>
      <c r="H27" s="50">
        <f ca="1">IFERROR(__xludf.DUMMYFUNCTION("""COMPUTED_VALUE"""),0)</f>
        <v>0</v>
      </c>
      <c r="I27" s="49">
        <f ca="1">IFERROR(__xludf.DUMMYFUNCTION("""COMPUTED_VALUE"""),0)</f>
        <v>0</v>
      </c>
      <c r="J27" s="51">
        <f ca="1">IFERROR(__xludf.DUMMYFUNCTION("""COMPUTED_VALUE"""),1)</f>
        <v>1</v>
      </c>
      <c r="K27" s="52">
        <f ca="1">IFERROR(__xludf.DUMMYFUNCTION("""COMPUTED_VALUE"""),0)</f>
        <v>0</v>
      </c>
      <c r="L27" s="51">
        <f ca="1">IFERROR(__xludf.DUMMYFUNCTION("""COMPUTED_VALUE"""),0)</f>
        <v>0</v>
      </c>
      <c r="M27" s="52">
        <f ca="1">IFERROR(__xludf.DUMMYFUNCTION("""COMPUTED_VALUE"""),0)</f>
        <v>0</v>
      </c>
      <c r="N27" s="51">
        <f ca="1">IFERROR(__xludf.DUMMYFUNCTION("""COMPUTED_VALUE"""),0)</f>
        <v>0</v>
      </c>
      <c r="O27" s="52">
        <f ca="1">IFERROR(__xludf.DUMMYFUNCTION("""COMPUTED_VALUE"""),0)</f>
        <v>0</v>
      </c>
      <c r="P27" s="50">
        <f ca="1">IFERROR(__xludf.DUMMYFUNCTION("""COMPUTED_VALUE"""),1)</f>
        <v>1</v>
      </c>
      <c r="Q27" s="49">
        <f ca="1">IFERROR(__xludf.DUMMYFUNCTION("""COMPUTED_VALUE"""),0)</f>
        <v>0</v>
      </c>
      <c r="R27" s="51">
        <f ca="1">IFERROR(__xludf.DUMMYFUNCTION("""COMPUTED_VALUE"""),0)</f>
        <v>0</v>
      </c>
      <c r="S27" s="52">
        <f ca="1">IFERROR(__xludf.DUMMYFUNCTION("""COMPUTED_VALUE"""),8)</f>
        <v>8</v>
      </c>
      <c r="T27" s="51">
        <f ca="1">IFERROR(__xludf.DUMMYFUNCTION("""COMPUTED_VALUE"""),2)</f>
        <v>2</v>
      </c>
      <c r="U27" s="52">
        <f ca="1">IFERROR(__xludf.DUMMYFUNCTION("""COMPUTED_VALUE"""),0)</f>
        <v>0</v>
      </c>
      <c r="V27" s="50">
        <f ca="1">IFERROR(__xludf.DUMMYFUNCTION("""COMPUTED_VALUE"""),0)</f>
        <v>0</v>
      </c>
      <c r="W27" s="49">
        <f ca="1">IFERROR(__xludf.DUMMYFUNCTION("""COMPUTED_VALUE"""),5)</f>
        <v>5</v>
      </c>
      <c r="X27" s="51">
        <f ca="1">IFERROR(__xludf.DUMMYFUNCTION("""COMPUTED_VALUE"""),2)</f>
        <v>2</v>
      </c>
      <c r="Y27" s="52">
        <f ca="1">IFERROR(__xludf.DUMMYFUNCTION("""COMPUTED_VALUE"""),1)</f>
        <v>1</v>
      </c>
      <c r="Z27" s="51">
        <f ca="1">IFERROR(__xludf.DUMMYFUNCTION("""COMPUTED_VALUE"""),0)</f>
        <v>0</v>
      </c>
      <c r="AA27" s="52">
        <f ca="1">IFERROR(__xludf.DUMMYFUNCTION("""COMPUTED_VALUE"""),2)</f>
        <v>2</v>
      </c>
      <c r="AB27" s="53">
        <f ca="1">IFERROR(__xludf.DUMMYFUNCTION("""COMPUTED_VALUE"""),1)</f>
        <v>1</v>
      </c>
      <c r="AC27" s="9"/>
      <c r="AD27" s="9"/>
      <c r="AE27" s="9"/>
      <c r="AF27" s="9"/>
      <c r="AG27" s="9"/>
      <c r="AH27" s="9"/>
      <c r="AI27" s="9"/>
      <c r="AJ27" s="9"/>
      <c r="AK27" s="9"/>
      <c r="AL27" s="9"/>
      <c r="AM27" s="9"/>
      <c r="AN27" s="9"/>
      <c r="AO27" s="9"/>
      <c r="AP27" s="9"/>
      <c r="AQ27" s="9"/>
      <c r="AR27" s="9"/>
      <c r="AS27" s="9"/>
      <c r="AT27" s="9"/>
      <c r="AU27" s="9"/>
      <c r="AV27" s="9"/>
      <c r="AW27" s="9"/>
    </row>
    <row r="28" spans="1:49">
      <c r="A28" s="54">
        <f ca="1">IFERROR(__xludf.DUMMYFUNCTION("""COMPUTED_VALUE"""),149)</f>
        <v>149</v>
      </c>
      <c r="B28" s="50" t="str">
        <f ca="1">IFERROR(__xludf.DUMMYFUNCTION("""COMPUTED_VALUE"""),"Y")</f>
        <v>Y</v>
      </c>
      <c r="C28" s="49">
        <f ca="1">IFERROR(__xludf.DUMMYFUNCTION("""COMPUTED_VALUE"""),245)</f>
        <v>245</v>
      </c>
      <c r="D28" s="51">
        <f ca="1">IFERROR(__xludf.DUMMYFUNCTION("""COMPUTED_VALUE"""),168)</f>
        <v>168</v>
      </c>
      <c r="E28" s="52">
        <f ca="1">IFERROR(__xludf.DUMMYFUNCTION("""COMPUTED_VALUE"""),126)</f>
        <v>126</v>
      </c>
      <c r="F28" s="50">
        <f ca="1">IFERROR(__xludf.DUMMYFUNCTION("""COMPUTED_VALUE"""),114)</f>
        <v>114</v>
      </c>
      <c r="G28" s="49">
        <f ca="1">IFERROR(__xludf.DUMMYFUNCTION("""COMPUTED_VALUE"""),4)</f>
        <v>4</v>
      </c>
      <c r="H28" s="50">
        <f ca="1">IFERROR(__xludf.DUMMYFUNCTION("""COMPUTED_VALUE"""),0)</f>
        <v>0</v>
      </c>
      <c r="I28" s="49">
        <f ca="1">IFERROR(__xludf.DUMMYFUNCTION("""COMPUTED_VALUE"""),1)</f>
        <v>1</v>
      </c>
      <c r="J28" s="51">
        <f ca="1">IFERROR(__xludf.DUMMYFUNCTION("""COMPUTED_VALUE"""),5)</f>
        <v>5</v>
      </c>
      <c r="K28" s="52">
        <f ca="1">IFERROR(__xludf.DUMMYFUNCTION("""COMPUTED_VALUE"""),4)</f>
        <v>4</v>
      </c>
      <c r="L28" s="51">
        <f ca="1">IFERROR(__xludf.DUMMYFUNCTION("""COMPUTED_VALUE"""),0)</f>
        <v>0</v>
      </c>
      <c r="M28" s="52">
        <f ca="1">IFERROR(__xludf.DUMMYFUNCTION("""COMPUTED_VALUE"""),0)</f>
        <v>0</v>
      </c>
      <c r="N28" s="51">
        <f ca="1">IFERROR(__xludf.DUMMYFUNCTION("""COMPUTED_VALUE"""),0)</f>
        <v>0</v>
      </c>
      <c r="O28" s="52">
        <f ca="1">IFERROR(__xludf.DUMMYFUNCTION("""COMPUTED_VALUE"""),5)</f>
        <v>5</v>
      </c>
      <c r="P28" s="50">
        <f ca="1">IFERROR(__xludf.DUMMYFUNCTION("""COMPUTED_VALUE"""),5)</f>
        <v>5</v>
      </c>
      <c r="Q28" s="49">
        <f ca="1">IFERROR(__xludf.DUMMYFUNCTION("""COMPUTED_VALUE"""),2)</f>
        <v>2</v>
      </c>
      <c r="R28" s="51">
        <f ca="1">IFERROR(__xludf.DUMMYFUNCTION("""COMPUTED_VALUE"""),0)</f>
        <v>0</v>
      </c>
      <c r="S28" s="52">
        <f ca="1">IFERROR(__xludf.DUMMYFUNCTION("""COMPUTED_VALUE"""),2)</f>
        <v>2</v>
      </c>
      <c r="T28" s="51">
        <f ca="1">IFERROR(__xludf.DUMMYFUNCTION("""COMPUTED_VALUE"""),0)</f>
        <v>0</v>
      </c>
      <c r="U28" s="52">
        <f ca="1">IFERROR(__xludf.DUMMYFUNCTION("""COMPUTED_VALUE"""),2)</f>
        <v>2</v>
      </c>
      <c r="V28" s="50">
        <f ca="1">IFERROR(__xludf.DUMMYFUNCTION("""COMPUTED_VALUE"""),0)</f>
        <v>0</v>
      </c>
      <c r="W28" s="49">
        <f ca="1">IFERROR(__xludf.DUMMYFUNCTION("""COMPUTED_VALUE"""),10)</f>
        <v>10</v>
      </c>
      <c r="X28" s="51">
        <f ca="1">IFERROR(__xludf.DUMMYFUNCTION("""COMPUTED_VALUE"""),11)</f>
        <v>11</v>
      </c>
      <c r="Y28" s="52">
        <f ca="1">IFERROR(__xludf.DUMMYFUNCTION("""COMPUTED_VALUE"""),0)</f>
        <v>0</v>
      </c>
      <c r="Z28" s="51">
        <f ca="1">IFERROR(__xludf.DUMMYFUNCTION("""COMPUTED_VALUE"""),0)</f>
        <v>0</v>
      </c>
      <c r="AA28" s="52">
        <f ca="1">IFERROR(__xludf.DUMMYFUNCTION("""COMPUTED_VALUE"""),9)</f>
        <v>9</v>
      </c>
      <c r="AB28" s="53">
        <f ca="1">IFERROR(__xludf.DUMMYFUNCTION("""COMPUTED_VALUE"""),9)</f>
        <v>9</v>
      </c>
      <c r="AC28" s="9"/>
      <c r="AD28" s="9"/>
      <c r="AE28" s="9"/>
      <c r="AF28" s="9"/>
      <c r="AG28" s="9"/>
      <c r="AH28" s="9"/>
      <c r="AI28" s="9"/>
      <c r="AJ28" s="9"/>
      <c r="AK28" s="9"/>
      <c r="AL28" s="9"/>
      <c r="AM28" s="9"/>
      <c r="AN28" s="9"/>
      <c r="AO28" s="9"/>
      <c r="AP28" s="9"/>
      <c r="AQ28" s="9"/>
      <c r="AR28" s="9"/>
      <c r="AS28" s="9"/>
      <c r="AT28" s="9"/>
      <c r="AU28" s="9"/>
      <c r="AV28" s="9"/>
      <c r="AW28" s="9"/>
    </row>
    <row r="29" spans="1:49">
      <c r="A29" s="54">
        <f ca="1">IFERROR(__xludf.DUMMYFUNCTION("""COMPUTED_VALUE"""),151)</f>
        <v>151</v>
      </c>
      <c r="B29" s="50" t="str">
        <f ca="1">IFERROR(__xludf.DUMMYFUNCTION("""COMPUTED_VALUE"""),"Y")</f>
        <v>Y</v>
      </c>
      <c r="C29" s="49">
        <f ca="1">IFERROR(__xludf.DUMMYFUNCTION("""COMPUTED_VALUE"""),221)</f>
        <v>221</v>
      </c>
      <c r="D29" s="51">
        <f ca="1">IFERROR(__xludf.DUMMYFUNCTION("""COMPUTED_VALUE"""),175)</f>
        <v>175</v>
      </c>
      <c r="E29" s="52">
        <f ca="1">IFERROR(__xludf.DUMMYFUNCTION("""COMPUTED_VALUE"""),122)</f>
        <v>122</v>
      </c>
      <c r="F29" s="50">
        <f ca="1">IFERROR(__xludf.DUMMYFUNCTION("""COMPUTED_VALUE"""),115)</f>
        <v>115</v>
      </c>
      <c r="G29" s="49">
        <f ca="1">IFERROR(__xludf.DUMMYFUNCTION("""COMPUTED_VALUE"""),1)</f>
        <v>1</v>
      </c>
      <c r="H29" s="50">
        <f ca="1">IFERROR(__xludf.DUMMYFUNCTION("""COMPUTED_VALUE"""),0)</f>
        <v>0</v>
      </c>
      <c r="I29" s="49">
        <f ca="1">IFERROR(__xludf.DUMMYFUNCTION("""COMPUTED_VALUE"""),7)</f>
        <v>7</v>
      </c>
      <c r="J29" s="51">
        <f ca="1">IFERROR(__xludf.DUMMYFUNCTION("""COMPUTED_VALUE"""),3)</f>
        <v>3</v>
      </c>
      <c r="K29" s="52">
        <f ca="1">IFERROR(__xludf.DUMMYFUNCTION("""COMPUTED_VALUE"""),0)</f>
        <v>0</v>
      </c>
      <c r="L29" s="51">
        <f ca="1">IFERROR(__xludf.DUMMYFUNCTION("""COMPUTED_VALUE"""),0)</f>
        <v>0</v>
      </c>
      <c r="M29" s="52">
        <f ca="1">IFERROR(__xludf.DUMMYFUNCTION("""COMPUTED_VALUE"""),0)</f>
        <v>0</v>
      </c>
      <c r="N29" s="51">
        <f ca="1">IFERROR(__xludf.DUMMYFUNCTION("""COMPUTED_VALUE"""),0)</f>
        <v>0</v>
      </c>
      <c r="O29" s="52">
        <f ca="1">IFERROR(__xludf.DUMMYFUNCTION("""COMPUTED_VALUE"""),7)</f>
        <v>7</v>
      </c>
      <c r="P29" s="50">
        <f ca="1">IFERROR(__xludf.DUMMYFUNCTION("""COMPUTED_VALUE"""),3)</f>
        <v>3</v>
      </c>
      <c r="Q29" s="49">
        <f ca="1">IFERROR(__xludf.DUMMYFUNCTION("""COMPUTED_VALUE"""),7)</f>
        <v>7</v>
      </c>
      <c r="R29" s="51">
        <f ca="1">IFERROR(__xludf.DUMMYFUNCTION("""COMPUTED_VALUE"""),1)</f>
        <v>1</v>
      </c>
      <c r="S29" s="52">
        <f ca="1">IFERROR(__xludf.DUMMYFUNCTION("""COMPUTED_VALUE"""),1)</f>
        <v>1</v>
      </c>
      <c r="T29" s="51">
        <f ca="1">IFERROR(__xludf.DUMMYFUNCTION("""COMPUTED_VALUE"""),8)</f>
        <v>8</v>
      </c>
      <c r="U29" s="52">
        <f ca="1">IFERROR(__xludf.DUMMYFUNCTION("""COMPUTED_VALUE"""),0)</f>
        <v>0</v>
      </c>
      <c r="V29" s="50">
        <f ca="1">IFERROR(__xludf.DUMMYFUNCTION("""COMPUTED_VALUE"""),0)</f>
        <v>0</v>
      </c>
      <c r="W29" s="49">
        <f ca="1">IFERROR(__xludf.DUMMYFUNCTION("""COMPUTED_VALUE"""),8)</f>
        <v>8</v>
      </c>
      <c r="X29" s="51">
        <f ca="1">IFERROR(__xludf.DUMMYFUNCTION("""COMPUTED_VALUE"""),4)</f>
        <v>4</v>
      </c>
      <c r="Y29" s="52">
        <f ca="1">IFERROR(__xludf.DUMMYFUNCTION("""COMPUTED_VALUE"""),0)</f>
        <v>0</v>
      </c>
      <c r="Z29" s="51">
        <f ca="1">IFERROR(__xludf.DUMMYFUNCTION("""COMPUTED_VALUE"""),0)</f>
        <v>0</v>
      </c>
      <c r="AA29" s="52">
        <f ca="1">IFERROR(__xludf.DUMMYFUNCTION("""COMPUTED_VALUE"""),7)</f>
        <v>7</v>
      </c>
      <c r="AB29" s="53">
        <f ca="1">IFERROR(__xludf.DUMMYFUNCTION("""COMPUTED_VALUE"""),2)</f>
        <v>2</v>
      </c>
      <c r="AC29" s="9"/>
      <c r="AD29" s="9"/>
      <c r="AE29" s="9"/>
      <c r="AF29" s="9"/>
      <c r="AG29" s="9"/>
      <c r="AH29" s="9"/>
      <c r="AI29" s="9"/>
      <c r="AJ29" s="9"/>
      <c r="AK29" s="9"/>
      <c r="AL29" s="9"/>
      <c r="AM29" s="9"/>
      <c r="AN29" s="9"/>
      <c r="AO29" s="9"/>
      <c r="AP29" s="9"/>
      <c r="AQ29" s="9"/>
      <c r="AR29" s="9"/>
      <c r="AS29" s="9"/>
      <c r="AT29" s="9"/>
      <c r="AU29" s="9"/>
      <c r="AV29" s="9"/>
      <c r="AW29" s="9"/>
    </row>
    <row r="30" spans="1:49">
      <c r="A30" s="54">
        <f ca="1">IFERROR(__xludf.DUMMYFUNCTION("""COMPUTED_VALUE"""),152)</f>
        <v>152</v>
      </c>
      <c r="B30" s="50" t="str">
        <f ca="1">IFERROR(__xludf.DUMMYFUNCTION("""COMPUTED_VALUE"""),"Y")</f>
        <v>Y</v>
      </c>
      <c r="C30" s="49">
        <f ca="1">IFERROR(__xludf.DUMMYFUNCTION("""COMPUTED_VALUE"""),223)</f>
        <v>223</v>
      </c>
      <c r="D30" s="51">
        <f ca="1">IFERROR(__xludf.DUMMYFUNCTION("""COMPUTED_VALUE"""),169)</f>
        <v>169</v>
      </c>
      <c r="E30" s="52">
        <f ca="1">IFERROR(__xludf.DUMMYFUNCTION("""COMPUTED_VALUE"""),122)</f>
        <v>122</v>
      </c>
      <c r="F30" s="50">
        <f ca="1">IFERROR(__xludf.DUMMYFUNCTION("""COMPUTED_VALUE"""),114)</f>
        <v>114</v>
      </c>
      <c r="G30" s="49">
        <f ca="1">IFERROR(__xludf.DUMMYFUNCTION("""COMPUTED_VALUE"""),8)</f>
        <v>8</v>
      </c>
      <c r="H30" s="50">
        <f ca="1">IFERROR(__xludf.DUMMYFUNCTION("""COMPUTED_VALUE"""),0)</f>
        <v>0</v>
      </c>
      <c r="I30" s="49">
        <f ca="1">IFERROR(__xludf.DUMMYFUNCTION("""COMPUTED_VALUE"""),3)</f>
        <v>3</v>
      </c>
      <c r="J30" s="51">
        <f ca="1">IFERROR(__xludf.DUMMYFUNCTION("""COMPUTED_VALUE"""),23)</f>
        <v>23</v>
      </c>
      <c r="K30" s="52">
        <f ca="1">IFERROR(__xludf.DUMMYFUNCTION("""COMPUTED_VALUE"""),0)</f>
        <v>0</v>
      </c>
      <c r="L30" s="51">
        <f ca="1">IFERROR(__xludf.DUMMYFUNCTION("""COMPUTED_VALUE"""),0)</f>
        <v>0</v>
      </c>
      <c r="M30" s="52">
        <f ca="1">IFERROR(__xludf.DUMMYFUNCTION("""COMPUTED_VALUE"""),0)</f>
        <v>0</v>
      </c>
      <c r="N30" s="51">
        <f ca="1">IFERROR(__xludf.DUMMYFUNCTION("""COMPUTED_VALUE"""),0)</f>
        <v>0</v>
      </c>
      <c r="O30" s="52">
        <f ca="1">IFERROR(__xludf.DUMMYFUNCTION("""COMPUTED_VALUE"""),3)</f>
        <v>3</v>
      </c>
      <c r="P30" s="50">
        <f ca="1">IFERROR(__xludf.DUMMYFUNCTION("""COMPUTED_VALUE"""),23)</f>
        <v>23</v>
      </c>
      <c r="Q30" s="49">
        <f ca="1">IFERROR(__xludf.DUMMYFUNCTION("""COMPUTED_VALUE"""),1)</f>
        <v>1</v>
      </c>
      <c r="R30" s="51">
        <f ca="1">IFERROR(__xludf.DUMMYFUNCTION("""COMPUTED_VALUE"""),0)</f>
        <v>0</v>
      </c>
      <c r="S30" s="52">
        <f ca="1">IFERROR(__xludf.DUMMYFUNCTION("""COMPUTED_VALUE"""),5)</f>
        <v>5</v>
      </c>
      <c r="T30" s="51">
        <f ca="1">IFERROR(__xludf.DUMMYFUNCTION("""COMPUTED_VALUE"""),0)</f>
        <v>0</v>
      </c>
      <c r="U30" s="52">
        <f ca="1">IFERROR(__xludf.DUMMYFUNCTION("""COMPUTED_VALUE"""),1)</f>
        <v>1</v>
      </c>
      <c r="V30" s="50">
        <f ca="1">IFERROR(__xludf.DUMMYFUNCTION("""COMPUTED_VALUE"""),0)</f>
        <v>0</v>
      </c>
      <c r="W30" s="49">
        <f ca="1">IFERROR(__xludf.DUMMYFUNCTION("""COMPUTED_VALUE"""),12)</f>
        <v>12</v>
      </c>
      <c r="X30" s="51">
        <f ca="1">IFERROR(__xludf.DUMMYFUNCTION("""COMPUTED_VALUE"""),18)</f>
        <v>18</v>
      </c>
      <c r="Y30" s="52">
        <f ca="1">IFERROR(__xludf.DUMMYFUNCTION("""COMPUTED_VALUE"""),0)</f>
        <v>0</v>
      </c>
      <c r="Z30" s="51">
        <f ca="1">IFERROR(__xludf.DUMMYFUNCTION("""COMPUTED_VALUE"""),2)</f>
        <v>2</v>
      </c>
      <c r="AA30" s="52">
        <f ca="1">IFERROR(__xludf.DUMMYFUNCTION("""COMPUTED_VALUE"""),9)</f>
        <v>9</v>
      </c>
      <c r="AB30" s="53">
        <f ca="1">IFERROR(__xludf.DUMMYFUNCTION("""COMPUTED_VALUE"""),6)</f>
        <v>6</v>
      </c>
      <c r="AC30" s="9"/>
      <c r="AD30" s="9"/>
      <c r="AE30" s="9"/>
      <c r="AF30" s="9"/>
      <c r="AG30" s="9"/>
      <c r="AH30" s="9"/>
      <c r="AI30" s="9"/>
      <c r="AJ30" s="9"/>
      <c r="AK30" s="9"/>
      <c r="AL30" s="9"/>
      <c r="AM30" s="9"/>
      <c r="AN30" s="9"/>
      <c r="AO30" s="9"/>
      <c r="AP30" s="9"/>
      <c r="AQ30" s="9"/>
      <c r="AR30" s="9"/>
      <c r="AS30" s="9"/>
      <c r="AT30" s="9"/>
      <c r="AU30" s="9"/>
      <c r="AV30" s="9"/>
      <c r="AW30" s="9"/>
    </row>
    <row r="31" spans="1:49">
      <c r="A31" s="54">
        <f ca="1">IFERROR(__xludf.DUMMYFUNCTION("""COMPUTED_VALUE"""),153)</f>
        <v>153</v>
      </c>
      <c r="B31" s="50" t="str">
        <f ca="1">IFERROR(__xludf.DUMMYFUNCTION("""COMPUTED_VALUE"""),"Y")</f>
        <v>Y</v>
      </c>
      <c r="C31" s="49">
        <f ca="1">IFERROR(__xludf.DUMMYFUNCTION("""COMPUTED_VALUE"""),240)</f>
        <v>240</v>
      </c>
      <c r="D31" s="51">
        <f ca="1">IFERROR(__xludf.DUMMYFUNCTION("""COMPUTED_VALUE"""),182)</f>
        <v>182</v>
      </c>
      <c r="E31" s="52">
        <f ca="1">IFERROR(__xludf.DUMMYFUNCTION("""COMPUTED_VALUE"""),125)</f>
        <v>125</v>
      </c>
      <c r="F31" s="50">
        <f ca="1">IFERROR(__xludf.DUMMYFUNCTION("""COMPUTED_VALUE"""),116)</f>
        <v>116</v>
      </c>
      <c r="G31" s="49">
        <f ca="1">IFERROR(__xludf.DUMMYFUNCTION("""COMPUTED_VALUE"""),0)</f>
        <v>0</v>
      </c>
      <c r="H31" s="50">
        <f ca="1">IFERROR(__xludf.DUMMYFUNCTION("""COMPUTED_VALUE"""),0)</f>
        <v>0</v>
      </c>
      <c r="I31" s="49">
        <f ca="1">IFERROR(__xludf.DUMMYFUNCTION("""COMPUTED_VALUE"""),6)</f>
        <v>6</v>
      </c>
      <c r="J31" s="51">
        <f ca="1">IFERROR(__xludf.DUMMYFUNCTION("""COMPUTED_VALUE"""),6)</f>
        <v>6</v>
      </c>
      <c r="K31" s="52">
        <f ca="1">IFERROR(__xludf.DUMMYFUNCTION("""COMPUTED_VALUE"""),1)</f>
        <v>1</v>
      </c>
      <c r="L31" s="51">
        <f ca="1">IFERROR(__xludf.DUMMYFUNCTION("""COMPUTED_VALUE"""),3)</f>
        <v>3</v>
      </c>
      <c r="M31" s="52">
        <f ca="1">IFERROR(__xludf.DUMMYFUNCTION("""COMPUTED_VALUE"""),0)</f>
        <v>0</v>
      </c>
      <c r="N31" s="51">
        <f ca="1">IFERROR(__xludf.DUMMYFUNCTION("""COMPUTED_VALUE"""),0)</f>
        <v>0</v>
      </c>
      <c r="O31" s="52">
        <f ca="1">IFERROR(__xludf.DUMMYFUNCTION("""COMPUTED_VALUE"""),7)</f>
        <v>7</v>
      </c>
      <c r="P31" s="50">
        <f ca="1">IFERROR(__xludf.DUMMYFUNCTION("""COMPUTED_VALUE"""),9)</f>
        <v>9</v>
      </c>
      <c r="Q31" s="49">
        <f ca="1">IFERROR(__xludf.DUMMYFUNCTION("""COMPUTED_VALUE"""),3)</f>
        <v>3</v>
      </c>
      <c r="R31" s="51">
        <f ca="1">IFERROR(__xludf.DUMMYFUNCTION("""COMPUTED_VALUE"""),1)</f>
        <v>1</v>
      </c>
      <c r="S31" s="52">
        <f ca="1">IFERROR(__xludf.DUMMYFUNCTION("""COMPUTED_VALUE"""),5)</f>
        <v>5</v>
      </c>
      <c r="T31" s="51">
        <f ca="1">IFERROR(__xludf.DUMMYFUNCTION("""COMPUTED_VALUE"""),0)</f>
        <v>0</v>
      </c>
      <c r="U31" s="52">
        <f ca="1">IFERROR(__xludf.DUMMYFUNCTION("""COMPUTED_VALUE"""),3)</f>
        <v>3</v>
      </c>
      <c r="V31" s="50">
        <f ca="1">IFERROR(__xludf.DUMMYFUNCTION("""COMPUTED_VALUE"""),1)</f>
        <v>1</v>
      </c>
      <c r="W31" s="49">
        <f ca="1">IFERROR(__xludf.DUMMYFUNCTION("""COMPUTED_VALUE"""),11)</f>
        <v>11</v>
      </c>
      <c r="X31" s="51">
        <f ca="1">IFERROR(__xludf.DUMMYFUNCTION("""COMPUTED_VALUE"""),15)</f>
        <v>15</v>
      </c>
      <c r="Y31" s="52">
        <f ca="1">IFERROR(__xludf.DUMMYFUNCTION("""COMPUTED_VALUE"""),1)</f>
        <v>1</v>
      </c>
      <c r="Z31" s="51">
        <f ca="1">IFERROR(__xludf.DUMMYFUNCTION("""COMPUTED_VALUE"""),0)</f>
        <v>0</v>
      </c>
      <c r="AA31" s="52">
        <f ca="1">IFERROR(__xludf.DUMMYFUNCTION("""COMPUTED_VALUE"""),6)</f>
        <v>6</v>
      </c>
      <c r="AB31" s="53">
        <f ca="1">IFERROR(__xludf.DUMMYFUNCTION("""COMPUTED_VALUE"""),8)</f>
        <v>8</v>
      </c>
      <c r="AC31" s="9"/>
      <c r="AD31" s="9"/>
      <c r="AE31" s="9"/>
      <c r="AF31" s="9"/>
      <c r="AG31" s="9"/>
      <c r="AH31" s="9"/>
      <c r="AI31" s="9"/>
      <c r="AJ31" s="9"/>
      <c r="AK31" s="9"/>
      <c r="AL31" s="9"/>
      <c r="AM31" s="9"/>
      <c r="AN31" s="9"/>
      <c r="AO31" s="9"/>
      <c r="AP31" s="9"/>
      <c r="AQ31" s="9"/>
      <c r="AR31" s="9"/>
      <c r="AS31" s="9"/>
      <c r="AT31" s="9"/>
      <c r="AU31" s="9"/>
      <c r="AV31" s="9"/>
      <c r="AW31" s="9"/>
    </row>
    <row r="32" spans="1:49">
      <c r="A32" s="54">
        <f ca="1">IFERROR(__xludf.DUMMYFUNCTION("""COMPUTED_VALUE"""),154)</f>
        <v>154</v>
      </c>
      <c r="B32" s="50" t="str">
        <f ca="1">IFERROR(__xludf.DUMMYFUNCTION("""COMPUTED_VALUE"""),"Y")</f>
        <v>Y</v>
      </c>
      <c r="C32" s="49">
        <f ca="1">IFERROR(__xludf.DUMMYFUNCTION("""COMPUTED_VALUE"""),241)</f>
        <v>241</v>
      </c>
      <c r="D32" s="51">
        <f ca="1">IFERROR(__xludf.DUMMYFUNCTION("""COMPUTED_VALUE"""),170)</f>
        <v>170</v>
      </c>
      <c r="E32" s="52">
        <f ca="1">IFERROR(__xludf.DUMMYFUNCTION("""COMPUTED_VALUE"""),125)</f>
        <v>125</v>
      </c>
      <c r="F32" s="50">
        <f ca="1">IFERROR(__xludf.DUMMYFUNCTION("""COMPUTED_VALUE"""),114)</f>
        <v>114</v>
      </c>
      <c r="G32" s="49">
        <f ca="1">IFERROR(__xludf.DUMMYFUNCTION("""COMPUTED_VALUE"""),5)</f>
        <v>5</v>
      </c>
      <c r="H32" s="50">
        <f ca="1">IFERROR(__xludf.DUMMYFUNCTION("""COMPUTED_VALUE"""),0)</f>
        <v>0</v>
      </c>
      <c r="I32" s="49">
        <f ca="1">IFERROR(__xludf.DUMMYFUNCTION("""COMPUTED_VALUE"""),1)</f>
        <v>1</v>
      </c>
      <c r="J32" s="51">
        <f ca="1">IFERROR(__xludf.DUMMYFUNCTION("""COMPUTED_VALUE"""),0)</f>
        <v>0</v>
      </c>
      <c r="K32" s="52">
        <f ca="1">IFERROR(__xludf.DUMMYFUNCTION("""COMPUTED_VALUE"""),11)</f>
        <v>11</v>
      </c>
      <c r="L32" s="51">
        <f ca="1">IFERROR(__xludf.DUMMYFUNCTION("""COMPUTED_VALUE"""),23)</f>
        <v>23</v>
      </c>
      <c r="M32" s="52">
        <f ca="1">IFERROR(__xludf.DUMMYFUNCTION("""COMPUTED_VALUE"""),0)</f>
        <v>0</v>
      </c>
      <c r="N32" s="51">
        <f ca="1">IFERROR(__xludf.DUMMYFUNCTION("""COMPUTED_VALUE"""),0)</f>
        <v>0</v>
      </c>
      <c r="O32" s="52">
        <f ca="1">IFERROR(__xludf.DUMMYFUNCTION("""COMPUTED_VALUE"""),12)</f>
        <v>12</v>
      </c>
      <c r="P32" s="50">
        <f ca="1">IFERROR(__xludf.DUMMYFUNCTION("""COMPUTED_VALUE"""),23)</f>
        <v>23</v>
      </c>
      <c r="Q32" s="49">
        <f ca="1">IFERROR(__xludf.DUMMYFUNCTION("""COMPUTED_VALUE"""),19)</f>
        <v>19</v>
      </c>
      <c r="R32" s="51">
        <f ca="1">IFERROR(__xludf.DUMMYFUNCTION("""COMPUTED_VALUE"""),11)</f>
        <v>11</v>
      </c>
      <c r="S32" s="52">
        <f ca="1">IFERROR(__xludf.DUMMYFUNCTION("""COMPUTED_VALUE"""),6)</f>
        <v>6</v>
      </c>
      <c r="T32" s="51">
        <f ca="1">IFERROR(__xludf.DUMMYFUNCTION("""COMPUTED_VALUE"""),8)</f>
        <v>8</v>
      </c>
      <c r="U32" s="52">
        <f ca="1">IFERROR(__xludf.DUMMYFUNCTION("""COMPUTED_VALUE"""),5)</f>
        <v>5</v>
      </c>
      <c r="V32" s="50">
        <f ca="1">IFERROR(__xludf.DUMMYFUNCTION("""COMPUTED_VALUE"""),9)</f>
        <v>9</v>
      </c>
      <c r="W32" s="49">
        <f ca="1">IFERROR(__xludf.DUMMYFUNCTION("""COMPUTED_VALUE"""),5)</f>
        <v>5</v>
      </c>
      <c r="X32" s="51">
        <f ca="1">IFERROR(__xludf.DUMMYFUNCTION("""COMPUTED_VALUE"""),1)</f>
        <v>1</v>
      </c>
      <c r="Y32" s="52">
        <f ca="1">IFERROR(__xludf.DUMMYFUNCTION("""COMPUTED_VALUE"""),0)</f>
        <v>0</v>
      </c>
      <c r="Z32" s="51">
        <f ca="1">IFERROR(__xludf.DUMMYFUNCTION("""COMPUTED_VALUE"""),0)</f>
        <v>0</v>
      </c>
      <c r="AA32" s="52">
        <f ca="1">IFERROR(__xludf.DUMMYFUNCTION("""COMPUTED_VALUE"""),4)</f>
        <v>4</v>
      </c>
      <c r="AB32" s="53">
        <f ca="1">IFERROR(__xludf.DUMMYFUNCTION("""COMPUTED_VALUE"""),1)</f>
        <v>1</v>
      </c>
      <c r="AC32" s="9"/>
      <c r="AD32" s="9"/>
      <c r="AE32" s="9"/>
      <c r="AF32" s="9"/>
      <c r="AG32" s="9"/>
      <c r="AH32" s="9"/>
      <c r="AI32" s="9"/>
      <c r="AJ32" s="9"/>
      <c r="AK32" s="9"/>
      <c r="AL32" s="9"/>
      <c r="AM32" s="9"/>
      <c r="AN32" s="9"/>
      <c r="AO32" s="9"/>
      <c r="AP32" s="9"/>
      <c r="AQ32" s="9"/>
      <c r="AR32" s="9"/>
      <c r="AS32" s="9"/>
      <c r="AT32" s="9"/>
      <c r="AU32" s="9"/>
      <c r="AV32" s="9"/>
      <c r="AW32" s="9"/>
    </row>
    <row r="33" spans="1:49">
      <c r="A33" s="54">
        <f ca="1">IFERROR(__xludf.DUMMYFUNCTION("""COMPUTED_VALUE"""),157)</f>
        <v>157</v>
      </c>
      <c r="B33" s="50" t="str">
        <f ca="1">IFERROR(__xludf.DUMMYFUNCTION("""COMPUTED_VALUE"""),"Y")</f>
        <v>Y</v>
      </c>
      <c r="C33" s="49">
        <f ca="1">IFERROR(__xludf.DUMMYFUNCTION("""COMPUTED_VALUE"""),228)</f>
        <v>228</v>
      </c>
      <c r="D33" s="51">
        <f ca="1">IFERROR(__xludf.DUMMYFUNCTION("""COMPUTED_VALUE"""),163)</f>
        <v>163</v>
      </c>
      <c r="E33" s="52">
        <f ca="1">IFERROR(__xludf.DUMMYFUNCTION("""COMPUTED_VALUE"""),123)</f>
        <v>123</v>
      </c>
      <c r="F33" s="50">
        <f ca="1">IFERROR(__xludf.DUMMYFUNCTION("""COMPUTED_VALUE"""),113)</f>
        <v>113</v>
      </c>
      <c r="G33" s="49">
        <f ca="1">IFERROR(__xludf.DUMMYFUNCTION("""COMPUTED_VALUE"""),2)</f>
        <v>2</v>
      </c>
      <c r="H33" s="50">
        <f ca="1">IFERROR(__xludf.DUMMYFUNCTION("""COMPUTED_VALUE"""),0)</f>
        <v>0</v>
      </c>
      <c r="I33" s="49">
        <f ca="1">IFERROR(__xludf.DUMMYFUNCTION("""COMPUTED_VALUE"""),11)</f>
        <v>11</v>
      </c>
      <c r="J33" s="51">
        <f ca="1">IFERROR(__xludf.DUMMYFUNCTION("""COMPUTED_VALUE"""),7)</f>
        <v>7</v>
      </c>
      <c r="K33" s="52">
        <f ca="1">IFERROR(__xludf.DUMMYFUNCTION("""COMPUTED_VALUE"""),0)</f>
        <v>0</v>
      </c>
      <c r="L33" s="51">
        <f ca="1">IFERROR(__xludf.DUMMYFUNCTION("""COMPUTED_VALUE"""),0)</f>
        <v>0</v>
      </c>
      <c r="M33" s="52">
        <f ca="1">IFERROR(__xludf.DUMMYFUNCTION("""COMPUTED_VALUE"""),0)</f>
        <v>0</v>
      </c>
      <c r="N33" s="51">
        <f ca="1">IFERROR(__xludf.DUMMYFUNCTION("""COMPUTED_VALUE"""),0)</f>
        <v>0</v>
      </c>
      <c r="O33" s="52">
        <f ca="1">IFERROR(__xludf.DUMMYFUNCTION("""COMPUTED_VALUE"""),11)</f>
        <v>11</v>
      </c>
      <c r="P33" s="50">
        <f ca="1">IFERROR(__xludf.DUMMYFUNCTION("""COMPUTED_VALUE"""),7)</f>
        <v>7</v>
      </c>
      <c r="Q33" s="49">
        <f ca="1">IFERROR(__xludf.DUMMYFUNCTION("""COMPUTED_VALUE"""),9)</f>
        <v>9</v>
      </c>
      <c r="R33" s="51">
        <f ca="1">IFERROR(__xludf.DUMMYFUNCTION("""COMPUTED_VALUE"""),16)</f>
        <v>16</v>
      </c>
      <c r="S33" s="52">
        <f ca="1">IFERROR(__xludf.DUMMYFUNCTION("""COMPUTED_VALUE"""),13)</f>
        <v>13</v>
      </c>
      <c r="T33" s="51">
        <f ca="1">IFERROR(__xludf.DUMMYFUNCTION("""COMPUTED_VALUE"""),13)</f>
        <v>13</v>
      </c>
      <c r="U33" s="52">
        <f ca="1">IFERROR(__xludf.DUMMYFUNCTION("""COMPUTED_VALUE"""),2)</f>
        <v>2</v>
      </c>
      <c r="V33" s="50">
        <f ca="1">IFERROR(__xludf.DUMMYFUNCTION("""COMPUTED_VALUE"""),1)</f>
        <v>1</v>
      </c>
      <c r="W33" s="49">
        <f ca="1">IFERROR(__xludf.DUMMYFUNCTION("""COMPUTED_VALUE"""),7)</f>
        <v>7</v>
      </c>
      <c r="X33" s="51">
        <f ca="1">IFERROR(__xludf.DUMMYFUNCTION("""COMPUTED_VALUE"""),1)</f>
        <v>1</v>
      </c>
      <c r="Y33" s="52">
        <f ca="1">IFERROR(__xludf.DUMMYFUNCTION("""COMPUTED_VALUE"""),5)</f>
        <v>5</v>
      </c>
      <c r="Z33" s="51">
        <f ca="1">IFERROR(__xludf.DUMMYFUNCTION("""COMPUTED_VALUE"""),0)</f>
        <v>0</v>
      </c>
      <c r="AA33" s="52">
        <f ca="1">IFERROR(__xludf.DUMMYFUNCTION("""COMPUTED_VALUE"""),2)</f>
        <v>2</v>
      </c>
      <c r="AB33" s="53">
        <f ca="1">IFERROR(__xludf.DUMMYFUNCTION("""COMPUTED_VALUE"""),1)</f>
        <v>1</v>
      </c>
      <c r="AC33" s="9"/>
      <c r="AD33" s="9"/>
      <c r="AE33" s="9"/>
      <c r="AF33" s="9"/>
      <c r="AG33" s="9"/>
      <c r="AH33" s="9"/>
      <c r="AI33" s="9"/>
      <c r="AJ33" s="9"/>
      <c r="AK33" s="9"/>
      <c r="AL33" s="9"/>
      <c r="AM33" s="9"/>
      <c r="AN33" s="9"/>
      <c r="AO33" s="9"/>
      <c r="AP33" s="9"/>
      <c r="AQ33" s="9"/>
      <c r="AR33" s="9"/>
      <c r="AS33" s="9"/>
      <c r="AT33" s="9"/>
      <c r="AU33" s="9"/>
      <c r="AV33" s="9"/>
      <c r="AW33" s="9"/>
    </row>
    <row r="34" spans="1:49">
      <c r="A34" s="54">
        <f ca="1">IFERROR(__xludf.DUMMYFUNCTION("""COMPUTED_VALUE"""),160)</f>
        <v>160</v>
      </c>
      <c r="B34" s="50" t="str">
        <f ca="1">IFERROR(__xludf.DUMMYFUNCTION("""COMPUTED_VALUE"""),"Y")</f>
        <v>Y</v>
      </c>
      <c r="C34" s="49">
        <f ca="1">IFERROR(__xludf.DUMMYFUNCTION("""COMPUTED_VALUE"""),238)</f>
        <v>238</v>
      </c>
      <c r="D34" s="51">
        <f ca="1">IFERROR(__xludf.DUMMYFUNCTION("""COMPUTED_VALUE"""),161)</f>
        <v>161</v>
      </c>
      <c r="E34" s="52">
        <f ca="1">IFERROR(__xludf.DUMMYFUNCTION("""COMPUTED_VALUE"""),125)</f>
        <v>125</v>
      </c>
      <c r="F34" s="50">
        <f ca="1">IFERROR(__xludf.DUMMYFUNCTION("""COMPUTED_VALUE"""),113)</f>
        <v>113</v>
      </c>
      <c r="G34" s="49">
        <f ca="1">IFERROR(__xludf.DUMMYFUNCTION("""COMPUTED_VALUE"""),5)</f>
        <v>5</v>
      </c>
      <c r="H34" s="50">
        <f ca="1">IFERROR(__xludf.DUMMYFUNCTION("""COMPUTED_VALUE"""),0)</f>
        <v>0</v>
      </c>
      <c r="I34" s="49">
        <f ca="1">IFERROR(__xludf.DUMMYFUNCTION("""COMPUTED_VALUE"""),0)</f>
        <v>0</v>
      </c>
      <c r="J34" s="51">
        <f ca="1">IFERROR(__xludf.DUMMYFUNCTION("""COMPUTED_VALUE"""),13)</f>
        <v>13</v>
      </c>
      <c r="K34" s="52">
        <f ca="1">IFERROR(__xludf.DUMMYFUNCTION("""COMPUTED_VALUE"""),2)</f>
        <v>2</v>
      </c>
      <c r="L34" s="51">
        <f ca="1">IFERROR(__xludf.DUMMYFUNCTION("""COMPUTED_VALUE"""),0)</f>
        <v>0</v>
      </c>
      <c r="M34" s="52">
        <f ca="1">IFERROR(__xludf.DUMMYFUNCTION("""COMPUTED_VALUE"""),0)</f>
        <v>0</v>
      </c>
      <c r="N34" s="51">
        <f ca="1">IFERROR(__xludf.DUMMYFUNCTION("""COMPUTED_VALUE"""),0)</f>
        <v>0</v>
      </c>
      <c r="O34" s="52">
        <f ca="1">IFERROR(__xludf.DUMMYFUNCTION("""COMPUTED_VALUE"""),2)</f>
        <v>2</v>
      </c>
      <c r="P34" s="50">
        <f ca="1">IFERROR(__xludf.DUMMYFUNCTION("""COMPUTED_VALUE"""),13)</f>
        <v>13</v>
      </c>
      <c r="Q34" s="49">
        <f ca="1">IFERROR(__xludf.DUMMYFUNCTION("""COMPUTED_VALUE"""),5)</f>
        <v>5</v>
      </c>
      <c r="R34" s="51">
        <f ca="1">IFERROR(__xludf.DUMMYFUNCTION("""COMPUTED_VALUE"""),5)</f>
        <v>5</v>
      </c>
      <c r="S34" s="52">
        <f ca="1">IFERROR(__xludf.DUMMYFUNCTION("""COMPUTED_VALUE"""),5)</f>
        <v>5</v>
      </c>
      <c r="T34" s="51">
        <f ca="1">IFERROR(__xludf.DUMMYFUNCTION("""COMPUTED_VALUE"""),6)</f>
        <v>6</v>
      </c>
      <c r="U34" s="52">
        <f ca="1">IFERROR(__xludf.DUMMYFUNCTION("""COMPUTED_VALUE"""),4)</f>
        <v>4</v>
      </c>
      <c r="V34" s="50">
        <f ca="1">IFERROR(__xludf.DUMMYFUNCTION("""COMPUTED_VALUE"""),0)</f>
        <v>0</v>
      </c>
      <c r="W34" s="49">
        <f ca="1">IFERROR(__xludf.DUMMYFUNCTION("""COMPUTED_VALUE"""),3)</f>
        <v>3</v>
      </c>
      <c r="X34" s="51">
        <f ca="1">IFERROR(__xludf.DUMMYFUNCTION("""COMPUTED_VALUE"""),6)</f>
        <v>6</v>
      </c>
      <c r="Y34" s="52">
        <f ca="1">IFERROR(__xludf.DUMMYFUNCTION("""COMPUTED_VALUE"""),2)</f>
        <v>2</v>
      </c>
      <c r="Z34" s="51">
        <f ca="1">IFERROR(__xludf.DUMMYFUNCTION("""COMPUTED_VALUE"""),0)</f>
        <v>0</v>
      </c>
      <c r="AA34" s="52">
        <f ca="1">IFERROR(__xludf.DUMMYFUNCTION("""COMPUTED_VALUE"""),3)</f>
        <v>3</v>
      </c>
      <c r="AB34" s="53">
        <f ca="1">IFERROR(__xludf.DUMMYFUNCTION("""COMPUTED_VALUE"""),4)</f>
        <v>4</v>
      </c>
      <c r="AC34" s="9"/>
      <c r="AD34" s="9"/>
      <c r="AE34" s="9"/>
      <c r="AF34" s="9"/>
      <c r="AG34" s="9"/>
      <c r="AH34" s="9"/>
      <c r="AI34" s="9"/>
      <c r="AJ34" s="9"/>
      <c r="AK34" s="9"/>
      <c r="AL34" s="9"/>
      <c r="AM34" s="9"/>
      <c r="AN34" s="9"/>
      <c r="AO34" s="9"/>
      <c r="AP34" s="9"/>
      <c r="AQ34" s="9"/>
      <c r="AR34" s="9"/>
      <c r="AS34" s="9"/>
      <c r="AT34" s="9"/>
      <c r="AU34" s="9"/>
      <c r="AV34" s="9"/>
      <c r="AW34" s="9"/>
    </row>
    <row r="35" spans="1:49">
      <c r="A35" s="54">
        <f ca="1">IFERROR(__xludf.DUMMYFUNCTION("""COMPUTED_VALUE"""),163)</f>
        <v>163</v>
      </c>
      <c r="B35" s="50" t="str">
        <f ca="1">IFERROR(__xludf.DUMMYFUNCTION("""COMPUTED_VALUE"""),"Y")</f>
        <v>Y</v>
      </c>
      <c r="C35" s="49">
        <f ca="1">IFERROR(__xludf.DUMMYFUNCTION("""COMPUTED_VALUE"""),239)</f>
        <v>239</v>
      </c>
      <c r="D35" s="51">
        <f ca="1">IFERROR(__xludf.DUMMYFUNCTION("""COMPUTED_VALUE"""),186)</f>
        <v>186</v>
      </c>
      <c r="E35" s="52">
        <f ca="1">IFERROR(__xludf.DUMMYFUNCTION("""COMPUTED_VALUE"""),125)</f>
        <v>125</v>
      </c>
      <c r="F35" s="50">
        <f ca="1">IFERROR(__xludf.DUMMYFUNCTION("""COMPUTED_VALUE"""),117)</f>
        <v>117</v>
      </c>
      <c r="G35" s="49">
        <f ca="1">IFERROR(__xludf.DUMMYFUNCTION("""COMPUTED_VALUE"""),5)</f>
        <v>5</v>
      </c>
      <c r="H35" s="50">
        <f ca="1">IFERROR(__xludf.DUMMYFUNCTION("""COMPUTED_VALUE"""),0)</f>
        <v>0</v>
      </c>
      <c r="I35" s="49">
        <f ca="1">IFERROR(__xludf.DUMMYFUNCTION("""COMPUTED_VALUE"""),0)</f>
        <v>0</v>
      </c>
      <c r="J35" s="51">
        <f ca="1">IFERROR(__xludf.DUMMYFUNCTION("""COMPUTED_VALUE"""),2)</f>
        <v>2</v>
      </c>
      <c r="K35" s="52">
        <f ca="1">IFERROR(__xludf.DUMMYFUNCTION("""COMPUTED_VALUE"""),2)</f>
        <v>2</v>
      </c>
      <c r="L35" s="51">
        <f ca="1">IFERROR(__xludf.DUMMYFUNCTION("""COMPUTED_VALUE"""),0)</f>
        <v>0</v>
      </c>
      <c r="M35" s="52">
        <f ca="1">IFERROR(__xludf.DUMMYFUNCTION("""COMPUTED_VALUE"""),0)</f>
        <v>0</v>
      </c>
      <c r="N35" s="51">
        <f ca="1">IFERROR(__xludf.DUMMYFUNCTION("""COMPUTED_VALUE"""),0)</f>
        <v>0</v>
      </c>
      <c r="O35" s="52">
        <f ca="1">IFERROR(__xludf.DUMMYFUNCTION("""COMPUTED_VALUE"""),2)</f>
        <v>2</v>
      </c>
      <c r="P35" s="50">
        <f ca="1">IFERROR(__xludf.DUMMYFUNCTION("""COMPUTED_VALUE"""),2)</f>
        <v>2</v>
      </c>
      <c r="Q35" s="49">
        <f ca="1">IFERROR(__xludf.DUMMYFUNCTION("""COMPUTED_VALUE"""),9)</f>
        <v>9</v>
      </c>
      <c r="R35" s="51">
        <f ca="1">IFERROR(__xludf.DUMMYFUNCTION("""COMPUTED_VALUE"""),1)</f>
        <v>1</v>
      </c>
      <c r="S35" s="52">
        <f ca="1">IFERROR(__xludf.DUMMYFUNCTION("""COMPUTED_VALUE"""),11)</f>
        <v>11</v>
      </c>
      <c r="T35" s="51">
        <f ca="1">IFERROR(__xludf.DUMMYFUNCTION("""COMPUTED_VALUE"""),12)</f>
        <v>12</v>
      </c>
      <c r="U35" s="52">
        <f ca="1">IFERROR(__xludf.DUMMYFUNCTION("""COMPUTED_VALUE"""),2)</f>
        <v>2</v>
      </c>
      <c r="V35" s="50">
        <f ca="1">IFERROR(__xludf.DUMMYFUNCTION("""COMPUTED_VALUE"""),0)</f>
        <v>0</v>
      </c>
      <c r="W35" s="49">
        <f ca="1">IFERROR(__xludf.DUMMYFUNCTION("""COMPUTED_VALUE"""),1)</f>
        <v>1</v>
      </c>
      <c r="X35" s="51">
        <f ca="1">IFERROR(__xludf.DUMMYFUNCTION("""COMPUTED_VALUE"""),2)</f>
        <v>2</v>
      </c>
      <c r="Y35" s="52">
        <f ca="1">IFERROR(__xludf.DUMMYFUNCTION("""COMPUTED_VALUE"""),0)</f>
        <v>0</v>
      </c>
      <c r="Z35" s="51">
        <f ca="1">IFERROR(__xludf.DUMMYFUNCTION("""COMPUTED_VALUE"""),0)</f>
        <v>0</v>
      </c>
      <c r="AA35" s="52">
        <f ca="1">IFERROR(__xludf.DUMMYFUNCTION("""COMPUTED_VALUE"""),1)</f>
        <v>1</v>
      </c>
      <c r="AB35" s="53">
        <f ca="1">IFERROR(__xludf.DUMMYFUNCTION("""COMPUTED_VALUE"""),2)</f>
        <v>2</v>
      </c>
      <c r="AC35" s="9"/>
      <c r="AD35" s="9"/>
      <c r="AE35" s="9"/>
      <c r="AF35" s="9"/>
      <c r="AG35" s="9"/>
      <c r="AH35" s="9"/>
      <c r="AI35" s="9"/>
      <c r="AJ35" s="9"/>
      <c r="AK35" s="9"/>
      <c r="AL35" s="9"/>
      <c r="AM35" s="9"/>
      <c r="AN35" s="9"/>
      <c r="AO35" s="9"/>
      <c r="AP35" s="9"/>
      <c r="AQ35" s="9"/>
      <c r="AR35" s="9"/>
      <c r="AS35" s="9"/>
      <c r="AT35" s="9"/>
      <c r="AU35" s="9"/>
      <c r="AV35" s="9"/>
      <c r="AW35" s="9"/>
    </row>
    <row r="36" spans="1:49">
      <c r="A36" s="54">
        <f ca="1">IFERROR(__xludf.DUMMYFUNCTION("""COMPUTED_VALUE"""),164)</f>
        <v>164</v>
      </c>
      <c r="B36" s="50" t="str">
        <f ca="1">IFERROR(__xludf.DUMMYFUNCTION("""COMPUTED_VALUE"""),"Y")</f>
        <v>Y</v>
      </c>
      <c r="C36" s="49">
        <f ca="1">IFERROR(__xludf.DUMMYFUNCTION("""COMPUTED_VALUE"""),220)</f>
        <v>220</v>
      </c>
      <c r="D36" s="51">
        <f ca="1">IFERROR(__xludf.DUMMYFUNCTION("""COMPUTED_VALUE"""),167)</f>
        <v>167</v>
      </c>
      <c r="E36" s="52">
        <f ca="1">IFERROR(__xludf.DUMMYFUNCTION("""COMPUTED_VALUE"""),122)</f>
        <v>122</v>
      </c>
      <c r="F36" s="50">
        <f ca="1">IFERROR(__xludf.DUMMYFUNCTION("""COMPUTED_VALUE"""),114)</f>
        <v>114</v>
      </c>
      <c r="G36" s="49">
        <f ca="1">IFERROR(__xludf.DUMMYFUNCTION("""COMPUTED_VALUE"""),2)</f>
        <v>2</v>
      </c>
      <c r="H36" s="50">
        <f ca="1">IFERROR(__xludf.DUMMYFUNCTION("""COMPUTED_VALUE"""),0)</f>
        <v>0</v>
      </c>
      <c r="I36" s="49">
        <f ca="1">IFERROR(__xludf.DUMMYFUNCTION("""COMPUTED_VALUE"""),0)</f>
        <v>0</v>
      </c>
      <c r="J36" s="51">
        <f ca="1">IFERROR(__xludf.DUMMYFUNCTION("""COMPUTED_VALUE"""),4)</f>
        <v>4</v>
      </c>
      <c r="K36" s="52">
        <f ca="1">IFERROR(__xludf.DUMMYFUNCTION("""COMPUTED_VALUE"""),1)</f>
        <v>1</v>
      </c>
      <c r="L36" s="51">
        <f ca="1">IFERROR(__xludf.DUMMYFUNCTION("""COMPUTED_VALUE"""),1)</f>
        <v>1</v>
      </c>
      <c r="M36" s="52">
        <f ca="1">IFERROR(__xludf.DUMMYFUNCTION("""COMPUTED_VALUE"""),0)</f>
        <v>0</v>
      </c>
      <c r="N36" s="51">
        <f ca="1">IFERROR(__xludf.DUMMYFUNCTION("""COMPUTED_VALUE"""),0)</f>
        <v>0</v>
      </c>
      <c r="O36" s="52">
        <f ca="1">IFERROR(__xludf.DUMMYFUNCTION("""COMPUTED_VALUE"""),1)</f>
        <v>1</v>
      </c>
      <c r="P36" s="50">
        <f ca="1">IFERROR(__xludf.DUMMYFUNCTION("""COMPUTED_VALUE"""),5)</f>
        <v>5</v>
      </c>
      <c r="Q36" s="49">
        <f ca="1">IFERROR(__xludf.DUMMYFUNCTION("""COMPUTED_VALUE"""),2)</f>
        <v>2</v>
      </c>
      <c r="R36" s="51">
        <f ca="1">IFERROR(__xludf.DUMMYFUNCTION("""COMPUTED_VALUE"""),3)</f>
        <v>3</v>
      </c>
      <c r="S36" s="52">
        <f ca="1">IFERROR(__xludf.DUMMYFUNCTION("""COMPUTED_VALUE"""),3)</f>
        <v>3</v>
      </c>
      <c r="T36" s="51">
        <f ca="1">IFERROR(__xludf.DUMMYFUNCTION("""COMPUTED_VALUE"""),7)</f>
        <v>7</v>
      </c>
      <c r="U36" s="52">
        <f ca="1">IFERROR(__xludf.DUMMYFUNCTION("""COMPUTED_VALUE"""),1)</f>
        <v>1</v>
      </c>
      <c r="V36" s="50">
        <f ca="1">IFERROR(__xludf.DUMMYFUNCTION("""COMPUTED_VALUE"""),1)</f>
        <v>1</v>
      </c>
      <c r="W36" s="49">
        <f ca="1">IFERROR(__xludf.DUMMYFUNCTION("""COMPUTED_VALUE"""),6)</f>
        <v>6</v>
      </c>
      <c r="X36" s="51">
        <f ca="1">IFERROR(__xludf.DUMMYFUNCTION("""COMPUTED_VALUE"""),3)</f>
        <v>3</v>
      </c>
      <c r="Y36" s="52">
        <f ca="1">IFERROR(__xludf.DUMMYFUNCTION("""COMPUTED_VALUE"""),1)</f>
        <v>1</v>
      </c>
      <c r="Z36" s="51">
        <f ca="1">IFERROR(__xludf.DUMMYFUNCTION("""COMPUTED_VALUE"""),0)</f>
        <v>0</v>
      </c>
      <c r="AA36" s="52">
        <f ca="1">IFERROR(__xludf.DUMMYFUNCTION("""COMPUTED_VALUE"""),5)</f>
        <v>5</v>
      </c>
      <c r="AB36" s="53">
        <f ca="1">IFERROR(__xludf.DUMMYFUNCTION("""COMPUTED_VALUE"""),2)</f>
        <v>2</v>
      </c>
      <c r="AC36" s="9"/>
      <c r="AD36" s="9"/>
      <c r="AE36" s="9"/>
      <c r="AF36" s="9"/>
      <c r="AG36" s="9"/>
      <c r="AH36" s="9"/>
      <c r="AI36" s="9"/>
      <c r="AJ36" s="9"/>
      <c r="AK36" s="9"/>
      <c r="AL36" s="9"/>
      <c r="AM36" s="9"/>
      <c r="AN36" s="9"/>
      <c r="AO36" s="9"/>
      <c r="AP36" s="9"/>
      <c r="AQ36" s="9"/>
      <c r="AR36" s="9"/>
      <c r="AS36" s="9"/>
      <c r="AT36" s="9"/>
      <c r="AU36" s="9"/>
      <c r="AV36" s="9"/>
      <c r="AW36" s="9"/>
    </row>
    <row r="37" spans="1:49">
      <c r="A37" s="54">
        <f ca="1">IFERROR(__xludf.DUMMYFUNCTION("""COMPUTED_VALUE"""),166)</f>
        <v>166</v>
      </c>
      <c r="B37" s="50" t="str">
        <f ca="1">IFERROR(__xludf.DUMMYFUNCTION("""COMPUTED_VALUE"""),"Y")</f>
        <v>Y</v>
      </c>
      <c r="C37" s="49">
        <f ca="1">IFERROR(__xludf.DUMMYFUNCTION("""COMPUTED_VALUE"""),234)</f>
        <v>234</v>
      </c>
      <c r="D37" s="51">
        <f ca="1">IFERROR(__xludf.DUMMYFUNCTION("""COMPUTED_VALUE"""),162)</f>
        <v>162</v>
      </c>
      <c r="E37" s="52">
        <f ca="1">IFERROR(__xludf.DUMMYFUNCTION("""COMPUTED_VALUE"""),124)</f>
        <v>124</v>
      </c>
      <c r="F37" s="50">
        <f ca="1">IFERROR(__xludf.DUMMYFUNCTION("""COMPUTED_VALUE"""),113)</f>
        <v>113</v>
      </c>
      <c r="G37" s="49">
        <f ca="1">IFERROR(__xludf.DUMMYFUNCTION("""COMPUTED_VALUE"""),0)</f>
        <v>0</v>
      </c>
      <c r="H37" s="50">
        <f ca="1">IFERROR(__xludf.DUMMYFUNCTION("""COMPUTED_VALUE"""),0)</f>
        <v>0</v>
      </c>
      <c r="I37" s="49">
        <f ca="1">IFERROR(__xludf.DUMMYFUNCTION("""COMPUTED_VALUE"""),4)</f>
        <v>4</v>
      </c>
      <c r="J37" s="51">
        <f ca="1">IFERROR(__xludf.DUMMYFUNCTION("""COMPUTED_VALUE"""),1)</f>
        <v>1</v>
      </c>
      <c r="K37" s="52">
        <f ca="1">IFERROR(__xludf.DUMMYFUNCTION("""COMPUTED_VALUE"""),2)</f>
        <v>2</v>
      </c>
      <c r="L37" s="51">
        <f ca="1">IFERROR(__xludf.DUMMYFUNCTION("""COMPUTED_VALUE"""),14)</f>
        <v>14</v>
      </c>
      <c r="M37" s="52">
        <f ca="1">IFERROR(__xludf.DUMMYFUNCTION("""COMPUTED_VALUE"""),0)</f>
        <v>0</v>
      </c>
      <c r="N37" s="51">
        <f ca="1">IFERROR(__xludf.DUMMYFUNCTION("""COMPUTED_VALUE"""),0)</f>
        <v>0</v>
      </c>
      <c r="O37" s="52">
        <f ca="1">IFERROR(__xludf.DUMMYFUNCTION("""COMPUTED_VALUE"""),6)</f>
        <v>6</v>
      </c>
      <c r="P37" s="50">
        <f ca="1">IFERROR(__xludf.DUMMYFUNCTION("""COMPUTED_VALUE"""),15)</f>
        <v>15</v>
      </c>
      <c r="Q37" s="49">
        <f ca="1">IFERROR(__xludf.DUMMYFUNCTION("""COMPUTED_VALUE"""),11)</f>
        <v>11</v>
      </c>
      <c r="R37" s="51">
        <f ca="1">IFERROR(__xludf.DUMMYFUNCTION("""COMPUTED_VALUE"""),14)</f>
        <v>14</v>
      </c>
      <c r="S37" s="52">
        <f ca="1">IFERROR(__xludf.DUMMYFUNCTION("""COMPUTED_VALUE"""),7)</f>
        <v>7</v>
      </c>
      <c r="T37" s="51">
        <f ca="1">IFERROR(__xludf.DUMMYFUNCTION("""COMPUTED_VALUE"""),7)</f>
        <v>7</v>
      </c>
      <c r="U37" s="52">
        <f ca="1">IFERROR(__xludf.DUMMYFUNCTION("""COMPUTED_VALUE"""),8)</f>
        <v>8</v>
      </c>
      <c r="V37" s="50">
        <f ca="1">IFERROR(__xludf.DUMMYFUNCTION("""COMPUTED_VALUE"""),7)</f>
        <v>7</v>
      </c>
      <c r="W37" s="49">
        <f ca="1">IFERROR(__xludf.DUMMYFUNCTION("""COMPUTED_VALUE"""),9)</f>
        <v>9</v>
      </c>
      <c r="X37" s="51">
        <f ca="1">IFERROR(__xludf.DUMMYFUNCTION("""COMPUTED_VALUE"""),6)</f>
        <v>6</v>
      </c>
      <c r="Y37" s="52">
        <f ca="1">IFERROR(__xludf.DUMMYFUNCTION("""COMPUTED_VALUE"""),2)</f>
        <v>2</v>
      </c>
      <c r="Z37" s="51">
        <f ca="1">IFERROR(__xludf.DUMMYFUNCTION("""COMPUTED_VALUE"""),0)</f>
        <v>0</v>
      </c>
      <c r="AA37" s="52">
        <f ca="1">IFERROR(__xludf.DUMMYFUNCTION("""COMPUTED_VALUE"""),6)</f>
        <v>6</v>
      </c>
      <c r="AB37" s="53">
        <f ca="1">IFERROR(__xludf.DUMMYFUNCTION("""COMPUTED_VALUE"""),5)</f>
        <v>5</v>
      </c>
      <c r="AC37" s="9"/>
      <c r="AD37" s="9"/>
      <c r="AE37" s="9"/>
      <c r="AF37" s="9"/>
      <c r="AG37" s="9"/>
      <c r="AH37" s="9"/>
      <c r="AI37" s="9"/>
      <c r="AJ37" s="9"/>
      <c r="AK37" s="9"/>
      <c r="AL37" s="9"/>
      <c r="AM37" s="9"/>
      <c r="AN37" s="9"/>
      <c r="AO37" s="9"/>
      <c r="AP37" s="9"/>
      <c r="AQ37" s="9"/>
      <c r="AR37" s="9"/>
      <c r="AS37" s="9"/>
      <c r="AT37" s="9"/>
      <c r="AU37" s="9"/>
      <c r="AV37" s="9"/>
      <c r="AW37" s="9"/>
    </row>
    <row r="38" spans="1:49">
      <c r="A38" s="54">
        <f ca="1">IFERROR(__xludf.DUMMYFUNCTION("""COMPUTED_VALUE"""),167)</f>
        <v>167</v>
      </c>
      <c r="B38" s="50" t="str">
        <f ca="1">IFERROR(__xludf.DUMMYFUNCTION("""COMPUTED_VALUE"""),"Y")</f>
        <v>Y</v>
      </c>
      <c r="C38" s="49">
        <f ca="1">IFERROR(__xludf.DUMMYFUNCTION("""COMPUTED_VALUE"""),246)</f>
        <v>246</v>
      </c>
      <c r="D38" s="51">
        <f ca="1">IFERROR(__xludf.DUMMYFUNCTION("""COMPUTED_VALUE"""),174)</f>
        <v>174</v>
      </c>
      <c r="E38" s="52">
        <f ca="1">IFERROR(__xludf.DUMMYFUNCTION("""COMPUTED_VALUE"""),126)</f>
        <v>126</v>
      </c>
      <c r="F38" s="50">
        <f ca="1">IFERROR(__xludf.DUMMYFUNCTION("""COMPUTED_VALUE"""),115)</f>
        <v>115</v>
      </c>
      <c r="G38" s="49">
        <f ca="1">IFERROR(__xludf.DUMMYFUNCTION("""COMPUTED_VALUE"""),5)</f>
        <v>5</v>
      </c>
      <c r="H38" s="50">
        <f ca="1">IFERROR(__xludf.DUMMYFUNCTION("""COMPUTED_VALUE"""),0)</f>
        <v>0</v>
      </c>
      <c r="I38" s="49">
        <f ca="1">IFERROR(__xludf.DUMMYFUNCTION("""COMPUTED_VALUE"""),1)</f>
        <v>1</v>
      </c>
      <c r="J38" s="51">
        <f ca="1">IFERROR(__xludf.DUMMYFUNCTION("""COMPUTED_VALUE"""),4)</f>
        <v>4</v>
      </c>
      <c r="K38" s="52">
        <f ca="1">IFERROR(__xludf.DUMMYFUNCTION("""COMPUTED_VALUE"""),0)</f>
        <v>0</v>
      </c>
      <c r="L38" s="51">
        <f ca="1">IFERROR(__xludf.DUMMYFUNCTION("""COMPUTED_VALUE"""),0)</f>
        <v>0</v>
      </c>
      <c r="M38" s="52">
        <f ca="1">IFERROR(__xludf.DUMMYFUNCTION("""COMPUTED_VALUE"""),0)</f>
        <v>0</v>
      </c>
      <c r="N38" s="51">
        <f ca="1">IFERROR(__xludf.DUMMYFUNCTION("""COMPUTED_VALUE"""),0)</f>
        <v>0</v>
      </c>
      <c r="O38" s="52">
        <f ca="1">IFERROR(__xludf.DUMMYFUNCTION("""COMPUTED_VALUE"""),1)</f>
        <v>1</v>
      </c>
      <c r="P38" s="50">
        <f ca="1">IFERROR(__xludf.DUMMYFUNCTION("""COMPUTED_VALUE"""),4)</f>
        <v>4</v>
      </c>
      <c r="Q38" s="49">
        <f ca="1">IFERROR(__xludf.DUMMYFUNCTION("""COMPUTED_VALUE"""),0)</f>
        <v>0</v>
      </c>
      <c r="R38" s="51">
        <f ca="1">IFERROR(__xludf.DUMMYFUNCTION("""COMPUTED_VALUE"""),1)</f>
        <v>1</v>
      </c>
      <c r="S38" s="52">
        <f ca="1">IFERROR(__xludf.DUMMYFUNCTION("""COMPUTED_VALUE"""),5)</f>
        <v>5</v>
      </c>
      <c r="T38" s="51">
        <f ca="1">IFERROR(__xludf.DUMMYFUNCTION("""COMPUTED_VALUE"""),3)</f>
        <v>3</v>
      </c>
      <c r="U38" s="52">
        <f ca="1">IFERROR(__xludf.DUMMYFUNCTION("""COMPUTED_VALUE"""),0)</f>
        <v>0</v>
      </c>
      <c r="V38" s="50">
        <f ca="1">IFERROR(__xludf.DUMMYFUNCTION("""COMPUTED_VALUE"""),1)</f>
        <v>1</v>
      </c>
      <c r="W38" s="49">
        <f ca="1">IFERROR(__xludf.DUMMYFUNCTION("""COMPUTED_VALUE"""),15)</f>
        <v>15</v>
      </c>
      <c r="X38" s="51">
        <f ca="1">IFERROR(__xludf.DUMMYFUNCTION("""COMPUTED_VALUE"""),12)</f>
        <v>12</v>
      </c>
      <c r="Y38" s="52">
        <f ca="1">IFERROR(__xludf.DUMMYFUNCTION("""COMPUTED_VALUE"""),1)</f>
        <v>1</v>
      </c>
      <c r="Z38" s="51">
        <f ca="1">IFERROR(__xludf.DUMMYFUNCTION("""COMPUTED_VALUE"""),3)</f>
        <v>3</v>
      </c>
      <c r="AA38" s="52">
        <f ca="1">IFERROR(__xludf.DUMMYFUNCTION("""COMPUTED_VALUE"""),11)</f>
        <v>11</v>
      </c>
      <c r="AB38" s="53">
        <f ca="1">IFERROR(__xludf.DUMMYFUNCTION("""COMPUTED_VALUE"""),8)</f>
        <v>8</v>
      </c>
      <c r="AC38" s="9"/>
      <c r="AD38" s="9"/>
      <c r="AE38" s="9"/>
      <c r="AF38" s="9"/>
      <c r="AG38" s="9"/>
      <c r="AH38" s="9"/>
      <c r="AI38" s="9"/>
      <c r="AJ38" s="9"/>
      <c r="AK38" s="9"/>
      <c r="AL38" s="9"/>
      <c r="AM38" s="9"/>
      <c r="AN38" s="9"/>
      <c r="AO38" s="9"/>
      <c r="AP38" s="9"/>
      <c r="AQ38" s="9"/>
      <c r="AR38" s="9"/>
      <c r="AS38" s="9"/>
      <c r="AT38" s="9"/>
      <c r="AU38" s="9"/>
      <c r="AV38" s="9"/>
      <c r="AW38" s="9"/>
    </row>
    <row r="39" spans="1:49">
      <c r="A39" s="54">
        <f ca="1">IFERROR(__xludf.DUMMYFUNCTION("""COMPUTED_VALUE"""),168)</f>
        <v>168</v>
      </c>
      <c r="B39" s="50" t="str">
        <f ca="1">IFERROR(__xludf.DUMMYFUNCTION("""COMPUTED_VALUE"""),"Y")</f>
        <v>Y</v>
      </c>
      <c r="C39" s="49">
        <f ca="1">IFERROR(__xludf.DUMMYFUNCTION("""COMPUTED_VALUE"""),222)</f>
        <v>222</v>
      </c>
      <c r="D39" s="51">
        <f ca="1">IFERROR(__xludf.DUMMYFUNCTION("""COMPUTED_VALUE"""),187)</f>
        <v>187</v>
      </c>
      <c r="E39" s="52">
        <f ca="1">IFERROR(__xludf.DUMMYFUNCTION("""COMPUTED_VALUE"""),122)</f>
        <v>122</v>
      </c>
      <c r="F39" s="50">
        <f ca="1">IFERROR(__xludf.DUMMYFUNCTION("""COMPUTED_VALUE"""),117)</f>
        <v>117</v>
      </c>
      <c r="G39" s="49">
        <f ca="1">IFERROR(__xludf.DUMMYFUNCTION("""COMPUTED_VALUE"""),12)</f>
        <v>12</v>
      </c>
      <c r="H39" s="50">
        <f ca="1">IFERROR(__xludf.DUMMYFUNCTION("""COMPUTED_VALUE"""),0)</f>
        <v>0</v>
      </c>
      <c r="I39" s="49">
        <f ca="1">IFERROR(__xludf.DUMMYFUNCTION("""COMPUTED_VALUE"""),3)</f>
        <v>3</v>
      </c>
      <c r="J39" s="51">
        <f ca="1">IFERROR(__xludf.DUMMYFUNCTION("""COMPUTED_VALUE"""),1)</f>
        <v>1</v>
      </c>
      <c r="K39" s="52">
        <f ca="1">IFERROR(__xludf.DUMMYFUNCTION("""COMPUTED_VALUE"""),10)</f>
        <v>10</v>
      </c>
      <c r="L39" s="51">
        <f ca="1">IFERROR(__xludf.DUMMYFUNCTION("""COMPUTED_VALUE"""),0)</f>
        <v>0</v>
      </c>
      <c r="M39" s="52">
        <f ca="1">IFERROR(__xludf.DUMMYFUNCTION("""COMPUTED_VALUE"""),0)</f>
        <v>0</v>
      </c>
      <c r="N39" s="51">
        <f ca="1">IFERROR(__xludf.DUMMYFUNCTION("""COMPUTED_VALUE"""),0)</f>
        <v>0</v>
      </c>
      <c r="O39" s="52">
        <f ca="1">IFERROR(__xludf.DUMMYFUNCTION("""COMPUTED_VALUE"""),13)</f>
        <v>13</v>
      </c>
      <c r="P39" s="50">
        <f ca="1">IFERROR(__xludf.DUMMYFUNCTION("""COMPUTED_VALUE"""),1)</f>
        <v>1</v>
      </c>
      <c r="Q39" s="49">
        <f ca="1">IFERROR(__xludf.DUMMYFUNCTION("""COMPUTED_VALUE"""),4)</f>
        <v>4</v>
      </c>
      <c r="R39" s="51">
        <f ca="1">IFERROR(__xludf.DUMMYFUNCTION("""COMPUTED_VALUE"""),3)</f>
        <v>3</v>
      </c>
      <c r="S39" s="52">
        <f ca="1">IFERROR(__xludf.DUMMYFUNCTION("""COMPUTED_VALUE"""),6)</f>
        <v>6</v>
      </c>
      <c r="T39" s="51">
        <f ca="1">IFERROR(__xludf.DUMMYFUNCTION("""COMPUTED_VALUE"""),0)</f>
        <v>0</v>
      </c>
      <c r="U39" s="52">
        <f ca="1">IFERROR(__xludf.DUMMYFUNCTION("""COMPUTED_VALUE"""),4)</f>
        <v>4</v>
      </c>
      <c r="V39" s="50">
        <f ca="1">IFERROR(__xludf.DUMMYFUNCTION("""COMPUTED_VALUE"""),0)</f>
        <v>0</v>
      </c>
      <c r="W39" s="49">
        <f ca="1">IFERROR(__xludf.DUMMYFUNCTION("""COMPUTED_VALUE"""),6)</f>
        <v>6</v>
      </c>
      <c r="X39" s="51">
        <f ca="1">IFERROR(__xludf.DUMMYFUNCTION("""COMPUTED_VALUE"""),5)</f>
        <v>5</v>
      </c>
      <c r="Y39" s="52">
        <f ca="1">IFERROR(__xludf.DUMMYFUNCTION("""COMPUTED_VALUE"""),1)</f>
        <v>1</v>
      </c>
      <c r="Z39" s="51">
        <f ca="1">IFERROR(__xludf.DUMMYFUNCTION("""COMPUTED_VALUE"""),2)</f>
        <v>2</v>
      </c>
      <c r="AA39" s="52">
        <f ca="1">IFERROR(__xludf.DUMMYFUNCTION("""COMPUTED_VALUE"""),5)</f>
        <v>5</v>
      </c>
      <c r="AB39" s="53">
        <f ca="1">IFERROR(__xludf.DUMMYFUNCTION("""COMPUTED_VALUE"""),2)</f>
        <v>2</v>
      </c>
      <c r="AC39" s="9"/>
      <c r="AD39" s="9"/>
      <c r="AE39" s="9"/>
      <c r="AF39" s="9"/>
      <c r="AG39" s="9"/>
      <c r="AH39" s="9"/>
      <c r="AI39" s="9"/>
      <c r="AJ39" s="9"/>
      <c r="AK39" s="9"/>
      <c r="AL39" s="9"/>
      <c r="AM39" s="9"/>
      <c r="AN39" s="9"/>
      <c r="AO39" s="9"/>
      <c r="AP39" s="9"/>
      <c r="AQ39" s="9"/>
      <c r="AR39" s="9"/>
      <c r="AS39" s="9"/>
      <c r="AT39" s="9"/>
      <c r="AU39" s="9"/>
      <c r="AV39" s="9"/>
      <c r="AW39" s="9"/>
    </row>
    <row r="40" spans="1:49">
      <c r="A40" s="54"/>
      <c r="B40" s="50"/>
      <c r="C40" s="49"/>
      <c r="D40" s="51"/>
      <c r="E40" s="52"/>
      <c r="F40" s="50"/>
      <c r="G40" s="49"/>
      <c r="H40" s="50"/>
      <c r="I40" s="49"/>
      <c r="J40" s="51"/>
      <c r="K40" s="52"/>
      <c r="L40" s="51"/>
      <c r="M40" s="52"/>
      <c r="N40" s="51"/>
      <c r="O40" s="52"/>
      <c r="P40" s="50"/>
      <c r="Q40" s="49"/>
      <c r="R40" s="51"/>
      <c r="S40" s="52"/>
      <c r="T40" s="51"/>
      <c r="U40" s="52"/>
      <c r="V40" s="50"/>
      <c r="W40" s="49"/>
      <c r="X40" s="51"/>
      <c r="Y40" s="52"/>
      <c r="Z40" s="51"/>
      <c r="AA40" s="52"/>
      <c r="AB40" s="53"/>
      <c r="AC40" s="9"/>
      <c r="AD40" s="9"/>
      <c r="AE40" s="9"/>
      <c r="AF40" s="9"/>
      <c r="AG40" s="9"/>
      <c r="AH40" s="9"/>
      <c r="AI40" s="9"/>
      <c r="AJ40" s="9"/>
      <c r="AK40" s="9"/>
      <c r="AL40" s="9"/>
      <c r="AM40" s="9"/>
      <c r="AN40" s="9"/>
      <c r="AO40" s="9"/>
      <c r="AP40" s="9"/>
      <c r="AQ40" s="9"/>
      <c r="AR40" s="9"/>
      <c r="AS40" s="9"/>
      <c r="AT40" s="9"/>
      <c r="AU40" s="9"/>
      <c r="AV40" s="9"/>
      <c r="AW40" s="9"/>
    </row>
    <row r="41" spans="1:49">
      <c r="A41" s="55"/>
      <c r="B41" s="57"/>
      <c r="C41" s="56"/>
      <c r="D41" s="58"/>
      <c r="E41" s="59"/>
      <c r="F41" s="57"/>
      <c r="G41" s="56"/>
      <c r="H41" s="57"/>
      <c r="I41" s="56"/>
      <c r="J41" s="58"/>
      <c r="K41" s="59"/>
      <c r="L41" s="58"/>
      <c r="M41" s="59"/>
      <c r="N41" s="58"/>
      <c r="O41" s="59"/>
      <c r="P41" s="57"/>
      <c r="Q41" s="56"/>
      <c r="R41" s="58"/>
      <c r="S41" s="59"/>
      <c r="T41" s="58"/>
      <c r="U41" s="59"/>
      <c r="V41" s="57"/>
      <c r="W41" s="56"/>
      <c r="X41" s="58"/>
      <c r="Y41" s="59"/>
      <c r="Z41" s="58"/>
      <c r="AA41" s="59"/>
      <c r="AB41" s="60"/>
      <c r="AC41" s="9"/>
      <c r="AD41" s="9"/>
      <c r="AE41" s="9"/>
      <c r="AF41" s="9"/>
      <c r="AG41" s="9"/>
      <c r="AH41" s="9"/>
      <c r="AI41" s="9"/>
      <c r="AJ41" s="9"/>
      <c r="AK41" s="9"/>
      <c r="AL41" s="9"/>
      <c r="AM41" s="9"/>
      <c r="AN41" s="9"/>
      <c r="AO41" s="9"/>
      <c r="AP41" s="9"/>
      <c r="AQ41" s="9"/>
      <c r="AR41" s="9"/>
      <c r="AS41" s="9"/>
      <c r="AT41" s="9"/>
      <c r="AU41" s="9"/>
      <c r="AV41" s="9"/>
      <c r="AW41" s="9"/>
    </row>
  </sheetData>
  <mergeCells count="15">
    <mergeCell ref="A1:A2"/>
    <mergeCell ref="B1:B2"/>
    <mergeCell ref="C1:D1"/>
    <mergeCell ref="E1:F1"/>
    <mergeCell ref="G1:H1"/>
    <mergeCell ref="I1:J1"/>
    <mergeCell ref="Y1:Z1"/>
    <mergeCell ref="AA1:AB1"/>
    <mergeCell ref="K1:L1"/>
    <mergeCell ref="M1:N1"/>
    <mergeCell ref="O1:P1"/>
    <mergeCell ref="Q1:R1"/>
    <mergeCell ref="S1:T1"/>
    <mergeCell ref="U1:V1"/>
    <mergeCell ref="W1:X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B2:O142"/>
  <sheetViews>
    <sheetView topLeftCell="A113" workbookViewId="0">
      <selection activeCell="K130" sqref="K130"/>
    </sheetView>
  </sheetViews>
  <sheetFormatPr defaultColWidth="12.5703125" defaultRowHeight="15.75" customHeight="1"/>
  <cols>
    <col min="4" max="4" width="18.140625" bestFit="1" customWidth="1"/>
    <col min="6" max="6" width="13.85546875" customWidth="1"/>
    <col min="14" max="14" width="13.42578125" customWidth="1"/>
  </cols>
  <sheetData>
    <row r="2" spans="2:15" ht="12.75">
      <c r="B2" s="29" t="s">
        <v>4</v>
      </c>
      <c r="C2" s="29" t="s">
        <v>45</v>
      </c>
      <c r="D2" s="29" t="s">
        <v>46</v>
      </c>
    </row>
    <row r="3" spans="2:15" ht="12.75">
      <c r="B3" s="29">
        <v>118</v>
      </c>
      <c r="C3" s="29" t="s">
        <v>60</v>
      </c>
      <c r="D3" s="127" t="s">
        <v>19</v>
      </c>
    </row>
    <row r="5" spans="2:15" ht="12.75">
      <c r="B5" s="221" t="s">
        <v>3</v>
      </c>
      <c r="C5" s="222"/>
      <c r="D5" s="44" t="s">
        <v>5</v>
      </c>
      <c r="E5" s="43" t="s">
        <v>6</v>
      </c>
      <c r="F5" s="43" t="s">
        <v>7</v>
      </c>
      <c r="G5" s="43" t="s">
        <v>8</v>
      </c>
      <c r="H5" s="44" t="s">
        <v>9</v>
      </c>
      <c r="I5" s="43" t="s">
        <v>10</v>
      </c>
      <c r="J5" s="43" t="s">
        <v>11</v>
      </c>
      <c r="K5" s="44" t="s">
        <v>12</v>
      </c>
      <c r="L5" s="43" t="s">
        <v>13</v>
      </c>
      <c r="M5" s="43" t="s">
        <v>14</v>
      </c>
      <c r="N5" s="61" t="s">
        <v>15</v>
      </c>
    </row>
    <row r="6" spans="2:15" ht="12.75">
      <c r="B6" s="223">
        <v>193</v>
      </c>
      <c r="C6" s="224"/>
      <c r="D6" s="47">
        <f ca="1">COUNTIF(Valid_questions!F$1:F1084, B6)</f>
        <v>0</v>
      </c>
      <c r="E6" s="40">
        <v>2</v>
      </c>
      <c r="F6" s="40">
        <v>4</v>
      </c>
      <c r="G6" s="40">
        <v>0</v>
      </c>
      <c r="H6" s="47">
        <v>6</v>
      </c>
      <c r="I6" s="40">
        <f>COUNTIFS(Tests!E$1:E1084,B6,Tests!D$1:D1084,"&lt;&gt;\N")</f>
        <v>16</v>
      </c>
      <c r="J6" s="40">
        <f>COUNTIFS(Tests!E$1:E1084,B6,Tests!D$1:D1084,"=\N")</f>
        <v>1</v>
      </c>
      <c r="K6" s="47">
        <v>2</v>
      </c>
      <c r="L6" s="40">
        <f>COUNTIFS(Mutants!E$1:E1084,B6,Mutants!D$1:D1084,"&lt;&gt;\N")</f>
        <v>10</v>
      </c>
      <c r="M6" s="40">
        <f>COUNTIFS(Mutants!E$1:E1084,B6,Mutants!D$1:D1084,"=\N")</f>
        <v>4</v>
      </c>
      <c r="N6" s="45">
        <v>9</v>
      </c>
    </row>
    <row r="7" spans="2:15" ht="12.75">
      <c r="B7" s="225">
        <v>194</v>
      </c>
      <c r="C7" s="226"/>
      <c r="D7" s="10">
        <f ca="1">COUNTIF(Valid_questions!F$1:F1084, B7)</f>
        <v>0</v>
      </c>
      <c r="E7" s="9">
        <v>7</v>
      </c>
      <c r="F7" s="9">
        <v>16</v>
      </c>
      <c r="G7" s="9">
        <v>0</v>
      </c>
      <c r="H7" s="10">
        <v>23</v>
      </c>
      <c r="I7" s="9">
        <f>COUNTIFS(Tests!E$1:E1084,B7,Tests!D$1:D1084,"&lt;&gt;\N")</f>
        <v>8</v>
      </c>
      <c r="J7" s="9">
        <f>COUNTIFS(Tests!E$1:E1084,B7,Tests!D$1:D1084,"=\N")</f>
        <v>2</v>
      </c>
      <c r="K7" s="10">
        <v>5</v>
      </c>
      <c r="L7" s="9">
        <f>COUNTIFS(Mutants!E$1:E1084,B7,Mutants!D$1:D1084,"&lt;&gt;\N")</f>
        <v>4</v>
      </c>
      <c r="M7" s="9">
        <f>COUNTIFS(Mutants!E$1:E1084,B7,Mutants!D$1:D1084,"=\N")</f>
        <v>0</v>
      </c>
      <c r="N7" s="14">
        <v>4</v>
      </c>
    </row>
    <row r="8" spans="2:15" ht="12.75">
      <c r="B8" s="225">
        <v>195</v>
      </c>
      <c r="C8" s="226"/>
      <c r="D8" s="10">
        <f ca="1">COUNTIF(Valid_questions!F$1:F1084, B8)</f>
        <v>0</v>
      </c>
      <c r="E8" s="9">
        <v>13</v>
      </c>
      <c r="F8" s="9">
        <v>0</v>
      </c>
      <c r="G8" s="9">
        <v>0</v>
      </c>
      <c r="H8" s="10">
        <v>13</v>
      </c>
      <c r="I8" s="9">
        <f>COUNTIFS(Tests!E$1:E1084,B8,Tests!D$1:D1084,"&lt;&gt;\N")</f>
        <v>0</v>
      </c>
      <c r="J8" s="9">
        <f>COUNTIFS(Tests!E$1:E1084,B8,Tests!D$1:D1084,"=\N")</f>
        <v>0</v>
      </c>
      <c r="K8" s="10">
        <v>0</v>
      </c>
      <c r="L8" s="9">
        <f>COUNTIFS(Mutants!E$1:E1084,B8,Mutants!D$1:D1084,"&lt;&gt;\N")</f>
        <v>13</v>
      </c>
      <c r="M8" s="9">
        <f>COUNTIFS(Mutants!E$1:E1084,B8,Mutants!D$1:D1084,"=\N")</f>
        <v>1</v>
      </c>
      <c r="N8" s="14">
        <v>11</v>
      </c>
    </row>
    <row r="9" spans="2:15" ht="12.75">
      <c r="B9" s="227">
        <v>196</v>
      </c>
      <c r="C9" s="228"/>
      <c r="D9" s="22">
        <f ca="1">COUNTIF(Valid_questions!F$1:F1084, B9)</f>
        <v>0</v>
      </c>
      <c r="E9" s="21">
        <v>2</v>
      </c>
      <c r="F9" s="21">
        <v>0</v>
      </c>
      <c r="G9" s="21">
        <v>0</v>
      </c>
      <c r="H9" s="22">
        <v>2</v>
      </c>
      <c r="I9" s="21">
        <f>COUNTIFS(Tests!E$1:E1084,B9,Tests!D$1:D1084,"&lt;&gt;\N")</f>
        <v>13</v>
      </c>
      <c r="J9" s="21">
        <f>COUNTIFS(Tests!E$1:E1084,B9,Tests!D$1:D1084,"=\N")</f>
        <v>6</v>
      </c>
      <c r="K9" s="22">
        <v>1</v>
      </c>
      <c r="L9" s="21">
        <f>COUNTIFS(Mutants!E$1:E1084,B9,Mutants!D$1:D1084,"&lt;&gt;\N")</f>
        <v>3</v>
      </c>
      <c r="M9" s="21">
        <f>COUNTIFS(Mutants!E$1:E1084,B9,Mutants!D$1:D1084,"=\N")</f>
        <v>0</v>
      </c>
      <c r="N9" s="38">
        <v>2</v>
      </c>
    </row>
    <row r="12" spans="2:15" ht="27" customHeight="1">
      <c r="B12" s="220" t="s">
        <v>4588</v>
      </c>
      <c r="C12" s="173"/>
    </row>
    <row r="14" spans="2:15" ht="12.75">
      <c r="C14" s="29" t="s">
        <v>4589</v>
      </c>
    </row>
    <row r="15" spans="2:15" ht="12.75">
      <c r="B15" s="29" t="s">
        <v>4590</v>
      </c>
      <c r="C15" s="29"/>
      <c r="D15" s="43">
        <v>507</v>
      </c>
      <c r="E15" s="43">
        <v>528</v>
      </c>
      <c r="F15" s="43">
        <v>560</v>
      </c>
      <c r="G15" s="43">
        <v>573</v>
      </c>
      <c r="H15" s="43">
        <v>649</v>
      </c>
      <c r="I15" s="43">
        <v>718</v>
      </c>
      <c r="J15" s="43">
        <v>752</v>
      </c>
      <c r="K15" s="43">
        <v>753</v>
      </c>
      <c r="L15" s="43">
        <v>871</v>
      </c>
      <c r="M15" s="43">
        <v>891</v>
      </c>
      <c r="N15" s="43">
        <v>923</v>
      </c>
      <c r="O15" s="61">
        <v>940</v>
      </c>
    </row>
    <row r="16" spans="2:15" ht="12.75">
      <c r="B16" s="9"/>
      <c r="C16" s="81">
        <v>366</v>
      </c>
      <c r="D16" s="9" t="s">
        <v>4591</v>
      </c>
      <c r="E16" s="9" t="s">
        <v>4591</v>
      </c>
      <c r="F16" s="9" t="s">
        <v>4591</v>
      </c>
      <c r="G16" s="9" t="s">
        <v>4591</v>
      </c>
      <c r="H16" s="9" t="s">
        <v>4591</v>
      </c>
      <c r="I16" s="9" t="s">
        <v>4591</v>
      </c>
      <c r="J16" s="9" t="s">
        <v>4591</v>
      </c>
      <c r="K16" s="9" t="s">
        <v>4591</v>
      </c>
      <c r="L16" s="9" t="s">
        <v>4591</v>
      </c>
      <c r="M16" s="9" t="s">
        <v>4591</v>
      </c>
      <c r="N16" s="9" t="s">
        <v>4591</v>
      </c>
      <c r="O16" s="14" t="s">
        <v>4591</v>
      </c>
    </row>
    <row r="17" spans="2:15" ht="12.75">
      <c r="B17" s="9"/>
      <c r="C17" s="81">
        <v>371</v>
      </c>
      <c r="D17" s="9" t="s">
        <v>4591</v>
      </c>
      <c r="E17" s="9" t="s">
        <v>4591</v>
      </c>
      <c r="F17" s="9" t="s">
        <v>4591</v>
      </c>
      <c r="G17" s="9" t="s">
        <v>4592</v>
      </c>
      <c r="H17" s="9" t="s">
        <v>4591</v>
      </c>
      <c r="I17" s="9" t="s">
        <v>4591</v>
      </c>
      <c r="J17" s="9" t="s">
        <v>4591</v>
      </c>
      <c r="K17" s="9" t="s">
        <v>4591</v>
      </c>
      <c r="L17" s="9" t="s">
        <v>4591</v>
      </c>
      <c r="M17" s="9" t="s">
        <v>4593</v>
      </c>
      <c r="N17" s="9" t="s">
        <v>4593</v>
      </c>
      <c r="O17" s="14" t="s">
        <v>4591</v>
      </c>
    </row>
    <row r="18" spans="2:15" ht="12.75">
      <c r="B18" s="9"/>
      <c r="C18" s="81">
        <v>376</v>
      </c>
      <c r="D18" s="9" t="s">
        <v>4591</v>
      </c>
      <c r="E18" s="9" t="s">
        <v>4592</v>
      </c>
      <c r="F18" s="9" t="s">
        <v>4592</v>
      </c>
      <c r="G18" s="9" t="s">
        <v>4591</v>
      </c>
      <c r="H18" s="9" t="s">
        <v>4593</v>
      </c>
      <c r="I18" s="9" t="s">
        <v>4591</v>
      </c>
      <c r="J18" s="9" t="s">
        <v>4591</v>
      </c>
      <c r="K18" s="9" t="s">
        <v>4591</v>
      </c>
      <c r="L18" s="9" t="s">
        <v>4591</v>
      </c>
      <c r="M18" s="9" t="s">
        <v>4591</v>
      </c>
      <c r="N18" s="9" t="s">
        <v>4591</v>
      </c>
      <c r="O18" s="14" t="s">
        <v>4591</v>
      </c>
    </row>
    <row r="19" spans="2:15" ht="12.75">
      <c r="B19" s="9"/>
      <c r="C19" s="81">
        <v>386</v>
      </c>
      <c r="D19" s="9" t="s">
        <v>4591</v>
      </c>
      <c r="E19" s="9" t="s">
        <v>4591</v>
      </c>
      <c r="F19" s="9" t="s">
        <v>4591</v>
      </c>
      <c r="G19" s="9" t="s">
        <v>4593</v>
      </c>
      <c r="H19" s="9" t="s">
        <v>4591</v>
      </c>
      <c r="I19" s="9" t="s">
        <v>4591</v>
      </c>
      <c r="J19" s="9" t="s">
        <v>4591</v>
      </c>
      <c r="K19" s="9" t="s">
        <v>4591</v>
      </c>
      <c r="L19" s="9" t="s">
        <v>4591</v>
      </c>
      <c r="M19" s="9" t="s">
        <v>4593</v>
      </c>
      <c r="N19" s="9" t="s">
        <v>4593</v>
      </c>
      <c r="O19" s="14" t="s">
        <v>4591</v>
      </c>
    </row>
    <row r="20" spans="2:15" ht="12.75">
      <c r="B20" s="9"/>
      <c r="C20" s="81">
        <v>387</v>
      </c>
      <c r="D20" s="9" t="s">
        <v>4591</v>
      </c>
      <c r="E20" s="9" t="s">
        <v>4591</v>
      </c>
      <c r="F20" s="9" t="s">
        <v>4591</v>
      </c>
      <c r="G20" s="9" t="s">
        <v>4591</v>
      </c>
      <c r="H20" s="9" t="s">
        <v>4591</v>
      </c>
      <c r="I20" s="9" t="s">
        <v>4591</v>
      </c>
      <c r="J20" s="9" t="s">
        <v>4591</v>
      </c>
      <c r="K20" s="9" t="s">
        <v>4591</v>
      </c>
      <c r="L20" s="9" t="s">
        <v>4591</v>
      </c>
      <c r="M20" s="9" t="s">
        <v>4593</v>
      </c>
      <c r="N20" s="9" t="s">
        <v>4593</v>
      </c>
      <c r="O20" s="14" t="s">
        <v>4591</v>
      </c>
    </row>
    <row r="21" spans="2:15" ht="12.75">
      <c r="B21" s="9"/>
      <c r="C21" s="81">
        <v>389</v>
      </c>
      <c r="D21" s="9" t="s">
        <v>4591</v>
      </c>
      <c r="E21" s="9" t="s">
        <v>4591</v>
      </c>
      <c r="F21" s="9" t="s">
        <v>4591</v>
      </c>
      <c r="G21" s="9" t="s">
        <v>4591</v>
      </c>
      <c r="H21" s="9" t="s">
        <v>4591</v>
      </c>
      <c r="I21" s="9" t="s">
        <v>4591</v>
      </c>
      <c r="J21" s="9" t="s">
        <v>4593</v>
      </c>
      <c r="K21" s="9" t="s">
        <v>4591</v>
      </c>
      <c r="L21" s="9" t="s">
        <v>4591</v>
      </c>
      <c r="M21" s="9" t="s">
        <v>4591</v>
      </c>
      <c r="N21" s="9" t="s">
        <v>4591</v>
      </c>
      <c r="O21" s="14" t="s">
        <v>4593</v>
      </c>
    </row>
    <row r="22" spans="2:15" ht="12.75">
      <c r="B22" s="9"/>
      <c r="C22" s="81">
        <v>392</v>
      </c>
      <c r="D22" s="9" t="s">
        <v>4591</v>
      </c>
      <c r="E22" s="9" t="s">
        <v>4591</v>
      </c>
      <c r="F22" s="9" t="s">
        <v>4591</v>
      </c>
      <c r="G22" s="9" t="s">
        <v>4591</v>
      </c>
      <c r="H22" s="9" t="s">
        <v>4591</v>
      </c>
      <c r="I22" s="9" t="s">
        <v>4591</v>
      </c>
      <c r="J22" s="9" t="s">
        <v>4591</v>
      </c>
      <c r="K22" s="9" t="s">
        <v>4591</v>
      </c>
      <c r="L22" s="9" t="s">
        <v>4591</v>
      </c>
      <c r="M22" s="9" t="s">
        <v>4591</v>
      </c>
      <c r="N22" s="9" t="s">
        <v>4591</v>
      </c>
      <c r="O22" s="14" t="s">
        <v>4591</v>
      </c>
    </row>
    <row r="23" spans="2:15" ht="12.75">
      <c r="B23" s="9"/>
      <c r="C23" s="81">
        <v>402</v>
      </c>
      <c r="D23" s="9" t="s">
        <v>4591</v>
      </c>
      <c r="E23" s="9" t="s">
        <v>4591</v>
      </c>
      <c r="F23" s="9" t="s">
        <v>4591</v>
      </c>
      <c r="G23" s="9" t="s">
        <v>4593</v>
      </c>
      <c r="H23" s="9" t="s">
        <v>4591</v>
      </c>
      <c r="I23" s="9" t="s">
        <v>4591</v>
      </c>
      <c r="J23" s="9" t="s">
        <v>4591</v>
      </c>
      <c r="K23" s="9" t="s">
        <v>4591</v>
      </c>
      <c r="L23" s="9" t="s">
        <v>4591</v>
      </c>
      <c r="M23" s="9" t="s">
        <v>4593</v>
      </c>
      <c r="N23" s="9" t="s">
        <v>4593</v>
      </c>
      <c r="O23" s="14" t="s">
        <v>4591</v>
      </c>
    </row>
    <row r="24" spans="2:15" ht="12.75">
      <c r="B24" s="9"/>
      <c r="C24" s="81">
        <v>403</v>
      </c>
      <c r="D24" s="9" t="s">
        <v>4591</v>
      </c>
      <c r="E24" s="9" t="s">
        <v>4591</v>
      </c>
      <c r="F24" s="9" t="s">
        <v>4591</v>
      </c>
      <c r="G24" s="9" t="s">
        <v>4591</v>
      </c>
      <c r="H24" s="9" t="s">
        <v>4591</v>
      </c>
      <c r="I24" s="9" t="s">
        <v>4591</v>
      </c>
      <c r="J24" s="9" t="s">
        <v>4591</v>
      </c>
      <c r="K24" s="9" t="s">
        <v>4591</v>
      </c>
      <c r="L24" s="9" t="s">
        <v>4591</v>
      </c>
      <c r="M24" s="9" t="s">
        <v>4591</v>
      </c>
      <c r="N24" s="9" t="s">
        <v>4591</v>
      </c>
      <c r="O24" s="14" t="s">
        <v>4591</v>
      </c>
    </row>
    <row r="25" spans="2:15" ht="12.75">
      <c r="B25" s="9"/>
      <c r="C25" s="81">
        <v>406</v>
      </c>
      <c r="D25" s="9" t="s">
        <v>4591</v>
      </c>
      <c r="E25" s="9" t="s">
        <v>4591</v>
      </c>
      <c r="F25" s="9" t="s">
        <v>4591</v>
      </c>
      <c r="G25" s="9" t="s">
        <v>4591</v>
      </c>
      <c r="H25" s="9" t="s">
        <v>4591</v>
      </c>
      <c r="I25" s="9" t="s">
        <v>4591</v>
      </c>
      <c r="J25" s="9" t="s">
        <v>4591</v>
      </c>
      <c r="K25" s="9" t="s">
        <v>4591</v>
      </c>
      <c r="L25" s="9" t="s">
        <v>4591</v>
      </c>
      <c r="M25" s="9" t="s">
        <v>4591</v>
      </c>
      <c r="N25" s="9" t="s">
        <v>4591</v>
      </c>
      <c r="O25" s="14" t="s">
        <v>4593</v>
      </c>
    </row>
    <row r="26" spans="2:15" ht="12.75">
      <c r="B26" s="9"/>
      <c r="C26" s="81">
        <v>408</v>
      </c>
      <c r="D26" s="9" t="s">
        <v>4591</v>
      </c>
      <c r="E26" s="9" t="s">
        <v>4591</v>
      </c>
      <c r="F26" s="9" t="s">
        <v>4591</v>
      </c>
      <c r="G26" s="9" t="s">
        <v>4593</v>
      </c>
      <c r="H26" s="9" t="s">
        <v>4591</v>
      </c>
      <c r="I26" s="9" t="s">
        <v>4591</v>
      </c>
      <c r="J26" s="9" t="s">
        <v>4591</v>
      </c>
      <c r="K26" s="9" t="s">
        <v>4591</v>
      </c>
      <c r="L26" s="9" t="s">
        <v>4591</v>
      </c>
      <c r="M26" s="9" t="s">
        <v>4593</v>
      </c>
      <c r="N26" s="9" t="s">
        <v>4593</v>
      </c>
      <c r="O26" s="14" t="s">
        <v>4591</v>
      </c>
    </row>
    <row r="27" spans="2:15" ht="12.75">
      <c r="B27" s="9"/>
      <c r="C27" s="81">
        <v>415</v>
      </c>
      <c r="D27" s="9" t="s">
        <v>4591</v>
      </c>
      <c r="E27" s="9" t="s">
        <v>4591</v>
      </c>
      <c r="F27" s="9" t="s">
        <v>4591</v>
      </c>
      <c r="G27" s="9" t="s">
        <v>4591</v>
      </c>
      <c r="H27" s="9" t="s">
        <v>4591</v>
      </c>
      <c r="I27" s="9" t="s">
        <v>4591</v>
      </c>
      <c r="J27" s="9" t="s">
        <v>4591</v>
      </c>
      <c r="K27" s="9" t="s">
        <v>4591</v>
      </c>
      <c r="L27" s="9" t="s">
        <v>4591</v>
      </c>
      <c r="M27" s="9" t="s">
        <v>4591</v>
      </c>
      <c r="N27" s="9" t="s">
        <v>4591</v>
      </c>
      <c r="O27" s="14" t="s">
        <v>4592</v>
      </c>
    </row>
    <row r="28" spans="2:15" ht="12.75">
      <c r="B28" s="9"/>
      <c r="C28" s="81">
        <v>421</v>
      </c>
      <c r="D28" s="9" t="s">
        <v>4592</v>
      </c>
      <c r="E28" s="9" t="s">
        <v>4592</v>
      </c>
      <c r="F28" s="9" t="s">
        <v>4592</v>
      </c>
      <c r="G28" s="9" t="s">
        <v>4592</v>
      </c>
      <c r="H28" s="9" t="s">
        <v>4592</v>
      </c>
      <c r="I28" s="9" t="s">
        <v>4592</v>
      </c>
      <c r="J28" s="9" t="s">
        <v>4592</v>
      </c>
      <c r="K28" s="9" t="s">
        <v>4592</v>
      </c>
      <c r="L28" s="9" t="s">
        <v>4592</v>
      </c>
      <c r="M28" s="9" t="s">
        <v>4592</v>
      </c>
      <c r="N28" s="9" t="s">
        <v>4592</v>
      </c>
      <c r="O28" s="14" t="s">
        <v>4592</v>
      </c>
    </row>
    <row r="29" spans="2:15" ht="12.75">
      <c r="B29" s="9"/>
      <c r="C29" s="81">
        <v>423</v>
      </c>
      <c r="D29" s="9" t="s">
        <v>4591</v>
      </c>
      <c r="E29" s="9" t="s">
        <v>4591</v>
      </c>
      <c r="F29" s="9" t="s">
        <v>4591</v>
      </c>
      <c r="G29" s="9" t="s">
        <v>4591</v>
      </c>
      <c r="H29" s="9" t="s">
        <v>4591</v>
      </c>
      <c r="I29" s="9" t="s">
        <v>4593</v>
      </c>
      <c r="J29" s="9" t="s">
        <v>4591</v>
      </c>
      <c r="K29" s="9" t="s">
        <v>4593</v>
      </c>
      <c r="L29" s="9" t="s">
        <v>4591</v>
      </c>
      <c r="M29" s="9" t="s">
        <v>4591</v>
      </c>
      <c r="N29" s="9" t="s">
        <v>4591</v>
      </c>
      <c r="O29" s="14" t="s">
        <v>4591</v>
      </c>
    </row>
    <row r="30" spans="2:15" ht="12.75">
      <c r="B30" s="9"/>
      <c r="C30" s="81">
        <v>435</v>
      </c>
      <c r="D30" s="9" t="s">
        <v>4591</v>
      </c>
      <c r="E30" s="9" t="s">
        <v>4591</v>
      </c>
      <c r="F30" s="9" t="s">
        <v>4591</v>
      </c>
      <c r="G30" s="9" t="s">
        <v>4591</v>
      </c>
      <c r="H30" s="9" t="s">
        <v>4591</v>
      </c>
      <c r="I30" s="9" t="s">
        <v>4593</v>
      </c>
      <c r="J30" s="9" t="s">
        <v>4591</v>
      </c>
      <c r="K30" s="9" t="s">
        <v>4593</v>
      </c>
      <c r="L30" s="9" t="s">
        <v>4591</v>
      </c>
      <c r="M30" s="9" t="s">
        <v>4591</v>
      </c>
      <c r="N30" s="9" t="s">
        <v>4591</v>
      </c>
      <c r="O30" s="14" t="s">
        <v>4591</v>
      </c>
    </row>
    <row r="31" spans="2:15" ht="12.75">
      <c r="B31" s="9"/>
      <c r="C31" s="81">
        <v>438</v>
      </c>
      <c r="D31" s="9" t="s">
        <v>4591</v>
      </c>
      <c r="E31" s="9" t="s">
        <v>4591</v>
      </c>
      <c r="F31" s="9" t="s">
        <v>4591</v>
      </c>
      <c r="G31" s="9" t="s">
        <v>4591</v>
      </c>
      <c r="H31" s="9" t="s">
        <v>4591</v>
      </c>
      <c r="I31" s="9" t="s">
        <v>4591</v>
      </c>
      <c r="J31" s="9" t="s">
        <v>4591</v>
      </c>
      <c r="K31" s="9" t="s">
        <v>4591</v>
      </c>
      <c r="L31" s="9" t="s">
        <v>4591</v>
      </c>
      <c r="M31" s="9" t="s">
        <v>4591</v>
      </c>
      <c r="N31" s="9" t="s">
        <v>4591</v>
      </c>
      <c r="O31" s="14" t="s">
        <v>4593</v>
      </c>
    </row>
    <row r="32" spans="2:15" ht="12.75">
      <c r="B32" s="9"/>
      <c r="C32" s="81">
        <v>452</v>
      </c>
      <c r="D32" s="9" t="s">
        <v>4591</v>
      </c>
      <c r="E32" s="9" t="s">
        <v>4591</v>
      </c>
      <c r="F32" s="9" t="s">
        <v>4591</v>
      </c>
      <c r="G32" s="9" t="s">
        <v>4591</v>
      </c>
      <c r="H32" s="9" t="s">
        <v>4591</v>
      </c>
      <c r="I32" s="9" t="s">
        <v>4591</v>
      </c>
      <c r="J32" s="9" t="s">
        <v>4591</v>
      </c>
      <c r="K32" s="9" t="s">
        <v>4591</v>
      </c>
      <c r="L32" s="9" t="s">
        <v>4591</v>
      </c>
      <c r="M32" s="9" t="s">
        <v>4591</v>
      </c>
      <c r="N32" s="9" t="s">
        <v>4591</v>
      </c>
      <c r="O32" s="14" t="s">
        <v>4591</v>
      </c>
    </row>
    <row r="33" spans="2:15" ht="12.75">
      <c r="B33" s="9"/>
      <c r="C33" s="81">
        <v>464</v>
      </c>
      <c r="D33" s="9" t="s">
        <v>4591</v>
      </c>
      <c r="E33" s="9" t="s">
        <v>4591</v>
      </c>
      <c r="F33" s="9" t="s">
        <v>4591</v>
      </c>
      <c r="G33" s="9" t="s">
        <v>4592</v>
      </c>
      <c r="H33" s="9" t="s">
        <v>4591</v>
      </c>
      <c r="I33" s="9" t="s">
        <v>4591</v>
      </c>
      <c r="J33" s="9" t="s">
        <v>4591</v>
      </c>
      <c r="K33" s="9" t="s">
        <v>4591</v>
      </c>
      <c r="L33" s="9" t="s">
        <v>4591</v>
      </c>
      <c r="M33" s="9" t="s">
        <v>4593</v>
      </c>
      <c r="N33" s="9" t="s">
        <v>4593</v>
      </c>
      <c r="O33" s="14" t="s">
        <v>4592</v>
      </c>
    </row>
    <row r="34" spans="2:15" ht="12.75">
      <c r="B34" s="9"/>
      <c r="C34" s="81">
        <v>470</v>
      </c>
      <c r="D34" s="9" t="s">
        <v>4591</v>
      </c>
      <c r="E34" s="9" t="s">
        <v>4591</v>
      </c>
      <c r="F34" s="9" t="s">
        <v>4591</v>
      </c>
      <c r="G34" s="9" t="s">
        <v>4593</v>
      </c>
      <c r="H34" s="9" t="s">
        <v>4591</v>
      </c>
      <c r="I34" s="9" t="s">
        <v>4591</v>
      </c>
      <c r="J34" s="9" t="s">
        <v>4591</v>
      </c>
      <c r="K34" s="9" t="s">
        <v>4591</v>
      </c>
      <c r="L34" s="9" t="s">
        <v>4591</v>
      </c>
      <c r="M34" s="9" t="s">
        <v>4593</v>
      </c>
      <c r="N34" s="9" t="s">
        <v>4593</v>
      </c>
      <c r="O34" s="14" t="s">
        <v>4591</v>
      </c>
    </row>
    <row r="35" spans="2:15" ht="12.75">
      <c r="B35" s="9"/>
      <c r="C35" s="81">
        <v>505</v>
      </c>
      <c r="D35" s="9" t="s">
        <v>4592</v>
      </c>
      <c r="E35" s="9" t="s">
        <v>4592</v>
      </c>
      <c r="F35" s="9" t="s">
        <v>4592</v>
      </c>
      <c r="G35" s="9" t="s">
        <v>4592</v>
      </c>
      <c r="H35" s="9" t="s">
        <v>4592</v>
      </c>
      <c r="I35" s="9" t="s">
        <v>4592</v>
      </c>
      <c r="J35" s="9" t="s">
        <v>4592</v>
      </c>
      <c r="K35" s="9" t="s">
        <v>4592</v>
      </c>
      <c r="L35" s="9" t="s">
        <v>4592</v>
      </c>
      <c r="M35" s="9" t="s">
        <v>4592</v>
      </c>
      <c r="N35" s="9" t="s">
        <v>4592</v>
      </c>
      <c r="O35" s="14" t="s">
        <v>4592</v>
      </c>
    </row>
    <row r="36" spans="2:15" ht="12.75">
      <c r="B36" s="9"/>
      <c r="C36" s="81">
        <v>516</v>
      </c>
      <c r="D36" s="9" t="s">
        <v>4591</v>
      </c>
      <c r="E36" s="9" t="s">
        <v>4591</v>
      </c>
      <c r="F36" s="9" t="s">
        <v>4591</v>
      </c>
      <c r="G36" s="9" t="s">
        <v>4593</v>
      </c>
      <c r="H36" s="9" t="s">
        <v>4591</v>
      </c>
      <c r="I36" s="9" t="s">
        <v>4591</v>
      </c>
      <c r="J36" s="9" t="s">
        <v>4591</v>
      </c>
      <c r="K36" s="9" t="s">
        <v>4591</v>
      </c>
      <c r="L36" s="9" t="s">
        <v>4591</v>
      </c>
      <c r="M36" s="9" t="s">
        <v>4593</v>
      </c>
      <c r="N36" s="9" t="s">
        <v>4593</v>
      </c>
      <c r="O36" s="14" t="s">
        <v>4591</v>
      </c>
    </row>
    <row r="37" spans="2:15" ht="12.75">
      <c r="B37" s="9"/>
      <c r="C37" s="81">
        <v>527</v>
      </c>
      <c r="D37" s="9" t="s">
        <v>4591</v>
      </c>
      <c r="E37" s="9" t="s">
        <v>4591</v>
      </c>
      <c r="F37" s="9" t="s">
        <v>4591</v>
      </c>
      <c r="G37" s="9" t="s">
        <v>4593</v>
      </c>
      <c r="H37" s="9" t="s">
        <v>4591</v>
      </c>
      <c r="I37" s="9" t="s">
        <v>4591</v>
      </c>
      <c r="J37" s="9" t="s">
        <v>4591</v>
      </c>
      <c r="K37" s="9" t="s">
        <v>4591</v>
      </c>
      <c r="L37" s="9" t="s">
        <v>4591</v>
      </c>
      <c r="M37" s="9" t="s">
        <v>4593</v>
      </c>
      <c r="N37" s="9" t="s">
        <v>4593</v>
      </c>
      <c r="O37" s="14" t="s">
        <v>4591</v>
      </c>
    </row>
    <row r="38" spans="2:15" ht="12.75">
      <c r="B38" s="9"/>
      <c r="C38" s="81">
        <v>536</v>
      </c>
      <c r="D38" s="9" t="s">
        <v>4595</v>
      </c>
      <c r="E38" s="9" t="s">
        <v>4595</v>
      </c>
      <c r="F38" s="9" t="s">
        <v>4595</v>
      </c>
      <c r="G38" s="9" t="s">
        <v>4595</v>
      </c>
      <c r="H38" s="9" t="s">
        <v>4595</v>
      </c>
      <c r="I38" s="9" t="s">
        <v>4595</v>
      </c>
      <c r="J38" s="9" t="s">
        <v>4595</v>
      </c>
      <c r="K38" s="9" t="s">
        <v>4595</v>
      </c>
      <c r="L38" s="9" t="s">
        <v>4595</v>
      </c>
      <c r="M38" s="9" t="s">
        <v>4595</v>
      </c>
      <c r="N38" s="9" t="s">
        <v>4595</v>
      </c>
      <c r="O38" s="14" t="s">
        <v>4595</v>
      </c>
    </row>
    <row r="39" spans="2:15" ht="12.75">
      <c r="B39" s="9"/>
      <c r="C39" s="81">
        <v>545</v>
      </c>
      <c r="D39" s="9" t="s">
        <v>4591</v>
      </c>
      <c r="E39" s="9" t="s">
        <v>4591</v>
      </c>
      <c r="F39" s="9" t="s">
        <v>4591</v>
      </c>
      <c r="G39" s="9" t="s">
        <v>4591</v>
      </c>
      <c r="H39" s="9" t="s">
        <v>4591</v>
      </c>
      <c r="I39" s="9" t="s">
        <v>4591</v>
      </c>
      <c r="J39" s="9" t="s">
        <v>4591</v>
      </c>
      <c r="K39" s="9" t="s">
        <v>4591</v>
      </c>
      <c r="L39" s="9" t="s">
        <v>4591</v>
      </c>
      <c r="M39" s="9" t="s">
        <v>4591</v>
      </c>
      <c r="N39" s="9" t="s">
        <v>4591</v>
      </c>
      <c r="O39" s="14" t="s">
        <v>4592</v>
      </c>
    </row>
    <row r="40" spans="2:15" ht="12.75">
      <c r="B40" s="9"/>
      <c r="C40" s="81">
        <v>549</v>
      </c>
      <c r="D40" s="9" t="s">
        <v>4591</v>
      </c>
      <c r="E40" s="9" t="s">
        <v>4591</v>
      </c>
      <c r="F40" s="9" t="s">
        <v>4591</v>
      </c>
      <c r="G40" s="9" t="s">
        <v>4593</v>
      </c>
      <c r="H40" s="9" t="s">
        <v>4591</v>
      </c>
      <c r="I40" s="9" t="s">
        <v>4591</v>
      </c>
      <c r="J40" s="9" t="s">
        <v>4591</v>
      </c>
      <c r="K40" s="9" t="s">
        <v>4591</v>
      </c>
      <c r="L40" s="9" t="s">
        <v>4591</v>
      </c>
      <c r="M40" s="9" t="s">
        <v>4593</v>
      </c>
      <c r="N40" s="9" t="s">
        <v>4593</v>
      </c>
      <c r="O40" s="14" t="s">
        <v>4591</v>
      </c>
    </row>
    <row r="41" spans="2:15" ht="12.75">
      <c r="B41" s="9"/>
      <c r="C41" s="81">
        <v>557</v>
      </c>
      <c r="D41" s="9" t="s">
        <v>4591</v>
      </c>
      <c r="E41" s="9" t="s">
        <v>4591</v>
      </c>
      <c r="F41" s="9" t="s">
        <v>4591</v>
      </c>
      <c r="G41" s="9" t="s">
        <v>4591</v>
      </c>
      <c r="H41" s="9" t="s">
        <v>4591</v>
      </c>
      <c r="I41" s="9" t="s">
        <v>4591</v>
      </c>
      <c r="J41" s="9" t="s">
        <v>4591</v>
      </c>
      <c r="K41" s="9" t="s">
        <v>4591</v>
      </c>
      <c r="L41" s="9" t="s">
        <v>4591</v>
      </c>
      <c r="M41" s="9" t="s">
        <v>4591</v>
      </c>
      <c r="N41" s="9" t="s">
        <v>4591</v>
      </c>
      <c r="O41" s="14" t="s">
        <v>4593</v>
      </c>
    </row>
    <row r="42" spans="2:15" ht="12.75">
      <c r="B42" s="9"/>
      <c r="C42" s="81">
        <v>577</v>
      </c>
      <c r="D42" s="9" t="s">
        <v>4591</v>
      </c>
      <c r="E42" s="9" t="s">
        <v>4592</v>
      </c>
      <c r="F42" s="9" t="s">
        <v>4592</v>
      </c>
      <c r="G42" s="9" t="s">
        <v>4591</v>
      </c>
      <c r="H42" s="9" t="s">
        <v>4593</v>
      </c>
      <c r="I42" s="9" t="s">
        <v>4591</v>
      </c>
      <c r="J42" s="9" t="s">
        <v>4591</v>
      </c>
      <c r="K42" s="9" t="s">
        <v>4591</v>
      </c>
      <c r="L42" s="9" t="s">
        <v>4591</v>
      </c>
      <c r="M42" s="9" t="s">
        <v>4591</v>
      </c>
      <c r="N42" s="9" t="s">
        <v>4591</v>
      </c>
      <c r="O42" s="14" t="s">
        <v>4591</v>
      </c>
    </row>
    <row r="43" spans="2:15" ht="12.75">
      <c r="B43" s="9"/>
      <c r="C43" s="81">
        <v>579</v>
      </c>
      <c r="D43" s="9" t="s">
        <v>4591</v>
      </c>
      <c r="E43" s="9" t="s">
        <v>4591</v>
      </c>
      <c r="F43" s="9" t="s">
        <v>4591</v>
      </c>
      <c r="G43" s="9" t="s">
        <v>4591</v>
      </c>
      <c r="H43" s="9" t="s">
        <v>4591</v>
      </c>
      <c r="I43" s="9" t="s">
        <v>4591</v>
      </c>
      <c r="J43" s="9" t="s">
        <v>4591</v>
      </c>
      <c r="K43" s="9" t="s">
        <v>4591</v>
      </c>
      <c r="L43" s="9" t="s">
        <v>4591</v>
      </c>
      <c r="M43" s="9" t="s">
        <v>4591</v>
      </c>
      <c r="N43" s="9" t="s">
        <v>4591</v>
      </c>
      <c r="O43" s="14" t="s">
        <v>4591</v>
      </c>
    </row>
    <row r="44" spans="2:15" ht="12.75">
      <c r="B44" s="9"/>
      <c r="C44" s="81">
        <v>591</v>
      </c>
      <c r="D44" s="9" t="s">
        <v>4592</v>
      </c>
      <c r="E44" s="9" t="s">
        <v>4595</v>
      </c>
      <c r="F44" s="9" t="s">
        <v>4595</v>
      </c>
      <c r="G44" s="9" t="s">
        <v>4595</v>
      </c>
      <c r="H44" s="9" t="s">
        <v>4595</v>
      </c>
      <c r="I44" s="9" t="s">
        <v>4595</v>
      </c>
      <c r="J44" s="9" t="s">
        <v>4595</v>
      </c>
      <c r="K44" s="9" t="s">
        <v>4595</v>
      </c>
      <c r="L44" s="9" t="s">
        <v>4592</v>
      </c>
      <c r="M44" s="9" t="s">
        <v>4595</v>
      </c>
      <c r="N44" s="9" t="s">
        <v>4595</v>
      </c>
      <c r="O44" s="14" t="s">
        <v>4595</v>
      </c>
    </row>
    <row r="45" spans="2:15" ht="12.75">
      <c r="B45" s="9"/>
      <c r="C45" s="82">
        <v>617</v>
      </c>
      <c r="D45" s="21" t="s">
        <v>4591</v>
      </c>
      <c r="E45" s="21" t="s">
        <v>4591</v>
      </c>
      <c r="F45" s="21" t="s">
        <v>4591</v>
      </c>
      <c r="G45" s="21" t="s">
        <v>4591</v>
      </c>
      <c r="H45" s="21" t="s">
        <v>4591</v>
      </c>
      <c r="I45" s="21" t="s">
        <v>4591</v>
      </c>
      <c r="J45" s="21" t="s">
        <v>4591</v>
      </c>
      <c r="K45" s="21" t="s">
        <v>4591</v>
      </c>
      <c r="L45" s="21" t="s">
        <v>4591</v>
      </c>
      <c r="M45" s="21" t="s">
        <v>4591</v>
      </c>
      <c r="N45" s="21" t="s">
        <v>4591</v>
      </c>
      <c r="O45" s="38" t="s">
        <v>4591</v>
      </c>
    </row>
    <row r="48" spans="2:15" ht="13.5" thickBot="1">
      <c r="B48" s="219" t="s">
        <v>4604</v>
      </c>
      <c r="C48" s="201"/>
      <c r="D48" s="45">
        <v>193</v>
      </c>
    </row>
    <row r="49" spans="2:8" ht="13.5" thickTop="1">
      <c r="B49" s="134" t="s">
        <v>4594</v>
      </c>
      <c r="C49" s="135" t="s">
        <v>44</v>
      </c>
      <c r="D49" s="135" t="s">
        <v>110</v>
      </c>
      <c r="E49" s="136" t="s">
        <v>2</v>
      </c>
      <c r="F49" s="229" t="s">
        <v>4612</v>
      </c>
      <c r="G49" s="229"/>
      <c r="H49" s="230"/>
    </row>
    <row r="50" spans="2:8" ht="12.75">
      <c r="B50" s="137" t="s">
        <v>4589</v>
      </c>
      <c r="C50" s="93">
        <v>371</v>
      </c>
      <c r="D50" s="93" t="s">
        <v>3838</v>
      </c>
      <c r="E50" s="93" t="str">
        <f>IF($B50 = "Mutant",VLOOKUP($C50,Mutants!$A$2:$L$560,12,FALSE),IF($B50 = "Test",VLOOKUP($C50,Tests!$A$2:$L$841,12,FALSE),VLOOKUP($C50,Questions!$A$3:$N$174,9,FALSE)))</f>
        <v>Y</v>
      </c>
      <c r="F50" s="205" t="str">
        <f>IF($B50 = "Mutant",VLOOKUP($C50,Mutants!$A$2:$L$560,11,FALSE),IF($B50 = "Test",VLOOKUP($C50,Tests!$A$2:$L$841,11,FALSE),VLOOKUP($C50,Questions!$A$3:$N$174,13,FALSE)))</f>
        <v xml:space="preserve">toString
</v>
      </c>
      <c r="G50" s="205"/>
      <c r="H50" s="206"/>
    </row>
    <row r="51" spans="2:8" ht="12.75">
      <c r="B51" s="114" t="s">
        <v>4589</v>
      </c>
      <c r="C51" s="9">
        <v>387</v>
      </c>
      <c r="D51" s="9" t="s">
        <v>3885</v>
      </c>
      <c r="E51" s="9" t="str">
        <f>IF($B51 = "Mutant",VLOOKUP($C51,Mutants!$A$2:$L$560,12,FALSE),IF($B51 = "Test",VLOOKUP($C51,Tests!$A$2:$L$841,12,FALSE),VLOOKUP($C51,Questions!$A$3:$N$174,9,FALSE)))</f>
        <v>Y</v>
      </c>
      <c r="F51" s="187" t="str">
        <f>IF($B51 = "Mutant",VLOOKUP($C51,Mutants!$A$2:$L$560,11,FALSE),IF($B51 = "Test",VLOOKUP($C51,Tests!$A$2:$L$841,11,FALSE),VLOOKUP($C51,Questions!$A$3:$N$174,13,FALSE)))</f>
        <v xml:space="preserve">toString
</v>
      </c>
      <c r="G51" s="187"/>
      <c r="H51" s="202"/>
    </row>
    <row r="52" spans="2:8" ht="12.75">
      <c r="B52" s="114" t="s">
        <v>4589</v>
      </c>
      <c r="C52" s="9">
        <v>406</v>
      </c>
      <c r="D52" s="9" t="s">
        <v>3936</v>
      </c>
      <c r="E52" s="9" t="str">
        <f>IF($B52 = "Mutant",VLOOKUP($C52,Mutants!$A$2:$L$560,12,FALSE),IF($B52 = "Test",VLOOKUP($C52,Tests!$A$2:$L$841,12,FALSE),VLOOKUP($C52,Questions!$A$3:$N$174,9,FALSE)))</f>
        <v>Y</v>
      </c>
      <c r="F52" s="187" t="str">
        <f>IF($B52 = "Mutant",VLOOKUP($C52,Mutants!$A$2:$L$560,11,FALSE),IF($B52 = "Test",VLOOKUP($C52,Tests!$A$2:$L$841,11,FALSE),VLOOKUP($C52,Questions!$A$3:$N$174,13,FALSE)))</f>
        <v xml:space="preserve">getValues
</v>
      </c>
      <c r="G52" s="187"/>
      <c r="H52" s="202"/>
    </row>
    <row r="53" spans="2:8" ht="12.75">
      <c r="B53" s="114" t="s">
        <v>4589</v>
      </c>
      <c r="C53" s="9">
        <v>415</v>
      </c>
      <c r="D53" s="9" t="s">
        <v>3958</v>
      </c>
      <c r="E53" s="9" t="str">
        <f>IF($B53 = "Mutant",VLOOKUP($C53,Mutants!$A$2:$L$560,12,FALSE),IF($B53 = "Test",VLOOKUP($C53,Tests!$A$2:$L$841,12,FALSE),VLOOKUP($C53,Questions!$A$3:$N$174,9,FALSE)))</f>
        <v>Y</v>
      </c>
      <c r="F53" s="187" t="str">
        <f>IF($B53 = "Mutant",VLOOKUP($C53,Mutants!$A$2:$L$560,11,FALSE),IF($B53 = "Test",VLOOKUP($C53,Tests!$A$2:$L$841,11,FALSE),VLOOKUP($C53,Questions!$A$3:$N$174,13,FALSE)))</f>
        <v xml:space="preserve">getValues
</v>
      </c>
      <c r="G53" s="187"/>
      <c r="H53" s="202"/>
    </row>
    <row r="54" spans="2:8" ht="12.75">
      <c r="B54" s="114" t="s">
        <v>4589</v>
      </c>
      <c r="C54" s="9">
        <v>435</v>
      </c>
      <c r="D54" s="9" t="s">
        <v>4005</v>
      </c>
      <c r="E54" s="9" t="str">
        <f>IF($B54 = "Mutant",VLOOKUP($C54,Mutants!$A$2:$L$560,12,FALSE),IF($B54 = "Test",VLOOKUP($C54,Tests!$A$2:$L$841,12,FALSE),VLOOKUP($C54,Questions!$A$3:$N$174,9,FALSE)))</f>
        <v>Y</v>
      </c>
      <c r="F54" s="187" t="str">
        <f>IF($B54 = "Mutant",VLOOKUP($C54,Mutants!$A$2:$L$560,11,FALSE),IF($B54 = "Test",VLOOKUP($C54,Tests!$A$2:$L$841,11,FALSE),VLOOKUP($C54,Questions!$A$3:$N$174,13,FALSE)))</f>
        <v xml:space="preserve">removeFields, get
</v>
      </c>
      <c r="G54" s="187"/>
      <c r="H54" s="202"/>
    </row>
    <row r="55" spans="2:8" ht="12.75">
      <c r="B55" s="114" t="s">
        <v>4589</v>
      </c>
      <c r="C55" s="9">
        <v>470</v>
      </c>
      <c r="D55" s="9" t="s">
        <v>4103</v>
      </c>
      <c r="E55" s="9" t="str">
        <f>IF($B55 = "Mutant",VLOOKUP($C55,Mutants!$A$2:$L$560,12,FALSE),IF($B55 = "Test",VLOOKUP($C55,Tests!$A$2:$L$841,12,FALSE),VLOOKUP($C55,Questions!$A$3:$N$174,9,FALSE)))</f>
        <v>Y</v>
      </c>
      <c r="F55" s="187" t="str">
        <f>IF($B55 = "Mutant",VLOOKUP($C55,Mutants!$A$2:$L$560,11,FALSE),IF($B55 = "Test",VLOOKUP($C55,Tests!$A$2:$L$841,11,FALSE),VLOOKUP($C55,Questions!$A$3:$N$174,13,FALSE)))</f>
        <v xml:space="preserve">toString
</v>
      </c>
      <c r="G55" s="187"/>
      <c r="H55" s="202"/>
    </row>
    <row r="56" spans="2:8" ht="12.75">
      <c r="B56" s="114" t="s">
        <v>4590</v>
      </c>
      <c r="C56" s="9">
        <v>507</v>
      </c>
      <c r="D56" s="9" t="s">
        <v>1863</v>
      </c>
      <c r="E56" s="9" t="str">
        <f>IF($B56 = "Mutant",VLOOKUP($C56,Mutants!$A$2:$L$560,12,FALSE),IF($B56 = "Test",VLOOKUP($C56,Tests!$A$2:$L$841,12,FALSE),VLOOKUP($C56,Questions!$A$3:$N$174,9,FALSE)))</f>
        <v>Y</v>
      </c>
      <c r="F56" s="187" t="str">
        <f>IF($B56 = "Mutant",VLOOKUP($C56,Mutants!$A$2:$L$560,11,FALSE),IF($B56 = "Test",VLOOKUP($C56,Tests!$A$2:$L$841,11,FALSE),VLOOKUP($C56,Questions!$A$3:$N$174,13,FALSE)))</f>
        <v xml:space="preserve">
</v>
      </c>
      <c r="G56" s="187"/>
      <c r="H56" s="202"/>
    </row>
    <row r="57" spans="2:8" ht="12.75">
      <c r="B57" s="114" t="s">
        <v>4590</v>
      </c>
      <c r="C57" s="9">
        <v>528</v>
      </c>
      <c r="D57" s="9" t="s">
        <v>1931</v>
      </c>
      <c r="E57" s="9" t="str">
        <f>IF($B57 = "Mutant",VLOOKUP($C57,Mutants!$A$2:$L$560,12,FALSE),IF($B57 = "Test",VLOOKUP($C57,Tests!$A$2:$L$841,12,FALSE),VLOOKUP($C57,Questions!$A$3:$N$174,9,FALSE)))</f>
        <v>Y</v>
      </c>
      <c r="F57" s="187" t="str">
        <f>IF($B57 = "Mutant",VLOOKUP($C57,Mutants!$A$2:$L$560,11,FALSE),IF($B57 = "Test",VLOOKUP($C57,Tests!$A$2:$L$841,11,FALSE),VLOOKUP($C57,Questions!$A$3:$N$174,13,FALSE)))</f>
        <v xml:space="preserve">add, removeField
</v>
      </c>
      <c r="G57" s="187"/>
      <c r="H57" s="202"/>
    </row>
    <row r="58" spans="2:8" ht="12.75">
      <c r="B58" s="114" t="s">
        <v>4590</v>
      </c>
      <c r="C58" s="9">
        <v>560</v>
      </c>
      <c r="D58" s="9" t="s">
        <v>2025</v>
      </c>
      <c r="E58" s="9" t="str">
        <f>IF($B58 = "Mutant",VLOOKUP($C58,Mutants!$A$2:$L$560,12,FALSE),IF($B58 = "Test",VLOOKUP($C58,Tests!$A$2:$L$841,12,FALSE),VLOOKUP($C58,Questions!$A$3:$N$174,9,FALSE)))</f>
        <v>Y</v>
      </c>
      <c r="F58" s="187" t="str">
        <f>IF($B58 = "Mutant",VLOOKUP($C58,Mutants!$A$2:$L$560,11,FALSE),IF($B58 = "Test",VLOOKUP($C58,Tests!$A$2:$L$841,11,FALSE),VLOOKUP($C58,Questions!$A$3:$N$174,13,FALSE)))</f>
        <v xml:space="preserve">add, removeField
</v>
      </c>
      <c r="G58" s="187"/>
      <c r="H58" s="202"/>
    </row>
    <row r="59" spans="2:8" ht="12.75">
      <c r="B59" s="114" t="s">
        <v>4590</v>
      </c>
      <c r="C59" s="9">
        <v>576</v>
      </c>
      <c r="D59" s="9" t="s">
        <v>2074</v>
      </c>
      <c r="E59" s="9" t="str">
        <f>IF($B59 = "Mutant",VLOOKUP($C59,Mutants!$A$2:$L$560,12,FALSE),IF($B59 = "Test",VLOOKUP($C59,Tests!$A$2:$L$841,12,FALSE),VLOOKUP($C59,Questions!$A$3:$N$174,9,FALSE)))</f>
        <v>Y</v>
      </c>
      <c r="F59" s="187" t="str">
        <f>IF($B59 = "Mutant",VLOOKUP($C59,Mutants!$A$2:$L$560,11,FALSE),IF($B59 = "Test",VLOOKUP($C59,Tests!$A$2:$L$841,11,FALSE),VLOOKUP($C59,Questions!$A$3:$N$174,13,FALSE)))</f>
        <v xml:space="preserve">add, removeField
</v>
      </c>
      <c r="G59" s="187"/>
      <c r="H59" s="202"/>
    </row>
    <row r="60" spans="2:8" ht="12.75">
      <c r="B60" s="114" t="s">
        <v>4590</v>
      </c>
      <c r="C60" s="9">
        <v>584</v>
      </c>
      <c r="D60" s="9" t="s">
        <v>2097</v>
      </c>
      <c r="E60" s="9" t="str">
        <f>IF($B60 = "Mutant",VLOOKUP($C60,Mutants!$A$2:$L$560,12,FALSE),IF($B60 = "Test",VLOOKUP($C60,Tests!$A$2:$L$841,12,FALSE),VLOOKUP($C60,Questions!$A$3:$N$174,9,FALSE)))</f>
        <v>Y</v>
      </c>
      <c r="F60" s="187" t="str">
        <f>IF($B60 = "Mutant",VLOOKUP($C60,Mutants!$A$2:$L$560,11,FALSE),IF($B60 = "Test",VLOOKUP($C60,Tests!$A$2:$L$841,11,FALSE),VLOOKUP($C60,Questions!$A$3:$N$174,13,FALSE)))</f>
        <v xml:space="preserve">add, removeField
</v>
      </c>
      <c r="G60" s="187"/>
      <c r="H60" s="202"/>
    </row>
    <row r="61" spans="2:8" ht="12.75">
      <c r="B61" s="114" t="s">
        <v>4590</v>
      </c>
      <c r="C61" s="9">
        <v>590</v>
      </c>
      <c r="D61" s="9" t="s">
        <v>2115</v>
      </c>
      <c r="E61" s="9" t="str">
        <f>IF($B61 = "Mutant",VLOOKUP($C61,Mutants!$A$2:$L$560,12,FALSE),IF($B61 = "Test",VLOOKUP($C61,Tests!$A$2:$L$841,12,FALSE),VLOOKUP($C61,Questions!$A$3:$N$174,9,FALSE)))</f>
        <v>Y</v>
      </c>
      <c r="F61" s="187" t="str">
        <f>IF($B61 = "Mutant",VLOOKUP($C61,Mutants!$A$2:$L$560,11,FALSE),IF($B61 = "Test",VLOOKUP($C61,Tests!$A$2:$L$841,11,FALSE),VLOOKUP($C61,Questions!$A$3:$N$174,13,FALSE)))</f>
        <v xml:space="preserve">add, removeField
</v>
      </c>
      <c r="G61" s="187"/>
      <c r="H61" s="202"/>
    </row>
    <row r="62" spans="2:8" ht="12.75">
      <c r="B62" s="114" t="s">
        <v>4590</v>
      </c>
      <c r="C62" s="9">
        <v>600</v>
      </c>
      <c r="D62" s="9" t="s">
        <v>2142</v>
      </c>
      <c r="E62" s="9" t="str">
        <f>IF($B62 = "Mutant",VLOOKUP($C62,Mutants!$A$2:$L$560,12,FALSE),IF($B62 = "Test",VLOOKUP($C62,Tests!$A$2:$L$841,12,FALSE),VLOOKUP($C62,Questions!$A$3:$N$174,9,FALSE)))</f>
        <v>Y</v>
      </c>
      <c r="F62" s="187" t="str">
        <f>IF($B62 = "Mutant",VLOOKUP($C62,Mutants!$A$2:$L$560,11,FALSE),IF($B62 = "Test",VLOOKUP($C62,Tests!$A$2:$L$841,11,FALSE),VLOOKUP($C62,Questions!$A$3:$N$174,13,FALSE)))</f>
        <v xml:space="preserve">add
</v>
      </c>
      <c r="G62" s="187"/>
      <c r="H62" s="202"/>
    </row>
    <row r="63" spans="2:8" ht="12.75">
      <c r="B63" s="114" t="s">
        <v>4589</v>
      </c>
      <c r="C63" s="9">
        <v>577</v>
      </c>
      <c r="D63" s="9" t="s">
        <v>4377</v>
      </c>
      <c r="E63" s="9" t="str">
        <f>IF($B63 = "Mutant",VLOOKUP($C63,Mutants!$A$2:$L$560,12,FALSE),IF($B63 = "Test",VLOOKUP($C63,Tests!$A$2:$L$841,12,FALSE),VLOOKUP($C63,Questions!$A$3:$N$174,9,FALSE)))</f>
        <v>Y</v>
      </c>
      <c r="F63" s="187" t="str">
        <f>IF($B63 = "Mutant",VLOOKUP($C63,Mutants!$A$2:$L$560,11,FALSE),IF($B63 = "Test",VLOOKUP($C63,Tests!$A$2:$L$841,11,FALSE),VLOOKUP($C63,Questions!$A$3:$N$174,13,FALSE)))</f>
        <v xml:space="preserve">removeField
</v>
      </c>
      <c r="G63" s="187"/>
      <c r="H63" s="202"/>
    </row>
    <row r="64" spans="2:8" ht="12.75">
      <c r="B64" s="114" t="s">
        <v>4589</v>
      </c>
      <c r="C64" s="9">
        <v>579</v>
      </c>
      <c r="D64" s="9" t="s">
        <v>2192</v>
      </c>
      <c r="E64" s="9" t="str">
        <f>IF($B64 = "Mutant",VLOOKUP($C64,Mutants!$A$2:$L$560,12,FALSE),IF($B64 = "Test",VLOOKUP($C64,Tests!$A$2:$L$841,12,FALSE),VLOOKUP($C64,Questions!$A$3:$N$174,9,FALSE)))</f>
        <v>Y</v>
      </c>
      <c r="F64" s="187" t="str">
        <f>IF($B64 = "Mutant",VLOOKUP($C64,Mutants!$A$2:$L$560,11,FALSE),IF($B64 = "Test",VLOOKUP($C64,Tests!$A$2:$L$841,11,FALSE),VLOOKUP($C64,Questions!$A$3:$N$174,13,FALSE)))</f>
        <v xml:space="preserve">getBinaryValue
</v>
      </c>
      <c r="G64" s="187"/>
      <c r="H64" s="202"/>
    </row>
    <row r="65" spans="2:8" ht="12.75">
      <c r="B65" s="114" t="s">
        <v>4589</v>
      </c>
      <c r="C65" s="9">
        <v>581</v>
      </c>
      <c r="D65" s="9" t="s">
        <v>4386</v>
      </c>
      <c r="E65" s="9" t="str">
        <f>IF($B65 = "Mutant",VLOOKUP($C65,Mutants!$A$2:$L$560,12,FALSE),IF($B65 = "Test",VLOOKUP($C65,Tests!$A$2:$L$841,12,FALSE),VLOOKUP($C65,Questions!$A$3:$N$174,9,FALSE)))</f>
        <v>N</v>
      </c>
      <c r="F65" s="187" t="str">
        <f>IF($B65 = "Mutant",VLOOKUP($C65,Mutants!$A$2:$L$560,11,FALSE),IF($B65 = "Test",VLOOKUP($C65,Tests!$A$2:$L$841,11,FALSE),VLOOKUP($C65,Questions!$A$3:$N$174,13,FALSE)))</f>
        <v xml:space="preserve">
</v>
      </c>
      <c r="G65" s="187"/>
      <c r="H65" s="202"/>
    </row>
    <row r="66" spans="2:8" ht="12.75">
      <c r="B66" s="114" t="s">
        <v>4589</v>
      </c>
      <c r="C66" s="9">
        <v>591</v>
      </c>
      <c r="D66" s="9" t="s">
        <v>4412</v>
      </c>
      <c r="E66" s="9" t="str">
        <f>IF($B66 = "Mutant",VLOOKUP($C66,Mutants!$A$2:$L$560,12,FALSE),IF($B66 = "Test",VLOOKUP($C66,Tests!$A$2:$L$841,12,FALSE),VLOOKUP($C66,Questions!$A$3:$N$174,9,FALSE)))</f>
        <v>Y</v>
      </c>
      <c r="F66" s="187" t="str">
        <f>IF($B66 = "Mutant",VLOOKUP($C66,Mutants!$A$2:$L$560,11,FALSE),IF($B66 = "Test",VLOOKUP($C66,Tests!$A$2:$L$841,11,FALSE),VLOOKUP($C66,Questions!$A$3:$N$174,13,FALSE)))</f>
        <v xml:space="preserve">
</v>
      </c>
      <c r="G66" s="187"/>
      <c r="H66" s="202"/>
    </row>
    <row r="67" spans="2:8" ht="12.75">
      <c r="B67" s="114" t="s">
        <v>4589</v>
      </c>
      <c r="C67" s="9">
        <v>599</v>
      </c>
      <c r="D67" s="9" t="s">
        <v>505</v>
      </c>
      <c r="E67" s="9" t="str">
        <f>IF($B67 = "Mutant",VLOOKUP($C67,Mutants!$A$2:$L$560,12,FALSE),IF($B67 = "Test",VLOOKUP($C67,Tests!$A$2:$L$841,12,FALSE),VLOOKUP($C67,Questions!$A$3:$N$174,9,FALSE)))</f>
        <v>N</v>
      </c>
      <c r="F67" s="187" t="str">
        <f>IF($B67 = "Mutant",VLOOKUP($C67,Mutants!$A$2:$L$560,11,FALSE),IF($B67 = "Test",VLOOKUP($C67,Tests!$A$2:$L$841,11,FALSE),VLOOKUP($C67,Questions!$A$3:$N$174,13,FALSE)))</f>
        <v xml:space="preserve">
</v>
      </c>
      <c r="G67" s="187"/>
      <c r="H67" s="202"/>
    </row>
    <row r="68" spans="2:8" ht="12.75">
      <c r="B68" s="114" t="s">
        <v>4589</v>
      </c>
      <c r="C68" s="9">
        <v>612</v>
      </c>
      <c r="D68" s="9" t="s">
        <v>4467</v>
      </c>
      <c r="E68" s="9" t="str">
        <f>IF($B68 = "Mutant",VLOOKUP($C68,Mutants!$A$2:$L$560,12,FALSE),IF($B68 = "Test",VLOOKUP($C68,Tests!$A$2:$L$841,12,FALSE),VLOOKUP($C68,Questions!$A$3:$N$174,9,FALSE)))</f>
        <v>N</v>
      </c>
      <c r="F68" s="187" t="str">
        <f>IF($B68 = "Mutant",VLOOKUP($C68,Mutants!$A$2:$L$560,11,FALSE),IF($B68 = "Test",VLOOKUP($C68,Tests!$A$2:$L$841,11,FALSE),VLOOKUP($C68,Questions!$A$3:$N$174,13,FALSE)))</f>
        <v xml:space="preserve">
</v>
      </c>
      <c r="G68" s="187"/>
      <c r="H68" s="202"/>
    </row>
    <row r="69" spans="2:8" ht="12.75">
      <c r="B69" s="114" t="s">
        <v>4589</v>
      </c>
      <c r="C69" s="9">
        <v>613</v>
      </c>
      <c r="D69" s="9" t="s">
        <v>2613</v>
      </c>
      <c r="E69" s="9" t="str">
        <f>IF($B69 = "Mutant",VLOOKUP($C69,Mutants!$A$2:$L$560,12,FALSE),IF($B69 = "Test",VLOOKUP($C69,Tests!$A$2:$L$841,12,FALSE),VLOOKUP($C69,Questions!$A$3:$N$174,9,FALSE)))</f>
        <v>N</v>
      </c>
      <c r="F69" s="187" t="str">
        <f>IF($B69 = "Mutant",VLOOKUP($C69,Mutants!$A$2:$L$560,11,FALSE),IF($B69 = "Test",VLOOKUP($C69,Tests!$A$2:$L$841,11,FALSE),VLOOKUP($C69,Questions!$A$3:$N$174,13,FALSE)))</f>
        <v xml:space="preserve">
</v>
      </c>
      <c r="G69" s="187"/>
      <c r="H69" s="202"/>
    </row>
    <row r="70" spans="2:8" ht="12.75">
      <c r="B70" s="114" t="s">
        <v>4589</v>
      </c>
      <c r="C70" s="9">
        <v>617</v>
      </c>
      <c r="D70" s="9" t="s">
        <v>4479</v>
      </c>
      <c r="E70" s="9" t="str">
        <f>IF($B70 = "Mutant",VLOOKUP($C70,Mutants!$A$2:$L$560,12,FALSE),IF($B70 = "Test",VLOOKUP($C70,Tests!$A$2:$L$841,12,FALSE),VLOOKUP($C70,Questions!$A$3:$N$174,9,FALSE)))</f>
        <v>Y</v>
      </c>
      <c r="F70" s="187" t="str">
        <f>IF($B70 = "Mutant",VLOOKUP($C70,Mutants!$A$2:$L$560,11,FALSE),IF($B70 = "Test",VLOOKUP($C70,Tests!$A$2:$L$841,11,FALSE),VLOOKUP($C70,Questions!$A$3:$N$174,13,FALSE)))</f>
        <v xml:space="preserve">getBinaryValue
</v>
      </c>
      <c r="G70" s="187"/>
      <c r="H70" s="202"/>
    </row>
    <row r="71" spans="2:8" ht="12.75">
      <c r="B71" s="114" t="s">
        <v>4590</v>
      </c>
      <c r="C71" s="9">
        <v>812</v>
      </c>
      <c r="D71" s="9" t="s">
        <v>2719</v>
      </c>
      <c r="E71" s="9" t="str">
        <f>IF($B71 = "Mutant",VLOOKUP($C71,Mutants!$A$2:$L$560,12,FALSE),IF($B71 = "Test",VLOOKUP($C71,Tests!$A$2:$L$841,12,FALSE),VLOOKUP($C71,Questions!$A$3:$N$174,9,FALSE)))</f>
        <v>N</v>
      </c>
      <c r="F71" s="187" t="str">
        <f>IF($B71 = "Mutant",VLOOKUP($C71,Mutants!$A$2:$L$560,11,FALSE),IF($B71 = "Test",VLOOKUP($C71,Tests!$A$2:$L$841,11,FALSE),VLOOKUP($C71,Questions!$A$3:$N$174,13,FALSE)))</f>
        <v xml:space="preserve">
</v>
      </c>
      <c r="G71" s="187"/>
      <c r="H71" s="202"/>
    </row>
    <row r="72" spans="2:8" ht="12.75">
      <c r="B72" s="114" t="s">
        <v>4590</v>
      </c>
      <c r="C72" s="9">
        <v>814</v>
      </c>
      <c r="D72" s="9" t="s">
        <v>2724</v>
      </c>
      <c r="E72" s="9" t="str">
        <f>IF($B72 = "Mutant",VLOOKUP($C72,Mutants!$A$2:$L$560,12,FALSE),IF($B72 = "Test",VLOOKUP($C72,Tests!$A$2:$L$841,12,FALSE),VLOOKUP($C72,Questions!$A$3:$N$174,9,FALSE)))</f>
        <v>Y</v>
      </c>
      <c r="F72" s="187" t="str">
        <f>IF($B72 = "Mutant",VLOOKUP($C72,Mutants!$A$2:$L$560,11,FALSE),IF($B72 = "Test",VLOOKUP($C72,Tests!$A$2:$L$841,11,FALSE),VLOOKUP($C72,Questions!$A$3:$N$174,13,FALSE)))</f>
        <v xml:space="preserve">
</v>
      </c>
      <c r="G72" s="187"/>
      <c r="H72" s="202"/>
    </row>
    <row r="73" spans="2:8" ht="12.75">
      <c r="B73" s="114" t="s">
        <v>4590</v>
      </c>
      <c r="C73" s="9">
        <v>869</v>
      </c>
      <c r="D73" s="9" t="s">
        <v>2880</v>
      </c>
      <c r="E73" s="9" t="str">
        <f>IF($B73 = "Mutant",VLOOKUP($C73,Mutants!$A$2:$L$560,12,FALSE),IF($B73 = "Test",VLOOKUP($C73,Tests!$A$2:$L$841,12,FALSE),VLOOKUP($C73,Questions!$A$3:$N$174,9,FALSE)))</f>
        <v>Y</v>
      </c>
      <c r="F73" s="187" t="str">
        <f>IF($B73 = "Mutant",VLOOKUP($C73,Mutants!$A$2:$L$560,11,FALSE),IF($B73 = "Test",VLOOKUP($C73,Tests!$A$2:$L$841,11,FALSE),VLOOKUP($C73,Questions!$A$3:$N$174,13,FALSE)))</f>
        <v xml:space="preserve">add
</v>
      </c>
      <c r="G73" s="187"/>
      <c r="H73" s="202"/>
    </row>
    <row r="74" spans="2:8" ht="12.75">
      <c r="B74" s="114" t="s">
        <v>4590</v>
      </c>
      <c r="C74" s="9">
        <v>871</v>
      </c>
      <c r="D74" s="9" t="s">
        <v>2885</v>
      </c>
      <c r="E74" s="9" t="str">
        <f>IF($B74 = "Mutant",VLOOKUP($C74,Mutants!$A$2:$L$560,12,FALSE),IF($B74 = "Test",VLOOKUP($C74,Tests!$A$2:$L$841,12,FALSE),VLOOKUP($C74,Questions!$A$3:$N$174,9,FALSE)))</f>
        <v>Y</v>
      </c>
      <c r="F74" s="187" t="str">
        <f>IF($B74 = "Mutant",VLOOKUP($C74,Mutants!$A$2:$L$560,11,FALSE),IF($B74 = "Test",VLOOKUP($C74,Tests!$A$2:$L$841,11,FALSE),VLOOKUP($C74,Questions!$A$3:$N$174,13,FALSE)))</f>
        <v xml:space="preserve">add
</v>
      </c>
      <c r="G74" s="187"/>
      <c r="H74" s="202"/>
    </row>
    <row r="75" spans="2:8" ht="12.75">
      <c r="B75" s="114" t="s">
        <v>4590</v>
      </c>
      <c r="C75" s="9">
        <v>884</v>
      </c>
      <c r="D75" s="9" t="s">
        <v>2925</v>
      </c>
      <c r="E75" s="9" t="str">
        <f>IF($B75 = "Mutant",VLOOKUP($C75,Mutants!$A$2:$L$560,12,FALSE),IF($B75 = "Test",VLOOKUP($C75,Tests!$A$2:$L$841,12,FALSE),VLOOKUP($C75,Questions!$A$3:$N$174,9,FALSE)))</f>
        <v>Y</v>
      </c>
      <c r="F75" s="187" t="str">
        <f>IF($B75 = "Mutant",VLOOKUP($C75,Mutants!$A$2:$L$560,11,FALSE),IF($B75 = "Test",VLOOKUP($C75,Tests!$A$2:$L$841,11,FALSE),VLOOKUP($C75,Questions!$A$3:$N$174,13,FALSE)))</f>
        <v xml:space="preserve">add, toString
</v>
      </c>
      <c r="G75" s="187"/>
      <c r="H75" s="202"/>
    </row>
    <row r="76" spans="2:8" ht="12.75">
      <c r="B76" s="114" t="s">
        <v>4590</v>
      </c>
      <c r="C76" s="9">
        <v>887</v>
      </c>
      <c r="D76" s="9" t="s">
        <v>2931</v>
      </c>
      <c r="E76" s="9" t="str">
        <f>IF($B76 = "Mutant",VLOOKUP($C76,Mutants!$A$2:$L$560,12,FALSE),IF($B76 = "Test",VLOOKUP($C76,Tests!$A$2:$L$841,12,FALSE),VLOOKUP($C76,Questions!$A$3:$N$174,9,FALSE)))</f>
        <v>Y</v>
      </c>
      <c r="F76" s="187" t="str">
        <f>IF($B76 = "Mutant",VLOOKUP($C76,Mutants!$A$2:$L$560,11,FALSE),IF($B76 = "Test",VLOOKUP($C76,Tests!$A$2:$L$841,11,FALSE),VLOOKUP($C76,Questions!$A$3:$N$174,13,FALSE)))</f>
        <v xml:space="preserve">add, toString
</v>
      </c>
      <c r="G76" s="187"/>
      <c r="H76" s="202"/>
    </row>
    <row r="77" spans="2:8" ht="12.75">
      <c r="B77" s="114" t="s">
        <v>4590</v>
      </c>
      <c r="C77" s="9">
        <v>890</v>
      </c>
      <c r="D77" s="9" t="s">
        <v>2940</v>
      </c>
      <c r="E77" s="9" t="str">
        <f>IF($B77 = "Mutant",VLOOKUP($C77,Mutants!$A$2:$L$560,12,FALSE),IF($B77 = "Test",VLOOKUP($C77,Tests!$A$2:$L$841,12,FALSE),VLOOKUP($C77,Questions!$A$3:$N$174,9,FALSE)))</f>
        <v>Y</v>
      </c>
      <c r="F77" s="187" t="str">
        <f>IF($B77 = "Mutant",VLOOKUP($C77,Mutants!$A$2:$L$560,11,FALSE),IF($B77 = "Test",VLOOKUP($C77,Tests!$A$2:$L$841,11,FALSE),VLOOKUP($C77,Questions!$A$3:$N$174,13,FALSE)))</f>
        <v xml:space="preserve">add, toString
</v>
      </c>
      <c r="G77" s="187"/>
      <c r="H77" s="202"/>
    </row>
    <row r="78" spans="2:8" ht="12.75">
      <c r="B78" s="114" t="s">
        <v>4590</v>
      </c>
      <c r="C78" s="9">
        <v>891</v>
      </c>
      <c r="D78" s="9" t="s">
        <v>2943</v>
      </c>
      <c r="E78" s="9" t="str">
        <f>IF($B78 = "Mutant",VLOOKUP($C78,Mutants!$A$2:$L$560,12,FALSE),IF($B78 = "Test",VLOOKUP($C78,Tests!$A$2:$L$841,12,FALSE),VLOOKUP($C78,Questions!$A$3:$N$174,9,FALSE)))</f>
        <v>Y</v>
      </c>
      <c r="F78" s="187" t="str">
        <f>IF($B78 = "Mutant",VLOOKUP($C78,Mutants!$A$2:$L$560,11,FALSE),IF($B78 = "Test",VLOOKUP($C78,Tests!$A$2:$L$841,11,FALSE),VLOOKUP($C78,Questions!$A$3:$N$174,13,FALSE)))</f>
        <v xml:space="preserve">add, toString
</v>
      </c>
      <c r="G78" s="187"/>
      <c r="H78" s="202"/>
    </row>
    <row r="79" spans="2:8" ht="12.75">
      <c r="B79" s="114" t="s">
        <v>4590</v>
      </c>
      <c r="C79" s="9">
        <v>911</v>
      </c>
      <c r="D79" s="9" t="s">
        <v>418</v>
      </c>
      <c r="E79" s="9" t="str">
        <f>IF($B79 = "Mutant",VLOOKUP($C79,Mutants!$A$2:$L$560,12,FALSE),IF($B79 = "Test",VLOOKUP($C79,Tests!$A$2:$L$841,12,FALSE),VLOOKUP($C79,Questions!$A$3:$N$174,9,FALSE)))</f>
        <v>Y</v>
      </c>
      <c r="F79" s="187" t="str">
        <f>IF($B79 = "Mutant",VLOOKUP($C79,Mutants!$A$2:$L$560,11,FALSE),IF($B79 = "Test",VLOOKUP($C79,Tests!$A$2:$L$841,11,FALSE),VLOOKUP($C79,Questions!$A$3:$N$174,13,FALSE)))</f>
        <v xml:space="preserve">add
</v>
      </c>
      <c r="G79" s="187"/>
      <c r="H79" s="202"/>
    </row>
    <row r="80" spans="2:8" ht="12.75">
      <c r="B80" s="133" t="s">
        <v>4590</v>
      </c>
      <c r="C80" s="130">
        <v>923</v>
      </c>
      <c r="D80" s="130" t="s">
        <v>3031</v>
      </c>
      <c r="E80" s="130" t="str">
        <f>IF($B80 = "Mutant",VLOOKUP($C80,Mutants!$A$2:$L$560,12,FALSE),IF($B80 = "Test",VLOOKUP($C80,Tests!$A$2:$L$841,12,FALSE),VLOOKUP($C80,Questions!$A$3:$N$174,9,FALSE)))</f>
        <v>Y</v>
      </c>
      <c r="F80" s="203" t="str">
        <f>IF($B80 = "Mutant",VLOOKUP($C80,Mutants!$A$2:$L$560,11,FALSE),IF($B80 = "Test",VLOOKUP($C80,Tests!$A$2:$L$841,11,FALSE),VLOOKUP($C80,Questions!$A$3:$N$174,13,FALSE)))</f>
        <v xml:space="preserve">add, toString
</v>
      </c>
      <c r="G80" s="203"/>
      <c r="H80" s="204"/>
    </row>
    <row r="81" spans="2:8" ht="15.75" customHeight="1">
      <c r="E81" s="9"/>
      <c r="F81" s="187"/>
      <c r="G81" s="187"/>
      <c r="H81" s="187"/>
    </row>
    <row r="82" spans="2:8" ht="15.75" customHeight="1">
      <c r="E82" s="9"/>
      <c r="F82" s="187"/>
      <c r="G82" s="187"/>
      <c r="H82" s="187"/>
    </row>
    <row r="83" spans="2:8" ht="13.5" thickBot="1">
      <c r="B83" s="219" t="s">
        <v>4604</v>
      </c>
      <c r="C83" s="201"/>
      <c r="D83" s="45">
        <v>194</v>
      </c>
      <c r="E83" s="9"/>
      <c r="F83" s="187"/>
      <c r="G83" s="187"/>
      <c r="H83" s="187"/>
    </row>
    <row r="84" spans="2:8" ht="13.5" thickTop="1">
      <c r="B84" s="134" t="s">
        <v>4594</v>
      </c>
      <c r="C84" s="135" t="s">
        <v>44</v>
      </c>
      <c r="D84" s="135" t="s">
        <v>110</v>
      </c>
      <c r="E84" s="136" t="s">
        <v>2</v>
      </c>
      <c r="F84" s="229" t="s">
        <v>4612</v>
      </c>
      <c r="G84" s="229"/>
      <c r="H84" s="230"/>
    </row>
    <row r="85" spans="2:8" ht="12.75">
      <c r="B85" s="137" t="s">
        <v>4589</v>
      </c>
      <c r="C85" s="93">
        <v>386</v>
      </c>
      <c r="D85" s="93" t="s">
        <v>3882</v>
      </c>
      <c r="E85" s="93" t="str">
        <f>IF($B85 = "Mutant",VLOOKUP($C85,Mutants!$A$2:$L$560,12,FALSE),IF($B85 = "Test",VLOOKUP($C85,Tests!$A$2:$L$841,12,FALSE),VLOOKUP($C85,Questions!$A$3:$N$174,9,FALSE)))</f>
        <v>Y</v>
      </c>
      <c r="F85" s="205" t="str">
        <f>IF($B85 = "Mutant",VLOOKUP($C85,Mutants!$A$2:$L$560,11,FALSE),IF($B85 = "Test",VLOOKUP($C85,Tests!$A$2:$L$841,11,FALSE),VLOOKUP($C85,Questions!$A$3:$N$174,13,FALSE)))</f>
        <v xml:space="preserve">toString
</v>
      </c>
      <c r="G85" s="205"/>
      <c r="H85" s="206"/>
    </row>
    <row r="86" spans="2:8" ht="12.75">
      <c r="B86" s="114" t="s">
        <v>4589</v>
      </c>
      <c r="C86" s="9">
        <v>408</v>
      </c>
      <c r="D86" s="9" t="s">
        <v>3941</v>
      </c>
      <c r="E86" s="9" t="str">
        <f>IF($B86 = "Mutant",VLOOKUP($C86,Mutants!$A$2:$L$560,12,FALSE),IF($B86 = "Test",VLOOKUP($C86,Tests!$A$2:$L$841,12,FALSE),VLOOKUP($C86,Questions!$A$3:$N$174,9,FALSE)))</f>
        <v>Y</v>
      </c>
      <c r="F86" s="187" t="str">
        <f>IF($B86 = "Mutant",VLOOKUP($C86,Mutants!$A$2:$L$560,11,FALSE),IF($B86 = "Test",VLOOKUP($C86,Tests!$A$2:$L$841,11,FALSE),VLOOKUP($C86,Questions!$A$3:$N$174,13,FALSE)))</f>
        <v xml:space="preserve">toString
</v>
      </c>
      <c r="G86" s="187"/>
      <c r="H86" s="202"/>
    </row>
    <row r="87" spans="2:8" ht="12.75">
      <c r="B87" s="114" t="s">
        <v>4589</v>
      </c>
      <c r="C87" s="9">
        <v>421</v>
      </c>
      <c r="D87" s="9" t="s">
        <v>3972</v>
      </c>
      <c r="E87" s="9" t="str">
        <f>IF($B87 = "Mutant",VLOOKUP($C87,Mutants!$A$2:$L$560,12,FALSE),IF($B87 = "Test",VLOOKUP($C87,Tests!$A$2:$L$841,12,FALSE),VLOOKUP($C87,Questions!$A$3:$N$174,9,FALSE)))</f>
        <v>Y</v>
      </c>
      <c r="F87" s="187" t="str">
        <f>IF($B87 = "Mutant",VLOOKUP($C87,Mutants!$A$2:$L$560,11,FALSE),IF($B87 = "Test",VLOOKUP($C87,Tests!$A$2:$L$841,11,FALSE),VLOOKUP($C87,Questions!$A$3:$N$174,13,FALSE)))</f>
        <v xml:space="preserve">
</v>
      </c>
      <c r="G87" s="187"/>
      <c r="H87" s="202"/>
    </row>
    <row r="88" spans="2:8" ht="12.75">
      <c r="B88" s="114" t="s">
        <v>4589</v>
      </c>
      <c r="C88" s="9">
        <v>464</v>
      </c>
      <c r="D88" s="9" t="s">
        <v>588</v>
      </c>
      <c r="E88" s="9" t="str">
        <f>IF($B88 = "Mutant",VLOOKUP($C88,Mutants!$A$2:$L$560,12,FALSE),IF($B88 = "Test",VLOOKUP($C88,Tests!$A$2:$L$841,12,FALSE),VLOOKUP($C88,Questions!$A$3:$N$174,9,FALSE)))</f>
        <v>Y</v>
      </c>
      <c r="F88" s="187" t="str">
        <f>IF($B88 = "Mutant",VLOOKUP($C88,Mutants!$A$2:$L$560,11,FALSE),IF($B88 = "Test",VLOOKUP($C88,Tests!$A$2:$L$841,11,FALSE),VLOOKUP($C88,Questions!$A$3:$N$174,13,FALSE)))</f>
        <v xml:space="preserve">getValues, toString
</v>
      </c>
      <c r="G88" s="187"/>
      <c r="H88" s="202"/>
    </row>
    <row r="89" spans="2:8" ht="12.75">
      <c r="B89" s="114" t="s">
        <v>4590</v>
      </c>
      <c r="C89" s="9">
        <v>555</v>
      </c>
      <c r="D89" s="9" t="s">
        <v>2006</v>
      </c>
      <c r="E89" s="9" t="str">
        <f>IF($B89 = "Mutant",VLOOKUP($C89,Mutants!$A$2:$L$560,12,FALSE),IF($B89 = "Test",VLOOKUP($C89,Tests!$A$2:$L$841,12,FALSE),VLOOKUP($C89,Questions!$A$3:$N$174,9,FALSE)))</f>
        <v>N</v>
      </c>
      <c r="F89" s="187" t="str">
        <f>IF($B89 = "Mutant",VLOOKUP($C89,Mutants!$A$2:$L$560,11,FALSE),IF($B89 = "Test",VLOOKUP($C89,Tests!$A$2:$L$841,11,FALSE),VLOOKUP($C89,Questions!$A$3:$N$174,13,FALSE)))</f>
        <v xml:space="preserve">
</v>
      </c>
      <c r="G89" s="187"/>
      <c r="H89" s="202"/>
    </row>
    <row r="90" spans="2:8" ht="12.75">
      <c r="B90" s="114" t="s">
        <v>4590</v>
      </c>
      <c r="C90" s="9">
        <v>567</v>
      </c>
      <c r="D90" s="9" t="s">
        <v>2046</v>
      </c>
      <c r="E90" s="9" t="str">
        <f>IF($B90 = "Mutant",VLOOKUP($C90,Mutants!$A$2:$L$560,12,FALSE),IF($B90 = "Test",VLOOKUP($C90,Tests!$A$2:$L$841,12,FALSE),VLOOKUP($C90,Questions!$A$3:$N$174,9,FALSE)))</f>
        <v>Y</v>
      </c>
      <c r="F90" s="187" t="str">
        <f>IF($B90 = "Mutant",VLOOKUP($C90,Mutants!$A$2:$L$560,11,FALSE),IF($B90 = "Test",VLOOKUP($C90,Tests!$A$2:$L$841,11,FALSE),VLOOKUP($C90,Questions!$A$3:$N$174,13,FALSE)))</f>
        <v xml:space="preserve">
</v>
      </c>
      <c r="G90" s="187"/>
      <c r="H90" s="202"/>
    </row>
    <row r="91" spans="2:8" ht="12.75">
      <c r="B91" s="114" t="s">
        <v>4590</v>
      </c>
      <c r="C91" s="9">
        <v>573</v>
      </c>
      <c r="D91" s="9" t="s">
        <v>2067</v>
      </c>
      <c r="E91" s="9" t="str">
        <f>IF($B91 = "Mutant",VLOOKUP($C91,Mutants!$A$2:$L$560,12,FALSE),IF($B91 = "Test",VLOOKUP($C91,Tests!$A$2:$L$841,12,FALSE),VLOOKUP($C91,Questions!$A$3:$N$174,9,FALSE)))</f>
        <v>Y</v>
      </c>
      <c r="F91" s="187" t="str">
        <f>IF($B91 = "Mutant",VLOOKUP($C91,Mutants!$A$2:$L$560,11,FALSE),IF($B91 = "Test",VLOOKUP($C91,Tests!$A$2:$L$841,11,FALSE),VLOOKUP($C91,Questions!$A$3:$N$174,13,FALSE)))</f>
        <v xml:space="preserve">toString
</v>
      </c>
      <c r="G91" s="187"/>
      <c r="H91" s="202"/>
    </row>
    <row r="92" spans="2:8" ht="12.75">
      <c r="B92" s="114" t="s">
        <v>4590</v>
      </c>
      <c r="C92" s="9">
        <v>631</v>
      </c>
      <c r="D92" s="9" t="s">
        <v>2229</v>
      </c>
      <c r="E92" s="9" t="str">
        <f>IF($B92 = "Mutant",VLOOKUP($C92,Mutants!$A$2:$L$560,12,FALSE),IF($B92 = "Test",VLOOKUP($C92,Tests!$A$2:$L$841,12,FALSE),VLOOKUP($C92,Questions!$A$3:$N$174,9,FALSE)))</f>
        <v>Y</v>
      </c>
      <c r="F92" s="187" t="str">
        <f>IF($B92 = "Mutant",VLOOKUP($C92,Mutants!$A$2:$L$560,11,FALSE),IF($B92 = "Test",VLOOKUP($C92,Tests!$A$2:$L$841,11,FALSE),VLOOKUP($C92,Questions!$A$3:$N$174,13,FALSE)))</f>
        <v xml:space="preserve">
</v>
      </c>
      <c r="G92" s="187"/>
      <c r="H92" s="202"/>
    </row>
    <row r="93" spans="2:8" ht="12.75">
      <c r="B93" s="114" t="s">
        <v>4590</v>
      </c>
      <c r="C93" s="9">
        <v>649</v>
      </c>
      <c r="D93" s="9" t="s">
        <v>2281</v>
      </c>
      <c r="E93" s="9" t="str">
        <f>IF($B93 = "Mutant",VLOOKUP($C93,Mutants!$A$2:$L$560,12,FALSE),IF($B93 = "Test",VLOOKUP($C93,Tests!$A$2:$L$841,12,FALSE),VLOOKUP($C93,Questions!$A$3:$N$174,9,FALSE)))</f>
        <v>Y</v>
      </c>
      <c r="F93" s="187" t="str">
        <f>IF($B93 = "Mutant",VLOOKUP($C93,Mutants!$A$2:$L$560,11,FALSE),IF($B93 = "Test",VLOOKUP($C93,Tests!$A$2:$L$841,11,FALSE),VLOOKUP($C93,Questions!$A$3:$N$174,13,FALSE)))</f>
        <v xml:space="preserve">add, removeField, getField
</v>
      </c>
      <c r="G93" s="187"/>
      <c r="H93" s="202"/>
    </row>
    <row r="94" spans="2:8" ht="12.75">
      <c r="B94" s="114" t="s">
        <v>4590</v>
      </c>
      <c r="C94" s="9">
        <v>718</v>
      </c>
      <c r="D94" s="9" t="s">
        <v>2457</v>
      </c>
      <c r="E94" s="9" t="str">
        <f>IF($B94 = "Mutant",VLOOKUP($C94,Mutants!$A$2:$L$560,12,FALSE),IF($B94 = "Test",VLOOKUP($C94,Tests!$A$2:$L$841,12,FALSE),VLOOKUP($C94,Questions!$A$3:$N$174,9,FALSE)))</f>
        <v>Y</v>
      </c>
      <c r="F94" s="187" t="str">
        <f>IF($B94 = "Mutant",VLOOKUP($C94,Mutants!$A$2:$L$560,11,FALSE),IF($B94 = "Test",VLOOKUP($C94,Tests!$A$2:$L$841,11,FALSE),VLOOKUP($C94,Questions!$A$3:$N$174,13,FALSE)))</f>
        <v xml:space="preserve">add, removeFields, getFields_1
</v>
      </c>
      <c r="G94" s="187"/>
      <c r="H94" s="202"/>
    </row>
    <row r="95" spans="2:8" ht="12.75">
      <c r="B95" s="114" t="s">
        <v>4590</v>
      </c>
      <c r="C95" s="9">
        <v>752</v>
      </c>
      <c r="D95" s="9" t="s">
        <v>2550</v>
      </c>
      <c r="E95" s="9" t="str">
        <f>IF($B95 = "Mutant",VLOOKUP($C95,Mutants!$A$2:$L$560,12,FALSE),IF($B95 = "Test",VLOOKUP($C95,Tests!$A$2:$L$841,12,FALSE),VLOOKUP($C95,Questions!$A$3:$N$174,9,FALSE)))</f>
        <v>Y</v>
      </c>
      <c r="F95" s="187" t="str">
        <f>IF($B95 = "Mutant",VLOOKUP($C95,Mutants!$A$2:$L$560,11,FALSE),IF($B95 = "Test",VLOOKUP($C95,Tests!$A$2:$L$841,11,FALSE),VLOOKUP($C95,Questions!$A$3:$N$174,13,FALSE)))</f>
        <v xml:space="preserve">add, getField
</v>
      </c>
      <c r="G95" s="187"/>
      <c r="H95" s="202"/>
    </row>
    <row r="96" spans="2:8" ht="12.75">
      <c r="B96" s="114" t="s">
        <v>4590</v>
      </c>
      <c r="C96" s="9">
        <v>920</v>
      </c>
      <c r="D96" s="9" t="s">
        <v>419</v>
      </c>
      <c r="E96" s="9" t="str">
        <f>IF($B96 = "Mutant",VLOOKUP($C96,Mutants!$A$2:$L$560,12,FALSE),IF($B96 = "Test",VLOOKUP($C96,Tests!$A$2:$L$841,12,FALSE),VLOOKUP($C96,Questions!$A$3:$N$174,9,FALSE)))</f>
        <v>N</v>
      </c>
      <c r="F96" s="187" t="str">
        <f>IF($B96 = "Mutant",VLOOKUP($C96,Mutants!$A$2:$L$560,11,FALSE),IF($B96 = "Test",VLOOKUP($C96,Tests!$A$2:$L$841,11,FALSE),VLOOKUP($C96,Questions!$A$3:$N$174,13,FALSE)))</f>
        <v xml:space="preserve">
</v>
      </c>
      <c r="G96" s="187"/>
      <c r="H96" s="202"/>
    </row>
    <row r="97" spans="2:8" ht="12.75">
      <c r="B97" s="114" t="s">
        <v>4590</v>
      </c>
      <c r="C97" s="9">
        <v>936</v>
      </c>
      <c r="D97" s="9" t="s">
        <v>3069</v>
      </c>
      <c r="E97" s="9" t="str">
        <f>IF($B97 = "Mutant",VLOOKUP($C97,Mutants!$A$2:$L$560,12,FALSE),IF($B97 = "Test",VLOOKUP($C97,Tests!$A$2:$L$841,12,FALSE),VLOOKUP($C97,Questions!$A$3:$N$174,9,FALSE)))</f>
        <v>Y</v>
      </c>
      <c r="F97" s="187" t="str">
        <f>IF($B97 = "Mutant",VLOOKUP($C97,Mutants!$A$2:$L$560,11,FALSE),IF($B97 = "Test",VLOOKUP($C97,Tests!$A$2:$L$841,11,FALSE),VLOOKUP($C97,Questions!$A$3:$N$174,13,FALSE)))</f>
        <v xml:space="preserve">add, getValues
</v>
      </c>
      <c r="G97" s="187"/>
      <c r="H97" s="202"/>
    </row>
    <row r="98" spans="2:8" ht="12.75">
      <c r="B98" s="133" t="s">
        <v>4590</v>
      </c>
      <c r="C98" s="130">
        <v>940</v>
      </c>
      <c r="D98" s="130" t="s">
        <v>3078</v>
      </c>
      <c r="E98" s="130" t="str">
        <f>IF($B98 = "Mutant",VLOOKUP($C98,Mutants!$A$2:$L$560,12,FALSE),IF($B98 = "Test",VLOOKUP($C98,Tests!$A$2:$L$841,12,FALSE),VLOOKUP($C98,Questions!$A$3:$N$174,9,FALSE)))</f>
        <v>Y</v>
      </c>
      <c r="F98" s="203" t="str">
        <f>IF($B98 = "Mutant",VLOOKUP($C98,Mutants!$A$2:$L$560,11,FALSE),IF($B98 = "Test",VLOOKUP($C98,Tests!$A$2:$L$841,11,FALSE),VLOOKUP($C98,Questions!$A$3:$N$174,13,FALSE)))</f>
        <v xml:space="preserve">add, getValues
</v>
      </c>
      <c r="G98" s="203"/>
      <c r="H98" s="204"/>
    </row>
    <row r="99" spans="2:8" ht="15.75" customHeight="1">
      <c r="E99" s="9"/>
      <c r="F99" s="187"/>
      <c r="G99" s="187"/>
      <c r="H99" s="187"/>
    </row>
    <row r="100" spans="2:8" ht="15.75" customHeight="1">
      <c r="E100" s="9"/>
      <c r="F100" s="187"/>
      <c r="G100" s="187"/>
      <c r="H100" s="187"/>
    </row>
    <row r="101" spans="2:8" ht="13.5" thickBot="1">
      <c r="B101" s="219" t="s">
        <v>4604</v>
      </c>
      <c r="C101" s="201"/>
      <c r="D101" s="45">
        <v>195</v>
      </c>
      <c r="E101" s="9"/>
      <c r="F101" s="187"/>
      <c r="G101" s="187"/>
      <c r="H101" s="187"/>
    </row>
    <row r="102" spans="2:8" ht="13.5" thickTop="1">
      <c r="B102" s="134" t="s">
        <v>4594</v>
      </c>
      <c r="C102" s="135" t="s">
        <v>44</v>
      </c>
      <c r="D102" s="135" t="s">
        <v>110</v>
      </c>
      <c r="E102" s="136" t="s">
        <v>2</v>
      </c>
      <c r="F102" s="229" t="s">
        <v>4612</v>
      </c>
      <c r="G102" s="229"/>
      <c r="H102" s="230"/>
    </row>
    <row r="103" spans="2:8" ht="12.75">
      <c r="B103" s="137" t="s">
        <v>4589</v>
      </c>
      <c r="C103" s="93">
        <v>366</v>
      </c>
      <c r="D103" s="93" t="s">
        <v>3825</v>
      </c>
      <c r="E103" s="93" t="str">
        <f>IF($B103 = "Mutant",VLOOKUP($C103,Mutants!$A$2:$L$560,12,FALSE),IF($B103 = "Test",VLOOKUP($C103,Tests!$A$2:$L$841,12,FALSE),VLOOKUP($C103,Questions!$A$3:$N$174,9,FALSE)))</f>
        <v>Y</v>
      </c>
      <c r="F103" s="205" t="str">
        <f>IF($B103 = "Mutant",VLOOKUP($C103,Mutants!$A$2:$L$560,11,FALSE),IF($B103 = "Test",VLOOKUP($C103,Tests!$A$2:$L$841,11,FALSE),VLOOKUP($C103,Questions!$A$3:$N$174,13,FALSE)))</f>
        <v xml:space="preserve">getBinaryValues
</v>
      </c>
      <c r="G103" s="205"/>
      <c r="H103" s="206"/>
    </row>
    <row r="104" spans="2:8" ht="12.75">
      <c r="B104" s="114" t="s">
        <v>4589</v>
      </c>
      <c r="C104" s="9">
        <v>389</v>
      </c>
      <c r="D104" s="9" t="s">
        <v>3889</v>
      </c>
      <c r="E104" s="9" t="str">
        <f>IF($B104 = "Mutant",VLOOKUP($C104,Mutants!$A$2:$L$560,12,FALSE),IF($B104 = "Test",VLOOKUP($C104,Tests!$A$2:$L$841,12,FALSE),VLOOKUP($C104,Questions!$A$3:$N$174,9,FALSE)))</f>
        <v>Y</v>
      </c>
      <c r="F104" s="187" t="str">
        <f>IF($B104 = "Mutant",VLOOKUP($C104,Mutants!$A$2:$L$560,11,FALSE),IF($B104 = "Test",VLOOKUP($C104,Tests!$A$2:$L$841,11,FALSE),VLOOKUP($C104,Questions!$A$3:$N$174,13,FALSE)))</f>
        <v xml:space="preserve">getBinaryValue, getField, getFields_1, getValues
</v>
      </c>
      <c r="G104" s="187"/>
      <c r="H104" s="202"/>
    </row>
    <row r="105" spans="2:8" ht="12.75">
      <c r="B105" s="114" t="s">
        <v>4589</v>
      </c>
      <c r="C105" s="9">
        <v>402</v>
      </c>
      <c r="D105" s="9" t="s">
        <v>3926</v>
      </c>
      <c r="E105" s="9" t="str">
        <f>IF($B105 = "Mutant",VLOOKUP($C105,Mutants!$A$2:$L$560,12,FALSE),IF($B105 = "Test",VLOOKUP($C105,Tests!$A$2:$L$841,12,FALSE),VLOOKUP($C105,Questions!$A$3:$N$174,9,FALSE)))</f>
        <v>Y</v>
      </c>
      <c r="F105" s="187" t="str">
        <f>IF($B105 = "Mutant",VLOOKUP($C105,Mutants!$A$2:$L$560,11,FALSE),IF($B105 = "Test",VLOOKUP($C105,Tests!$A$2:$L$841,11,FALSE),VLOOKUP($C105,Questions!$A$3:$N$174,13,FALSE)))</f>
        <v xml:space="preserve">toString
</v>
      </c>
      <c r="G105" s="187"/>
      <c r="H105" s="202"/>
    </row>
    <row r="106" spans="2:8" ht="12.75">
      <c r="B106" s="114" t="s">
        <v>4589</v>
      </c>
      <c r="C106" s="9">
        <v>423</v>
      </c>
      <c r="D106" s="9" t="s">
        <v>3980</v>
      </c>
      <c r="E106" s="9" t="str">
        <f>IF($B106 = "Mutant",VLOOKUP($C106,Mutants!$A$2:$L$560,12,FALSE),IF($B106 = "Test",VLOOKUP($C106,Tests!$A$2:$L$841,12,FALSE),VLOOKUP($C106,Questions!$A$3:$N$174,9,FALSE)))</f>
        <v>Y</v>
      </c>
      <c r="F106" s="187" t="str">
        <f>IF($B106 = "Mutant",VLOOKUP($C106,Mutants!$A$2:$L$560,11,FALSE),IF($B106 = "Test",VLOOKUP($C106,Tests!$A$2:$L$841,11,FALSE),VLOOKUP($C106,Questions!$A$3:$N$174,13,FALSE)))</f>
        <v xml:space="preserve">removeFields
</v>
      </c>
      <c r="G106" s="187"/>
      <c r="H106" s="202"/>
    </row>
    <row r="107" spans="2:8" ht="12.75">
      <c r="B107" s="114" t="s">
        <v>4589</v>
      </c>
      <c r="C107" s="9">
        <v>438</v>
      </c>
      <c r="D107" s="9" t="s">
        <v>4013</v>
      </c>
      <c r="E107" s="9" t="str">
        <f>IF($B107 = "Mutant",VLOOKUP($C107,Mutants!$A$2:$L$560,12,FALSE),IF($B107 = "Test",VLOOKUP($C107,Tests!$A$2:$L$841,12,FALSE),VLOOKUP($C107,Questions!$A$3:$N$174,9,FALSE)))</f>
        <v>Y</v>
      </c>
      <c r="F107" s="187" t="str">
        <f>IF($B107 = "Mutant",VLOOKUP($C107,Mutants!$A$2:$L$560,11,FALSE),IF($B107 = "Test",VLOOKUP($C107,Tests!$A$2:$L$841,11,FALSE),VLOOKUP($C107,Questions!$A$3:$N$174,13,FALSE)))</f>
        <v xml:space="preserve">getValues
</v>
      </c>
      <c r="G107" s="187"/>
      <c r="H107" s="202"/>
    </row>
    <row r="108" spans="2:8" ht="12.75">
      <c r="B108" s="114" t="s">
        <v>4589</v>
      </c>
      <c r="C108" s="9">
        <v>452</v>
      </c>
      <c r="D108" s="9" t="s">
        <v>4055</v>
      </c>
      <c r="E108" s="9" t="str">
        <f>IF($B108 = "Mutant",VLOOKUP($C108,Mutants!$A$2:$L$560,12,FALSE),IF($B108 = "Test",VLOOKUP($C108,Tests!$A$2:$L$841,12,FALSE),VLOOKUP($C108,Questions!$A$3:$N$174,9,FALSE)))</f>
        <v>Y</v>
      </c>
      <c r="F108" s="187" t="str">
        <f>IF($B108 = "Mutant",VLOOKUP($C108,Mutants!$A$2:$L$560,11,FALSE),IF($B108 = "Test",VLOOKUP($C108,Tests!$A$2:$L$841,11,FALSE),VLOOKUP($C108,Questions!$A$3:$N$174,13,FALSE)))</f>
        <v xml:space="preserve">get
</v>
      </c>
      <c r="G108" s="187"/>
      <c r="H108" s="202"/>
    </row>
    <row r="109" spans="2:8" ht="12.75">
      <c r="B109" s="114" t="s">
        <v>4589</v>
      </c>
      <c r="C109" s="9">
        <v>505</v>
      </c>
      <c r="D109" s="9" t="s">
        <v>4196</v>
      </c>
      <c r="E109" s="9" t="str">
        <f>IF($B109 = "Mutant",VLOOKUP($C109,Mutants!$A$2:$L$560,12,FALSE),IF($B109 = "Test",VLOOKUP($C109,Tests!$A$2:$L$841,12,FALSE),VLOOKUP($C109,Questions!$A$3:$N$174,9,FALSE)))</f>
        <v>Y</v>
      </c>
      <c r="F109" s="187" t="str">
        <f>IF($B109 = "Mutant",VLOOKUP($C109,Mutants!$A$2:$L$560,11,FALSE),IF($B109 = "Test",VLOOKUP($C109,Tests!$A$2:$L$841,11,FALSE),VLOOKUP($C109,Questions!$A$3:$N$174,13,FALSE)))</f>
        <v xml:space="preserve">
</v>
      </c>
      <c r="G109" s="187"/>
      <c r="H109" s="202"/>
    </row>
    <row r="110" spans="2:8" ht="12.75">
      <c r="B110" s="114" t="s">
        <v>4589</v>
      </c>
      <c r="C110" s="9">
        <v>516</v>
      </c>
      <c r="D110" s="9" t="s">
        <v>4222</v>
      </c>
      <c r="E110" s="9" t="str">
        <f>IF($B110 = "Mutant",VLOOKUP($C110,Mutants!$A$2:$L$560,12,FALSE),IF($B110 = "Test",VLOOKUP($C110,Tests!$A$2:$L$841,12,FALSE),VLOOKUP($C110,Questions!$A$3:$N$174,9,FALSE)))</f>
        <v>Y</v>
      </c>
      <c r="F110" s="187" t="str">
        <f>IF($B110 = "Mutant",VLOOKUP($C110,Mutants!$A$2:$L$560,11,FALSE),IF($B110 = "Test",VLOOKUP($C110,Tests!$A$2:$L$841,11,FALSE),VLOOKUP($C110,Questions!$A$3:$N$174,13,FALSE)))</f>
        <v xml:space="preserve">toString
</v>
      </c>
      <c r="G110" s="187"/>
      <c r="H110" s="202"/>
    </row>
    <row r="111" spans="2:8" ht="12.75">
      <c r="B111" s="114" t="s">
        <v>4589</v>
      </c>
      <c r="C111" s="9">
        <v>527</v>
      </c>
      <c r="D111" s="9" t="s">
        <v>4252</v>
      </c>
      <c r="E111" s="9" t="str">
        <f>IF($B111 = "Mutant",VLOOKUP($C111,Mutants!$A$2:$L$560,12,FALSE),IF($B111 = "Test",VLOOKUP($C111,Tests!$A$2:$L$841,12,FALSE),VLOOKUP($C111,Questions!$A$3:$N$174,9,FALSE)))</f>
        <v>Y</v>
      </c>
      <c r="F111" s="187" t="str">
        <f>IF($B111 = "Mutant",VLOOKUP($C111,Mutants!$A$2:$L$560,11,FALSE),IF($B111 = "Test",VLOOKUP($C111,Tests!$A$2:$L$841,11,FALSE),VLOOKUP($C111,Questions!$A$3:$N$174,13,FALSE)))</f>
        <v xml:space="preserve">toString
</v>
      </c>
      <c r="G111" s="187"/>
      <c r="H111" s="202"/>
    </row>
    <row r="112" spans="2:8" ht="12.75">
      <c r="B112" s="114" t="s">
        <v>4589</v>
      </c>
      <c r="C112" s="9">
        <v>536</v>
      </c>
      <c r="D112" s="9" t="s">
        <v>4273</v>
      </c>
      <c r="E112" s="9" t="str">
        <f>IF($B112 = "Mutant",VLOOKUP($C112,Mutants!$A$2:$L$560,12,FALSE),IF($B112 = "Test",VLOOKUP($C112,Tests!$A$2:$L$841,12,FALSE),VLOOKUP($C112,Questions!$A$3:$N$174,9,FALSE)))</f>
        <v>Y</v>
      </c>
      <c r="F112" s="187" t="str">
        <f>IF($B112 = "Mutant",VLOOKUP($C112,Mutants!$A$2:$L$560,11,FALSE),IF($B112 = "Test",VLOOKUP($C112,Tests!$A$2:$L$841,11,FALSE),VLOOKUP($C112,Questions!$A$3:$N$174,13,FALSE)))</f>
        <v xml:space="preserve">
</v>
      </c>
      <c r="G112" s="187"/>
      <c r="H112" s="202"/>
    </row>
    <row r="113" spans="2:8" ht="12.75">
      <c r="B113" s="114" t="s">
        <v>4589</v>
      </c>
      <c r="C113" s="9">
        <v>541</v>
      </c>
      <c r="D113" s="9" t="s">
        <v>4283</v>
      </c>
      <c r="E113" s="9" t="str">
        <f>IF($B113 = "Mutant",VLOOKUP($C113,Mutants!$A$2:$L$560,12,FALSE),IF($B113 = "Test",VLOOKUP($C113,Tests!$A$2:$L$841,12,FALSE),VLOOKUP($C113,Questions!$A$3:$N$174,9,FALSE)))</f>
        <v>N</v>
      </c>
      <c r="F113" s="187" t="str">
        <f>IF($B113 = "Mutant",VLOOKUP($C113,Mutants!$A$2:$L$560,11,FALSE),IF($B113 = "Test",VLOOKUP($C113,Tests!$A$2:$L$841,11,FALSE),VLOOKUP($C113,Questions!$A$3:$N$174,13,FALSE)))</f>
        <v xml:space="preserve">
</v>
      </c>
      <c r="G113" s="187"/>
      <c r="H113" s="202"/>
    </row>
    <row r="114" spans="2:8" ht="12.75">
      <c r="B114" s="114" t="s">
        <v>4589</v>
      </c>
      <c r="C114" s="9">
        <v>545</v>
      </c>
      <c r="D114" s="9" t="s">
        <v>4295</v>
      </c>
      <c r="E114" s="9" t="str">
        <f>IF($B114 = "Mutant",VLOOKUP($C114,Mutants!$A$2:$L$560,12,FALSE),IF($B114 = "Test",VLOOKUP($C114,Tests!$A$2:$L$841,12,FALSE),VLOOKUP($C114,Questions!$A$3:$N$174,9,FALSE)))</f>
        <v>Y</v>
      </c>
      <c r="F114" s="187" t="str">
        <f>IF($B114 = "Mutant",VLOOKUP($C114,Mutants!$A$2:$L$560,11,FALSE),IF($B114 = "Test",VLOOKUP($C114,Tests!$A$2:$L$841,11,FALSE),VLOOKUP($C114,Questions!$A$3:$N$174,13,FALSE)))</f>
        <v xml:space="preserve">getValues
</v>
      </c>
      <c r="G114" s="187"/>
      <c r="H114" s="202"/>
    </row>
    <row r="115" spans="2:8" ht="12.75">
      <c r="B115" s="114" t="s">
        <v>4589</v>
      </c>
      <c r="C115" s="9">
        <v>549</v>
      </c>
      <c r="D115" s="9" t="s">
        <v>4307</v>
      </c>
      <c r="E115" s="9" t="str">
        <f>IF($B115 = "Mutant",VLOOKUP($C115,Mutants!$A$2:$L$560,12,FALSE),IF($B115 = "Test",VLOOKUP($C115,Tests!$A$2:$L$841,12,FALSE),VLOOKUP($C115,Questions!$A$3:$N$174,9,FALSE)))</f>
        <v>Y</v>
      </c>
      <c r="F115" s="187" t="str">
        <f>IF($B115 = "Mutant",VLOOKUP($C115,Mutants!$A$2:$L$560,11,FALSE),IF($B115 = "Test",VLOOKUP($C115,Tests!$A$2:$L$841,11,FALSE),VLOOKUP($C115,Questions!$A$3:$N$174,13,FALSE)))</f>
        <v xml:space="preserve">toString
</v>
      </c>
      <c r="G115" s="187"/>
      <c r="H115" s="202"/>
    </row>
    <row r="116" spans="2:8" ht="12.75">
      <c r="B116" s="133" t="s">
        <v>4589</v>
      </c>
      <c r="C116" s="130">
        <v>557</v>
      </c>
      <c r="D116" s="130" t="s">
        <v>4327</v>
      </c>
      <c r="E116" s="130" t="str">
        <f>IF($B116 = "Mutant",VLOOKUP($C116,Mutants!$A$2:$L$560,12,FALSE),IF($B116 = "Test",VLOOKUP($C116,Tests!$A$2:$L$841,12,FALSE),VLOOKUP($C116,Questions!$A$3:$N$174,9,FALSE)))</f>
        <v>Y</v>
      </c>
      <c r="F116" s="203" t="str">
        <f>IF($B116 = "Mutant",VLOOKUP($C116,Mutants!$A$2:$L$560,11,FALSE),IF($B116 = "Test",VLOOKUP($C116,Tests!$A$2:$L$841,11,FALSE),VLOOKUP($C116,Questions!$A$3:$N$174,13,FALSE)))</f>
        <v xml:space="preserve">getValues
</v>
      </c>
      <c r="G116" s="203"/>
      <c r="H116" s="204"/>
    </row>
    <row r="117" spans="2:8" ht="15.75" customHeight="1">
      <c r="E117" s="9"/>
      <c r="F117" s="187"/>
      <c r="G117" s="187"/>
      <c r="H117" s="187"/>
    </row>
    <row r="118" spans="2:8" ht="15.75" customHeight="1">
      <c r="E118" s="9"/>
      <c r="F118" s="187"/>
      <c r="G118" s="187"/>
      <c r="H118" s="187"/>
    </row>
    <row r="119" spans="2:8" ht="13.5" thickBot="1">
      <c r="B119" s="219" t="s">
        <v>4604</v>
      </c>
      <c r="C119" s="201"/>
      <c r="D119" s="45">
        <v>196</v>
      </c>
      <c r="E119" s="9"/>
      <c r="F119" s="187"/>
      <c r="G119" s="187"/>
      <c r="H119" s="187"/>
    </row>
    <row r="120" spans="2:8" ht="13.5" thickTop="1">
      <c r="B120" s="134" t="s">
        <v>4594</v>
      </c>
      <c r="C120" s="135" t="s">
        <v>44</v>
      </c>
      <c r="D120" s="135" t="s">
        <v>110</v>
      </c>
      <c r="E120" s="136" t="s">
        <v>2</v>
      </c>
      <c r="F120" s="229" t="s">
        <v>4612</v>
      </c>
      <c r="G120" s="229"/>
      <c r="H120" s="230"/>
    </row>
    <row r="121" spans="2:8" ht="12.75">
      <c r="B121" s="137" t="s">
        <v>4589</v>
      </c>
      <c r="C121" s="93">
        <v>376</v>
      </c>
      <c r="D121" s="93" t="s">
        <v>3855</v>
      </c>
      <c r="E121" s="93" t="str">
        <f>IF($B121 = "Mutant",VLOOKUP($C121,Mutants!$A$2:$L$560,12,FALSE),IF($B121 = "Test",VLOOKUP($C121,Tests!$A$2:$L$841,12,FALSE),VLOOKUP($C121,Questions!$A$3:$N$174,9,FALSE)))</f>
        <v>Y</v>
      </c>
      <c r="F121" s="205" t="str">
        <f>IF($B121 = "Mutant",VLOOKUP($C121,Mutants!$A$2:$L$560,11,FALSE),IF($B121 = "Test",VLOOKUP($C121,Tests!$A$2:$L$841,11,FALSE),VLOOKUP($C121,Questions!$A$3:$N$174,13,FALSE)))</f>
        <v xml:space="preserve">removeField
</v>
      </c>
      <c r="G121" s="205"/>
      <c r="H121" s="206"/>
    </row>
    <row r="122" spans="2:8" ht="12.75">
      <c r="B122" s="114" t="s">
        <v>4589</v>
      </c>
      <c r="C122" s="9">
        <v>392</v>
      </c>
      <c r="D122" s="9" t="s">
        <v>3896</v>
      </c>
      <c r="E122" s="9" t="str">
        <f>IF($B122 = "Mutant",VLOOKUP($C122,Mutants!$A$2:$L$560,12,FALSE),IF($B122 = "Test",VLOOKUP($C122,Tests!$A$2:$L$841,12,FALSE),VLOOKUP($C122,Questions!$A$3:$N$174,9,FALSE)))</f>
        <v>Y</v>
      </c>
      <c r="F122" s="187" t="str">
        <f>IF($B122 = "Mutant",VLOOKUP($C122,Mutants!$A$2:$L$560,11,FALSE),IF($B122 = "Test",VLOOKUP($C122,Tests!$A$2:$L$841,11,FALSE),VLOOKUP($C122,Questions!$A$3:$N$174,13,FALSE)))</f>
        <v xml:space="preserve">getBinaryValue
</v>
      </c>
      <c r="G122" s="187"/>
      <c r="H122" s="202"/>
    </row>
    <row r="123" spans="2:8" ht="12.75">
      <c r="B123" s="114" t="s">
        <v>4589</v>
      </c>
      <c r="C123" s="9">
        <v>403</v>
      </c>
      <c r="D123" s="9" t="s">
        <v>3929</v>
      </c>
      <c r="E123" s="9" t="str">
        <f>IF($B123 = "Mutant",VLOOKUP($C123,Mutants!$A$2:$L$560,12,FALSE),IF($B123 = "Test",VLOOKUP($C123,Tests!$A$2:$L$841,12,FALSE),VLOOKUP($C123,Questions!$A$3:$N$174,9,FALSE)))</f>
        <v>Y</v>
      </c>
      <c r="F123" s="187" t="str">
        <f>IF($B123 = "Mutant",VLOOKUP($C123,Mutants!$A$2:$L$560,11,FALSE),IF($B123 = "Test",VLOOKUP($C123,Tests!$A$2:$L$841,11,FALSE),VLOOKUP($C123,Questions!$A$3:$N$174,13,FALSE)))</f>
        <v xml:space="preserve">get
</v>
      </c>
      <c r="G123" s="187"/>
      <c r="H123" s="202"/>
    </row>
    <row r="124" spans="2:8" ht="12.75">
      <c r="B124" s="114" t="s">
        <v>4590</v>
      </c>
      <c r="C124" s="9">
        <v>532</v>
      </c>
      <c r="D124" s="9" t="s">
        <v>384</v>
      </c>
      <c r="E124" s="9" t="str">
        <f>IF($B124 = "Mutant",VLOOKUP($C124,Mutants!$A$2:$L$560,12,FALSE),IF($B124 = "Test",VLOOKUP($C124,Tests!$A$2:$L$841,12,FALSE),VLOOKUP($C124,Questions!$A$3:$N$174,9,FALSE)))</f>
        <v>N</v>
      </c>
      <c r="F124" s="187" t="str">
        <f>IF($B124 = "Mutant",VLOOKUP($C124,Mutants!$A$2:$L$560,11,FALSE),IF($B124 = "Test",VLOOKUP($C124,Tests!$A$2:$L$841,11,FALSE),VLOOKUP($C124,Questions!$A$3:$N$174,13,FALSE)))</f>
        <v xml:space="preserve">
</v>
      </c>
      <c r="G124" s="187"/>
      <c r="H124" s="202"/>
    </row>
    <row r="125" spans="2:8" ht="12.75">
      <c r="B125" s="114" t="s">
        <v>4590</v>
      </c>
      <c r="C125" s="9">
        <v>542</v>
      </c>
      <c r="D125" s="9" t="s">
        <v>1970</v>
      </c>
      <c r="E125" s="9" t="str">
        <f>IF($B125 = "Mutant",VLOOKUP($C125,Mutants!$A$2:$L$560,12,FALSE),IF($B125 = "Test",VLOOKUP($C125,Tests!$A$2:$L$841,12,FALSE),VLOOKUP($C125,Questions!$A$3:$N$174,9,FALSE)))</f>
        <v>Y</v>
      </c>
      <c r="F125" s="187" t="str">
        <f>IF($B125 = "Mutant",VLOOKUP($C125,Mutants!$A$2:$L$560,11,FALSE),IF($B125 = "Test",VLOOKUP($C125,Tests!$A$2:$L$841,11,FALSE),VLOOKUP($C125,Questions!$A$3:$N$174,13,FALSE)))</f>
        <v xml:space="preserve">add, getBinaryValues
</v>
      </c>
      <c r="G125" s="187"/>
      <c r="H125" s="202"/>
    </row>
    <row r="126" spans="2:8" ht="12.75">
      <c r="B126" s="114" t="s">
        <v>4590</v>
      </c>
      <c r="C126" s="9">
        <v>547</v>
      </c>
      <c r="D126" s="9" t="s">
        <v>1985</v>
      </c>
      <c r="E126" s="9" t="str">
        <f>IF($B126 = "Mutant",VLOOKUP($C126,Mutants!$A$2:$L$560,12,FALSE),IF($B126 = "Test",VLOOKUP($C126,Tests!$A$2:$L$841,12,FALSE),VLOOKUP($C126,Questions!$A$3:$N$174,9,FALSE)))</f>
        <v>Y</v>
      </c>
      <c r="F126" s="187" t="str">
        <f>IF($B126 = "Mutant",VLOOKUP($C126,Mutants!$A$2:$L$560,11,FALSE),IF($B126 = "Test",VLOOKUP($C126,Tests!$A$2:$L$841,11,FALSE),VLOOKUP($C126,Questions!$A$3:$N$174,13,FALSE)))</f>
        <v xml:space="preserve">add, getBinaryValues
</v>
      </c>
      <c r="G126" s="187"/>
      <c r="H126" s="202"/>
    </row>
    <row r="127" spans="2:8" ht="12.75">
      <c r="B127" s="114" t="s">
        <v>4590</v>
      </c>
      <c r="C127" s="9">
        <v>553</v>
      </c>
      <c r="D127" s="9" t="s">
        <v>2002</v>
      </c>
      <c r="E127" s="9" t="str">
        <f>IF($B127 = "Mutant",VLOOKUP($C127,Mutants!$A$2:$L$560,12,FALSE),IF($B127 = "Test",VLOOKUP($C127,Tests!$A$2:$L$841,12,FALSE),VLOOKUP($C127,Questions!$A$3:$N$174,9,FALSE)))</f>
        <v>N</v>
      </c>
      <c r="F127" s="187" t="str">
        <f>IF($B127 = "Mutant",VLOOKUP($C127,Mutants!$A$2:$L$560,11,FALSE),IF($B127 = "Test",VLOOKUP($C127,Tests!$A$2:$L$841,11,FALSE),VLOOKUP($C127,Questions!$A$3:$N$174,13,FALSE)))</f>
        <v xml:space="preserve">
</v>
      </c>
      <c r="G127" s="187"/>
      <c r="H127" s="202"/>
    </row>
    <row r="128" spans="2:8" ht="12.75">
      <c r="B128" s="114" t="s">
        <v>4590</v>
      </c>
      <c r="C128" s="9">
        <v>571</v>
      </c>
      <c r="D128" s="9" t="s">
        <v>2058</v>
      </c>
      <c r="E128" s="9" t="str">
        <f>IF($B128 = "Mutant",VLOOKUP($C128,Mutants!$A$2:$L$560,12,FALSE),IF($B128 = "Test",VLOOKUP($C128,Tests!$A$2:$L$841,12,FALSE),VLOOKUP($C128,Questions!$A$3:$N$174,9,FALSE)))</f>
        <v>N</v>
      </c>
      <c r="F128" s="187" t="str">
        <f>IF($B128 = "Mutant",VLOOKUP($C128,Mutants!$A$2:$L$560,11,FALSE),IF($B128 = "Test",VLOOKUP($C128,Tests!$A$2:$L$841,11,FALSE),VLOOKUP($C128,Questions!$A$3:$N$174,13,FALSE)))</f>
        <v xml:space="preserve">
</v>
      </c>
      <c r="G128" s="187"/>
      <c r="H128" s="202"/>
    </row>
    <row r="129" spans="2:8" ht="12.75">
      <c r="B129" s="114" t="s">
        <v>4590</v>
      </c>
      <c r="C129" s="9">
        <v>577</v>
      </c>
      <c r="D129" s="9" t="s">
        <v>2077</v>
      </c>
      <c r="E129" s="9" t="str">
        <f>IF($B129 = "Mutant",VLOOKUP($C129,Mutants!$A$2:$L$560,12,FALSE),IF($B129 = "Test",VLOOKUP($C129,Tests!$A$2:$L$841,12,FALSE),VLOOKUP($C129,Questions!$A$3:$N$174,9,FALSE)))</f>
        <v>Y</v>
      </c>
      <c r="F129" s="187" t="str">
        <f>IF($B129 = "Mutant",VLOOKUP($C129,Mutants!$A$2:$L$560,11,FALSE),IF($B129 = "Test",VLOOKUP($C129,Tests!$A$2:$L$841,11,FALSE),VLOOKUP($C129,Questions!$A$3:$N$174,13,FALSE)))</f>
        <v xml:space="preserve">add, getBinaryValues
</v>
      </c>
      <c r="G129" s="187"/>
      <c r="H129" s="202"/>
    </row>
    <row r="130" spans="2:8" ht="12.75">
      <c r="B130" s="114" t="s">
        <v>4590</v>
      </c>
      <c r="C130" s="9">
        <v>589</v>
      </c>
      <c r="D130" s="9" t="s">
        <v>2112</v>
      </c>
      <c r="E130" s="9" t="str">
        <f>IF($B130 = "Mutant",VLOOKUP($C130,Mutants!$A$2:$L$560,12,FALSE),IF($B130 = "Test",VLOOKUP($C130,Tests!$A$2:$L$841,12,FALSE),VLOOKUP($C130,Questions!$A$3:$N$174,9,FALSE)))</f>
        <v>Y</v>
      </c>
      <c r="F130" s="187" t="str">
        <f>IF($B130 = "Mutant",VLOOKUP($C130,Mutants!$A$2:$L$560,11,FALSE),IF($B130 = "Test",VLOOKUP($C130,Tests!$A$2:$L$841,11,FALSE),VLOOKUP($C130,Questions!$A$3:$N$174,13,FALSE)))</f>
        <v xml:space="preserve">add, getBinaryValues
</v>
      </c>
      <c r="G130" s="187"/>
      <c r="H130" s="202"/>
    </row>
    <row r="131" spans="2:8" ht="12.75">
      <c r="B131" s="114" t="s">
        <v>4590</v>
      </c>
      <c r="C131" s="9">
        <v>611</v>
      </c>
      <c r="D131" s="9" t="s">
        <v>2171</v>
      </c>
      <c r="E131" s="9" t="str">
        <f>IF($B131 = "Mutant",VLOOKUP($C131,Mutants!$A$2:$L$560,12,FALSE),IF($B131 = "Test",VLOOKUP($C131,Tests!$A$2:$L$841,12,FALSE),VLOOKUP($C131,Questions!$A$3:$N$174,9,FALSE)))</f>
        <v>Y</v>
      </c>
      <c r="F131" s="187" t="str">
        <f>IF($B131 = "Mutant",VLOOKUP($C131,Mutants!$A$2:$L$560,11,FALSE),IF($B131 = "Test",VLOOKUP($C131,Tests!$A$2:$L$841,11,FALSE),VLOOKUP($C131,Questions!$A$3:$N$174,13,FALSE)))</f>
        <v xml:space="preserve">add, getBinaryValues
</v>
      </c>
      <c r="G131" s="187"/>
      <c r="H131" s="202"/>
    </row>
    <row r="132" spans="2:8" ht="12.75">
      <c r="B132" s="114" t="s">
        <v>4590</v>
      </c>
      <c r="C132" s="9">
        <v>630</v>
      </c>
      <c r="D132" s="9" t="s">
        <v>2226</v>
      </c>
      <c r="E132" s="9" t="str">
        <f>IF($B132 = "Mutant",VLOOKUP($C132,Mutants!$A$2:$L$560,12,FALSE),IF($B132 = "Test",VLOOKUP($C132,Tests!$A$2:$L$841,12,FALSE),VLOOKUP($C132,Questions!$A$3:$N$174,9,FALSE)))</f>
        <v>Y</v>
      </c>
      <c r="F132" s="187" t="str">
        <f>IF($B132 = "Mutant",VLOOKUP($C132,Mutants!$A$2:$L$560,11,FALSE),IF($B132 = "Test",VLOOKUP($C132,Tests!$A$2:$L$841,11,FALSE),VLOOKUP($C132,Questions!$A$3:$N$174,13,FALSE)))</f>
        <v xml:space="preserve">add, getFields_2
</v>
      </c>
      <c r="G132" s="187"/>
      <c r="H132" s="202"/>
    </row>
    <row r="133" spans="2:8" ht="12.75">
      <c r="B133" s="114" t="s">
        <v>4590</v>
      </c>
      <c r="C133" s="9">
        <v>640</v>
      </c>
      <c r="D133" s="9" t="s">
        <v>2257</v>
      </c>
      <c r="E133" s="9" t="str">
        <f>IF($B133 = "Mutant",VLOOKUP($C133,Mutants!$A$2:$L$560,12,FALSE),IF($B133 = "Test",VLOOKUP($C133,Tests!$A$2:$L$841,12,FALSE),VLOOKUP($C133,Questions!$A$3:$N$174,9,FALSE)))</f>
        <v>Y</v>
      </c>
      <c r="F133" s="187" t="str">
        <f>IF($B133 = "Mutant",VLOOKUP($C133,Mutants!$A$2:$L$560,11,FALSE),IF($B133 = "Test",VLOOKUP($C133,Tests!$A$2:$L$841,11,FALSE),VLOOKUP($C133,Questions!$A$3:$N$174,13,FALSE)))</f>
        <v xml:space="preserve">add, getBinaryValues
</v>
      </c>
      <c r="G133" s="187"/>
      <c r="H133" s="202"/>
    </row>
    <row r="134" spans="2:8" ht="12.75">
      <c r="B134" s="114" t="s">
        <v>4590</v>
      </c>
      <c r="C134" s="9">
        <v>680</v>
      </c>
      <c r="D134" s="9" t="s">
        <v>456</v>
      </c>
      <c r="E134" s="9" t="str">
        <f>IF($B134 = "Mutant",VLOOKUP($C134,Mutants!$A$2:$L$560,12,FALSE),IF($B134 = "Test",VLOOKUP($C134,Tests!$A$2:$L$841,12,FALSE),VLOOKUP($C134,Questions!$A$3:$N$174,9,FALSE)))</f>
        <v>Y</v>
      </c>
      <c r="F134" s="187" t="str">
        <f>IF($B134 = "Mutant",VLOOKUP($C134,Mutants!$A$2:$L$560,11,FALSE),IF($B134 = "Test",VLOOKUP($C134,Tests!$A$2:$L$841,11,FALSE),VLOOKUP($C134,Questions!$A$3:$N$174,13,FALSE)))</f>
        <v xml:space="preserve">add, getBinaryValues
</v>
      </c>
      <c r="G134" s="187"/>
      <c r="H134" s="202"/>
    </row>
    <row r="135" spans="2:8" ht="12.75">
      <c r="B135" s="114" t="s">
        <v>4590</v>
      </c>
      <c r="C135" s="9">
        <v>753</v>
      </c>
      <c r="D135" s="9" t="s">
        <v>462</v>
      </c>
      <c r="E135" s="9" t="str">
        <f>IF($B135 = "Mutant",VLOOKUP($C135,Mutants!$A$2:$L$560,12,FALSE),IF($B135 = "Test",VLOOKUP($C135,Tests!$A$2:$L$841,12,FALSE),VLOOKUP($C135,Questions!$A$3:$N$174,9,FALSE)))</f>
        <v>Y</v>
      </c>
      <c r="F135" s="187" t="str">
        <f>IF($B135 = "Mutant",VLOOKUP($C135,Mutants!$A$2:$L$560,11,FALSE),IF($B135 = "Test",VLOOKUP($C135,Tests!$A$2:$L$841,11,FALSE),VLOOKUP($C135,Questions!$A$3:$N$174,13,FALSE)))</f>
        <v xml:space="preserve">add, removeFields, getFields_2
</v>
      </c>
      <c r="G135" s="187"/>
      <c r="H135" s="202"/>
    </row>
    <row r="136" spans="2:8" ht="12.75">
      <c r="B136" s="114" t="s">
        <v>4590</v>
      </c>
      <c r="C136" s="9">
        <v>841</v>
      </c>
      <c r="D136" s="9" t="s">
        <v>552</v>
      </c>
      <c r="E136" s="9" t="str">
        <f>IF($B136 = "Mutant",VLOOKUP($C136,Mutants!$A$2:$L$560,12,FALSE),IF($B136 = "Test",VLOOKUP($C136,Tests!$A$2:$L$841,12,FALSE),VLOOKUP($C136,Questions!$A$3:$N$174,9,FALSE)))</f>
        <v>Y</v>
      </c>
      <c r="F136" s="187" t="str">
        <f>IF($B136 = "Mutant",VLOOKUP($C136,Mutants!$A$2:$L$560,11,FALSE),IF($B136 = "Test",VLOOKUP($C136,Tests!$A$2:$L$841,11,FALSE),VLOOKUP($C136,Questions!$A$3:$N$174,13,FALSE)))</f>
        <v xml:space="preserve">add, getValues
</v>
      </c>
      <c r="G136" s="187"/>
      <c r="H136" s="202"/>
    </row>
    <row r="137" spans="2:8" ht="12.75">
      <c r="B137" s="114" t="s">
        <v>4590</v>
      </c>
      <c r="C137" s="9">
        <v>850</v>
      </c>
      <c r="D137" s="9" t="s">
        <v>2815</v>
      </c>
      <c r="E137" s="9" t="str">
        <f>IF($B137 = "Mutant",VLOOKUP($C137,Mutants!$A$2:$L$560,12,FALSE),IF($B137 = "Test",VLOOKUP($C137,Tests!$A$2:$L$841,12,FALSE),VLOOKUP($C137,Questions!$A$3:$N$174,9,FALSE)))</f>
        <v>Y</v>
      </c>
      <c r="F137" s="187" t="str">
        <f>IF($B137 = "Mutant",VLOOKUP($C137,Mutants!$A$2:$L$560,11,FALSE),IF($B137 = "Test",VLOOKUP($C137,Tests!$A$2:$L$841,11,FALSE),VLOOKUP($C137,Questions!$A$3:$N$174,13,FALSE)))</f>
        <v xml:space="preserve">add, getValues
</v>
      </c>
      <c r="G137" s="187"/>
      <c r="H137" s="202"/>
    </row>
    <row r="138" spans="2:8" ht="12.75">
      <c r="B138" s="114" t="s">
        <v>4590</v>
      </c>
      <c r="C138" s="9">
        <v>870</v>
      </c>
      <c r="D138" s="9" t="s">
        <v>2882</v>
      </c>
      <c r="E138" s="9" t="str">
        <f>IF($B138 = "Mutant",VLOOKUP($C138,Mutants!$A$2:$L$560,12,FALSE),IF($B138 = "Test",VLOOKUP($C138,Tests!$A$2:$L$841,12,FALSE),VLOOKUP($C138,Questions!$A$3:$N$174,9,FALSE)))</f>
        <v>N</v>
      </c>
      <c r="F138" s="187" t="str">
        <f>IF($B138 = "Mutant",VLOOKUP($C138,Mutants!$A$2:$L$560,11,FALSE),IF($B138 = "Test",VLOOKUP($C138,Tests!$A$2:$L$841,11,FALSE),VLOOKUP($C138,Questions!$A$3:$N$174,13,FALSE)))</f>
        <v xml:space="preserve">
</v>
      </c>
      <c r="G138" s="187"/>
      <c r="H138" s="202"/>
    </row>
    <row r="139" spans="2:8" ht="12.75">
      <c r="B139" s="114" t="s">
        <v>4590</v>
      </c>
      <c r="C139" s="9">
        <v>875</v>
      </c>
      <c r="D139" s="9" t="s">
        <v>2895</v>
      </c>
      <c r="E139" s="9" t="str">
        <f>IF($B139 = "Mutant",VLOOKUP($C139,Mutants!$A$2:$L$560,12,FALSE),IF($B139 = "Test",VLOOKUP($C139,Tests!$A$2:$L$841,12,FALSE),VLOOKUP($C139,Questions!$A$3:$N$174,9,FALSE)))</f>
        <v>Y</v>
      </c>
      <c r="F139" s="187" t="str">
        <f>IF($B139 = "Mutant",VLOOKUP($C139,Mutants!$A$2:$L$560,11,FALSE),IF($B139 = "Test",VLOOKUP($C139,Tests!$A$2:$L$841,11,FALSE),VLOOKUP($C139,Questions!$A$3:$N$174,13,FALSE)))</f>
        <v xml:space="preserve">add, getValues
</v>
      </c>
      <c r="G139" s="187"/>
      <c r="H139" s="202"/>
    </row>
    <row r="140" spans="2:8" ht="12.75">
      <c r="B140" s="114" t="s">
        <v>4590</v>
      </c>
      <c r="C140" s="9">
        <v>888</v>
      </c>
      <c r="D140" s="9" t="s">
        <v>2934</v>
      </c>
      <c r="E140" s="9" t="str">
        <f>IF($B140 = "Mutant",VLOOKUP($C140,Mutants!$A$2:$L$560,12,FALSE),IF($B140 = "Test",VLOOKUP($C140,Tests!$A$2:$L$841,12,FALSE),VLOOKUP($C140,Questions!$A$3:$N$174,9,FALSE)))</f>
        <v>Y</v>
      </c>
      <c r="F140" s="187" t="str">
        <f>IF($B140 = "Mutant",VLOOKUP($C140,Mutants!$A$2:$L$560,11,FALSE),IF($B140 = "Test",VLOOKUP($C140,Tests!$A$2:$L$841,11,FALSE),VLOOKUP($C140,Questions!$A$3:$N$174,13,FALSE)))</f>
        <v xml:space="preserve">add, getValues
</v>
      </c>
      <c r="G140" s="187"/>
      <c r="H140" s="202"/>
    </row>
    <row r="141" spans="2:8" ht="12.75">
      <c r="B141" s="114" t="s">
        <v>4590</v>
      </c>
      <c r="C141" s="9">
        <v>916</v>
      </c>
      <c r="D141" s="9" t="s">
        <v>3017</v>
      </c>
      <c r="E141" s="9" t="str">
        <f>IF($B141 = "Mutant",VLOOKUP($C141,Mutants!$A$2:$L$560,12,FALSE),IF($B141 = "Test",VLOOKUP($C141,Tests!$A$2:$L$841,12,FALSE),VLOOKUP($C141,Questions!$A$3:$N$174,9,FALSE)))</f>
        <v>N</v>
      </c>
      <c r="F141" s="187" t="str">
        <f>IF($B141 = "Mutant",VLOOKUP($C141,Mutants!$A$2:$L$560,11,FALSE),IF($B141 = "Test",VLOOKUP($C141,Tests!$A$2:$L$841,11,FALSE),VLOOKUP($C141,Questions!$A$3:$N$174,13,FALSE)))</f>
        <v xml:space="preserve">
</v>
      </c>
      <c r="G141" s="187"/>
      <c r="H141" s="202"/>
    </row>
    <row r="142" spans="2:8" ht="12.75">
      <c r="B142" s="133" t="s">
        <v>4590</v>
      </c>
      <c r="C142" s="130">
        <v>931</v>
      </c>
      <c r="D142" s="130" t="s">
        <v>3054</v>
      </c>
      <c r="E142" s="130" t="str">
        <f>IF($B142 = "Mutant",VLOOKUP($C142,Mutants!$A$2:$L$560,12,FALSE),IF($B142 = "Test",VLOOKUP($C142,Tests!$A$2:$L$841,12,FALSE),VLOOKUP($C142,Questions!$A$3:$N$174,9,FALSE)))</f>
        <v>N</v>
      </c>
      <c r="F142" s="203" t="str">
        <f>IF($B142 = "Mutant",VLOOKUP($C142,Mutants!$A$2:$L$560,11,FALSE),IF($B142 = "Test",VLOOKUP($C142,Tests!$A$2:$L$841,11,FALSE),VLOOKUP($C142,Questions!$A$3:$N$174,13,FALSE)))</f>
        <v xml:space="preserve">
</v>
      </c>
      <c r="G142" s="203"/>
      <c r="H142" s="204"/>
    </row>
  </sheetData>
  <mergeCells count="104">
    <mergeCell ref="F50:H50"/>
    <mergeCell ref="F51:H51"/>
    <mergeCell ref="F52:H52"/>
    <mergeCell ref="F53:H53"/>
    <mergeCell ref="F54:H54"/>
    <mergeCell ref="B12:C12"/>
    <mergeCell ref="B5:C5"/>
    <mergeCell ref="B6:C6"/>
    <mergeCell ref="B7:C7"/>
    <mergeCell ref="B8:C8"/>
    <mergeCell ref="B9:C9"/>
    <mergeCell ref="F60:H60"/>
    <mergeCell ref="F61:H61"/>
    <mergeCell ref="F62:H62"/>
    <mergeCell ref="F63:H63"/>
    <mergeCell ref="F64:H64"/>
    <mergeCell ref="F55:H55"/>
    <mergeCell ref="F56:H56"/>
    <mergeCell ref="F57:H57"/>
    <mergeCell ref="F58:H58"/>
    <mergeCell ref="F59:H59"/>
    <mergeCell ref="F70:H70"/>
    <mergeCell ref="F71:H71"/>
    <mergeCell ref="F72:H72"/>
    <mergeCell ref="F73:H73"/>
    <mergeCell ref="F74:H74"/>
    <mergeCell ref="F65:H65"/>
    <mergeCell ref="F66:H66"/>
    <mergeCell ref="F67:H67"/>
    <mergeCell ref="F68:H68"/>
    <mergeCell ref="F69:H69"/>
    <mergeCell ref="F80:H80"/>
    <mergeCell ref="F81:H81"/>
    <mergeCell ref="F82:H82"/>
    <mergeCell ref="F83:H83"/>
    <mergeCell ref="F84:H84"/>
    <mergeCell ref="F75:H75"/>
    <mergeCell ref="F76:H76"/>
    <mergeCell ref="F77:H77"/>
    <mergeCell ref="F78:H78"/>
    <mergeCell ref="F79:H79"/>
    <mergeCell ref="F90:H90"/>
    <mergeCell ref="F91:H91"/>
    <mergeCell ref="F92:H92"/>
    <mergeCell ref="F93:H93"/>
    <mergeCell ref="F94:H94"/>
    <mergeCell ref="F85:H85"/>
    <mergeCell ref="F86:H86"/>
    <mergeCell ref="F87:H87"/>
    <mergeCell ref="F88:H88"/>
    <mergeCell ref="F89:H89"/>
    <mergeCell ref="F100:H100"/>
    <mergeCell ref="F101:H101"/>
    <mergeCell ref="F102:H102"/>
    <mergeCell ref="F103:H103"/>
    <mergeCell ref="F104:H104"/>
    <mergeCell ref="F95:H95"/>
    <mergeCell ref="F96:H96"/>
    <mergeCell ref="F97:H97"/>
    <mergeCell ref="F98:H98"/>
    <mergeCell ref="F99:H99"/>
    <mergeCell ref="F110:H110"/>
    <mergeCell ref="F111:H111"/>
    <mergeCell ref="F112:H112"/>
    <mergeCell ref="F113:H113"/>
    <mergeCell ref="F114:H114"/>
    <mergeCell ref="F105:H105"/>
    <mergeCell ref="F106:H106"/>
    <mergeCell ref="F107:H107"/>
    <mergeCell ref="F108:H108"/>
    <mergeCell ref="F109:H109"/>
    <mergeCell ref="F121:H121"/>
    <mergeCell ref="F122:H122"/>
    <mergeCell ref="F123:H123"/>
    <mergeCell ref="F124:H124"/>
    <mergeCell ref="F115:H115"/>
    <mergeCell ref="F116:H116"/>
    <mergeCell ref="F117:H117"/>
    <mergeCell ref="F118:H118"/>
    <mergeCell ref="F119:H119"/>
    <mergeCell ref="F140:H140"/>
    <mergeCell ref="F141:H141"/>
    <mergeCell ref="F142:H142"/>
    <mergeCell ref="B48:C48"/>
    <mergeCell ref="B83:C83"/>
    <mergeCell ref="B101:C101"/>
    <mergeCell ref="B119:C119"/>
    <mergeCell ref="F49:H49"/>
    <mergeCell ref="F135:H135"/>
    <mergeCell ref="F136:H136"/>
    <mergeCell ref="F137:H137"/>
    <mergeCell ref="F138:H138"/>
    <mergeCell ref="F139:H139"/>
    <mergeCell ref="F130:H130"/>
    <mergeCell ref="F131:H131"/>
    <mergeCell ref="F132:H132"/>
    <mergeCell ref="F133:H133"/>
    <mergeCell ref="F134:H134"/>
    <mergeCell ref="F125:H125"/>
    <mergeCell ref="F126:H126"/>
    <mergeCell ref="F127:H127"/>
    <mergeCell ref="F128:H128"/>
    <mergeCell ref="F129:H129"/>
    <mergeCell ref="F120:H120"/>
  </mergeCells>
  <conditionalFormatting sqref="A48:B48">
    <cfRule type="cellIs" dxfId="233" priority="31" operator="equal">
      <formula>"NO_KILL"</formula>
    </cfRule>
    <cfRule type="cellIs" dxfId="232" priority="32" operator="equal">
      <formula>"KILL"</formula>
    </cfRule>
    <cfRule type="cellIs" dxfId="231" priority="33" operator="equal">
      <formula>"ERROR"</formula>
    </cfRule>
  </conditionalFormatting>
  <conditionalFormatting sqref="A83:B83">
    <cfRule type="cellIs" dxfId="230" priority="25" operator="equal">
      <formula>"NO_KILL"</formula>
    </cfRule>
    <cfRule type="cellIs" dxfId="229" priority="26" operator="equal">
      <formula>"KILL"</formula>
    </cfRule>
    <cfRule type="cellIs" dxfId="228" priority="27" operator="equal">
      <formula>"ERROR"</formula>
    </cfRule>
  </conditionalFormatting>
  <conditionalFormatting sqref="A101:B101">
    <cfRule type="cellIs" dxfId="227" priority="19" operator="equal">
      <formula>"NO_KILL"</formula>
    </cfRule>
    <cfRule type="cellIs" dxfId="226" priority="20" operator="equal">
      <formula>"KILL"</formula>
    </cfRule>
    <cfRule type="cellIs" dxfId="225" priority="21" operator="equal">
      <formula>"ERROR"</formula>
    </cfRule>
  </conditionalFormatting>
  <conditionalFormatting sqref="A119:B119">
    <cfRule type="cellIs" dxfId="224" priority="13" operator="equal">
      <formula>"NO_KILL"</formula>
    </cfRule>
    <cfRule type="cellIs" dxfId="223" priority="14" operator="equal">
      <formula>"KILL"</formula>
    </cfRule>
    <cfRule type="cellIs" dxfId="222" priority="15" operator="equal">
      <formula>"ERROR"</formula>
    </cfRule>
  </conditionalFormatting>
  <conditionalFormatting sqref="A1:Z4 A5:B9 D5:Z9 A10:Z47 D48:Z48 A49:D82 I49:Z142 D83 A84:D100 D101 A102:D118 D119 A120:D142 A143:Z1084">
    <cfRule type="cellIs" dxfId="221" priority="40" operator="equal">
      <formula>"NO_KILL"</formula>
    </cfRule>
    <cfRule type="cellIs" dxfId="220" priority="41" operator="equal">
      <formula>"KILL"</formula>
    </cfRule>
    <cfRule type="cellIs" dxfId="219" priority="42" operator="equal">
      <formula>"ERROR"</formula>
    </cfRule>
  </conditionalFormatting>
  <conditionalFormatting sqref="B46:B1084">
    <cfRule type="cellIs" dxfId="218" priority="16" operator="equal">
      <formula>"Test"</formula>
    </cfRule>
    <cfRule type="cellIs" dxfId="217" priority="17" operator="equal">
      <formula>"Mutant"</formula>
    </cfRule>
    <cfRule type="cellIs" dxfId="216" priority="18" operator="equal">
      <formula>"Question"</formula>
    </cfRule>
  </conditionalFormatting>
  <conditionalFormatting sqref="E49:F142">
    <cfRule type="cellIs" dxfId="215" priority="1" operator="equal">
      <formula>"NO_KILL"</formula>
    </cfRule>
    <cfRule type="cellIs" dxfId="214" priority="2" operator="equal">
      <formula>"KILL"</formula>
    </cfRule>
    <cfRule type="cellIs" dxfId="213" priority="3" operator="equal">
      <formula>"ERROR"</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B2:AT183"/>
  <sheetViews>
    <sheetView topLeftCell="A146" workbookViewId="0">
      <selection activeCell="K164" sqref="K164"/>
    </sheetView>
  </sheetViews>
  <sheetFormatPr defaultColWidth="12.5703125" defaultRowHeight="15.75" customHeight="1"/>
  <cols>
    <col min="4" max="4" width="18.140625" bestFit="1" customWidth="1"/>
    <col min="6" max="6" width="13.85546875" customWidth="1"/>
    <col min="14" max="14" width="13.42578125" customWidth="1"/>
  </cols>
  <sheetData>
    <row r="2" spans="2:46" ht="12.75">
      <c r="B2" s="29" t="s">
        <v>4</v>
      </c>
      <c r="C2" s="29" t="s">
        <v>45</v>
      </c>
      <c r="D2" s="29" t="s">
        <v>46</v>
      </c>
    </row>
    <row r="3" spans="2:46" ht="12.75">
      <c r="B3" s="29">
        <v>119</v>
      </c>
      <c r="C3" s="29" t="s">
        <v>60</v>
      </c>
      <c r="D3" s="127" t="s">
        <v>19</v>
      </c>
    </row>
    <row r="5" spans="2:46" ht="12.75">
      <c r="B5" s="221" t="s">
        <v>3</v>
      </c>
      <c r="C5" s="222"/>
      <c r="D5" s="44" t="s">
        <v>5</v>
      </c>
      <c r="E5" s="43" t="s">
        <v>6</v>
      </c>
      <c r="F5" s="43" t="s">
        <v>7</v>
      </c>
      <c r="G5" s="43" t="s">
        <v>8</v>
      </c>
      <c r="H5" s="44" t="s">
        <v>9</v>
      </c>
      <c r="I5" s="43" t="s">
        <v>10</v>
      </c>
      <c r="J5" s="43" t="s">
        <v>11</v>
      </c>
      <c r="K5" s="44" t="s">
        <v>12</v>
      </c>
      <c r="L5" s="43" t="s">
        <v>13</v>
      </c>
      <c r="M5" s="43" t="s">
        <v>14</v>
      </c>
      <c r="N5" s="61" t="s">
        <v>15</v>
      </c>
    </row>
    <row r="6" spans="2:46" ht="12.75">
      <c r="B6" s="223">
        <v>200</v>
      </c>
      <c r="C6" s="224"/>
      <c r="D6" s="47">
        <f ca="1">COUNTIF(Valid_questions!F$1:F1121, B6)</f>
        <v>0</v>
      </c>
      <c r="E6" s="40">
        <v>0</v>
      </c>
      <c r="F6" s="40">
        <v>7</v>
      </c>
      <c r="G6" s="40">
        <v>0</v>
      </c>
      <c r="H6" s="47">
        <v>7</v>
      </c>
      <c r="I6" s="40">
        <f>COUNTIFS(Tests!E$1:E1121,B6,Tests!D$1:D1121,"&lt;&gt;\N")</f>
        <v>13</v>
      </c>
      <c r="J6" s="40">
        <f>COUNTIFS(Tests!E$1:E1121,B6,Tests!D$1:D1121,"=\N")</f>
        <v>5</v>
      </c>
      <c r="K6" s="47">
        <v>3</v>
      </c>
      <c r="L6" s="40">
        <f>COUNTIFS(Mutants!E$1:E1121,B6,Mutants!D$1:D1121,"&lt;&gt;\N")</f>
        <v>1</v>
      </c>
      <c r="M6" s="40">
        <f>COUNTIFS(Mutants!E$1:E1121,B6,Mutants!D$1:D1121,"=\N")</f>
        <v>1</v>
      </c>
      <c r="N6" s="45">
        <v>1</v>
      </c>
    </row>
    <row r="7" spans="2:46" ht="12.75">
      <c r="B7" s="225">
        <v>201</v>
      </c>
      <c r="C7" s="226"/>
      <c r="D7" s="10">
        <f ca="1">COUNTIF(Valid_questions!F$1:F1121, B7)</f>
        <v>0</v>
      </c>
      <c r="E7" s="9">
        <v>5</v>
      </c>
      <c r="F7" s="9">
        <v>7</v>
      </c>
      <c r="G7" s="9">
        <v>2</v>
      </c>
      <c r="H7" s="10">
        <v>14</v>
      </c>
      <c r="I7" s="9">
        <f>COUNTIFS(Tests!E$1:E1121,B7,Tests!D$1:D1121,"&lt;&gt;\N")</f>
        <v>18</v>
      </c>
      <c r="J7" s="9">
        <f>COUNTIFS(Tests!E$1:E1121,B7,Tests!D$1:D1121,"=\N")</f>
        <v>9</v>
      </c>
      <c r="K7" s="10">
        <v>15</v>
      </c>
      <c r="L7" s="9">
        <f>COUNTIFS(Mutants!E$1:E1121,B7,Mutants!D$1:D1121,"&lt;&gt;\N")</f>
        <v>13</v>
      </c>
      <c r="M7" s="9">
        <f>COUNTIFS(Mutants!E$1:E1121,B7,Mutants!D$1:D1121,"=\N")</f>
        <v>1</v>
      </c>
      <c r="N7" s="14">
        <v>9</v>
      </c>
    </row>
    <row r="8" spans="2:46" ht="12.75">
      <c r="B8" s="225">
        <v>202</v>
      </c>
      <c r="C8" s="226"/>
      <c r="D8" s="10">
        <f ca="1">COUNTIF(Valid_questions!F$1:F1121, B8)</f>
        <v>0</v>
      </c>
      <c r="E8" s="9">
        <v>0</v>
      </c>
      <c r="F8" s="9">
        <v>5</v>
      </c>
      <c r="G8" s="9">
        <v>0</v>
      </c>
      <c r="H8" s="10">
        <v>5</v>
      </c>
      <c r="I8" s="9">
        <f>COUNTIFS(Tests!E$1:E1121,B8,Tests!D$1:D1121,"&lt;&gt;\N")</f>
        <v>7</v>
      </c>
      <c r="J8" s="9">
        <f>COUNTIFS(Tests!E$1:E1121,B8,Tests!D$1:D1121,"=\N")</f>
        <v>0</v>
      </c>
      <c r="K8" s="10">
        <v>6</v>
      </c>
      <c r="L8" s="9">
        <f>COUNTIFS(Mutants!E$1:E1121,B8,Mutants!D$1:D1121,"&lt;&gt;\N")</f>
        <v>0</v>
      </c>
      <c r="M8" s="9">
        <f>COUNTIFS(Mutants!E$1:E1121,B8,Mutants!D$1:D1121,"=\N")</f>
        <v>0</v>
      </c>
      <c r="N8" s="14">
        <v>0</v>
      </c>
    </row>
    <row r="9" spans="2:46" ht="12.75">
      <c r="B9" s="225">
        <v>203</v>
      </c>
      <c r="C9" s="226"/>
      <c r="D9" s="10">
        <f ca="1">COUNTIF(Valid_questions!F$1:F1121, B9)</f>
        <v>0</v>
      </c>
      <c r="E9" s="9">
        <v>17</v>
      </c>
      <c r="F9" s="9">
        <v>3</v>
      </c>
      <c r="G9" s="9">
        <v>5</v>
      </c>
      <c r="H9" s="10">
        <v>25</v>
      </c>
      <c r="I9" s="9">
        <f>COUNTIFS(Tests!E$1:E1121,B9,Tests!D$1:D1121,"&lt;&gt;\N")</f>
        <v>13</v>
      </c>
      <c r="J9" s="9">
        <f>COUNTIFS(Tests!E$1:E1121,B9,Tests!D$1:D1121,"=\N")</f>
        <v>5</v>
      </c>
      <c r="K9" s="10">
        <v>8</v>
      </c>
      <c r="L9" s="9">
        <f>COUNTIFS(Mutants!E$1:E1121,B9,Mutants!D$1:D1121,"&lt;&gt;\N")</f>
        <v>4</v>
      </c>
      <c r="M9" s="9">
        <f>COUNTIFS(Mutants!E$1:E1121,B9,Mutants!D$1:D1121,"=\N")</f>
        <v>1</v>
      </c>
      <c r="N9" s="14">
        <v>4</v>
      </c>
    </row>
    <row r="10" spans="2:46" ht="12.75">
      <c r="B10" s="227">
        <v>204</v>
      </c>
      <c r="C10" s="228"/>
      <c r="D10" s="22">
        <f ca="1">COUNTIF(Valid_questions!F$1:F1121, B10)</f>
        <v>0</v>
      </c>
      <c r="E10" s="21">
        <v>0</v>
      </c>
      <c r="F10" s="21">
        <v>0</v>
      </c>
      <c r="G10" s="21">
        <v>1</v>
      </c>
      <c r="H10" s="22">
        <v>1</v>
      </c>
      <c r="I10" s="21">
        <f>COUNTIFS(Tests!E$1:E1121,B10,Tests!D$1:D1121,"&lt;&gt;\N")</f>
        <v>11</v>
      </c>
      <c r="J10" s="21">
        <f>COUNTIFS(Tests!E$1:E1121,B10,Tests!D$1:D1121,"=\N")</f>
        <v>7</v>
      </c>
      <c r="K10" s="22">
        <v>4</v>
      </c>
      <c r="L10" s="21">
        <f>COUNTIFS(Mutants!E$1:E1121,B10,Mutants!D$1:D1121,"&lt;&gt;\N")</f>
        <v>8</v>
      </c>
      <c r="M10" s="21">
        <f>COUNTIFS(Mutants!E$1:E1121,B10,Mutants!D$1:D1121,"=\N")</f>
        <v>4</v>
      </c>
      <c r="N10" s="38">
        <v>4</v>
      </c>
    </row>
    <row r="13" spans="2:46" ht="27" customHeight="1">
      <c r="B13" s="220" t="s">
        <v>4588</v>
      </c>
      <c r="C13" s="173"/>
    </row>
    <row r="15" spans="2:46" ht="12.75">
      <c r="C15" s="29" t="s">
        <v>4589</v>
      </c>
    </row>
    <row r="16" spans="2:46" ht="12.75">
      <c r="B16" s="29" t="s">
        <v>4590</v>
      </c>
      <c r="C16" s="29"/>
      <c r="D16" s="43">
        <v>479</v>
      </c>
      <c r="E16" s="43">
        <v>480</v>
      </c>
      <c r="F16" s="43">
        <v>482</v>
      </c>
      <c r="G16" s="43">
        <v>484</v>
      </c>
      <c r="H16" s="43">
        <v>487</v>
      </c>
      <c r="I16" s="43">
        <v>498</v>
      </c>
      <c r="J16" s="43">
        <v>506</v>
      </c>
      <c r="K16" s="43">
        <v>525</v>
      </c>
      <c r="L16" s="43">
        <v>530</v>
      </c>
      <c r="M16" s="43">
        <v>557</v>
      </c>
      <c r="N16" s="43">
        <v>563</v>
      </c>
      <c r="O16" s="43">
        <v>606</v>
      </c>
      <c r="P16" s="43">
        <v>607</v>
      </c>
      <c r="Q16" s="43">
        <v>615</v>
      </c>
      <c r="R16" s="43">
        <v>618</v>
      </c>
      <c r="S16" s="43">
        <v>627</v>
      </c>
      <c r="T16" s="43">
        <v>638</v>
      </c>
      <c r="U16" s="43">
        <v>658</v>
      </c>
      <c r="V16" s="43">
        <v>669</v>
      </c>
      <c r="W16" s="43">
        <v>682</v>
      </c>
      <c r="X16" s="43">
        <v>687</v>
      </c>
      <c r="Y16" s="43">
        <v>714</v>
      </c>
      <c r="Z16" s="43">
        <v>738</v>
      </c>
      <c r="AA16" s="43">
        <v>780</v>
      </c>
      <c r="AB16" s="43">
        <v>782</v>
      </c>
      <c r="AC16" s="43">
        <v>785</v>
      </c>
      <c r="AD16" s="43">
        <v>800</v>
      </c>
      <c r="AE16" s="43">
        <v>821</v>
      </c>
      <c r="AF16" s="43">
        <v>825</v>
      </c>
      <c r="AG16" s="43">
        <v>827</v>
      </c>
      <c r="AH16" s="43">
        <v>829</v>
      </c>
      <c r="AI16" s="43">
        <v>843</v>
      </c>
      <c r="AJ16" s="43">
        <v>860</v>
      </c>
      <c r="AK16" s="43">
        <v>867</v>
      </c>
      <c r="AL16" s="43">
        <v>878</v>
      </c>
      <c r="AM16" s="43">
        <v>889</v>
      </c>
      <c r="AN16" s="43">
        <v>895</v>
      </c>
      <c r="AO16" s="43">
        <v>897</v>
      </c>
      <c r="AP16" s="43">
        <v>899</v>
      </c>
      <c r="AQ16" s="43">
        <v>909</v>
      </c>
      <c r="AR16" s="43">
        <v>910</v>
      </c>
      <c r="AS16" s="43">
        <v>929</v>
      </c>
      <c r="AT16" s="61">
        <v>939</v>
      </c>
    </row>
    <row r="17" spans="2:46" ht="12.75">
      <c r="B17" s="9"/>
      <c r="C17" s="81">
        <v>383</v>
      </c>
      <c r="D17" s="9" t="s">
        <v>4591</v>
      </c>
      <c r="E17" s="9" t="s">
        <v>4591</v>
      </c>
      <c r="F17" s="9" t="s">
        <v>4591</v>
      </c>
      <c r="G17" s="9" t="s">
        <v>4591</v>
      </c>
      <c r="H17" s="9" t="s">
        <v>4591</v>
      </c>
      <c r="I17" s="9" t="s">
        <v>4591</v>
      </c>
      <c r="J17" s="9" t="s">
        <v>4591</v>
      </c>
      <c r="K17" s="9" t="s">
        <v>4591</v>
      </c>
      <c r="L17" s="9" t="s">
        <v>4591</v>
      </c>
      <c r="M17" s="9" t="s">
        <v>4591</v>
      </c>
      <c r="N17" s="9" t="s">
        <v>4591</v>
      </c>
      <c r="O17" s="9" t="s">
        <v>4591</v>
      </c>
      <c r="P17" s="9" t="s">
        <v>4591</v>
      </c>
      <c r="Q17" s="9" t="s">
        <v>4591</v>
      </c>
      <c r="R17" s="9" t="s">
        <v>4591</v>
      </c>
      <c r="S17" s="9" t="s">
        <v>4591</v>
      </c>
      <c r="T17" s="9" t="s">
        <v>4593</v>
      </c>
      <c r="U17" s="9" t="s">
        <v>4591</v>
      </c>
      <c r="V17" s="9" t="s">
        <v>4591</v>
      </c>
      <c r="W17" s="9" t="s">
        <v>4591</v>
      </c>
      <c r="X17" s="9" t="s">
        <v>4593</v>
      </c>
      <c r="Y17" s="9" t="s">
        <v>4591</v>
      </c>
      <c r="Z17" s="9" t="s">
        <v>4591</v>
      </c>
      <c r="AA17" s="9" t="s">
        <v>4591</v>
      </c>
      <c r="AB17" s="9" t="s">
        <v>4591</v>
      </c>
      <c r="AC17" s="9" t="s">
        <v>4591</v>
      </c>
      <c r="AD17" s="9" t="s">
        <v>4591</v>
      </c>
      <c r="AE17" s="9" t="s">
        <v>4591</v>
      </c>
      <c r="AF17" s="9" t="s">
        <v>4591</v>
      </c>
      <c r="AG17" s="9" t="s">
        <v>4591</v>
      </c>
      <c r="AH17" s="9" t="s">
        <v>4591</v>
      </c>
      <c r="AI17" s="9" t="s">
        <v>4591</v>
      </c>
      <c r="AJ17" s="9" t="s">
        <v>4591</v>
      </c>
      <c r="AK17" s="9" t="s">
        <v>4592</v>
      </c>
      <c r="AL17" s="9" t="s">
        <v>4591</v>
      </c>
      <c r="AM17" s="9" t="s">
        <v>4591</v>
      </c>
      <c r="AN17" s="9" t="s">
        <v>4591</v>
      </c>
      <c r="AO17" s="9" t="s">
        <v>4591</v>
      </c>
      <c r="AP17" s="9" t="s">
        <v>4591</v>
      </c>
      <c r="AQ17" s="9" t="s">
        <v>4591</v>
      </c>
      <c r="AR17" s="9" t="s">
        <v>4591</v>
      </c>
      <c r="AS17" s="9" t="s">
        <v>4591</v>
      </c>
      <c r="AT17" s="14" t="s">
        <v>4591</v>
      </c>
    </row>
    <row r="18" spans="2:46" ht="12.75">
      <c r="B18" s="9"/>
      <c r="C18" s="81">
        <v>385</v>
      </c>
      <c r="D18" s="9" t="s">
        <v>4591</v>
      </c>
      <c r="E18" s="9" t="s">
        <v>4591</v>
      </c>
      <c r="F18" s="9" t="s">
        <v>4591</v>
      </c>
      <c r="G18" s="9" t="s">
        <v>4591</v>
      </c>
      <c r="H18" s="9" t="s">
        <v>4591</v>
      </c>
      <c r="I18" s="9" t="s">
        <v>4591</v>
      </c>
      <c r="J18" s="9" t="s">
        <v>4591</v>
      </c>
      <c r="K18" s="9" t="s">
        <v>4591</v>
      </c>
      <c r="L18" s="9" t="s">
        <v>4591</v>
      </c>
      <c r="M18" s="9" t="s">
        <v>4593</v>
      </c>
      <c r="N18" s="9" t="s">
        <v>4591</v>
      </c>
      <c r="O18" s="9" t="s">
        <v>4591</v>
      </c>
      <c r="P18" s="9" t="s">
        <v>4591</v>
      </c>
      <c r="Q18" s="9" t="s">
        <v>4591</v>
      </c>
      <c r="R18" s="9" t="s">
        <v>4591</v>
      </c>
      <c r="S18" s="9" t="s">
        <v>4591</v>
      </c>
      <c r="T18" s="9" t="s">
        <v>4591</v>
      </c>
      <c r="U18" s="9" t="s">
        <v>4591</v>
      </c>
      <c r="V18" s="9" t="s">
        <v>4591</v>
      </c>
      <c r="W18" s="9" t="s">
        <v>4591</v>
      </c>
      <c r="X18" s="9" t="s">
        <v>4591</v>
      </c>
      <c r="Y18" s="9" t="s">
        <v>4591</v>
      </c>
      <c r="Z18" s="9" t="s">
        <v>4591</v>
      </c>
      <c r="AA18" s="9" t="s">
        <v>4591</v>
      </c>
      <c r="AB18" s="9" t="s">
        <v>4591</v>
      </c>
      <c r="AC18" s="9" t="s">
        <v>4591</v>
      </c>
      <c r="AD18" s="9" t="s">
        <v>4591</v>
      </c>
      <c r="AE18" s="9" t="s">
        <v>4591</v>
      </c>
      <c r="AF18" s="9" t="s">
        <v>4591</v>
      </c>
      <c r="AG18" s="9" t="s">
        <v>4591</v>
      </c>
      <c r="AH18" s="9" t="s">
        <v>4593</v>
      </c>
      <c r="AI18" s="9" t="s">
        <v>4591</v>
      </c>
      <c r="AJ18" s="9" t="s">
        <v>4591</v>
      </c>
      <c r="AK18" s="9" t="s">
        <v>4591</v>
      </c>
      <c r="AL18" s="9" t="s">
        <v>4591</v>
      </c>
      <c r="AM18" s="9" t="s">
        <v>4591</v>
      </c>
      <c r="AN18" s="9" t="s">
        <v>4591</v>
      </c>
      <c r="AO18" s="9" t="s">
        <v>4591</v>
      </c>
      <c r="AP18" s="9" t="s">
        <v>4591</v>
      </c>
      <c r="AQ18" s="9" t="s">
        <v>4591</v>
      </c>
      <c r="AR18" s="9" t="s">
        <v>4591</v>
      </c>
      <c r="AS18" s="9" t="s">
        <v>4591</v>
      </c>
      <c r="AT18" s="14" t="s">
        <v>4591</v>
      </c>
    </row>
    <row r="19" spans="2:46" ht="12.75">
      <c r="B19" s="9"/>
      <c r="C19" s="81">
        <v>413</v>
      </c>
      <c r="D19" s="9" t="s">
        <v>4595</v>
      </c>
      <c r="E19" s="9" t="s">
        <v>4592</v>
      </c>
      <c r="F19" s="9" t="s">
        <v>4595</v>
      </c>
      <c r="G19" s="9" t="s">
        <v>4595</v>
      </c>
      <c r="H19" s="9" t="s">
        <v>4595</v>
      </c>
      <c r="I19" s="9" t="s">
        <v>4595</v>
      </c>
      <c r="J19" s="9" t="s">
        <v>4595</v>
      </c>
      <c r="K19" s="9" t="s">
        <v>4595</v>
      </c>
      <c r="L19" s="9" t="s">
        <v>4595</v>
      </c>
      <c r="M19" s="9" t="s">
        <v>4595</v>
      </c>
      <c r="N19" s="9" t="s">
        <v>4595</v>
      </c>
      <c r="O19" s="9" t="s">
        <v>4595</v>
      </c>
      <c r="P19" s="9" t="s">
        <v>4595</v>
      </c>
      <c r="Q19" s="9" t="s">
        <v>4595</v>
      </c>
      <c r="R19" s="9" t="s">
        <v>4595</v>
      </c>
      <c r="S19" s="9" t="s">
        <v>4595</v>
      </c>
      <c r="T19" s="9" t="s">
        <v>4595</v>
      </c>
      <c r="U19" s="9" t="s">
        <v>4595</v>
      </c>
      <c r="V19" s="9" t="s">
        <v>4595</v>
      </c>
      <c r="W19" s="9" t="s">
        <v>4595</v>
      </c>
      <c r="X19" s="9" t="s">
        <v>4595</v>
      </c>
      <c r="Y19" s="9" t="s">
        <v>4595</v>
      </c>
      <c r="Z19" s="9" t="s">
        <v>4595</v>
      </c>
      <c r="AA19" s="9" t="s">
        <v>4595</v>
      </c>
      <c r="AB19" s="9" t="s">
        <v>4595</v>
      </c>
      <c r="AC19" s="9" t="s">
        <v>4595</v>
      </c>
      <c r="AD19" s="9" t="s">
        <v>4592</v>
      </c>
      <c r="AE19" s="9" t="s">
        <v>4595</v>
      </c>
      <c r="AF19" s="9" t="s">
        <v>4595</v>
      </c>
      <c r="AG19" s="9" t="s">
        <v>4595</v>
      </c>
      <c r="AH19" s="9" t="s">
        <v>4595</v>
      </c>
      <c r="AI19" s="9" t="s">
        <v>4595</v>
      </c>
      <c r="AJ19" s="9" t="s">
        <v>4595</v>
      </c>
      <c r="AK19" s="9" t="s">
        <v>4595</v>
      </c>
      <c r="AL19" s="9" t="s">
        <v>4595</v>
      </c>
      <c r="AM19" s="9" t="s">
        <v>4595</v>
      </c>
      <c r="AN19" s="9" t="s">
        <v>4595</v>
      </c>
      <c r="AO19" s="9" t="s">
        <v>4595</v>
      </c>
      <c r="AP19" s="9" t="s">
        <v>4595</v>
      </c>
      <c r="AQ19" s="9" t="s">
        <v>4595</v>
      </c>
      <c r="AR19" s="9" t="s">
        <v>4595</v>
      </c>
      <c r="AS19" s="9" t="s">
        <v>4595</v>
      </c>
      <c r="AT19" s="14" t="s">
        <v>4595</v>
      </c>
    </row>
    <row r="20" spans="2:46" ht="12.75">
      <c r="B20" s="9"/>
      <c r="C20" s="81">
        <v>414</v>
      </c>
      <c r="D20" s="9" t="s">
        <v>4591</v>
      </c>
      <c r="E20" s="9" t="s">
        <v>4591</v>
      </c>
      <c r="F20" s="9" t="s">
        <v>4591</v>
      </c>
      <c r="G20" s="9" t="s">
        <v>4591</v>
      </c>
      <c r="H20" s="9" t="s">
        <v>4591</v>
      </c>
      <c r="I20" s="9" t="s">
        <v>4591</v>
      </c>
      <c r="J20" s="9" t="s">
        <v>4591</v>
      </c>
      <c r="K20" s="9" t="s">
        <v>4591</v>
      </c>
      <c r="L20" s="9" t="s">
        <v>4593</v>
      </c>
      <c r="M20" s="9" t="s">
        <v>4591</v>
      </c>
      <c r="N20" s="9" t="s">
        <v>4593</v>
      </c>
      <c r="O20" s="9" t="s">
        <v>4591</v>
      </c>
      <c r="P20" s="9" t="s">
        <v>4591</v>
      </c>
      <c r="Q20" s="9" t="s">
        <v>4591</v>
      </c>
      <c r="R20" s="9" t="s">
        <v>4591</v>
      </c>
      <c r="S20" s="9" t="s">
        <v>4591</v>
      </c>
      <c r="T20" s="9" t="s">
        <v>4591</v>
      </c>
      <c r="U20" s="9" t="s">
        <v>4591</v>
      </c>
      <c r="V20" s="9" t="s">
        <v>4591</v>
      </c>
      <c r="W20" s="9" t="s">
        <v>4591</v>
      </c>
      <c r="X20" s="9" t="s">
        <v>4591</v>
      </c>
      <c r="Y20" s="9" t="s">
        <v>4591</v>
      </c>
      <c r="Z20" s="9" t="s">
        <v>4593</v>
      </c>
      <c r="AA20" s="9" t="s">
        <v>4591</v>
      </c>
      <c r="AB20" s="9" t="s">
        <v>4591</v>
      </c>
      <c r="AC20" s="9" t="s">
        <v>4591</v>
      </c>
      <c r="AD20" s="9" t="s">
        <v>4591</v>
      </c>
      <c r="AE20" s="9" t="s">
        <v>4591</v>
      </c>
      <c r="AF20" s="9" t="s">
        <v>4591</v>
      </c>
      <c r="AG20" s="9" t="s">
        <v>4591</v>
      </c>
      <c r="AH20" s="9" t="s">
        <v>4591</v>
      </c>
      <c r="AI20" s="9" t="s">
        <v>4591</v>
      </c>
      <c r="AJ20" s="9" t="s">
        <v>4591</v>
      </c>
      <c r="AK20" s="9" t="s">
        <v>4591</v>
      </c>
      <c r="AL20" s="9" t="s">
        <v>4591</v>
      </c>
      <c r="AM20" s="9" t="s">
        <v>4591</v>
      </c>
      <c r="AN20" s="9" t="s">
        <v>4591</v>
      </c>
      <c r="AO20" s="9" t="s">
        <v>4591</v>
      </c>
      <c r="AP20" s="9" t="s">
        <v>4591</v>
      </c>
      <c r="AQ20" s="9" t="s">
        <v>4591</v>
      </c>
      <c r="AR20" s="9" t="s">
        <v>4591</v>
      </c>
      <c r="AS20" s="9" t="s">
        <v>4591</v>
      </c>
      <c r="AT20" s="14" t="s">
        <v>4591</v>
      </c>
    </row>
    <row r="21" spans="2:46" ht="12.75">
      <c r="B21" s="9"/>
      <c r="C21" s="81">
        <v>416</v>
      </c>
      <c r="D21" s="9" t="s">
        <v>4592</v>
      </c>
      <c r="E21" s="9" t="s">
        <v>4592</v>
      </c>
      <c r="F21" s="9" t="s">
        <v>4592</v>
      </c>
      <c r="G21" s="9" t="s">
        <v>4592</v>
      </c>
      <c r="H21" s="9" t="s">
        <v>4592</v>
      </c>
      <c r="I21" s="9" t="s">
        <v>4592</v>
      </c>
      <c r="J21" s="9" t="s">
        <v>4592</v>
      </c>
      <c r="K21" s="9" t="s">
        <v>4592</v>
      </c>
      <c r="L21" s="9" t="s">
        <v>4592</v>
      </c>
      <c r="M21" s="9" t="s">
        <v>4592</v>
      </c>
      <c r="N21" s="9" t="s">
        <v>4592</v>
      </c>
      <c r="O21" s="9" t="s">
        <v>4592</v>
      </c>
      <c r="P21" s="9" t="s">
        <v>4592</v>
      </c>
      <c r="Q21" s="9" t="s">
        <v>4592</v>
      </c>
      <c r="R21" s="9" t="s">
        <v>4592</v>
      </c>
      <c r="S21" s="9" t="s">
        <v>4592</v>
      </c>
      <c r="T21" s="9" t="s">
        <v>4592</v>
      </c>
      <c r="U21" s="9" t="s">
        <v>4592</v>
      </c>
      <c r="V21" s="9" t="s">
        <v>4592</v>
      </c>
      <c r="W21" s="9" t="s">
        <v>4592</v>
      </c>
      <c r="X21" s="9" t="s">
        <v>4592</v>
      </c>
      <c r="Y21" s="9" t="s">
        <v>4593</v>
      </c>
      <c r="Z21" s="9" t="s">
        <v>4592</v>
      </c>
      <c r="AA21" s="9" t="s">
        <v>4592</v>
      </c>
      <c r="AB21" s="9" t="s">
        <v>4592</v>
      </c>
      <c r="AC21" s="9" t="s">
        <v>4592</v>
      </c>
      <c r="AD21" s="9" t="s">
        <v>4592</v>
      </c>
      <c r="AE21" s="9" t="s">
        <v>4592</v>
      </c>
      <c r="AF21" s="9" t="s">
        <v>4592</v>
      </c>
      <c r="AG21" s="9" t="s">
        <v>4592</v>
      </c>
      <c r="AH21" s="9" t="s">
        <v>4592</v>
      </c>
      <c r="AI21" s="9" t="s">
        <v>4592</v>
      </c>
      <c r="AJ21" s="9" t="s">
        <v>4592</v>
      </c>
      <c r="AK21" s="9" t="s">
        <v>4592</v>
      </c>
      <c r="AL21" s="9" t="s">
        <v>4592</v>
      </c>
      <c r="AM21" s="9" t="s">
        <v>4592</v>
      </c>
      <c r="AN21" s="9" t="s">
        <v>4592</v>
      </c>
      <c r="AO21" s="9" t="s">
        <v>4592</v>
      </c>
      <c r="AP21" s="9" t="s">
        <v>4592</v>
      </c>
      <c r="AQ21" s="9" t="s">
        <v>4592</v>
      </c>
      <c r="AR21" s="9" t="s">
        <v>4592</v>
      </c>
      <c r="AS21" s="9" t="s">
        <v>4592</v>
      </c>
      <c r="AT21" s="14" t="s">
        <v>4592</v>
      </c>
    </row>
    <row r="22" spans="2:46" ht="12.75">
      <c r="B22" s="9"/>
      <c r="C22" s="81">
        <v>433</v>
      </c>
      <c r="D22" s="9" t="s">
        <v>4591</v>
      </c>
      <c r="E22" s="9" t="s">
        <v>4591</v>
      </c>
      <c r="F22" s="9" t="s">
        <v>4591</v>
      </c>
      <c r="G22" s="9" t="s">
        <v>4591</v>
      </c>
      <c r="H22" s="9" t="s">
        <v>4591</v>
      </c>
      <c r="I22" s="9" t="s">
        <v>4591</v>
      </c>
      <c r="J22" s="9" t="s">
        <v>4591</v>
      </c>
      <c r="K22" s="9" t="s">
        <v>4591</v>
      </c>
      <c r="L22" s="9" t="s">
        <v>4591</v>
      </c>
      <c r="M22" s="9" t="s">
        <v>4591</v>
      </c>
      <c r="N22" s="9" t="s">
        <v>4591</v>
      </c>
      <c r="O22" s="9" t="s">
        <v>4591</v>
      </c>
      <c r="P22" s="9" t="s">
        <v>4591</v>
      </c>
      <c r="Q22" s="9" t="s">
        <v>4591</v>
      </c>
      <c r="R22" s="9" t="s">
        <v>4591</v>
      </c>
      <c r="S22" s="9" t="s">
        <v>4591</v>
      </c>
      <c r="T22" s="9" t="s">
        <v>4591</v>
      </c>
      <c r="U22" s="9" t="s">
        <v>4591</v>
      </c>
      <c r="V22" s="9" t="s">
        <v>4591</v>
      </c>
      <c r="W22" s="9" t="s">
        <v>4591</v>
      </c>
      <c r="X22" s="9" t="s">
        <v>4591</v>
      </c>
      <c r="Y22" s="9" t="s">
        <v>4591</v>
      </c>
      <c r="Z22" s="9" t="s">
        <v>4591</v>
      </c>
      <c r="AA22" s="9" t="s">
        <v>4591</v>
      </c>
      <c r="AB22" s="9" t="s">
        <v>4592</v>
      </c>
      <c r="AC22" s="9" t="s">
        <v>4591</v>
      </c>
      <c r="AD22" s="9" t="s">
        <v>4591</v>
      </c>
      <c r="AE22" s="9" t="s">
        <v>4591</v>
      </c>
      <c r="AF22" s="9" t="s">
        <v>4595</v>
      </c>
      <c r="AG22" s="9" t="s">
        <v>4591</v>
      </c>
      <c r="AH22" s="9" t="s">
        <v>4591</v>
      </c>
      <c r="AI22" s="9" t="s">
        <v>4595</v>
      </c>
      <c r="AJ22" s="9" t="s">
        <v>4591</v>
      </c>
      <c r="AK22" s="9" t="s">
        <v>4591</v>
      </c>
      <c r="AL22" s="9" t="s">
        <v>4591</v>
      </c>
      <c r="AM22" s="9" t="s">
        <v>4591</v>
      </c>
      <c r="AN22" s="9" t="s">
        <v>4591</v>
      </c>
      <c r="AO22" s="9" t="s">
        <v>4591</v>
      </c>
      <c r="AP22" s="9" t="s">
        <v>4592</v>
      </c>
      <c r="AQ22" s="9" t="s">
        <v>4591</v>
      </c>
      <c r="AR22" s="9" t="s">
        <v>4591</v>
      </c>
      <c r="AS22" s="9" t="s">
        <v>4591</v>
      </c>
      <c r="AT22" s="14" t="s">
        <v>4591</v>
      </c>
    </row>
    <row r="23" spans="2:46" ht="12.75">
      <c r="B23" s="9"/>
      <c r="C23" s="81">
        <v>441</v>
      </c>
      <c r="D23" s="9" t="s">
        <v>4591</v>
      </c>
      <c r="E23" s="9" t="s">
        <v>4591</v>
      </c>
      <c r="F23" s="9" t="s">
        <v>4591</v>
      </c>
      <c r="G23" s="9" t="s">
        <v>4591</v>
      </c>
      <c r="H23" s="9" t="s">
        <v>4591</v>
      </c>
      <c r="I23" s="9" t="s">
        <v>4591</v>
      </c>
      <c r="J23" s="9" t="s">
        <v>4591</v>
      </c>
      <c r="K23" s="9" t="s">
        <v>4591</v>
      </c>
      <c r="L23" s="9" t="s">
        <v>4591</v>
      </c>
      <c r="M23" s="9" t="s">
        <v>4591</v>
      </c>
      <c r="N23" s="9" t="s">
        <v>4591</v>
      </c>
      <c r="O23" s="9" t="s">
        <v>4593</v>
      </c>
      <c r="P23" s="9" t="s">
        <v>4591</v>
      </c>
      <c r="Q23" s="9" t="s">
        <v>4591</v>
      </c>
      <c r="R23" s="9" t="s">
        <v>4591</v>
      </c>
      <c r="S23" s="9" t="s">
        <v>4591</v>
      </c>
      <c r="T23" s="9" t="s">
        <v>4591</v>
      </c>
      <c r="U23" s="9" t="s">
        <v>4591</v>
      </c>
      <c r="V23" s="9" t="s">
        <v>4591</v>
      </c>
      <c r="W23" s="9" t="s">
        <v>4591</v>
      </c>
      <c r="X23" s="9" t="s">
        <v>4591</v>
      </c>
      <c r="Y23" s="9" t="s">
        <v>4591</v>
      </c>
      <c r="Z23" s="9" t="s">
        <v>4591</v>
      </c>
      <c r="AA23" s="9" t="s">
        <v>4591</v>
      </c>
      <c r="AB23" s="9" t="s">
        <v>4592</v>
      </c>
      <c r="AC23" s="9" t="s">
        <v>4591</v>
      </c>
      <c r="AD23" s="9" t="s">
        <v>4591</v>
      </c>
      <c r="AE23" s="9" t="s">
        <v>4591</v>
      </c>
      <c r="AF23" s="9" t="s">
        <v>4592</v>
      </c>
      <c r="AG23" s="9" t="s">
        <v>4591</v>
      </c>
      <c r="AH23" s="9" t="s">
        <v>4591</v>
      </c>
      <c r="AI23" s="9" t="s">
        <v>4592</v>
      </c>
      <c r="AJ23" s="9" t="s">
        <v>4591</v>
      </c>
      <c r="AK23" s="9" t="s">
        <v>4591</v>
      </c>
      <c r="AL23" s="9" t="s">
        <v>4591</v>
      </c>
      <c r="AM23" s="9" t="s">
        <v>4591</v>
      </c>
      <c r="AN23" s="9" t="s">
        <v>4591</v>
      </c>
      <c r="AO23" s="9" t="s">
        <v>4591</v>
      </c>
      <c r="AP23" s="9" t="s">
        <v>4592</v>
      </c>
      <c r="AQ23" s="9" t="s">
        <v>4591</v>
      </c>
      <c r="AR23" s="9" t="s">
        <v>4591</v>
      </c>
      <c r="AS23" s="9" t="s">
        <v>4591</v>
      </c>
      <c r="AT23" s="14" t="s">
        <v>4591</v>
      </c>
    </row>
    <row r="24" spans="2:46" ht="12.75">
      <c r="B24" s="9"/>
      <c r="C24" s="81">
        <v>442</v>
      </c>
      <c r="D24" s="9" t="s">
        <v>4593</v>
      </c>
      <c r="E24" s="9" t="s">
        <v>4591</v>
      </c>
      <c r="F24" s="9" t="s">
        <v>4593</v>
      </c>
      <c r="G24" s="9" t="s">
        <v>4593</v>
      </c>
      <c r="H24" s="9" t="s">
        <v>4591</v>
      </c>
      <c r="I24" s="9" t="s">
        <v>4593</v>
      </c>
      <c r="J24" s="9" t="s">
        <v>4593</v>
      </c>
      <c r="K24" s="9" t="s">
        <v>4593</v>
      </c>
      <c r="L24" s="9" t="s">
        <v>4593</v>
      </c>
      <c r="M24" s="9" t="s">
        <v>4593</v>
      </c>
      <c r="N24" s="9" t="s">
        <v>4591</v>
      </c>
      <c r="O24" s="9" t="s">
        <v>4591</v>
      </c>
      <c r="P24" s="9" t="s">
        <v>4593</v>
      </c>
      <c r="Q24" s="9" t="s">
        <v>4591</v>
      </c>
      <c r="R24" s="9" t="s">
        <v>4591</v>
      </c>
      <c r="S24" s="9" t="s">
        <v>4591</v>
      </c>
      <c r="T24" s="9" t="s">
        <v>4593</v>
      </c>
      <c r="U24" s="9" t="s">
        <v>4591</v>
      </c>
      <c r="V24" s="9" t="s">
        <v>4591</v>
      </c>
      <c r="W24" s="9" t="s">
        <v>4591</v>
      </c>
      <c r="X24" s="9" t="s">
        <v>4593</v>
      </c>
      <c r="Y24" s="9" t="s">
        <v>4591</v>
      </c>
      <c r="Z24" s="9" t="s">
        <v>4591</v>
      </c>
      <c r="AA24" s="9" t="s">
        <v>4591</v>
      </c>
      <c r="AB24" s="9" t="s">
        <v>4591</v>
      </c>
      <c r="AC24" s="9" t="s">
        <v>4591</v>
      </c>
      <c r="AD24" s="9" t="s">
        <v>4591</v>
      </c>
      <c r="AE24" s="9" t="s">
        <v>4591</v>
      </c>
      <c r="AF24" s="9" t="s">
        <v>4591</v>
      </c>
      <c r="AG24" s="9" t="s">
        <v>4591</v>
      </c>
      <c r="AH24" s="9" t="s">
        <v>4591</v>
      </c>
      <c r="AI24" s="9" t="s">
        <v>4591</v>
      </c>
      <c r="AJ24" s="9" t="s">
        <v>4591</v>
      </c>
      <c r="AK24" s="9" t="s">
        <v>4591</v>
      </c>
      <c r="AL24" s="9" t="s">
        <v>4591</v>
      </c>
      <c r="AM24" s="9" t="s">
        <v>4591</v>
      </c>
      <c r="AN24" s="9" t="s">
        <v>4591</v>
      </c>
      <c r="AO24" s="9" t="s">
        <v>4591</v>
      </c>
      <c r="AP24" s="9" t="s">
        <v>4591</v>
      </c>
      <c r="AQ24" s="9" t="s">
        <v>4591</v>
      </c>
      <c r="AR24" s="9" t="s">
        <v>4591</v>
      </c>
      <c r="AS24" s="9" t="s">
        <v>4591</v>
      </c>
      <c r="AT24" s="14" t="s">
        <v>4591</v>
      </c>
    </row>
    <row r="25" spans="2:46" ht="12.75">
      <c r="B25" s="9"/>
      <c r="C25" s="81">
        <v>471</v>
      </c>
      <c r="D25" s="9" t="s">
        <v>4591</v>
      </c>
      <c r="E25" s="9" t="s">
        <v>4591</v>
      </c>
      <c r="F25" s="9" t="s">
        <v>4591</v>
      </c>
      <c r="G25" s="9" t="s">
        <v>4591</v>
      </c>
      <c r="H25" s="9" t="s">
        <v>4591</v>
      </c>
      <c r="I25" s="9" t="s">
        <v>4592</v>
      </c>
      <c r="J25" s="9" t="s">
        <v>4592</v>
      </c>
      <c r="K25" s="9" t="s">
        <v>4592</v>
      </c>
      <c r="L25" s="9" t="s">
        <v>4591</v>
      </c>
      <c r="M25" s="9" t="s">
        <v>4591</v>
      </c>
      <c r="N25" s="9" t="s">
        <v>4591</v>
      </c>
      <c r="O25" s="9" t="s">
        <v>4591</v>
      </c>
      <c r="P25" s="9" t="s">
        <v>4591</v>
      </c>
      <c r="Q25" s="9" t="s">
        <v>4591</v>
      </c>
      <c r="R25" s="9" t="s">
        <v>4591</v>
      </c>
      <c r="S25" s="9" t="s">
        <v>4591</v>
      </c>
      <c r="T25" s="9" t="s">
        <v>4591</v>
      </c>
      <c r="U25" s="9" t="s">
        <v>4591</v>
      </c>
      <c r="V25" s="9" t="s">
        <v>4591</v>
      </c>
      <c r="W25" s="9" t="s">
        <v>4591</v>
      </c>
      <c r="X25" s="9" t="s">
        <v>4591</v>
      </c>
      <c r="Y25" s="9" t="s">
        <v>4591</v>
      </c>
      <c r="Z25" s="9" t="s">
        <v>4591</v>
      </c>
      <c r="AA25" s="9" t="s">
        <v>4591</v>
      </c>
      <c r="AB25" s="9" t="s">
        <v>4591</v>
      </c>
      <c r="AC25" s="9" t="s">
        <v>4591</v>
      </c>
      <c r="AD25" s="9" t="s">
        <v>4591</v>
      </c>
      <c r="AE25" s="9" t="s">
        <v>4591</v>
      </c>
      <c r="AF25" s="9" t="s">
        <v>4591</v>
      </c>
      <c r="AG25" s="9" t="s">
        <v>4591</v>
      </c>
      <c r="AH25" s="9" t="s">
        <v>4591</v>
      </c>
      <c r="AI25" s="9" t="s">
        <v>4591</v>
      </c>
      <c r="AJ25" s="9" t="s">
        <v>4591</v>
      </c>
      <c r="AK25" s="9" t="s">
        <v>4591</v>
      </c>
      <c r="AL25" s="9" t="s">
        <v>4591</v>
      </c>
      <c r="AM25" s="9" t="s">
        <v>4591</v>
      </c>
      <c r="AN25" s="9" t="s">
        <v>4591</v>
      </c>
      <c r="AO25" s="9" t="s">
        <v>4591</v>
      </c>
      <c r="AP25" s="9" t="s">
        <v>4591</v>
      </c>
      <c r="AQ25" s="9" t="s">
        <v>4591</v>
      </c>
      <c r="AR25" s="9" t="s">
        <v>4591</v>
      </c>
      <c r="AS25" s="9" t="s">
        <v>4591</v>
      </c>
      <c r="AT25" s="14" t="s">
        <v>4591</v>
      </c>
    </row>
    <row r="26" spans="2:46" ht="12.75">
      <c r="B26" s="9"/>
      <c r="C26" s="81">
        <v>477</v>
      </c>
      <c r="D26" s="9" t="s">
        <v>4591</v>
      </c>
      <c r="E26" s="9" t="s">
        <v>4591</v>
      </c>
      <c r="F26" s="9" t="s">
        <v>4591</v>
      </c>
      <c r="G26" s="9" t="s">
        <v>4591</v>
      </c>
      <c r="H26" s="9" t="s">
        <v>4591</v>
      </c>
      <c r="I26" s="9" t="s">
        <v>4591</v>
      </c>
      <c r="J26" s="9" t="s">
        <v>4591</v>
      </c>
      <c r="K26" s="9" t="s">
        <v>4591</v>
      </c>
      <c r="L26" s="9" t="s">
        <v>4595</v>
      </c>
      <c r="M26" s="9" t="s">
        <v>4591</v>
      </c>
      <c r="N26" s="9" t="s">
        <v>4595</v>
      </c>
      <c r="O26" s="9" t="s">
        <v>4591</v>
      </c>
      <c r="P26" s="9" t="s">
        <v>4591</v>
      </c>
      <c r="Q26" s="9" t="s">
        <v>4591</v>
      </c>
      <c r="R26" s="9" t="s">
        <v>4591</v>
      </c>
      <c r="S26" s="9" t="s">
        <v>4591</v>
      </c>
      <c r="T26" s="9" t="s">
        <v>4591</v>
      </c>
      <c r="U26" s="9" t="s">
        <v>4591</v>
      </c>
      <c r="V26" s="9" t="s">
        <v>4591</v>
      </c>
      <c r="W26" s="9" t="s">
        <v>4591</v>
      </c>
      <c r="X26" s="9" t="s">
        <v>4591</v>
      </c>
      <c r="Y26" s="9" t="s">
        <v>4591</v>
      </c>
      <c r="Z26" s="9" t="s">
        <v>4593</v>
      </c>
      <c r="AA26" s="9" t="s">
        <v>4591</v>
      </c>
      <c r="AB26" s="9" t="s">
        <v>4591</v>
      </c>
      <c r="AC26" s="9" t="s">
        <v>4591</v>
      </c>
      <c r="AD26" s="9" t="s">
        <v>4591</v>
      </c>
      <c r="AE26" s="9" t="s">
        <v>4591</v>
      </c>
      <c r="AF26" s="9" t="s">
        <v>4591</v>
      </c>
      <c r="AG26" s="9" t="s">
        <v>4591</v>
      </c>
      <c r="AH26" s="9" t="s">
        <v>4591</v>
      </c>
      <c r="AI26" s="9" t="s">
        <v>4591</v>
      </c>
      <c r="AJ26" s="9" t="s">
        <v>4591</v>
      </c>
      <c r="AK26" s="9" t="s">
        <v>4591</v>
      </c>
      <c r="AL26" s="9" t="s">
        <v>4591</v>
      </c>
      <c r="AM26" s="9" t="s">
        <v>4591</v>
      </c>
      <c r="AN26" s="9" t="s">
        <v>4591</v>
      </c>
      <c r="AO26" s="9" t="s">
        <v>4591</v>
      </c>
      <c r="AP26" s="9" t="s">
        <v>4591</v>
      </c>
      <c r="AQ26" s="9" t="s">
        <v>4591</v>
      </c>
      <c r="AR26" s="9" t="s">
        <v>4591</v>
      </c>
      <c r="AS26" s="9" t="s">
        <v>4591</v>
      </c>
      <c r="AT26" s="14" t="s">
        <v>4591</v>
      </c>
    </row>
    <row r="27" spans="2:46" ht="12.75">
      <c r="B27" s="9"/>
      <c r="C27" s="81">
        <v>484</v>
      </c>
      <c r="D27" s="9" t="s">
        <v>4592</v>
      </c>
      <c r="E27" s="9" t="s">
        <v>4591</v>
      </c>
      <c r="F27" s="9" t="s">
        <v>4592</v>
      </c>
      <c r="G27" s="9" t="s">
        <v>4592</v>
      </c>
      <c r="H27" s="9" t="s">
        <v>4591</v>
      </c>
      <c r="I27" s="9" t="s">
        <v>4592</v>
      </c>
      <c r="J27" s="9" t="s">
        <v>4592</v>
      </c>
      <c r="K27" s="9" t="s">
        <v>4592</v>
      </c>
      <c r="L27" s="9" t="s">
        <v>4592</v>
      </c>
      <c r="M27" s="9" t="s">
        <v>4592</v>
      </c>
      <c r="N27" s="9" t="s">
        <v>4591</v>
      </c>
      <c r="O27" s="9" t="s">
        <v>4591</v>
      </c>
      <c r="P27" s="9" t="s">
        <v>4592</v>
      </c>
      <c r="Q27" s="9" t="s">
        <v>4591</v>
      </c>
      <c r="R27" s="9" t="s">
        <v>4591</v>
      </c>
      <c r="S27" s="9" t="s">
        <v>4591</v>
      </c>
      <c r="T27" s="9" t="s">
        <v>4592</v>
      </c>
      <c r="U27" s="9" t="s">
        <v>4591</v>
      </c>
      <c r="V27" s="9" t="s">
        <v>4591</v>
      </c>
      <c r="W27" s="9" t="s">
        <v>4591</v>
      </c>
      <c r="X27" s="9" t="s">
        <v>4592</v>
      </c>
      <c r="Y27" s="9" t="s">
        <v>4591</v>
      </c>
      <c r="Z27" s="9" t="s">
        <v>4591</v>
      </c>
      <c r="AA27" s="9" t="s">
        <v>4591</v>
      </c>
      <c r="AB27" s="9" t="s">
        <v>4591</v>
      </c>
      <c r="AC27" s="9" t="s">
        <v>4591</v>
      </c>
      <c r="AD27" s="9" t="s">
        <v>4591</v>
      </c>
      <c r="AE27" s="9" t="s">
        <v>4591</v>
      </c>
      <c r="AF27" s="9" t="s">
        <v>4591</v>
      </c>
      <c r="AG27" s="9" t="s">
        <v>4591</v>
      </c>
      <c r="AH27" s="9" t="s">
        <v>4591</v>
      </c>
      <c r="AI27" s="9" t="s">
        <v>4591</v>
      </c>
      <c r="AJ27" s="9" t="s">
        <v>4591</v>
      </c>
      <c r="AK27" s="9" t="s">
        <v>4591</v>
      </c>
      <c r="AL27" s="9" t="s">
        <v>4591</v>
      </c>
      <c r="AM27" s="9" t="s">
        <v>4591</v>
      </c>
      <c r="AN27" s="9" t="s">
        <v>4591</v>
      </c>
      <c r="AO27" s="9" t="s">
        <v>4591</v>
      </c>
      <c r="AP27" s="9" t="s">
        <v>4591</v>
      </c>
      <c r="AQ27" s="9" t="s">
        <v>4591</v>
      </c>
      <c r="AR27" s="9" t="s">
        <v>4591</v>
      </c>
      <c r="AS27" s="9" t="s">
        <v>4591</v>
      </c>
      <c r="AT27" s="14" t="s">
        <v>4591</v>
      </c>
    </row>
    <row r="28" spans="2:46" ht="12.75">
      <c r="B28" s="9"/>
      <c r="C28" s="81">
        <v>506</v>
      </c>
      <c r="D28" s="9" t="s">
        <v>4591</v>
      </c>
      <c r="E28" s="9" t="s">
        <v>4591</v>
      </c>
      <c r="F28" s="9" t="s">
        <v>4591</v>
      </c>
      <c r="G28" s="9" t="s">
        <v>4591</v>
      </c>
      <c r="H28" s="9" t="s">
        <v>4591</v>
      </c>
      <c r="I28" s="9" t="s">
        <v>4591</v>
      </c>
      <c r="J28" s="9" t="s">
        <v>4591</v>
      </c>
      <c r="K28" s="9" t="s">
        <v>4591</v>
      </c>
      <c r="L28" s="9" t="s">
        <v>4591</v>
      </c>
      <c r="M28" s="9" t="s">
        <v>4591</v>
      </c>
      <c r="N28" s="9" t="s">
        <v>4591</v>
      </c>
      <c r="O28" s="9" t="s">
        <v>4593</v>
      </c>
      <c r="P28" s="9" t="s">
        <v>4591</v>
      </c>
      <c r="Q28" s="9" t="s">
        <v>4591</v>
      </c>
      <c r="R28" s="9" t="s">
        <v>4591</v>
      </c>
      <c r="S28" s="9" t="s">
        <v>4591</v>
      </c>
      <c r="T28" s="9" t="s">
        <v>4591</v>
      </c>
      <c r="U28" s="9" t="s">
        <v>4591</v>
      </c>
      <c r="V28" s="9" t="s">
        <v>4591</v>
      </c>
      <c r="W28" s="9" t="s">
        <v>4593</v>
      </c>
      <c r="X28" s="9" t="s">
        <v>4591</v>
      </c>
      <c r="Y28" s="9" t="s">
        <v>4591</v>
      </c>
      <c r="Z28" s="9" t="s">
        <v>4591</v>
      </c>
      <c r="AA28" s="9" t="s">
        <v>4595</v>
      </c>
      <c r="AB28" s="9" t="s">
        <v>4593</v>
      </c>
      <c r="AC28" s="9" t="s">
        <v>4591</v>
      </c>
      <c r="AD28" s="9" t="s">
        <v>4591</v>
      </c>
      <c r="AE28" s="9" t="s">
        <v>4591</v>
      </c>
      <c r="AF28" s="9" t="s">
        <v>4595</v>
      </c>
      <c r="AG28" s="9" t="s">
        <v>4591</v>
      </c>
      <c r="AH28" s="9" t="s">
        <v>4591</v>
      </c>
      <c r="AI28" s="9" t="s">
        <v>4592</v>
      </c>
      <c r="AJ28" s="9" t="s">
        <v>4591</v>
      </c>
      <c r="AK28" s="9" t="s">
        <v>4593</v>
      </c>
      <c r="AL28" s="9" t="s">
        <v>4591</v>
      </c>
      <c r="AM28" s="9" t="s">
        <v>4593</v>
      </c>
      <c r="AN28" s="9" t="s">
        <v>4591</v>
      </c>
      <c r="AO28" s="9" t="s">
        <v>4591</v>
      </c>
      <c r="AP28" s="9" t="s">
        <v>4593</v>
      </c>
      <c r="AQ28" s="9" t="s">
        <v>4591</v>
      </c>
      <c r="AR28" s="9" t="s">
        <v>4591</v>
      </c>
      <c r="AS28" s="9" t="s">
        <v>4591</v>
      </c>
      <c r="AT28" s="14" t="s">
        <v>4591</v>
      </c>
    </row>
    <row r="29" spans="2:46" ht="12.75">
      <c r="B29" s="9"/>
      <c r="C29" s="81">
        <v>520</v>
      </c>
      <c r="D29" s="9" t="s">
        <v>4595</v>
      </c>
      <c r="E29" s="9" t="s">
        <v>4591</v>
      </c>
      <c r="F29" s="9" t="s">
        <v>4595</v>
      </c>
      <c r="G29" s="9" t="s">
        <v>4595</v>
      </c>
      <c r="H29" s="9" t="s">
        <v>4591</v>
      </c>
      <c r="I29" s="9" t="s">
        <v>4595</v>
      </c>
      <c r="J29" s="9" t="s">
        <v>4595</v>
      </c>
      <c r="K29" s="9" t="s">
        <v>4595</v>
      </c>
      <c r="L29" s="9" t="s">
        <v>4595</v>
      </c>
      <c r="M29" s="9" t="s">
        <v>4595</v>
      </c>
      <c r="N29" s="9" t="s">
        <v>4591</v>
      </c>
      <c r="O29" s="9" t="s">
        <v>4591</v>
      </c>
      <c r="P29" s="9" t="s">
        <v>4595</v>
      </c>
      <c r="Q29" s="9" t="s">
        <v>4591</v>
      </c>
      <c r="R29" s="9" t="s">
        <v>4591</v>
      </c>
      <c r="S29" s="9" t="s">
        <v>4591</v>
      </c>
      <c r="T29" s="9" t="s">
        <v>4595</v>
      </c>
      <c r="U29" s="9" t="s">
        <v>4591</v>
      </c>
      <c r="V29" s="9" t="s">
        <v>4591</v>
      </c>
      <c r="W29" s="9" t="s">
        <v>4591</v>
      </c>
      <c r="X29" s="9" t="s">
        <v>4595</v>
      </c>
      <c r="Y29" s="9" t="s">
        <v>4591</v>
      </c>
      <c r="Z29" s="9" t="s">
        <v>4591</v>
      </c>
      <c r="AA29" s="9" t="s">
        <v>4591</v>
      </c>
      <c r="AB29" s="9" t="s">
        <v>4591</v>
      </c>
      <c r="AC29" s="9" t="s">
        <v>4591</v>
      </c>
      <c r="AD29" s="9" t="s">
        <v>4591</v>
      </c>
      <c r="AE29" s="9" t="s">
        <v>4591</v>
      </c>
      <c r="AF29" s="9" t="s">
        <v>4591</v>
      </c>
      <c r="AG29" s="9" t="s">
        <v>4591</v>
      </c>
      <c r="AH29" s="9" t="s">
        <v>4591</v>
      </c>
      <c r="AI29" s="9" t="s">
        <v>4591</v>
      </c>
      <c r="AJ29" s="9" t="s">
        <v>4591</v>
      </c>
      <c r="AK29" s="9" t="s">
        <v>4591</v>
      </c>
      <c r="AL29" s="9" t="s">
        <v>4591</v>
      </c>
      <c r="AM29" s="9" t="s">
        <v>4591</v>
      </c>
      <c r="AN29" s="9" t="s">
        <v>4591</v>
      </c>
      <c r="AO29" s="9" t="s">
        <v>4591</v>
      </c>
      <c r="AP29" s="9" t="s">
        <v>4591</v>
      </c>
      <c r="AQ29" s="9" t="s">
        <v>4591</v>
      </c>
      <c r="AR29" s="9" t="s">
        <v>4591</v>
      </c>
      <c r="AS29" s="9" t="s">
        <v>4591</v>
      </c>
      <c r="AT29" s="14" t="s">
        <v>4591</v>
      </c>
    </row>
    <row r="30" spans="2:46" ht="12.75">
      <c r="B30" s="9"/>
      <c r="C30" s="81">
        <v>551</v>
      </c>
      <c r="D30" s="9" t="s">
        <v>4592</v>
      </c>
      <c r="E30" s="9" t="s">
        <v>4592</v>
      </c>
      <c r="F30" s="9" t="s">
        <v>4592</v>
      </c>
      <c r="G30" s="9" t="s">
        <v>4592</v>
      </c>
      <c r="H30" s="9" t="s">
        <v>4592</v>
      </c>
      <c r="I30" s="9" t="s">
        <v>4592</v>
      </c>
      <c r="J30" s="9" t="s">
        <v>4592</v>
      </c>
      <c r="K30" s="9" t="s">
        <v>4592</v>
      </c>
      <c r="L30" s="9" t="s">
        <v>4592</v>
      </c>
      <c r="M30" s="9" t="s">
        <v>4592</v>
      </c>
      <c r="N30" s="9" t="s">
        <v>4592</v>
      </c>
      <c r="O30" s="9" t="s">
        <v>4592</v>
      </c>
      <c r="P30" s="9" t="s">
        <v>4592</v>
      </c>
      <c r="Q30" s="9" t="s">
        <v>4592</v>
      </c>
      <c r="R30" s="9" t="s">
        <v>4592</v>
      </c>
      <c r="S30" s="9" t="s">
        <v>4592</v>
      </c>
      <c r="T30" s="9" t="s">
        <v>4592</v>
      </c>
      <c r="U30" s="9" t="s">
        <v>4592</v>
      </c>
      <c r="V30" s="9" t="s">
        <v>4592</v>
      </c>
      <c r="W30" s="9" t="s">
        <v>4592</v>
      </c>
      <c r="X30" s="9" t="s">
        <v>4592</v>
      </c>
      <c r="Y30" s="9" t="s">
        <v>4592</v>
      </c>
      <c r="Z30" s="9" t="s">
        <v>4592</v>
      </c>
      <c r="AA30" s="9" t="s">
        <v>4592</v>
      </c>
      <c r="AB30" s="9" t="s">
        <v>4592</v>
      </c>
      <c r="AC30" s="9" t="s">
        <v>4592</v>
      </c>
      <c r="AD30" s="9" t="s">
        <v>4592</v>
      </c>
      <c r="AE30" s="9" t="s">
        <v>4592</v>
      </c>
      <c r="AF30" s="9" t="s">
        <v>4592</v>
      </c>
      <c r="AG30" s="9" t="s">
        <v>4592</v>
      </c>
      <c r="AH30" s="9" t="s">
        <v>4592</v>
      </c>
      <c r="AI30" s="9" t="s">
        <v>4592</v>
      </c>
      <c r="AJ30" s="9" t="s">
        <v>4592</v>
      </c>
      <c r="AK30" s="9" t="s">
        <v>4592</v>
      </c>
      <c r="AL30" s="9" t="s">
        <v>4592</v>
      </c>
      <c r="AM30" s="9" t="s">
        <v>4592</v>
      </c>
      <c r="AN30" s="9" t="s">
        <v>4592</v>
      </c>
      <c r="AO30" s="9" t="s">
        <v>4592</v>
      </c>
      <c r="AP30" s="9" t="s">
        <v>4592</v>
      </c>
      <c r="AQ30" s="9" t="s">
        <v>4592</v>
      </c>
      <c r="AR30" s="9" t="s">
        <v>4592</v>
      </c>
      <c r="AS30" s="9" t="s">
        <v>4592</v>
      </c>
      <c r="AT30" s="14" t="s">
        <v>4592</v>
      </c>
    </row>
    <row r="31" spans="2:46" ht="12.75">
      <c r="B31" s="9"/>
      <c r="C31" s="81">
        <v>562</v>
      </c>
      <c r="D31" s="9" t="s">
        <v>4591</v>
      </c>
      <c r="E31" s="9" t="s">
        <v>4591</v>
      </c>
      <c r="F31" s="9" t="s">
        <v>4591</v>
      </c>
      <c r="G31" s="9" t="s">
        <v>4591</v>
      </c>
      <c r="H31" s="9" t="s">
        <v>4591</v>
      </c>
      <c r="I31" s="9" t="s">
        <v>4591</v>
      </c>
      <c r="J31" s="9" t="s">
        <v>4591</v>
      </c>
      <c r="K31" s="9" t="s">
        <v>4591</v>
      </c>
      <c r="L31" s="9" t="s">
        <v>4591</v>
      </c>
      <c r="M31" s="9" t="s">
        <v>4591</v>
      </c>
      <c r="N31" s="9" t="s">
        <v>4591</v>
      </c>
      <c r="O31" s="9" t="s">
        <v>4591</v>
      </c>
      <c r="P31" s="9" t="s">
        <v>4591</v>
      </c>
      <c r="Q31" s="9" t="s">
        <v>4591</v>
      </c>
      <c r="R31" s="9" t="s">
        <v>4591</v>
      </c>
      <c r="S31" s="9" t="s">
        <v>4591</v>
      </c>
      <c r="T31" s="9" t="s">
        <v>4591</v>
      </c>
      <c r="U31" s="9" t="s">
        <v>4592</v>
      </c>
      <c r="V31" s="9" t="s">
        <v>4591</v>
      </c>
      <c r="W31" s="9" t="s">
        <v>4591</v>
      </c>
      <c r="X31" s="9" t="s">
        <v>4591</v>
      </c>
      <c r="Y31" s="9" t="s">
        <v>4591</v>
      </c>
      <c r="Z31" s="9" t="s">
        <v>4591</v>
      </c>
      <c r="AA31" s="9" t="s">
        <v>4591</v>
      </c>
      <c r="AB31" s="9" t="s">
        <v>4591</v>
      </c>
      <c r="AC31" s="9" t="s">
        <v>4591</v>
      </c>
      <c r="AD31" s="9" t="s">
        <v>4591</v>
      </c>
      <c r="AE31" s="9" t="s">
        <v>4591</v>
      </c>
      <c r="AF31" s="9" t="s">
        <v>4591</v>
      </c>
      <c r="AG31" s="9" t="s">
        <v>4591</v>
      </c>
      <c r="AH31" s="9" t="s">
        <v>4591</v>
      </c>
      <c r="AI31" s="9" t="s">
        <v>4591</v>
      </c>
      <c r="AJ31" s="9" t="s">
        <v>4591</v>
      </c>
      <c r="AK31" s="9" t="s">
        <v>4591</v>
      </c>
      <c r="AL31" s="9" t="s">
        <v>4591</v>
      </c>
      <c r="AM31" s="9" t="s">
        <v>4591</v>
      </c>
      <c r="AN31" s="9" t="s">
        <v>4591</v>
      </c>
      <c r="AO31" s="9" t="s">
        <v>4591</v>
      </c>
      <c r="AP31" s="9" t="s">
        <v>4591</v>
      </c>
      <c r="AQ31" s="9" t="s">
        <v>4591</v>
      </c>
      <c r="AR31" s="9" t="s">
        <v>4592</v>
      </c>
      <c r="AS31" s="9" t="s">
        <v>4592</v>
      </c>
      <c r="AT31" s="14" t="s">
        <v>4591</v>
      </c>
    </row>
    <row r="32" spans="2:46" ht="12.75">
      <c r="B32" s="9"/>
      <c r="C32" s="81">
        <v>582</v>
      </c>
      <c r="D32" s="9" t="s">
        <v>4591</v>
      </c>
      <c r="E32" s="9" t="s">
        <v>4591</v>
      </c>
      <c r="F32" s="9" t="s">
        <v>4591</v>
      </c>
      <c r="G32" s="9" t="s">
        <v>4591</v>
      </c>
      <c r="H32" s="9" t="s">
        <v>4591</v>
      </c>
      <c r="I32" s="9" t="s">
        <v>4591</v>
      </c>
      <c r="J32" s="9" t="s">
        <v>4591</v>
      </c>
      <c r="K32" s="9" t="s">
        <v>4591</v>
      </c>
      <c r="L32" s="9" t="s">
        <v>4591</v>
      </c>
      <c r="M32" s="9" t="s">
        <v>4593</v>
      </c>
      <c r="N32" s="9" t="s">
        <v>4591</v>
      </c>
      <c r="O32" s="9" t="s">
        <v>4591</v>
      </c>
      <c r="P32" s="9" t="s">
        <v>4591</v>
      </c>
      <c r="Q32" s="9" t="s">
        <v>4591</v>
      </c>
      <c r="R32" s="9" t="s">
        <v>4591</v>
      </c>
      <c r="S32" s="9" t="s">
        <v>4591</v>
      </c>
      <c r="T32" s="9" t="s">
        <v>4591</v>
      </c>
      <c r="U32" s="9" t="s">
        <v>4591</v>
      </c>
      <c r="V32" s="9" t="s">
        <v>4591</v>
      </c>
      <c r="W32" s="9" t="s">
        <v>4591</v>
      </c>
      <c r="X32" s="9" t="s">
        <v>4591</v>
      </c>
      <c r="Y32" s="9" t="s">
        <v>4591</v>
      </c>
      <c r="Z32" s="9" t="s">
        <v>4591</v>
      </c>
      <c r="AA32" s="9" t="s">
        <v>4591</v>
      </c>
      <c r="AB32" s="9" t="s">
        <v>4591</v>
      </c>
      <c r="AC32" s="9" t="s">
        <v>4591</v>
      </c>
      <c r="AD32" s="9" t="s">
        <v>4591</v>
      </c>
      <c r="AE32" s="9" t="s">
        <v>4591</v>
      </c>
      <c r="AF32" s="9" t="s">
        <v>4591</v>
      </c>
      <c r="AG32" s="9" t="s">
        <v>4591</v>
      </c>
      <c r="AH32" s="9" t="s">
        <v>4593</v>
      </c>
      <c r="AI32" s="9" t="s">
        <v>4591</v>
      </c>
      <c r="AJ32" s="9" t="s">
        <v>4591</v>
      </c>
      <c r="AK32" s="9" t="s">
        <v>4591</v>
      </c>
      <c r="AL32" s="9" t="s">
        <v>4591</v>
      </c>
      <c r="AM32" s="9" t="s">
        <v>4591</v>
      </c>
      <c r="AN32" s="9" t="s">
        <v>4591</v>
      </c>
      <c r="AO32" s="9" t="s">
        <v>4591</v>
      </c>
      <c r="AP32" s="9" t="s">
        <v>4591</v>
      </c>
      <c r="AQ32" s="9" t="s">
        <v>4591</v>
      </c>
      <c r="AR32" s="9" t="s">
        <v>4591</v>
      </c>
      <c r="AS32" s="9" t="s">
        <v>4591</v>
      </c>
      <c r="AT32" s="14" t="s">
        <v>4591</v>
      </c>
    </row>
    <row r="33" spans="2:46" ht="12.75">
      <c r="B33" s="9"/>
      <c r="C33" s="81">
        <v>585</v>
      </c>
      <c r="D33" s="9" t="s">
        <v>4591</v>
      </c>
      <c r="E33" s="9" t="s">
        <v>4591</v>
      </c>
      <c r="F33" s="9" t="s">
        <v>4591</v>
      </c>
      <c r="G33" s="9" t="s">
        <v>4591</v>
      </c>
      <c r="H33" s="9" t="s">
        <v>4591</v>
      </c>
      <c r="I33" s="9" t="s">
        <v>4591</v>
      </c>
      <c r="J33" s="9" t="s">
        <v>4591</v>
      </c>
      <c r="K33" s="9" t="s">
        <v>4591</v>
      </c>
      <c r="L33" s="9" t="s">
        <v>4593</v>
      </c>
      <c r="M33" s="9" t="s">
        <v>4591</v>
      </c>
      <c r="N33" s="9" t="s">
        <v>4593</v>
      </c>
      <c r="O33" s="9" t="s">
        <v>4591</v>
      </c>
      <c r="P33" s="9" t="s">
        <v>4591</v>
      </c>
      <c r="Q33" s="9" t="s">
        <v>4591</v>
      </c>
      <c r="R33" s="9" t="s">
        <v>4591</v>
      </c>
      <c r="S33" s="9" t="s">
        <v>4591</v>
      </c>
      <c r="T33" s="9" t="s">
        <v>4591</v>
      </c>
      <c r="U33" s="9" t="s">
        <v>4591</v>
      </c>
      <c r="V33" s="9" t="s">
        <v>4591</v>
      </c>
      <c r="W33" s="9" t="s">
        <v>4591</v>
      </c>
      <c r="X33" s="9" t="s">
        <v>4591</v>
      </c>
      <c r="Y33" s="9" t="s">
        <v>4591</v>
      </c>
      <c r="Z33" s="9" t="s">
        <v>4593</v>
      </c>
      <c r="AA33" s="9" t="s">
        <v>4591</v>
      </c>
      <c r="AB33" s="9" t="s">
        <v>4591</v>
      </c>
      <c r="AC33" s="9" t="s">
        <v>4591</v>
      </c>
      <c r="AD33" s="9" t="s">
        <v>4591</v>
      </c>
      <c r="AE33" s="9" t="s">
        <v>4591</v>
      </c>
      <c r="AF33" s="9" t="s">
        <v>4591</v>
      </c>
      <c r="AG33" s="9" t="s">
        <v>4591</v>
      </c>
      <c r="AH33" s="9" t="s">
        <v>4591</v>
      </c>
      <c r="AI33" s="9" t="s">
        <v>4591</v>
      </c>
      <c r="AJ33" s="9" t="s">
        <v>4591</v>
      </c>
      <c r="AK33" s="9" t="s">
        <v>4591</v>
      </c>
      <c r="AL33" s="9" t="s">
        <v>4591</v>
      </c>
      <c r="AM33" s="9" t="s">
        <v>4591</v>
      </c>
      <c r="AN33" s="9" t="s">
        <v>4591</v>
      </c>
      <c r="AO33" s="9" t="s">
        <v>4591</v>
      </c>
      <c r="AP33" s="9" t="s">
        <v>4591</v>
      </c>
      <c r="AQ33" s="9" t="s">
        <v>4591</v>
      </c>
      <c r="AR33" s="9" t="s">
        <v>4591</v>
      </c>
      <c r="AS33" s="9" t="s">
        <v>4591</v>
      </c>
      <c r="AT33" s="14" t="s">
        <v>4591</v>
      </c>
    </row>
    <row r="34" spans="2:46" ht="12.75">
      <c r="B34" s="9"/>
      <c r="C34" s="81">
        <v>586</v>
      </c>
      <c r="D34" s="9" t="s">
        <v>4591</v>
      </c>
      <c r="E34" s="9" t="s">
        <v>4591</v>
      </c>
      <c r="F34" s="9" t="s">
        <v>4591</v>
      </c>
      <c r="G34" s="9" t="s">
        <v>4591</v>
      </c>
      <c r="H34" s="9" t="s">
        <v>4591</v>
      </c>
      <c r="I34" s="9" t="s">
        <v>4591</v>
      </c>
      <c r="J34" s="9" t="s">
        <v>4591</v>
      </c>
      <c r="K34" s="9" t="s">
        <v>4591</v>
      </c>
      <c r="L34" s="9" t="s">
        <v>4591</v>
      </c>
      <c r="M34" s="9" t="s">
        <v>4591</v>
      </c>
      <c r="N34" s="9" t="s">
        <v>4591</v>
      </c>
      <c r="O34" s="9" t="s">
        <v>4592</v>
      </c>
      <c r="P34" s="9" t="s">
        <v>4591</v>
      </c>
      <c r="Q34" s="9" t="s">
        <v>4591</v>
      </c>
      <c r="R34" s="9" t="s">
        <v>4591</v>
      </c>
      <c r="S34" s="9" t="s">
        <v>4591</v>
      </c>
      <c r="T34" s="9" t="s">
        <v>4591</v>
      </c>
      <c r="U34" s="9" t="s">
        <v>4591</v>
      </c>
      <c r="V34" s="9" t="s">
        <v>4591</v>
      </c>
      <c r="W34" s="9" t="s">
        <v>4591</v>
      </c>
      <c r="X34" s="9" t="s">
        <v>4591</v>
      </c>
      <c r="Y34" s="9" t="s">
        <v>4591</v>
      </c>
      <c r="Z34" s="9" t="s">
        <v>4591</v>
      </c>
      <c r="AA34" s="9" t="s">
        <v>4591</v>
      </c>
      <c r="AB34" s="9" t="s">
        <v>4592</v>
      </c>
      <c r="AC34" s="9" t="s">
        <v>4591</v>
      </c>
      <c r="AD34" s="9" t="s">
        <v>4591</v>
      </c>
      <c r="AE34" s="9" t="s">
        <v>4591</v>
      </c>
      <c r="AF34" s="9" t="s">
        <v>4592</v>
      </c>
      <c r="AG34" s="9" t="s">
        <v>4591</v>
      </c>
      <c r="AH34" s="9" t="s">
        <v>4591</v>
      </c>
      <c r="AI34" s="9" t="s">
        <v>4592</v>
      </c>
      <c r="AJ34" s="9" t="s">
        <v>4591</v>
      </c>
      <c r="AK34" s="9" t="s">
        <v>4591</v>
      </c>
      <c r="AL34" s="9" t="s">
        <v>4591</v>
      </c>
      <c r="AM34" s="9" t="s">
        <v>4592</v>
      </c>
      <c r="AN34" s="9" t="s">
        <v>4591</v>
      </c>
      <c r="AO34" s="9" t="s">
        <v>4591</v>
      </c>
      <c r="AP34" s="9" t="s">
        <v>4592</v>
      </c>
      <c r="AQ34" s="9" t="s">
        <v>4591</v>
      </c>
      <c r="AR34" s="9" t="s">
        <v>4591</v>
      </c>
      <c r="AS34" s="9" t="s">
        <v>4591</v>
      </c>
      <c r="AT34" s="14" t="s">
        <v>4591</v>
      </c>
    </row>
    <row r="35" spans="2:46" ht="12.75">
      <c r="B35" s="9"/>
      <c r="C35" s="81">
        <v>594</v>
      </c>
      <c r="D35" s="9" t="s">
        <v>4591</v>
      </c>
      <c r="E35" s="9" t="s">
        <v>4591</v>
      </c>
      <c r="F35" s="9" t="s">
        <v>4591</v>
      </c>
      <c r="G35" s="9" t="s">
        <v>4591</v>
      </c>
      <c r="H35" s="9" t="s">
        <v>4591</v>
      </c>
      <c r="I35" s="9" t="s">
        <v>4591</v>
      </c>
      <c r="J35" s="9" t="s">
        <v>4591</v>
      </c>
      <c r="K35" s="9" t="s">
        <v>4593</v>
      </c>
      <c r="L35" s="9" t="s">
        <v>4591</v>
      </c>
      <c r="M35" s="9" t="s">
        <v>4591</v>
      </c>
      <c r="N35" s="9" t="s">
        <v>4591</v>
      </c>
      <c r="O35" s="9" t="s">
        <v>4591</v>
      </c>
      <c r="P35" s="9" t="s">
        <v>4591</v>
      </c>
      <c r="Q35" s="9" t="s">
        <v>4591</v>
      </c>
      <c r="R35" s="9" t="s">
        <v>4591</v>
      </c>
      <c r="S35" s="9" t="s">
        <v>4591</v>
      </c>
      <c r="T35" s="9" t="s">
        <v>4591</v>
      </c>
      <c r="U35" s="9" t="s">
        <v>4591</v>
      </c>
      <c r="V35" s="9" t="s">
        <v>4591</v>
      </c>
      <c r="W35" s="9" t="s">
        <v>4591</v>
      </c>
      <c r="X35" s="9" t="s">
        <v>4591</v>
      </c>
      <c r="Y35" s="9" t="s">
        <v>4591</v>
      </c>
      <c r="Z35" s="9" t="s">
        <v>4591</v>
      </c>
      <c r="AA35" s="9" t="s">
        <v>4591</v>
      </c>
      <c r="AB35" s="9" t="s">
        <v>4591</v>
      </c>
      <c r="AC35" s="9" t="s">
        <v>4591</v>
      </c>
      <c r="AD35" s="9" t="s">
        <v>4591</v>
      </c>
      <c r="AE35" s="9" t="s">
        <v>4591</v>
      </c>
      <c r="AF35" s="9" t="s">
        <v>4591</v>
      </c>
      <c r="AG35" s="9" t="s">
        <v>4591</v>
      </c>
      <c r="AH35" s="9" t="s">
        <v>4591</v>
      </c>
      <c r="AI35" s="9" t="s">
        <v>4591</v>
      </c>
      <c r="AJ35" s="9" t="s">
        <v>4591</v>
      </c>
      <c r="AK35" s="9" t="s">
        <v>4591</v>
      </c>
      <c r="AL35" s="9" t="s">
        <v>4591</v>
      </c>
      <c r="AM35" s="9" t="s">
        <v>4591</v>
      </c>
      <c r="AN35" s="9" t="s">
        <v>4591</v>
      </c>
      <c r="AO35" s="9" t="s">
        <v>4591</v>
      </c>
      <c r="AP35" s="9" t="s">
        <v>4591</v>
      </c>
      <c r="AQ35" s="9" t="s">
        <v>4591</v>
      </c>
      <c r="AR35" s="9" t="s">
        <v>4591</v>
      </c>
      <c r="AS35" s="9" t="s">
        <v>4591</v>
      </c>
      <c r="AT35" s="14" t="s">
        <v>4591</v>
      </c>
    </row>
    <row r="36" spans="2:46" ht="12.75">
      <c r="B36" s="9"/>
      <c r="C36" s="81">
        <v>597</v>
      </c>
      <c r="D36" s="9" t="s">
        <v>4591</v>
      </c>
      <c r="E36" s="9" t="s">
        <v>4591</v>
      </c>
      <c r="F36" s="9" t="s">
        <v>4591</v>
      </c>
      <c r="G36" s="9" t="s">
        <v>4591</v>
      </c>
      <c r="H36" s="9" t="s">
        <v>4591</v>
      </c>
      <c r="I36" s="9" t="s">
        <v>4591</v>
      </c>
      <c r="J36" s="9" t="s">
        <v>4591</v>
      </c>
      <c r="K36" s="9" t="s">
        <v>4591</v>
      </c>
      <c r="L36" s="9" t="s">
        <v>4591</v>
      </c>
      <c r="M36" s="9" t="s">
        <v>4591</v>
      </c>
      <c r="N36" s="9" t="s">
        <v>4591</v>
      </c>
      <c r="O36" s="9" t="s">
        <v>4591</v>
      </c>
      <c r="P36" s="9" t="s">
        <v>4591</v>
      </c>
      <c r="Q36" s="9" t="s">
        <v>4592</v>
      </c>
      <c r="R36" s="9" t="s">
        <v>4591</v>
      </c>
      <c r="S36" s="9" t="s">
        <v>4591</v>
      </c>
      <c r="T36" s="9" t="s">
        <v>4591</v>
      </c>
      <c r="U36" s="9" t="s">
        <v>4591</v>
      </c>
      <c r="V36" s="9" t="s">
        <v>4591</v>
      </c>
      <c r="W36" s="9" t="s">
        <v>4591</v>
      </c>
      <c r="X36" s="9" t="s">
        <v>4591</v>
      </c>
      <c r="Y36" s="9" t="s">
        <v>4591</v>
      </c>
      <c r="Z36" s="9" t="s">
        <v>4591</v>
      </c>
      <c r="AA36" s="9" t="s">
        <v>4591</v>
      </c>
      <c r="AB36" s="9" t="s">
        <v>4591</v>
      </c>
      <c r="AC36" s="9" t="s">
        <v>4592</v>
      </c>
      <c r="AD36" s="9" t="s">
        <v>4591</v>
      </c>
      <c r="AE36" s="9" t="s">
        <v>4591</v>
      </c>
      <c r="AF36" s="9" t="s">
        <v>4591</v>
      </c>
      <c r="AG36" s="9" t="s">
        <v>4591</v>
      </c>
      <c r="AH36" s="9" t="s">
        <v>4591</v>
      </c>
      <c r="AI36" s="9" t="s">
        <v>4591</v>
      </c>
      <c r="AJ36" s="9" t="s">
        <v>4592</v>
      </c>
      <c r="AK36" s="9" t="s">
        <v>4591</v>
      </c>
      <c r="AL36" s="9" t="s">
        <v>4593</v>
      </c>
      <c r="AM36" s="9" t="s">
        <v>4591</v>
      </c>
      <c r="AN36" s="9" t="s">
        <v>4591</v>
      </c>
      <c r="AO36" s="9" t="s">
        <v>4591</v>
      </c>
      <c r="AP36" s="9" t="s">
        <v>4591</v>
      </c>
      <c r="AQ36" s="9" t="s">
        <v>4591</v>
      </c>
      <c r="AR36" s="9" t="s">
        <v>4591</v>
      </c>
      <c r="AS36" s="9" t="s">
        <v>4591</v>
      </c>
      <c r="AT36" s="14" t="s">
        <v>4591</v>
      </c>
    </row>
    <row r="37" spans="2:46" ht="12.75">
      <c r="B37" s="9"/>
      <c r="C37" s="81">
        <v>598</v>
      </c>
      <c r="D37" s="9" t="s">
        <v>4591</v>
      </c>
      <c r="E37" s="9" t="s">
        <v>4591</v>
      </c>
      <c r="F37" s="9" t="s">
        <v>4591</v>
      </c>
      <c r="G37" s="9" t="s">
        <v>4591</v>
      </c>
      <c r="H37" s="9" t="s">
        <v>4591</v>
      </c>
      <c r="I37" s="9" t="s">
        <v>4591</v>
      </c>
      <c r="J37" s="9" t="s">
        <v>4591</v>
      </c>
      <c r="K37" s="9" t="s">
        <v>4591</v>
      </c>
      <c r="L37" s="9" t="s">
        <v>4591</v>
      </c>
      <c r="M37" s="9" t="s">
        <v>4591</v>
      </c>
      <c r="N37" s="9" t="s">
        <v>4591</v>
      </c>
      <c r="O37" s="9" t="s">
        <v>4591</v>
      </c>
      <c r="P37" s="9" t="s">
        <v>4591</v>
      </c>
      <c r="Q37" s="9" t="s">
        <v>4591</v>
      </c>
      <c r="R37" s="9" t="s">
        <v>4592</v>
      </c>
      <c r="S37" s="9" t="s">
        <v>4592</v>
      </c>
      <c r="T37" s="9" t="s">
        <v>4591</v>
      </c>
      <c r="U37" s="9" t="s">
        <v>4591</v>
      </c>
      <c r="V37" s="9" t="s">
        <v>4591</v>
      </c>
      <c r="W37" s="9" t="s">
        <v>4591</v>
      </c>
      <c r="X37" s="9" t="s">
        <v>4591</v>
      </c>
      <c r="Y37" s="9" t="s">
        <v>4591</v>
      </c>
      <c r="Z37" s="9" t="s">
        <v>4591</v>
      </c>
      <c r="AA37" s="9" t="s">
        <v>4591</v>
      </c>
      <c r="AB37" s="9" t="s">
        <v>4591</v>
      </c>
      <c r="AC37" s="9" t="s">
        <v>4591</v>
      </c>
      <c r="AD37" s="9" t="s">
        <v>4591</v>
      </c>
      <c r="AE37" s="9" t="s">
        <v>4591</v>
      </c>
      <c r="AF37" s="9" t="s">
        <v>4591</v>
      </c>
      <c r="AG37" s="9" t="s">
        <v>4591</v>
      </c>
      <c r="AH37" s="9" t="s">
        <v>4591</v>
      </c>
      <c r="AI37" s="9" t="s">
        <v>4591</v>
      </c>
      <c r="AJ37" s="9" t="s">
        <v>4591</v>
      </c>
      <c r="AK37" s="9" t="s">
        <v>4591</v>
      </c>
      <c r="AL37" s="9" t="s">
        <v>4591</v>
      </c>
      <c r="AM37" s="9" t="s">
        <v>4591</v>
      </c>
      <c r="AN37" s="9" t="s">
        <v>4591</v>
      </c>
      <c r="AO37" s="9" t="s">
        <v>4593</v>
      </c>
      <c r="AP37" s="9" t="s">
        <v>4591</v>
      </c>
      <c r="AQ37" s="9" t="s">
        <v>4591</v>
      </c>
      <c r="AR37" s="9" t="s">
        <v>4591</v>
      </c>
      <c r="AS37" s="9" t="s">
        <v>4591</v>
      </c>
      <c r="AT37" s="14" t="s">
        <v>4591</v>
      </c>
    </row>
    <row r="38" spans="2:46" ht="12.75">
      <c r="B38" s="9"/>
      <c r="C38" s="81">
        <v>600</v>
      </c>
      <c r="D38" s="9" t="s">
        <v>4591</v>
      </c>
      <c r="E38" s="9" t="s">
        <v>4591</v>
      </c>
      <c r="F38" s="9" t="s">
        <v>4591</v>
      </c>
      <c r="G38" s="9" t="s">
        <v>4591</v>
      </c>
      <c r="H38" s="9" t="s">
        <v>4591</v>
      </c>
      <c r="I38" s="9" t="s">
        <v>4591</v>
      </c>
      <c r="J38" s="9" t="s">
        <v>4591</v>
      </c>
      <c r="K38" s="9" t="s">
        <v>4591</v>
      </c>
      <c r="L38" s="9" t="s">
        <v>4591</v>
      </c>
      <c r="M38" s="9" t="s">
        <v>4591</v>
      </c>
      <c r="N38" s="9" t="s">
        <v>4591</v>
      </c>
      <c r="O38" s="9" t="s">
        <v>4591</v>
      </c>
      <c r="P38" s="9" t="s">
        <v>4591</v>
      </c>
      <c r="Q38" s="9" t="s">
        <v>4591</v>
      </c>
      <c r="R38" s="9" t="s">
        <v>4591</v>
      </c>
      <c r="S38" s="9" t="s">
        <v>4591</v>
      </c>
      <c r="T38" s="9" t="s">
        <v>4591</v>
      </c>
      <c r="U38" s="9" t="s">
        <v>4591</v>
      </c>
      <c r="V38" s="9" t="s">
        <v>4591</v>
      </c>
      <c r="W38" s="9" t="s">
        <v>4591</v>
      </c>
      <c r="X38" s="9" t="s">
        <v>4591</v>
      </c>
      <c r="Y38" s="9" t="s">
        <v>4591</v>
      </c>
      <c r="Z38" s="9" t="s">
        <v>4591</v>
      </c>
      <c r="AA38" s="9" t="s">
        <v>4591</v>
      </c>
      <c r="AB38" s="9" t="s">
        <v>4591</v>
      </c>
      <c r="AC38" s="9" t="s">
        <v>4591</v>
      </c>
      <c r="AD38" s="9" t="s">
        <v>4591</v>
      </c>
      <c r="AE38" s="9" t="s">
        <v>4591</v>
      </c>
      <c r="AF38" s="9" t="s">
        <v>4591</v>
      </c>
      <c r="AG38" s="9" t="s">
        <v>4591</v>
      </c>
      <c r="AH38" s="9" t="s">
        <v>4591</v>
      </c>
      <c r="AI38" s="9" t="s">
        <v>4591</v>
      </c>
      <c r="AJ38" s="9" t="s">
        <v>4591</v>
      </c>
      <c r="AK38" s="9" t="s">
        <v>4591</v>
      </c>
      <c r="AL38" s="9" t="s">
        <v>4591</v>
      </c>
      <c r="AM38" s="9" t="s">
        <v>4591</v>
      </c>
      <c r="AN38" s="9" t="s">
        <v>4592</v>
      </c>
      <c r="AO38" s="9" t="s">
        <v>4591</v>
      </c>
      <c r="AP38" s="9" t="s">
        <v>4591</v>
      </c>
      <c r="AQ38" s="9" t="s">
        <v>4592</v>
      </c>
      <c r="AR38" s="9" t="s">
        <v>4591</v>
      </c>
      <c r="AS38" s="9" t="s">
        <v>4591</v>
      </c>
      <c r="AT38" s="14" t="s">
        <v>4593</v>
      </c>
    </row>
    <row r="39" spans="2:46" ht="12.75">
      <c r="B39" s="9"/>
      <c r="C39" s="81">
        <v>602</v>
      </c>
      <c r="D39" s="9" t="s">
        <v>4591</v>
      </c>
      <c r="E39" s="9" t="s">
        <v>4591</v>
      </c>
      <c r="F39" s="9" t="s">
        <v>4591</v>
      </c>
      <c r="G39" s="9" t="s">
        <v>4591</v>
      </c>
      <c r="H39" s="9" t="s">
        <v>4591</v>
      </c>
      <c r="I39" s="9" t="s">
        <v>4591</v>
      </c>
      <c r="J39" s="9" t="s">
        <v>4591</v>
      </c>
      <c r="K39" s="9" t="s">
        <v>4591</v>
      </c>
      <c r="L39" s="9" t="s">
        <v>4591</v>
      </c>
      <c r="M39" s="9" t="s">
        <v>4591</v>
      </c>
      <c r="N39" s="9" t="s">
        <v>4591</v>
      </c>
      <c r="O39" s="9" t="s">
        <v>4591</v>
      </c>
      <c r="P39" s="9" t="s">
        <v>4591</v>
      </c>
      <c r="Q39" s="9" t="s">
        <v>4591</v>
      </c>
      <c r="R39" s="9" t="s">
        <v>4591</v>
      </c>
      <c r="S39" s="9" t="s">
        <v>4591</v>
      </c>
      <c r="T39" s="9" t="s">
        <v>4591</v>
      </c>
      <c r="U39" s="9" t="s">
        <v>4591</v>
      </c>
      <c r="V39" s="9" t="s">
        <v>4591</v>
      </c>
      <c r="W39" s="9" t="s">
        <v>4591</v>
      </c>
      <c r="X39" s="9" t="s">
        <v>4591</v>
      </c>
      <c r="Y39" s="9" t="s">
        <v>4591</v>
      </c>
      <c r="Z39" s="9" t="s">
        <v>4592</v>
      </c>
      <c r="AA39" s="9" t="s">
        <v>4591</v>
      </c>
      <c r="AB39" s="9" t="s">
        <v>4591</v>
      </c>
      <c r="AC39" s="9" t="s">
        <v>4591</v>
      </c>
      <c r="AD39" s="9" t="s">
        <v>4591</v>
      </c>
      <c r="AE39" s="9" t="s">
        <v>4593</v>
      </c>
      <c r="AF39" s="9" t="s">
        <v>4591</v>
      </c>
      <c r="AG39" s="9" t="s">
        <v>4593</v>
      </c>
      <c r="AH39" s="9" t="s">
        <v>4592</v>
      </c>
      <c r="AI39" s="9" t="s">
        <v>4591</v>
      </c>
      <c r="AJ39" s="9" t="s">
        <v>4591</v>
      </c>
      <c r="AK39" s="9" t="s">
        <v>4591</v>
      </c>
      <c r="AL39" s="9" t="s">
        <v>4591</v>
      </c>
      <c r="AM39" s="9" t="s">
        <v>4591</v>
      </c>
      <c r="AN39" s="9" t="s">
        <v>4591</v>
      </c>
      <c r="AO39" s="9" t="s">
        <v>4591</v>
      </c>
      <c r="AP39" s="9" t="s">
        <v>4591</v>
      </c>
      <c r="AQ39" s="9" t="s">
        <v>4591</v>
      </c>
      <c r="AR39" s="9" t="s">
        <v>4591</v>
      </c>
      <c r="AS39" s="9" t="s">
        <v>4591</v>
      </c>
      <c r="AT39" s="14" t="s">
        <v>4591</v>
      </c>
    </row>
    <row r="40" spans="2:46" ht="12.75">
      <c r="B40" s="9"/>
      <c r="C40" s="81">
        <v>607</v>
      </c>
      <c r="D40" s="9" t="s">
        <v>4591</v>
      </c>
      <c r="E40" s="9" t="s">
        <v>4591</v>
      </c>
      <c r="F40" s="9" t="s">
        <v>4591</v>
      </c>
      <c r="G40" s="9" t="s">
        <v>4591</v>
      </c>
      <c r="H40" s="9" t="s">
        <v>4591</v>
      </c>
      <c r="I40" s="9" t="s">
        <v>4591</v>
      </c>
      <c r="J40" s="9" t="s">
        <v>4591</v>
      </c>
      <c r="K40" s="9" t="s">
        <v>4591</v>
      </c>
      <c r="L40" s="9" t="s">
        <v>4591</v>
      </c>
      <c r="M40" s="9" t="s">
        <v>4591</v>
      </c>
      <c r="N40" s="9" t="s">
        <v>4591</v>
      </c>
      <c r="O40" s="9" t="s">
        <v>4591</v>
      </c>
      <c r="P40" s="9" t="s">
        <v>4591</v>
      </c>
      <c r="Q40" s="9" t="s">
        <v>4591</v>
      </c>
      <c r="R40" s="9" t="s">
        <v>4591</v>
      </c>
      <c r="S40" s="9" t="s">
        <v>4591</v>
      </c>
      <c r="T40" s="9" t="s">
        <v>4591</v>
      </c>
      <c r="U40" s="9" t="s">
        <v>4592</v>
      </c>
      <c r="V40" s="9" t="s">
        <v>4591</v>
      </c>
      <c r="W40" s="9" t="s">
        <v>4591</v>
      </c>
      <c r="X40" s="9" t="s">
        <v>4591</v>
      </c>
      <c r="Y40" s="9" t="s">
        <v>4591</v>
      </c>
      <c r="Z40" s="9" t="s">
        <v>4591</v>
      </c>
      <c r="AA40" s="9" t="s">
        <v>4591</v>
      </c>
      <c r="AB40" s="9" t="s">
        <v>4591</v>
      </c>
      <c r="AC40" s="9" t="s">
        <v>4591</v>
      </c>
      <c r="AD40" s="9" t="s">
        <v>4591</v>
      </c>
      <c r="AE40" s="9" t="s">
        <v>4591</v>
      </c>
      <c r="AF40" s="9" t="s">
        <v>4591</v>
      </c>
      <c r="AG40" s="9" t="s">
        <v>4591</v>
      </c>
      <c r="AH40" s="9" t="s">
        <v>4591</v>
      </c>
      <c r="AI40" s="9" t="s">
        <v>4591</v>
      </c>
      <c r="AJ40" s="9" t="s">
        <v>4591</v>
      </c>
      <c r="AK40" s="9" t="s">
        <v>4591</v>
      </c>
      <c r="AL40" s="9" t="s">
        <v>4591</v>
      </c>
      <c r="AM40" s="9" t="s">
        <v>4591</v>
      </c>
      <c r="AN40" s="9" t="s">
        <v>4591</v>
      </c>
      <c r="AO40" s="9" t="s">
        <v>4591</v>
      </c>
      <c r="AP40" s="9" t="s">
        <v>4591</v>
      </c>
      <c r="AQ40" s="9" t="s">
        <v>4591</v>
      </c>
      <c r="AR40" s="9" t="s">
        <v>4592</v>
      </c>
      <c r="AS40" s="9" t="s">
        <v>4592</v>
      </c>
      <c r="AT40" s="14" t="s">
        <v>4591</v>
      </c>
    </row>
    <row r="41" spans="2:46" ht="12.75">
      <c r="B41" s="9"/>
      <c r="C41" s="81">
        <v>650</v>
      </c>
      <c r="D41" s="9" t="s">
        <v>4591</v>
      </c>
      <c r="E41" s="9" t="s">
        <v>4591</v>
      </c>
      <c r="F41" s="9" t="s">
        <v>4591</v>
      </c>
      <c r="G41" s="9" t="s">
        <v>4591</v>
      </c>
      <c r="H41" s="9" t="s">
        <v>4591</v>
      </c>
      <c r="I41" s="9" t="s">
        <v>4591</v>
      </c>
      <c r="J41" s="9" t="s">
        <v>4591</v>
      </c>
      <c r="K41" s="9" t="s">
        <v>4591</v>
      </c>
      <c r="L41" s="9" t="s">
        <v>4591</v>
      </c>
      <c r="M41" s="9" t="s">
        <v>4591</v>
      </c>
      <c r="N41" s="9" t="s">
        <v>4591</v>
      </c>
      <c r="O41" s="9" t="s">
        <v>4591</v>
      </c>
      <c r="P41" s="9" t="s">
        <v>4591</v>
      </c>
      <c r="Q41" s="9" t="s">
        <v>4591</v>
      </c>
      <c r="R41" s="9" t="s">
        <v>4591</v>
      </c>
      <c r="S41" s="9" t="s">
        <v>4591</v>
      </c>
      <c r="T41" s="9" t="s">
        <v>4591</v>
      </c>
      <c r="U41" s="9" t="s">
        <v>4591</v>
      </c>
      <c r="V41" s="9" t="s">
        <v>4591</v>
      </c>
      <c r="W41" s="9" t="s">
        <v>4591</v>
      </c>
      <c r="X41" s="9" t="s">
        <v>4591</v>
      </c>
      <c r="Y41" s="9" t="s">
        <v>4591</v>
      </c>
      <c r="Z41" s="9" t="s">
        <v>4591</v>
      </c>
      <c r="AA41" s="9" t="s">
        <v>4591</v>
      </c>
      <c r="AB41" s="9" t="s">
        <v>4591</v>
      </c>
      <c r="AC41" s="9" t="s">
        <v>4591</v>
      </c>
      <c r="AD41" s="9" t="s">
        <v>4591</v>
      </c>
      <c r="AE41" s="9" t="s">
        <v>4591</v>
      </c>
      <c r="AF41" s="9" t="s">
        <v>4591</v>
      </c>
      <c r="AG41" s="9" t="s">
        <v>4591</v>
      </c>
      <c r="AH41" s="9" t="s">
        <v>4591</v>
      </c>
      <c r="AI41" s="9" t="s">
        <v>4591</v>
      </c>
      <c r="AJ41" s="9" t="s">
        <v>4591</v>
      </c>
      <c r="AK41" s="9" t="s">
        <v>4591</v>
      </c>
      <c r="AL41" s="9" t="s">
        <v>4591</v>
      </c>
      <c r="AM41" s="9" t="s">
        <v>4591</v>
      </c>
      <c r="AN41" s="9" t="s">
        <v>4591</v>
      </c>
      <c r="AO41" s="9" t="s">
        <v>4591</v>
      </c>
      <c r="AP41" s="9" t="s">
        <v>4591</v>
      </c>
      <c r="AQ41" s="9" t="s">
        <v>4591</v>
      </c>
      <c r="AR41" s="9" t="s">
        <v>4591</v>
      </c>
      <c r="AS41" s="9" t="s">
        <v>4591</v>
      </c>
      <c r="AT41" s="14" t="s">
        <v>4591</v>
      </c>
    </row>
    <row r="42" spans="2:46" ht="12.75">
      <c r="B42" s="9"/>
      <c r="C42" s="82">
        <v>651</v>
      </c>
      <c r="D42" s="21" t="s">
        <v>4591</v>
      </c>
      <c r="E42" s="21" t="s">
        <v>4591</v>
      </c>
      <c r="F42" s="21" t="s">
        <v>4591</v>
      </c>
      <c r="G42" s="21" t="s">
        <v>4591</v>
      </c>
      <c r="H42" s="21" t="s">
        <v>4591</v>
      </c>
      <c r="I42" s="21" t="s">
        <v>4593</v>
      </c>
      <c r="J42" s="21" t="s">
        <v>4593</v>
      </c>
      <c r="K42" s="21" t="s">
        <v>4593</v>
      </c>
      <c r="L42" s="21" t="s">
        <v>4591</v>
      </c>
      <c r="M42" s="21" t="s">
        <v>4591</v>
      </c>
      <c r="N42" s="21" t="s">
        <v>4591</v>
      </c>
      <c r="O42" s="21" t="s">
        <v>4591</v>
      </c>
      <c r="P42" s="21" t="s">
        <v>4591</v>
      </c>
      <c r="Q42" s="21" t="s">
        <v>4591</v>
      </c>
      <c r="R42" s="21" t="s">
        <v>4591</v>
      </c>
      <c r="S42" s="21" t="s">
        <v>4591</v>
      </c>
      <c r="T42" s="21" t="s">
        <v>4591</v>
      </c>
      <c r="U42" s="21" t="s">
        <v>4591</v>
      </c>
      <c r="V42" s="21" t="s">
        <v>4591</v>
      </c>
      <c r="W42" s="21" t="s">
        <v>4591</v>
      </c>
      <c r="X42" s="21" t="s">
        <v>4591</v>
      </c>
      <c r="Y42" s="21" t="s">
        <v>4591</v>
      </c>
      <c r="Z42" s="21" t="s">
        <v>4591</v>
      </c>
      <c r="AA42" s="21" t="s">
        <v>4591</v>
      </c>
      <c r="AB42" s="21" t="s">
        <v>4591</v>
      </c>
      <c r="AC42" s="21" t="s">
        <v>4591</v>
      </c>
      <c r="AD42" s="21" t="s">
        <v>4591</v>
      </c>
      <c r="AE42" s="21" t="s">
        <v>4591</v>
      </c>
      <c r="AF42" s="21" t="s">
        <v>4591</v>
      </c>
      <c r="AG42" s="21" t="s">
        <v>4591</v>
      </c>
      <c r="AH42" s="21" t="s">
        <v>4591</v>
      </c>
      <c r="AI42" s="21" t="s">
        <v>4591</v>
      </c>
      <c r="AJ42" s="21" t="s">
        <v>4591</v>
      </c>
      <c r="AK42" s="21" t="s">
        <v>4591</v>
      </c>
      <c r="AL42" s="21" t="s">
        <v>4591</v>
      </c>
      <c r="AM42" s="21" t="s">
        <v>4591</v>
      </c>
      <c r="AN42" s="21" t="s">
        <v>4591</v>
      </c>
      <c r="AO42" s="21" t="s">
        <v>4591</v>
      </c>
      <c r="AP42" s="21" t="s">
        <v>4591</v>
      </c>
      <c r="AQ42" s="21" t="s">
        <v>4591</v>
      </c>
      <c r="AR42" s="21" t="s">
        <v>4591</v>
      </c>
      <c r="AS42" s="21" t="s">
        <v>4591</v>
      </c>
      <c r="AT42" s="38" t="s">
        <v>4591</v>
      </c>
    </row>
    <row r="45" spans="2:46" ht="13.5" thickBot="1">
      <c r="B45" s="219" t="s">
        <v>4604</v>
      </c>
      <c r="C45" s="201"/>
      <c r="D45" s="45">
        <v>200</v>
      </c>
    </row>
    <row r="46" spans="2:46" ht="13.5" thickTop="1">
      <c r="B46" s="134" t="s">
        <v>4594</v>
      </c>
      <c r="C46" s="135" t="s">
        <v>44</v>
      </c>
      <c r="D46" s="135" t="s">
        <v>110</v>
      </c>
      <c r="E46" s="136" t="s">
        <v>2</v>
      </c>
      <c r="F46" s="229" t="s">
        <v>4612</v>
      </c>
      <c r="G46" s="229"/>
      <c r="H46" s="230"/>
    </row>
    <row r="47" spans="2:46" ht="12.75">
      <c r="B47" s="137" t="s">
        <v>4589</v>
      </c>
      <c r="C47" s="93">
        <v>388</v>
      </c>
      <c r="D47" s="93" t="s">
        <v>3885</v>
      </c>
      <c r="E47" s="93" t="str">
        <f>IF($B47 = "Mutant",VLOOKUP($C47,Mutants!$A$2:$L$560,12,FALSE),IF($B47 = "Test",VLOOKUP($C47,Tests!$A$2:$L$841,12,FALSE),VLOOKUP($C47,Questions!$A$3:$N$174,9,FALSE)))</f>
        <v>N</v>
      </c>
      <c r="F47" s="205" t="str">
        <f>IF($B47 = "Mutant",VLOOKUP($C47,Mutants!$A$2:$L$560,11,FALSE),IF($B47 = "Test",VLOOKUP($C47,Tests!$A$2:$L$841,11,FALSE),VLOOKUP($C47,Questions!$A$3:$N$174,13,FALSE)))</f>
        <v xml:space="preserve">
</v>
      </c>
      <c r="G47" s="205"/>
      <c r="H47" s="206"/>
    </row>
    <row r="48" spans="2:46" ht="12.75">
      <c r="B48" s="114" t="s">
        <v>4589</v>
      </c>
      <c r="C48" s="9">
        <v>477</v>
      </c>
      <c r="D48" s="9" t="s">
        <v>4118</v>
      </c>
      <c r="E48" s="9" t="str">
        <f>IF($B48 = "Mutant",VLOOKUP($C48,Mutants!$A$2:$L$560,12,FALSE),IF($B48 = "Test",VLOOKUP($C48,Tests!$A$2:$L$841,12,FALSE),VLOOKUP($C48,Questions!$A$3:$N$174,9,FALSE)))</f>
        <v>Y</v>
      </c>
      <c r="F48" s="187" t="str">
        <f>IF($B48 = "Mutant",VLOOKUP($C48,Mutants!$A$2:$L$560,11,FALSE),IF($B48 = "Test",VLOOKUP($C48,Tests!$A$2:$L$841,11,FALSE),VLOOKUP($C48,Questions!$A$3:$N$174,13,FALSE)))</f>
        <v xml:space="preserve">removeField
</v>
      </c>
      <c r="G48" s="187"/>
      <c r="H48" s="202"/>
    </row>
    <row r="49" spans="2:8" ht="12.75">
      <c r="B49" s="114" t="s">
        <v>4590</v>
      </c>
      <c r="C49" s="9">
        <v>593</v>
      </c>
      <c r="D49" s="9" t="s">
        <v>2125</v>
      </c>
      <c r="E49" s="9" t="str">
        <f>IF($B49 = "Mutant",VLOOKUP($C49,Mutants!$A$2:$L$560,12,FALSE),IF($B49 = "Test",VLOOKUP($C49,Tests!$A$2:$L$841,12,FALSE),VLOOKUP($C49,Questions!$A$3:$N$174,9,FALSE)))</f>
        <v>N</v>
      </c>
      <c r="F49" s="187" t="str">
        <f>IF($B49 = "Mutant",VLOOKUP($C49,Mutants!$A$2:$L$560,11,FALSE),IF($B49 = "Test",VLOOKUP($C49,Tests!$A$2:$L$841,11,FALSE),VLOOKUP($C49,Questions!$A$3:$N$174,13,FALSE)))</f>
        <v xml:space="preserve">
</v>
      </c>
      <c r="G49" s="187"/>
      <c r="H49" s="202"/>
    </row>
    <row r="50" spans="2:8" ht="12.75">
      <c r="B50" s="114" t="s">
        <v>4590</v>
      </c>
      <c r="C50" s="9">
        <v>656</v>
      </c>
      <c r="D50" s="9" t="s">
        <v>2300</v>
      </c>
      <c r="E50" s="9" t="str">
        <f>IF($B50 = "Mutant",VLOOKUP($C50,Mutants!$A$2:$L$560,12,FALSE),IF($B50 = "Test",VLOOKUP($C50,Tests!$A$2:$L$841,12,FALSE),VLOOKUP($C50,Questions!$A$3:$N$174,9,FALSE)))</f>
        <v>Y</v>
      </c>
      <c r="F50" s="187" t="str">
        <f>IF($B50 = "Mutant",VLOOKUP($C50,Mutants!$A$2:$L$560,11,FALSE),IF($B50 = "Test",VLOOKUP($C50,Tests!$A$2:$L$841,11,FALSE),VLOOKUP($C50,Questions!$A$3:$N$174,13,FALSE)))</f>
        <v xml:space="preserve">
</v>
      </c>
      <c r="G50" s="187"/>
      <c r="H50" s="202"/>
    </row>
    <row r="51" spans="2:8" ht="12.75">
      <c r="B51" s="114" t="s">
        <v>4590</v>
      </c>
      <c r="C51" s="9">
        <v>672</v>
      </c>
      <c r="D51" s="9" t="s">
        <v>2345</v>
      </c>
      <c r="E51" s="9" t="str">
        <f>IF($B51 = "Mutant",VLOOKUP($C51,Mutants!$A$2:$L$560,12,FALSE),IF($B51 = "Test",VLOOKUP($C51,Tests!$A$2:$L$841,12,FALSE),VLOOKUP($C51,Questions!$A$3:$N$174,9,FALSE)))</f>
        <v>Y</v>
      </c>
      <c r="F51" s="187" t="str">
        <f>IF($B51 = "Mutant",VLOOKUP($C51,Mutants!$A$2:$L$560,11,FALSE),IF($B51 = "Test",VLOOKUP($C51,Tests!$A$2:$L$841,11,FALSE),VLOOKUP($C51,Questions!$A$3:$N$174,13,FALSE)))</f>
        <v xml:space="preserve">
</v>
      </c>
      <c r="G51" s="187"/>
      <c r="H51" s="202"/>
    </row>
    <row r="52" spans="2:8" ht="12.75">
      <c r="B52" s="114" t="s">
        <v>4590</v>
      </c>
      <c r="C52" s="9">
        <v>685</v>
      </c>
      <c r="D52" s="9" t="s">
        <v>2376</v>
      </c>
      <c r="E52" s="9" t="str">
        <f>IF($B52 = "Mutant",VLOOKUP($C52,Mutants!$A$2:$L$560,12,FALSE),IF($B52 = "Test",VLOOKUP($C52,Tests!$A$2:$L$841,12,FALSE),VLOOKUP($C52,Questions!$A$3:$N$174,9,FALSE)))</f>
        <v>Y</v>
      </c>
      <c r="F52" s="187" t="str">
        <f>IF($B52 = "Mutant",VLOOKUP($C52,Mutants!$A$2:$L$560,11,FALSE),IF($B52 = "Test",VLOOKUP($C52,Tests!$A$2:$L$841,11,FALSE),VLOOKUP($C52,Questions!$A$3:$N$174,13,FALSE)))</f>
        <v xml:space="preserve">
</v>
      </c>
      <c r="G52" s="187"/>
      <c r="H52" s="202"/>
    </row>
    <row r="53" spans="2:8" ht="12.75">
      <c r="B53" s="114" t="s">
        <v>4590</v>
      </c>
      <c r="C53" s="9">
        <v>715</v>
      </c>
      <c r="D53" s="9" t="s">
        <v>2446</v>
      </c>
      <c r="E53" s="9" t="str">
        <f>IF($B53 = "Mutant",VLOOKUP($C53,Mutants!$A$2:$L$560,12,FALSE),IF($B53 = "Test",VLOOKUP($C53,Tests!$A$2:$L$841,12,FALSE),VLOOKUP($C53,Questions!$A$3:$N$174,9,FALSE)))</f>
        <v>Y</v>
      </c>
      <c r="F53" s="187" t="str">
        <f>IF($B53 = "Mutant",VLOOKUP($C53,Mutants!$A$2:$L$560,11,FALSE),IF($B53 = "Test",VLOOKUP($C53,Tests!$A$2:$L$841,11,FALSE),VLOOKUP($C53,Questions!$A$3:$N$174,13,FALSE)))</f>
        <v xml:space="preserve">
</v>
      </c>
      <c r="G53" s="187"/>
      <c r="H53" s="202"/>
    </row>
    <row r="54" spans="2:8" ht="12.75">
      <c r="B54" s="114" t="s">
        <v>4590</v>
      </c>
      <c r="C54" s="9">
        <v>720</v>
      </c>
      <c r="D54" s="9" t="s">
        <v>2463</v>
      </c>
      <c r="E54" s="9" t="str">
        <f>IF($B54 = "Mutant",VLOOKUP($C54,Mutants!$A$2:$L$560,12,FALSE),IF($B54 = "Test",VLOOKUP($C54,Tests!$A$2:$L$841,12,FALSE),VLOOKUP($C54,Questions!$A$3:$N$174,9,FALSE)))</f>
        <v>Y</v>
      </c>
      <c r="F54" s="187" t="str">
        <f>IF($B54 = "Mutant",VLOOKUP($C54,Mutants!$A$2:$L$560,11,FALSE),IF($B54 = "Test",VLOOKUP($C54,Tests!$A$2:$L$841,11,FALSE),VLOOKUP($C54,Questions!$A$3:$N$174,13,FALSE)))</f>
        <v xml:space="preserve">
</v>
      </c>
      <c r="G54" s="187"/>
      <c r="H54" s="202"/>
    </row>
    <row r="55" spans="2:8" ht="12.75">
      <c r="B55" s="114" t="s">
        <v>4590</v>
      </c>
      <c r="C55" s="9">
        <v>745</v>
      </c>
      <c r="D55" s="9" t="s">
        <v>2535</v>
      </c>
      <c r="E55" s="9" t="str">
        <f>IF($B55 = "Mutant",VLOOKUP($C55,Mutants!$A$2:$L$560,12,FALSE),IF($B55 = "Test",VLOOKUP($C55,Tests!$A$2:$L$841,12,FALSE),VLOOKUP($C55,Questions!$A$3:$N$174,9,FALSE)))</f>
        <v>N</v>
      </c>
      <c r="F55" s="187" t="str">
        <f>IF($B55 = "Mutant",VLOOKUP($C55,Mutants!$A$2:$L$560,11,FALSE),IF($B55 = "Test",VLOOKUP($C55,Tests!$A$2:$L$841,11,FALSE),VLOOKUP($C55,Questions!$A$3:$N$174,13,FALSE)))</f>
        <v xml:space="preserve">
</v>
      </c>
      <c r="G55" s="187"/>
      <c r="H55" s="202"/>
    </row>
    <row r="56" spans="2:8" ht="12.75">
      <c r="B56" s="114" t="s">
        <v>4590</v>
      </c>
      <c r="C56" s="9">
        <v>771</v>
      </c>
      <c r="D56" s="9" t="s">
        <v>2610</v>
      </c>
      <c r="E56" s="9" t="str">
        <f>IF($B56 = "Mutant",VLOOKUP($C56,Mutants!$A$2:$L$560,12,FALSE),IF($B56 = "Test",VLOOKUP($C56,Tests!$A$2:$L$841,12,FALSE),VLOOKUP($C56,Questions!$A$3:$N$174,9,FALSE)))</f>
        <v>N</v>
      </c>
      <c r="F56" s="187" t="str">
        <f>IF($B56 = "Mutant",VLOOKUP($C56,Mutants!$A$2:$L$560,11,FALSE),IF($B56 = "Test",VLOOKUP($C56,Tests!$A$2:$L$841,11,FALSE),VLOOKUP($C56,Questions!$A$3:$N$174,13,FALSE)))</f>
        <v xml:space="preserve">
</v>
      </c>
      <c r="G56" s="187"/>
      <c r="H56" s="202"/>
    </row>
    <row r="57" spans="2:8" ht="12.75">
      <c r="B57" s="114" t="s">
        <v>4590</v>
      </c>
      <c r="C57" s="9">
        <v>792</v>
      </c>
      <c r="D57" s="9" t="s">
        <v>2664</v>
      </c>
      <c r="E57" s="9" t="str">
        <f>IF($B57 = "Mutant",VLOOKUP($C57,Mutants!$A$2:$L$560,12,FALSE),IF($B57 = "Test",VLOOKUP($C57,Tests!$A$2:$L$841,12,FALSE),VLOOKUP($C57,Questions!$A$3:$N$174,9,FALSE)))</f>
        <v>N</v>
      </c>
      <c r="F57" s="187" t="str">
        <f>IF($B57 = "Mutant",VLOOKUP($C57,Mutants!$A$2:$L$560,11,FALSE),IF($B57 = "Test",VLOOKUP($C57,Tests!$A$2:$L$841,11,FALSE),VLOOKUP($C57,Questions!$A$3:$N$174,13,FALSE)))</f>
        <v xml:space="preserve">
</v>
      </c>
      <c r="G57" s="187"/>
      <c r="H57" s="202"/>
    </row>
    <row r="58" spans="2:8" ht="12.75">
      <c r="B58" s="114" t="s">
        <v>4590</v>
      </c>
      <c r="C58" s="9">
        <v>794</v>
      </c>
      <c r="D58" s="9" t="s">
        <v>2668</v>
      </c>
      <c r="E58" s="9" t="str">
        <f>IF($B58 = "Mutant",VLOOKUP($C58,Mutants!$A$2:$L$560,12,FALSE),IF($B58 = "Test",VLOOKUP($C58,Tests!$A$2:$L$841,12,FALSE),VLOOKUP($C58,Questions!$A$3:$N$174,9,FALSE)))</f>
        <v>Y</v>
      </c>
      <c r="F58" s="187" t="str">
        <f>IF($B58 = "Mutant",VLOOKUP($C58,Mutants!$A$2:$L$560,11,FALSE),IF($B58 = "Test",VLOOKUP($C58,Tests!$A$2:$L$841,11,FALSE),VLOOKUP($C58,Questions!$A$3:$N$174,13,FALSE)))</f>
        <v xml:space="preserve">
</v>
      </c>
      <c r="G58" s="187"/>
      <c r="H58" s="202"/>
    </row>
    <row r="59" spans="2:8" ht="12.75">
      <c r="B59" s="114" t="s">
        <v>4590</v>
      </c>
      <c r="C59" s="9">
        <v>800</v>
      </c>
      <c r="D59" s="9" t="s">
        <v>2686</v>
      </c>
      <c r="E59" s="9" t="str">
        <f>IF($B59 = "Mutant",VLOOKUP($C59,Mutants!$A$2:$L$560,12,FALSE),IF($B59 = "Test",VLOOKUP($C59,Tests!$A$2:$L$841,12,FALSE),VLOOKUP($C59,Questions!$A$3:$N$174,9,FALSE)))</f>
        <v>Y</v>
      </c>
      <c r="F59" s="187" t="str">
        <f>IF($B59 = "Mutant",VLOOKUP($C59,Mutants!$A$2:$L$560,11,FALSE),IF($B59 = "Test",VLOOKUP($C59,Tests!$A$2:$L$841,11,FALSE),VLOOKUP($C59,Questions!$A$3:$N$174,13,FALSE)))</f>
        <v xml:space="preserve">
</v>
      </c>
      <c r="G59" s="187"/>
      <c r="H59" s="202"/>
    </row>
    <row r="60" spans="2:8" ht="12.75">
      <c r="B60" s="114" t="s">
        <v>4590</v>
      </c>
      <c r="C60" s="9">
        <v>815</v>
      </c>
      <c r="D60" s="9" t="s">
        <v>2726</v>
      </c>
      <c r="E60" s="9" t="str">
        <f>IF($B60 = "Mutant",VLOOKUP($C60,Mutants!$A$2:$L$560,12,FALSE),IF($B60 = "Test",VLOOKUP($C60,Tests!$A$2:$L$841,12,FALSE),VLOOKUP($C60,Questions!$A$3:$N$174,9,FALSE)))</f>
        <v>N</v>
      </c>
      <c r="F60" s="187" t="str">
        <f>IF($B60 = "Mutant",VLOOKUP($C60,Mutants!$A$2:$L$560,11,FALSE),IF($B60 = "Test",VLOOKUP($C60,Tests!$A$2:$L$841,11,FALSE),VLOOKUP($C60,Questions!$A$3:$N$174,13,FALSE)))</f>
        <v xml:space="preserve">
</v>
      </c>
      <c r="G60" s="187"/>
      <c r="H60" s="202"/>
    </row>
    <row r="61" spans="2:8" ht="12.75">
      <c r="B61" s="114" t="s">
        <v>4590</v>
      </c>
      <c r="C61" s="9">
        <v>819</v>
      </c>
      <c r="D61" s="9" t="s">
        <v>2735</v>
      </c>
      <c r="E61" s="9" t="str">
        <f>IF($B61 = "Mutant",VLOOKUP($C61,Mutants!$A$2:$L$560,12,FALSE),IF($B61 = "Test",VLOOKUP($C61,Tests!$A$2:$L$841,12,FALSE),VLOOKUP($C61,Questions!$A$3:$N$174,9,FALSE)))</f>
        <v>Y</v>
      </c>
      <c r="F61" s="187" t="str">
        <f>IF($B61 = "Mutant",VLOOKUP($C61,Mutants!$A$2:$L$560,11,FALSE),IF($B61 = "Test",VLOOKUP($C61,Tests!$A$2:$L$841,11,FALSE),VLOOKUP($C61,Questions!$A$3:$N$174,13,FALSE)))</f>
        <v xml:space="preserve">
</v>
      </c>
      <c r="G61" s="187"/>
      <c r="H61" s="202"/>
    </row>
    <row r="62" spans="2:8" ht="12.75">
      <c r="B62" s="114" t="s">
        <v>4590</v>
      </c>
      <c r="C62" s="9">
        <v>843</v>
      </c>
      <c r="D62" s="9" t="s">
        <v>2796</v>
      </c>
      <c r="E62" s="9" t="str">
        <f>IF($B62 = "Mutant",VLOOKUP($C62,Mutants!$A$2:$L$560,12,FALSE),IF($B62 = "Test",VLOOKUP($C62,Tests!$A$2:$L$841,12,FALSE),VLOOKUP($C62,Questions!$A$3:$N$174,9,FALSE)))</f>
        <v>Y</v>
      </c>
      <c r="F62" s="187" t="str">
        <f>IF($B62 = "Mutant",VLOOKUP($C62,Mutants!$A$2:$L$560,11,FALSE),IF($B62 = "Test",VLOOKUP($C62,Tests!$A$2:$L$841,11,FALSE),VLOOKUP($C62,Questions!$A$3:$N$174,13,FALSE)))</f>
        <v xml:space="preserve">add, getBinaryValues
</v>
      </c>
      <c r="G62" s="187"/>
      <c r="H62" s="202"/>
    </row>
    <row r="63" spans="2:8" ht="12.75">
      <c r="B63" s="114" t="s">
        <v>4590</v>
      </c>
      <c r="C63" s="9">
        <v>860</v>
      </c>
      <c r="D63" s="9" t="s">
        <v>2849</v>
      </c>
      <c r="E63" s="9" t="str">
        <f>IF($B63 = "Mutant",VLOOKUP($C63,Mutants!$A$2:$L$560,12,FALSE),IF($B63 = "Test",VLOOKUP($C63,Tests!$A$2:$L$841,12,FALSE),VLOOKUP($C63,Questions!$A$3:$N$174,9,FALSE)))</f>
        <v>Y</v>
      </c>
      <c r="F63" s="187" t="str">
        <f>IF($B63 = "Mutant",VLOOKUP($C63,Mutants!$A$2:$L$560,11,FALSE),IF($B63 = "Test",VLOOKUP($C63,Tests!$A$2:$L$841,11,FALSE),VLOOKUP($C63,Questions!$A$3:$N$174,13,FALSE)))</f>
        <v xml:space="preserve">add, getBinaryValue
</v>
      </c>
      <c r="G63" s="187"/>
      <c r="H63" s="202"/>
    </row>
    <row r="64" spans="2:8" ht="12.75">
      <c r="B64" s="114" t="s">
        <v>4590</v>
      </c>
      <c r="C64" s="9">
        <v>878</v>
      </c>
      <c r="D64" s="9" t="s">
        <v>2906</v>
      </c>
      <c r="E64" s="9" t="str">
        <f>IF($B64 = "Mutant",VLOOKUP($C64,Mutants!$A$2:$L$560,12,FALSE),IF($B64 = "Test",VLOOKUP($C64,Tests!$A$2:$L$841,12,FALSE),VLOOKUP($C64,Questions!$A$3:$N$174,9,FALSE)))</f>
        <v>Y</v>
      </c>
      <c r="F64" s="187" t="str">
        <f>IF($B64 = "Mutant",VLOOKUP($C64,Mutants!$A$2:$L$560,11,FALSE),IF($B64 = "Test",VLOOKUP($C64,Tests!$A$2:$L$841,11,FALSE),VLOOKUP($C64,Questions!$A$3:$N$174,13,FALSE)))</f>
        <v xml:space="preserve">add, getBinaryValue
</v>
      </c>
      <c r="G64" s="187"/>
      <c r="H64" s="202"/>
    </row>
    <row r="65" spans="2:8" ht="12.75">
      <c r="B65" s="114" t="s">
        <v>4590</v>
      </c>
      <c r="C65" s="9">
        <v>897</v>
      </c>
      <c r="D65" s="9" t="s">
        <v>2958</v>
      </c>
      <c r="E65" s="9" t="str">
        <f>IF($B65 = "Mutant",VLOOKUP($C65,Mutants!$A$2:$L$560,12,FALSE),IF($B65 = "Test",VLOOKUP($C65,Tests!$A$2:$L$841,12,FALSE),VLOOKUP($C65,Questions!$A$3:$N$174,9,FALSE)))</f>
        <v>Y</v>
      </c>
      <c r="F65" s="187" t="str">
        <f>IF($B65 = "Mutant",VLOOKUP($C65,Mutants!$A$2:$L$560,11,FALSE),IF($B65 = "Test",VLOOKUP($C65,Tests!$A$2:$L$841,11,FALSE),VLOOKUP($C65,Questions!$A$3:$N$174,13,FALSE)))</f>
        <v xml:space="preserve">add, getField
</v>
      </c>
      <c r="G65" s="187"/>
      <c r="H65" s="202"/>
    </row>
    <row r="66" spans="2:8" ht="12.75">
      <c r="B66" s="133" t="s">
        <v>4590</v>
      </c>
      <c r="C66" s="130">
        <v>939</v>
      </c>
      <c r="D66" s="130" t="s">
        <v>3078</v>
      </c>
      <c r="E66" s="130" t="str">
        <f>IF($B66 = "Mutant",VLOOKUP($C66,Mutants!$A$2:$L$560,12,FALSE),IF($B66 = "Test",VLOOKUP($C66,Tests!$A$2:$L$841,12,FALSE),VLOOKUP($C66,Questions!$A$3:$N$174,9,FALSE)))</f>
        <v>Y</v>
      </c>
      <c r="F66" s="203" t="str">
        <f>IF($B66 = "Mutant",VLOOKUP($C66,Mutants!$A$2:$L$560,11,FALSE),IF($B66 = "Test",VLOOKUP($C66,Tests!$A$2:$L$841,11,FALSE),VLOOKUP($C66,Questions!$A$3:$N$174,13,FALSE)))</f>
        <v xml:space="preserve">add, get
</v>
      </c>
      <c r="G66" s="203"/>
      <c r="H66" s="204"/>
    </row>
    <row r="67" spans="2:8" ht="15.75" customHeight="1">
      <c r="E67" s="9"/>
      <c r="F67" s="187"/>
      <c r="G67" s="187"/>
      <c r="H67" s="187"/>
    </row>
    <row r="68" spans="2:8" ht="15.75" customHeight="1">
      <c r="E68" s="9"/>
      <c r="F68" s="187"/>
      <c r="G68" s="187"/>
      <c r="H68" s="187"/>
    </row>
    <row r="69" spans="2:8" ht="13.5" thickBot="1">
      <c r="B69" s="219" t="s">
        <v>4604</v>
      </c>
      <c r="C69" s="201"/>
      <c r="D69" s="45">
        <v>201</v>
      </c>
      <c r="E69" s="9"/>
      <c r="F69" s="187"/>
      <c r="G69" s="187"/>
      <c r="H69" s="187"/>
    </row>
    <row r="70" spans="2:8" ht="13.5" thickTop="1">
      <c r="B70" s="134" t="s">
        <v>4594</v>
      </c>
      <c r="C70" s="135" t="s">
        <v>44</v>
      </c>
      <c r="D70" s="135" t="s">
        <v>110</v>
      </c>
      <c r="E70" s="136" t="s">
        <v>2</v>
      </c>
      <c r="F70" s="229" t="s">
        <v>4612</v>
      </c>
      <c r="G70" s="229"/>
      <c r="H70" s="230"/>
    </row>
    <row r="71" spans="2:8" ht="12.75">
      <c r="B71" s="137" t="s">
        <v>4589</v>
      </c>
      <c r="C71" s="93">
        <v>413</v>
      </c>
      <c r="D71" s="93" t="s">
        <v>1752</v>
      </c>
      <c r="E71" s="93" t="str">
        <f>IF($B71 = "Mutant",VLOOKUP($C71,Mutants!$A$2:$L$560,12,FALSE),IF($B71 = "Test",VLOOKUP($C71,Tests!$A$2:$L$841,12,FALSE),VLOOKUP($C71,Questions!$A$3:$N$174,9,FALSE)))</f>
        <v>Y</v>
      </c>
      <c r="F71" s="205" t="str">
        <f>IF($B71 = "Mutant",VLOOKUP($C71,Mutants!$A$2:$L$560,11,FALSE),IF($B71 = "Test",VLOOKUP($C71,Tests!$A$2:$L$841,11,FALSE),VLOOKUP($C71,Questions!$A$3:$N$174,13,FALSE)))</f>
        <v xml:space="preserve">
</v>
      </c>
      <c r="G71" s="205"/>
      <c r="H71" s="206"/>
    </row>
    <row r="72" spans="2:8" ht="12.75">
      <c r="B72" s="114" t="s">
        <v>4589</v>
      </c>
      <c r="C72" s="9">
        <v>433</v>
      </c>
      <c r="D72" s="9" t="s">
        <v>4003</v>
      </c>
      <c r="E72" s="9" t="str">
        <f>IF($B72 = "Mutant",VLOOKUP($C72,Mutants!$A$2:$L$560,12,FALSE),IF($B72 = "Test",VLOOKUP($C72,Tests!$A$2:$L$841,12,FALSE),VLOOKUP($C72,Questions!$A$3:$N$174,9,FALSE)))</f>
        <v>Y</v>
      </c>
      <c r="F72" s="187" t="str">
        <f>IF($B72 = "Mutant",VLOOKUP($C72,Mutants!$A$2:$L$560,11,FALSE),IF($B72 = "Test",VLOOKUP($C72,Tests!$A$2:$L$841,11,FALSE),VLOOKUP($C72,Questions!$A$3:$N$174,13,FALSE)))</f>
        <v xml:space="preserve">getBinaryValues
</v>
      </c>
      <c r="G72" s="187"/>
      <c r="H72" s="202"/>
    </row>
    <row r="73" spans="2:8" ht="12.75">
      <c r="B73" s="114" t="s">
        <v>4589</v>
      </c>
      <c r="C73" s="9">
        <v>442</v>
      </c>
      <c r="D73" s="9" t="s">
        <v>4027</v>
      </c>
      <c r="E73" s="9" t="str">
        <f>IF($B73 = "Mutant",VLOOKUP($C73,Mutants!$A$2:$L$560,12,FALSE),IF($B73 = "Test",VLOOKUP($C73,Tests!$A$2:$L$841,12,FALSE),VLOOKUP($C73,Questions!$A$3:$N$174,9,FALSE)))</f>
        <v>Y</v>
      </c>
      <c r="F73" s="187" t="str">
        <f>IF($B73 = "Mutant",VLOOKUP($C73,Mutants!$A$2:$L$560,11,FALSE),IF($B73 = "Test",VLOOKUP($C73,Tests!$A$2:$L$841,11,FALSE),VLOOKUP($C73,Questions!$A$3:$N$174,13,FALSE)))</f>
        <v xml:space="preserve">toString
</v>
      </c>
      <c r="G73" s="187"/>
      <c r="H73" s="202"/>
    </row>
    <row r="74" spans="2:8" ht="12.75">
      <c r="B74" s="114" t="s">
        <v>4590</v>
      </c>
      <c r="C74" s="9">
        <v>482</v>
      </c>
      <c r="D74" s="9" t="s">
        <v>1782</v>
      </c>
      <c r="E74" s="9" t="str">
        <f>IF($B74 = "Mutant",VLOOKUP($C74,Mutants!$A$2:$L$560,12,FALSE),IF($B74 = "Test",VLOOKUP($C74,Tests!$A$2:$L$841,12,FALSE),VLOOKUP($C74,Questions!$A$3:$N$174,9,FALSE)))</f>
        <v>Y</v>
      </c>
      <c r="F74" s="187" t="str">
        <f>IF($B74 = "Mutant",VLOOKUP($C74,Mutants!$A$2:$L$560,11,FALSE),IF($B74 = "Test",VLOOKUP($C74,Tests!$A$2:$L$841,11,FALSE),VLOOKUP($C74,Questions!$A$3:$N$174,13,FALSE)))</f>
        <v xml:space="preserve">toString
</v>
      </c>
      <c r="G74" s="187"/>
      <c r="H74" s="202"/>
    </row>
    <row r="75" spans="2:8" ht="12.75">
      <c r="B75" s="114" t="s">
        <v>4589</v>
      </c>
      <c r="C75" s="9">
        <v>520</v>
      </c>
      <c r="D75" s="9" t="s">
        <v>4233</v>
      </c>
      <c r="E75" s="9" t="str">
        <f>IF($B75 = "Mutant",VLOOKUP($C75,Mutants!$A$2:$L$560,12,FALSE),IF($B75 = "Test",VLOOKUP($C75,Tests!$A$2:$L$841,12,FALSE),VLOOKUP($C75,Questions!$A$3:$N$174,9,FALSE)))</f>
        <v>Y</v>
      </c>
      <c r="F75" s="187" t="str">
        <f>IF($B75 = "Mutant",VLOOKUP($C75,Mutants!$A$2:$L$560,11,FALSE),IF($B75 = "Test",VLOOKUP($C75,Tests!$A$2:$L$841,11,FALSE),VLOOKUP($C75,Questions!$A$3:$N$174,13,FALSE)))</f>
        <v xml:space="preserve">toString
</v>
      </c>
      <c r="G75" s="187"/>
      <c r="H75" s="202"/>
    </row>
    <row r="76" spans="2:8" ht="12.75">
      <c r="B76" s="114" t="s">
        <v>4590</v>
      </c>
      <c r="C76" s="9">
        <v>501</v>
      </c>
      <c r="D76" s="9" t="s">
        <v>1845</v>
      </c>
      <c r="E76" s="9" t="str">
        <f>IF($B76 = "Mutant",VLOOKUP($C76,Mutants!$A$2:$L$560,12,FALSE),IF($B76 = "Test",VLOOKUP($C76,Tests!$A$2:$L$841,12,FALSE),VLOOKUP($C76,Questions!$A$3:$N$174,9,FALSE)))</f>
        <v>Y</v>
      </c>
      <c r="F76" s="187" t="str">
        <f>IF($B76 = "Mutant",VLOOKUP($C76,Mutants!$A$2:$L$560,11,FALSE),IF($B76 = "Test",VLOOKUP($C76,Tests!$A$2:$L$841,11,FALSE),VLOOKUP($C76,Questions!$A$3:$N$174,13,FALSE)))</f>
        <v xml:space="preserve">add, toString
</v>
      </c>
      <c r="G76" s="187"/>
      <c r="H76" s="202"/>
    </row>
    <row r="77" spans="2:8" ht="12.75">
      <c r="B77" s="114" t="s">
        <v>4590</v>
      </c>
      <c r="C77" s="9">
        <v>506</v>
      </c>
      <c r="D77" s="9" t="s">
        <v>1860</v>
      </c>
      <c r="E77" s="9" t="str">
        <f>IF($B77 = "Mutant",VLOOKUP($C77,Mutants!$A$2:$L$560,12,FALSE),IF($B77 = "Test",VLOOKUP($C77,Tests!$A$2:$L$841,12,FALSE),VLOOKUP($C77,Questions!$A$3:$N$174,9,FALSE)))</f>
        <v>Y</v>
      </c>
      <c r="F77" s="187" t="str">
        <f>IF($B77 = "Mutant",VLOOKUP($C77,Mutants!$A$2:$L$560,11,FALSE),IF($B77 = "Test",VLOOKUP($C77,Tests!$A$2:$L$841,11,FALSE),VLOOKUP($C77,Questions!$A$3:$N$174,13,FALSE)))</f>
        <v xml:space="preserve">add, toString
</v>
      </c>
      <c r="G77" s="187"/>
      <c r="H77" s="202"/>
    </row>
    <row r="78" spans="2:8" ht="12.75">
      <c r="B78" s="114" t="s">
        <v>4590</v>
      </c>
      <c r="C78" s="9">
        <v>520</v>
      </c>
      <c r="D78" s="9" t="s">
        <v>1903</v>
      </c>
      <c r="E78" s="9" t="str">
        <f>IF($B78 = "Mutant",VLOOKUP($C78,Mutants!$A$2:$L$560,12,FALSE),IF($B78 = "Test",VLOOKUP($C78,Tests!$A$2:$L$841,12,FALSE),VLOOKUP($C78,Questions!$A$3:$N$174,9,FALSE)))</f>
        <v>N</v>
      </c>
      <c r="F78" s="187" t="str">
        <f>IF($B78 = "Mutant",VLOOKUP($C78,Mutants!$A$2:$L$560,11,FALSE),IF($B78 = "Test",VLOOKUP($C78,Tests!$A$2:$L$841,11,FALSE),VLOOKUP($C78,Questions!$A$3:$N$174,13,FALSE)))</f>
        <v xml:space="preserve">
</v>
      </c>
      <c r="G78" s="187"/>
      <c r="H78" s="202"/>
    </row>
    <row r="79" spans="2:8" ht="12.75">
      <c r="B79" s="114" t="s">
        <v>4590</v>
      </c>
      <c r="C79" s="9">
        <v>527</v>
      </c>
      <c r="D79" s="9" t="s">
        <v>1928</v>
      </c>
      <c r="E79" s="9" t="str">
        <f>IF($B79 = "Mutant",VLOOKUP($C79,Mutants!$A$2:$L$560,12,FALSE),IF($B79 = "Test",VLOOKUP($C79,Tests!$A$2:$L$841,12,FALSE),VLOOKUP($C79,Questions!$A$3:$N$174,9,FALSE)))</f>
        <v>N</v>
      </c>
      <c r="F79" s="187" t="str">
        <f>IF($B79 = "Mutant",VLOOKUP($C79,Mutants!$A$2:$L$560,11,FALSE),IF($B79 = "Test",VLOOKUP($C79,Tests!$A$2:$L$841,11,FALSE),VLOOKUP($C79,Questions!$A$3:$N$174,13,FALSE)))</f>
        <v xml:space="preserve">
</v>
      </c>
      <c r="G79" s="187"/>
      <c r="H79" s="202"/>
    </row>
    <row r="80" spans="2:8" ht="12.75">
      <c r="B80" s="114" t="s">
        <v>4590</v>
      </c>
      <c r="C80" s="9">
        <v>530</v>
      </c>
      <c r="D80" s="9" t="s">
        <v>1939</v>
      </c>
      <c r="E80" s="9" t="str">
        <f>IF($B80 = "Mutant",VLOOKUP($C80,Mutants!$A$2:$L$560,12,FALSE),IF($B80 = "Test",VLOOKUP($C80,Tests!$A$2:$L$841,12,FALSE),VLOOKUP($C80,Questions!$A$3:$N$174,9,FALSE)))</f>
        <v>Y</v>
      </c>
      <c r="F80" s="187" t="str">
        <f>IF($B80 = "Mutant",VLOOKUP($C80,Mutants!$A$2:$L$560,11,FALSE),IF($B80 = "Test",VLOOKUP($C80,Tests!$A$2:$L$841,11,FALSE),VLOOKUP($C80,Questions!$A$3:$N$174,13,FALSE)))</f>
        <v xml:space="preserve">add, removeField, toString
</v>
      </c>
      <c r="G80" s="187"/>
      <c r="H80" s="202"/>
    </row>
    <row r="81" spans="2:8" ht="12.75">
      <c r="B81" s="114" t="s">
        <v>4590</v>
      </c>
      <c r="C81" s="9">
        <v>544</v>
      </c>
      <c r="D81" s="9" t="s">
        <v>1977</v>
      </c>
      <c r="E81" s="9" t="str">
        <f>IF($B81 = "Mutant",VLOOKUP($C81,Mutants!$A$2:$L$560,12,FALSE),IF($B81 = "Test",VLOOKUP($C81,Tests!$A$2:$L$841,12,FALSE),VLOOKUP($C81,Questions!$A$3:$N$174,9,FALSE)))</f>
        <v>N</v>
      </c>
      <c r="F81" s="187" t="str">
        <f>IF($B81 = "Mutant",VLOOKUP($C81,Mutants!$A$2:$L$560,11,FALSE),IF($B81 = "Test",VLOOKUP($C81,Tests!$A$2:$L$841,11,FALSE),VLOOKUP($C81,Questions!$A$3:$N$174,13,FALSE)))</f>
        <v xml:space="preserve">
</v>
      </c>
      <c r="G81" s="187"/>
      <c r="H81" s="202"/>
    </row>
    <row r="82" spans="2:8" ht="12.75">
      <c r="B82" s="114" t="s">
        <v>4590</v>
      </c>
      <c r="C82" s="9">
        <v>557</v>
      </c>
      <c r="D82" s="9" t="s">
        <v>2013</v>
      </c>
      <c r="E82" s="9" t="str">
        <f>IF($B82 = "Mutant",VLOOKUP($C82,Mutants!$A$2:$L$560,12,FALSE),IF($B82 = "Test",VLOOKUP($C82,Tests!$A$2:$L$841,12,FALSE),VLOOKUP($C82,Questions!$A$3:$N$174,9,FALSE)))</f>
        <v>Y</v>
      </c>
      <c r="F82" s="187" t="str">
        <f>IF($B82 = "Mutant",VLOOKUP($C82,Mutants!$A$2:$L$560,11,FALSE),IF($B82 = "Test",VLOOKUP($C82,Tests!$A$2:$L$841,11,FALSE),VLOOKUP($C82,Questions!$A$3:$N$174,13,FALSE)))</f>
        <v xml:space="preserve">add, removeFields, toString
</v>
      </c>
      <c r="G82" s="187"/>
      <c r="H82" s="202"/>
    </row>
    <row r="83" spans="2:8" ht="12.75">
      <c r="B83" s="114" t="s">
        <v>4590</v>
      </c>
      <c r="C83" s="9">
        <v>581</v>
      </c>
      <c r="D83" s="9" t="s">
        <v>668</v>
      </c>
      <c r="E83" s="9" t="str">
        <f>IF($B83 = "Mutant",VLOOKUP($C83,Mutants!$A$2:$L$560,12,FALSE),IF($B83 = "Test",VLOOKUP($C83,Tests!$A$2:$L$841,12,FALSE),VLOOKUP($C83,Questions!$A$3:$N$174,9,FALSE)))</f>
        <v>Y</v>
      </c>
      <c r="F83" s="187" t="str">
        <f>IF($B83 = "Mutant",VLOOKUP($C83,Mutants!$A$2:$L$560,11,FALSE),IF($B83 = "Test",VLOOKUP($C83,Tests!$A$2:$L$841,11,FALSE),VLOOKUP($C83,Questions!$A$3:$N$174,13,FALSE)))</f>
        <v xml:space="preserve">add, getBinaryValues
</v>
      </c>
      <c r="G83" s="187"/>
      <c r="H83" s="202"/>
    </row>
    <row r="84" spans="2:8" ht="12.75">
      <c r="B84" s="114" t="s">
        <v>4590</v>
      </c>
      <c r="C84" s="9">
        <v>587</v>
      </c>
      <c r="D84" s="9" t="s">
        <v>2107</v>
      </c>
      <c r="E84" s="9" t="str">
        <f>IF($B84 = "Mutant",VLOOKUP($C84,Mutants!$A$2:$L$560,12,FALSE),IF($B84 = "Test",VLOOKUP($C84,Tests!$A$2:$L$841,12,FALSE),VLOOKUP($C84,Questions!$A$3:$N$174,9,FALSE)))</f>
        <v>Y</v>
      </c>
      <c r="F84" s="187" t="str">
        <f>IF($B84 = "Mutant",VLOOKUP($C84,Mutants!$A$2:$L$560,11,FALSE),IF($B84 = "Test",VLOOKUP($C84,Tests!$A$2:$L$841,11,FALSE),VLOOKUP($C84,Questions!$A$3:$N$174,13,FALSE)))</f>
        <v xml:space="preserve">add, getBinaryValues
</v>
      </c>
      <c r="G84" s="187"/>
      <c r="H84" s="202"/>
    </row>
    <row r="85" spans="2:8" ht="12.75">
      <c r="B85" s="114" t="s">
        <v>4590</v>
      </c>
      <c r="C85" s="9">
        <v>606</v>
      </c>
      <c r="D85" s="9" t="s">
        <v>2158</v>
      </c>
      <c r="E85" s="9" t="str">
        <f>IF($B85 = "Mutant",VLOOKUP($C85,Mutants!$A$2:$L$560,12,FALSE),IF($B85 = "Test",VLOOKUP($C85,Tests!$A$2:$L$841,12,FALSE),VLOOKUP($C85,Questions!$A$3:$N$174,9,FALSE)))</f>
        <v>Y</v>
      </c>
      <c r="F85" s="187" t="str">
        <f>IF($B85 = "Mutant",VLOOKUP($C85,Mutants!$A$2:$L$560,11,FALSE),IF($B85 = "Test",VLOOKUP($C85,Tests!$A$2:$L$841,11,FALSE),VLOOKUP($C85,Questions!$A$3:$N$174,13,FALSE)))</f>
        <v xml:space="preserve">add, getBinaryValues
</v>
      </c>
      <c r="G85" s="187"/>
      <c r="H85" s="202"/>
    </row>
    <row r="86" spans="2:8" ht="12.75">
      <c r="B86" s="114" t="s">
        <v>4590</v>
      </c>
      <c r="C86" s="9">
        <v>618</v>
      </c>
      <c r="D86" s="9" t="s">
        <v>2189</v>
      </c>
      <c r="E86" s="9" t="str">
        <f>IF($B86 = "Mutant",VLOOKUP($C86,Mutants!$A$2:$L$560,12,FALSE),IF($B86 = "Test",VLOOKUP($C86,Tests!$A$2:$L$841,12,FALSE),VLOOKUP($C86,Questions!$A$3:$N$174,9,FALSE)))</f>
        <v>Y</v>
      </c>
      <c r="F86" s="187" t="str">
        <f>IF($B86 = "Mutant",VLOOKUP($C86,Mutants!$A$2:$L$560,11,FALSE),IF($B86 = "Test",VLOOKUP($C86,Tests!$A$2:$L$841,11,FALSE),VLOOKUP($C86,Questions!$A$3:$N$174,13,FALSE)))</f>
        <v xml:space="preserve">add, getField
</v>
      </c>
      <c r="G86" s="187"/>
      <c r="H86" s="202"/>
    </row>
    <row r="87" spans="2:8" ht="12.75">
      <c r="B87" s="114" t="s">
        <v>4590</v>
      </c>
      <c r="C87" s="9">
        <v>627</v>
      </c>
      <c r="D87" s="9" t="s">
        <v>2207</v>
      </c>
      <c r="E87" s="9" t="str">
        <f>IF($B87 = "Mutant",VLOOKUP($C87,Mutants!$A$2:$L$560,12,FALSE),IF($B87 = "Test",VLOOKUP($C87,Tests!$A$2:$L$841,12,FALSE),VLOOKUP($C87,Questions!$A$3:$N$174,9,FALSE)))</f>
        <v>Y</v>
      </c>
      <c r="F87" s="187" t="str">
        <f>IF($B87 = "Mutant",VLOOKUP($C87,Mutants!$A$2:$L$560,11,FALSE),IF($B87 = "Test",VLOOKUP($C87,Tests!$A$2:$L$841,11,FALSE),VLOOKUP($C87,Questions!$A$3:$N$174,13,FALSE)))</f>
        <v xml:space="preserve">add, getField
</v>
      </c>
      <c r="G87" s="187"/>
      <c r="H87" s="202"/>
    </row>
    <row r="88" spans="2:8" ht="12.75">
      <c r="B88" s="114" t="s">
        <v>4589</v>
      </c>
      <c r="C88" s="9">
        <v>582</v>
      </c>
      <c r="D88" s="9" t="s">
        <v>4389</v>
      </c>
      <c r="E88" s="9" t="str">
        <f>IF($B88 = "Mutant",VLOOKUP($C88,Mutants!$A$2:$L$560,12,FALSE),IF($B88 = "Test",VLOOKUP($C88,Tests!$A$2:$L$841,12,FALSE),VLOOKUP($C88,Questions!$A$3:$N$174,9,FALSE)))</f>
        <v>Y</v>
      </c>
      <c r="F88" s="187" t="str">
        <f>IF($B88 = "Mutant",VLOOKUP($C88,Mutants!$A$2:$L$560,11,FALSE),IF($B88 = "Test",VLOOKUP($C88,Tests!$A$2:$L$841,11,FALSE),VLOOKUP($C88,Questions!$A$3:$N$174,13,FALSE)))</f>
        <v xml:space="preserve">removeFields
</v>
      </c>
      <c r="G88" s="187"/>
      <c r="H88" s="202"/>
    </row>
    <row r="89" spans="2:8" ht="12.75">
      <c r="B89" s="114" t="s">
        <v>4589</v>
      </c>
      <c r="C89" s="9">
        <v>585</v>
      </c>
      <c r="D89" s="9" t="s">
        <v>4395</v>
      </c>
      <c r="E89" s="9" t="str">
        <f>IF($B89 = "Mutant",VLOOKUP($C89,Mutants!$A$2:$L$560,12,FALSE),IF($B89 = "Test",VLOOKUP($C89,Tests!$A$2:$L$841,12,FALSE),VLOOKUP($C89,Questions!$A$3:$N$174,9,FALSE)))</f>
        <v>Y</v>
      </c>
      <c r="F89" s="187" t="str">
        <f>IF($B89 = "Mutant",VLOOKUP($C89,Mutants!$A$2:$L$560,11,FALSE),IF($B89 = "Test",VLOOKUP($C89,Tests!$A$2:$L$841,11,FALSE),VLOOKUP($C89,Questions!$A$3:$N$174,13,FALSE)))</f>
        <v xml:space="preserve">removeField
</v>
      </c>
      <c r="G89" s="187"/>
      <c r="H89" s="202"/>
    </row>
    <row r="90" spans="2:8" ht="12.75">
      <c r="B90" s="114" t="s">
        <v>4589</v>
      </c>
      <c r="C90" s="9">
        <v>586</v>
      </c>
      <c r="D90" s="9" t="s">
        <v>2272</v>
      </c>
      <c r="E90" s="9" t="str">
        <f>IF($B90 = "Mutant",VLOOKUP($C90,Mutants!$A$2:$L$560,12,FALSE),IF($B90 = "Test",VLOOKUP($C90,Tests!$A$2:$L$841,12,FALSE),VLOOKUP($C90,Questions!$A$3:$N$174,9,FALSE)))</f>
        <v>Y</v>
      </c>
      <c r="F90" s="187" t="str">
        <f>IF($B90 = "Mutant",VLOOKUP($C90,Mutants!$A$2:$L$560,11,FALSE),IF($B90 = "Test",VLOOKUP($C90,Tests!$A$2:$L$841,11,FALSE),VLOOKUP($C90,Questions!$A$3:$N$174,13,FALSE)))</f>
        <v xml:space="preserve">getBinaryValues
</v>
      </c>
      <c r="G90" s="187"/>
      <c r="H90" s="202"/>
    </row>
    <row r="91" spans="2:8" ht="12.75">
      <c r="B91" s="114" t="s">
        <v>4590</v>
      </c>
      <c r="C91" s="9">
        <v>658</v>
      </c>
      <c r="D91" s="9" t="s">
        <v>2306</v>
      </c>
      <c r="E91" s="9" t="str">
        <f>IF($B91 = "Mutant",VLOOKUP($C91,Mutants!$A$2:$L$560,12,FALSE),IF($B91 = "Test",VLOOKUP($C91,Tests!$A$2:$L$841,12,FALSE),VLOOKUP($C91,Questions!$A$3:$N$174,9,FALSE)))</f>
        <v>Y</v>
      </c>
      <c r="F91" s="187" t="str">
        <f>IF($B91 = "Mutant",VLOOKUP($C91,Mutants!$A$2:$L$560,11,FALSE),IF($B91 = "Test",VLOOKUP($C91,Tests!$A$2:$L$841,11,FALSE),VLOOKUP($C91,Questions!$A$3:$N$174,13,FALSE)))</f>
        <v xml:space="preserve">add, getFields_1
</v>
      </c>
      <c r="G91" s="187"/>
      <c r="H91" s="202"/>
    </row>
    <row r="92" spans="2:8" ht="12.75">
      <c r="B92" s="114" t="s">
        <v>4590</v>
      </c>
      <c r="C92" s="9">
        <v>669</v>
      </c>
      <c r="D92" s="9" t="s">
        <v>2336</v>
      </c>
      <c r="E92" s="9" t="str">
        <f>IF($B92 = "Mutant",VLOOKUP($C92,Mutants!$A$2:$L$560,12,FALSE),IF($B92 = "Test",VLOOKUP($C92,Tests!$A$2:$L$841,12,FALSE),VLOOKUP($C92,Questions!$A$3:$N$174,9,FALSE)))</f>
        <v>Y</v>
      </c>
      <c r="F92" s="187" t="str">
        <f>IF($B92 = "Mutant",VLOOKUP($C92,Mutants!$A$2:$L$560,11,FALSE),IF($B92 = "Test",VLOOKUP($C92,Tests!$A$2:$L$841,11,FALSE),VLOOKUP($C92,Questions!$A$3:$N$174,13,FALSE)))</f>
        <v xml:space="preserve">add, getValues
</v>
      </c>
      <c r="G92" s="187"/>
      <c r="H92" s="202"/>
    </row>
    <row r="93" spans="2:8" ht="12.75">
      <c r="B93" s="114" t="s">
        <v>4590</v>
      </c>
      <c r="C93" s="9">
        <v>687</v>
      </c>
      <c r="D93" s="9" t="s">
        <v>2381</v>
      </c>
      <c r="E93" s="9" t="str">
        <f>IF($B93 = "Mutant",VLOOKUP($C93,Mutants!$A$2:$L$560,12,FALSE),IF($B93 = "Test",VLOOKUP($C93,Tests!$A$2:$L$841,12,FALSE),VLOOKUP($C93,Questions!$A$3:$N$174,9,FALSE)))</f>
        <v>Y</v>
      </c>
      <c r="F93" s="187" t="str">
        <f>IF($B93 = "Mutant",VLOOKUP($C93,Mutants!$A$2:$L$560,11,FALSE),IF($B93 = "Test",VLOOKUP($C93,Tests!$A$2:$L$841,11,FALSE),VLOOKUP($C93,Questions!$A$3:$N$174,13,FALSE)))</f>
        <v xml:space="preserve">add, toString, clear
</v>
      </c>
      <c r="G93" s="187"/>
      <c r="H93" s="202"/>
    </row>
    <row r="94" spans="2:8" ht="12.75">
      <c r="B94" s="114" t="s">
        <v>4589</v>
      </c>
      <c r="C94" s="9">
        <v>594</v>
      </c>
      <c r="D94" s="9" t="s">
        <v>2395</v>
      </c>
      <c r="E94" s="9" t="str">
        <f>IF($B94 = "Mutant",VLOOKUP($C94,Mutants!$A$2:$L$560,12,FALSE),IF($B94 = "Test",VLOOKUP($C94,Tests!$A$2:$L$841,12,FALSE),VLOOKUP($C94,Questions!$A$3:$N$174,9,FALSE)))</f>
        <v>Y</v>
      </c>
      <c r="F94" s="187" t="str">
        <f>IF($B94 = "Mutant",VLOOKUP($C94,Mutants!$A$2:$L$560,11,FALSE),IF($B94 = "Test",VLOOKUP($C94,Tests!$A$2:$L$841,11,FALSE),VLOOKUP($C94,Questions!$A$3:$N$174,13,FALSE)))</f>
        <v xml:space="preserve">toString
</v>
      </c>
      <c r="G94" s="187"/>
      <c r="H94" s="202"/>
    </row>
    <row r="95" spans="2:8" ht="12.75">
      <c r="B95" s="114" t="s">
        <v>4589</v>
      </c>
      <c r="C95" s="9">
        <v>597</v>
      </c>
      <c r="D95" s="9" t="s">
        <v>4429</v>
      </c>
      <c r="E95" s="9" t="str">
        <f>IF($B95 = "Mutant",VLOOKUP($C95,Mutants!$A$2:$L$560,12,FALSE),IF($B95 = "Test",VLOOKUP($C95,Tests!$A$2:$L$841,12,FALSE),VLOOKUP($C95,Questions!$A$3:$N$174,9,FALSE)))</f>
        <v>Y</v>
      </c>
      <c r="F95" s="187" t="str">
        <f>IF($B95 = "Mutant",VLOOKUP($C95,Mutants!$A$2:$L$560,11,FALSE),IF($B95 = "Test",VLOOKUP($C95,Tests!$A$2:$L$841,11,FALSE),VLOOKUP($C95,Questions!$A$3:$N$174,13,FALSE)))</f>
        <v xml:space="preserve">getBinaryValue
</v>
      </c>
      <c r="G95" s="187"/>
      <c r="H95" s="202"/>
    </row>
    <row r="96" spans="2:8" ht="12.75">
      <c r="B96" s="114" t="s">
        <v>4589</v>
      </c>
      <c r="C96" s="9">
        <v>598</v>
      </c>
      <c r="D96" s="9" t="s">
        <v>4432</v>
      </c>
      <c r="E96" s="9" t="str">
        <f>IF($B96 = "Mutant",VLOOKUP($C96,Mutants!$A$2:$L$560,12,FALSE),IF($B96 = "Test",VLOOKUP($C96,Tests!$A$2:$L$841,12,FALSE),VLOOKUP($C96,Questions!$A$3:$N$174,9,FALSE)))</f>
        <v>Y</v>
      </c>
      <c r="F96" s="187" t="str">
        <f>IF($B96 = "Mutant",VLOOKUP($C96,Mutants!$A$2:$L$560,11,FALSE),IF($B96 = "Test",VLOOKUP($C96,Tests!$A$2:$L$841,11,FALSE),VLOOKUP($C96,Questions!$A$3:$N$174,13,FALSE)))</f>
        <v xml:space="preserve">getField
</v>
      </c>
      <c r="G96" s="187"/>
      <c r="H96" s="202"/>
    </row>
    <row r="97" spans="2:8" ht="12.75">
      <c r="B97" s="114" t="s">
        <v>4589</v>
      </c>
      <c r="C97" s="9">
        <v>600</v>
      </c>
      <c r="D97" s="9" t="s">
        <v>4436</v>
      </c>
      <c r="E97" s="9" t="str">
        <f>IF($B97 = "Mutant",VLOOKUP($C97,Mutants!$A$2:$L$560,12,FALSE),IF($B97 = "Test",VLOOKUP($C97,Tests!$A$2:$L$841,12,FALSE),VLOOKUP($C97,Questions!$A$3:$N$174,9,FALSE)))</f>
        <v>Y</v>
      </c>
      <c r="F97" s="187" t="str">
        <f>IF($B97 = "Mutant",VLOOKUP($C97,Mutants!$A$2:$L$560,11,FALSE),IF($B97 = "Test",VLOOKUP($C97,Tests!$A$2:$L$841,11,FALSE),VLOOKUP($C97,Questions!$A$3:$N$174,13,FALSE)))</f>
        <v xml:space="preserve">get
</v>
      </c>
      <c r="G97" s="187"/>
      <c r="H97" s="202"/>
    </row>
    <row r="98" spans="2:8" ht="12.75">
      <c r="B98" s="114" t="s">
        <v>4590</v>
      </c>
      <c r="C98" s="9">
        <v>758</v>
      </c>
      <c r="D98" s="9" t="s">
        <v>2571</v>
      </c>
      <c r="E98" s="9" t="str">
        <f>IF($B98 = "Mutant",VLOOKUP($C98,Mutants!$A$2:$L$560,12,FALSE),IF($B98 = "Test",VLOOKUP($C98,Tests!$A$2:$L$841,12,FALSE),VLOOKUP($C98,Questions!$A$3:$N$174,9,FALSE)))</f>
        <v>N</v>
      </c>
      <c r="F98" s="187" t="str">
        <f>IF($B98 = "Mutant",VLOOKUP($C98,Mutants!$A$2:$L$560,11,FALSE),IF($B98 = "Test",VLOOKUP($C98,Tests!$A$2:$L$841,11,FALSE),VLOOKUP($C98,Questions!$A$3:$N$174,13,FALSE)))</f>
        <v xml:space="preserve">
</v>
      </c>
      <c r="G98" s="187"/>
      <c r="H98" s="202"/>
    </row>
    <row r="99" spans="2:8" ht="12.75">
      <c r="B99" s="114" t="s">
        <v>4590</v>
      </c>
      <c r="C99" s="9">
        <v>795</v>
      </c>
      <c r="D99" s="9" t="s">
        <v>2670</v>
      </c>
      <c r="E99" s="9" t="str">
        <f>IF($B99 = "Mutant",VLOOKUP($C99,Mutants!$A$2:$L$560,12,FALSE),IF($B99 = "Test",VLOOKUP($C99,Tests!$A$2:$L$841,12,FALSE),VLOOKUP($C99,Questions!$A$3:$N$174,9,FALSE)))</f>
        <v>N</v>
      </c>
      <c r="F99" s="187" t="str">
        <f>IF($B99 = "Mutant",VLOOKUP($C99,Mutants!$A$2:$L$560,11,FALSE),IF($B99 = "Test",VLOOKUP($C99,Tests!$A$2:$L$841,11,FALSE),VLOOKUP($C99,Questions!$A$3:$N$174,13,FALSE)))</f>
        <v xml:space="preserve">
</v>
      </c>
      <c r="G99" s="187"/>
      <c r="H99" s="202"/>
    </row>
    <row r="100" spans="2:8" ht="12.75">
      <c r="B100" s="114" t="s">
        <v>4590</v>
      </c>
      <c r="C100" s="9">
        <v>803</v>
      </c>
      <c r="D100" s="9" t="s">
        <v>2692</v>
      </c>
      <c r="E100" s="9" t="str">
        <f>IF($B100 = "Mutant",VLOOKUP($C100,Mutants!$A$2:$L$560,12,FALSE),IF($B100 = "Test",VLOOKUP($C100,Tests!$A$2:$L$841,12,FALSE),VLOOKUP($C100,Questions!$A$3:$N$174,9,FALSE)))</f>
        <v>N</v>
      </c>
      <c r="F100" s="187" t="str">
        <f>IF($B100 = "Mutant",VLOOKUP($C100,Mutants!$A$2:$L$560,11,FALSE),IF($B100 = "Test",VLOOKUP($C100,Tests!$A$2:$L$841,11,FALSE),VLOOKUP($C100,Questions!$A$3:$N$174,13,FALSE)))</f>
        <v xml:space="preserve">
</v>
      </c>
      <c r="G100" s="187"/>
      <c r="H100" s="202"/>
    </row>
    <row r="101" spans="2:8" ht="12.75">
      <c r="B101" s="114" t="s">
        <v>4590</v>
      </c>
      <c r="C101" s="9">
        <v>806</v>
      </c>
      <c r="D101" s="9" t="s">
        <v>2701</v>
      </c>
      <c r="E101" s="9" t="str">
        <f>IF($B101 = "Mutant",VLOOKUP($C101,Mutants!$A$2:$L$560,12,FALSE),IF($B101 = "Test",VLOOKUP($C101,Tests!$A$2:$L$841,12,FALSE),VLOOKUP($C101,Questions!$A$3:$N$174,9,FALSE)))</f>
        <v>N</v>
      </c>
      <c r="F101" s="187" t="str">
        <f>IF($B101 = "Mutant",VLOOKUP($C101,Mutants!$A$2:$L$560,11,FALSE),IF($B101 = "Test",VLOOKUP($C101,Tests!$A$2:$L$841,11,FALSE),VLOOKUP($C101,Questions!$A$3:$N$174,13,FALSE)))</f>
        <v xml:space="preserve">
</v>
      </c>
      <c r="G101" s="187"/>
      <c r="H101" s="202"/>
    </row>
    <row r="102" spans="2:8" ht="12.75">
      <c r="B102" s="114" t="s">
        <v>4590</v>
      </c>
      <c r="C102" s="9">
        <v>813</v>
      </c>
      <c r="D102" s="9" t="s">
        <v>2721</v>
      </c>
      <c r="E102" s="9" t="str">
        <f>IF($B102 = "Mutant",VLOOKUP($C102,Mutants!$A$2:$L$560,12,FALSE),IF($B102 = "Test",VLOOKUP($C102,Tests!$A$2:$L$841,12,FALSE),VLOOKUP($C102,Questions!$A$3:$N$174,9,FALSE)))</f>
        <v>N</v>
      </c>
      <c r="F102" s="187" t="str">
        <f>IF($B102 = "Mutant",VLOOKUP($C102,Mutants!$A$2:$L$560,11,FALSE),IF($B102 = "Test",VLOOKUP($C102,Tests!$A$2:$L$841,11,FALSE),VLOOKUP($C102,Questions!$A$3:$N$174,13,FALSE)))</f>
        <v xml:space="preserve">
</v>
      </c>
      <c r="G102" s="187"/>
      <c r="H102" s="202"/>
    </row>
    <row r="103" spans="2:8" ht="12.75">
      <c r="B103" s="114" t="s">
        <v>4590</v>
      </c>
      <c r="C103" s="9">
        <v>821</v>
      </c>
      <c r="D103" s="9" t="s">
        <v>579</v>
      </c>
      <c r="E103" s="9" t="str">
        <f>IF($B103 = "Mutant",VLOOKUP($C103,Mutants!$A$2:$L$560,12,FALSE),IF($B103 = "Test",VLOOKUP($C103,Tests!$A$2:$L$841,12,FALSE),VLOOKUP($C103,Questions!$A$3:$N$174,9,FALSE)))</f>
        <v>Y</v>
      </c>
      <c r="F103" s="187" t="str">
        <f>IF($B103 = "Mutant",VLOOKUP($C103,Mutants!$A$2:$L$560,11,FALSE),IF($B103 = "Test",VLOOKUP($C103,Tests!$A$2:$L$841,11,FALSE),VLOOKUP($C103,Questions!$A$3:$N$174,13,FALSE)))</f>
        <v xml:space="preserve">add, getFields_2
</v>
      </c>
      <c r="G103" s="187"/>
      <c r="H103" s="202"/>
    </row>
    <row r="104" spans="2:8" ht="12.75">
      <c r="B104" s="114" t="s">
        <v>4590</v>
      </c>
      <c r="C104" s="9">
        <v>827</v>
      </c>
      <c r="D104" s="9" t="s">
        <v>2756</v>
      </c>
      <c r="E104" s="9" t="str">
        <f>IF($B104 = "Mutant",VLOOKUP($C104,Mutants!$A$2:$L$560,12,FALSE),IF($B104 = "Test",VLOOKUP($C104,Tests!$A$2:$L$841,12,FALSE),VLOOKUP($C104,Questions!$A$3:$N$174,9,FALSE)))</f>
        <v>Y</v>
      </c>
      <c r="F104" s="187" t="str">
        <f>IF($B104 = "Mutant",VLOOKUP($C104,Mutants!$A$2:$L$560,11,FALSE),IF($B104 = "Test",VLOOKUP($C104,Tests!$A$2:$L$841,11,FALSE),VLOOKUP($C104,Questions!$A$3:$N$174,13,FALSE)))</f>
        <v xml:space="preserve">add, getFields_2
</v>
      </c>
      <c r="G104" s="187"/>
      <c r="H104" s="202"/>
    </row>
    <row r="105" spans="2:8" ht="12.75">
      <c r="B105" s="114" t="s">
        <v>4590</v>
      </c>
      <c r="C105" s="9">
        <v>867</v>
      </c>
      <c r="D105" s="9" t="s">
        <v>541</v>
      </c>
      <c r="E105" s="9" t="str">
        <f>IF($B105 = "Mutant",VLOOKUP($C105,Mutants!$A$2:$L$560,12,FALSE),IF($B105 = "Test",VLOOKUP($C105,Tests!$A$2:$L$841,12,FALSE),VLOOKUP($C105,Questions!$A$3:$N$174,9,FALSE)))</f>
        <v>Y</v>
      </c>
      <c r="F105" s="187" t="str">
        <f>IF($B105 = "Mutant",VLOOKUP($C105,Mutants!$A$2:$L$560,11,FALSE),IF($B105 = "Test",VLOOKUP($C105,Tests!$A$2:$L$841,11,FALSE),VLOOKUP($C105,Questions!$A$3:$N$174,13,FALSE)))</f>
        <v xml:space="preserve">add, getBinaryValues, clear
</v>
      </c>
      <c r="G105" s="187"/>
      <c r="H105" s="202"/>
    </row>
    <row r="106" spans="2:8" ht="12.75">
      <c r="B106" s="114" t="s">
        <v>4590</v>
      </c>
      <c r="C106" s="9">
        <v>889</v>
      </c>
      <c r="D106" s="9" t="s">
        <v>2937</v>
      </c>
      <c r="E106" s="9" t="str">
        <f>IF($B106 = "Mutant",VLOOKUP($C106,Mutants!$A$2:$L$560,12,FALSE),IF($B106 = "Test",VLOOKUP($C106,Tests!$A$2:$L$841,12,FALSE),VLOOKUP($C106,Questions!$A$3:$N$174,9,FALSE)))</f>
        <v>Y</v>
      </c>
      <c r="F106" s="187" t="str">
        <f>IF($B106 = "Mutant",VLOOKUP($C106,Mutants!$A$2:$L$560,11,FALSE),IF($B106 = "Test",VLOOKUP($C106,Tests!$A$2:$L$841,11,FALSE),VLOOKUP($C106,Questions!$A$3:$N$174,13,FALSE)))</f>
        <v xml:space="preserve">add, getBinaryValues
</v>
      </c>
      <c r="G106" s="187"/>
      <c r="H106" s="202"/>
    </row>
    <row r="107" spans="2:8" ht="12.75">
      <c r="B107" s="114" t="s">
        <v>4590</v>
      </c>
      <c r="C107" s="9">
        <v>904</v>
      </c>
      <c r="D107" s="9" t="s">
        <v>2981</v>
      </c>
      <c r="E107" s="9" t="str">
        <f>IF($B107 = "Mutant",VLOOKUP($C107,Mutants!$A$2:$L$560,12,FALSE),IF($B107 = "Test",VLOOKUP($C107,Tests!$A$2:$L$841,12,FALSE),VLOOKUP($C107,Questions!$A$3:$N$174,9,FALSE)))</f>
        <v>N</v>
      </c>
      <c r="F107" s="187" t="str">
        <f>IF($B107 = "Mutant",VLOOKUP($C107,Mutants!$A$2:$L$560,11,FALSE),IF($B107 = "Test",VLOOKUP($C107,Tests!$A$2:$L$841,11,FALSE),VLOOKUP($C107,Questions!$A$3:$N$174,13,FALSE)))</f>
        <v xml:space="preserve">
</v>
      </c>
      <c r="G107" s="187"/>
      <c r="H107" s="202"/>
    </row>
    <row r="108" spans="2:8" ht="12.75">
      <c r="B108" s="114" t="s">
        <v>4590</v>
      </c>
      <c r="C108" s="9">
        <v>909</v>
      </c>
      <c r="D108" s="9" t="s">
        <v>3000</v>
      </c>
      <c r="E108" s="9" t="str">
        <f>IF($B108 = "Mutant",VLOOKUP($C108,Mutants!$A$2:$L$560,12,FALSE),IF($B108 = "Test",VLOOKUP($C108,Tests!$A$2:$L$841,12,FALSE),VLOOKUP($C108,Questions!$A$3:$N$174,9,FALSE)))</f>
        <v>Y</v>
      </c>
      <c r="F108" s="187" t="str">
        <f>IF($B108 = "Mutant",VLOOKUP($C108,Mutants!$A$2:$L$560,11,FALSE),IF($B108 = "Test",VLOOKUP($C108,Tests!$A$2:$L$841,11,FALSE),VLOOKUP($C108,Questions!$A$3:$N$174,13,FALSE)))</f>
        <v xml:space="preserve">add, get
</v>
      </c>
      <c r="G108" s="187"/>
      <c r="H108" s="202"/>
    </row>
    <row r="109" spans="2:8" ht="12.75">
      <c r="B109" s="114" t="s">
        <v>4589</v>
      </c>
      <c r="C109" s="9">
        <v>650</v>
      </c>
      <c r="D109" s="9" t="s">
        <v>3009</v>
      </c>
      <c r="E109" s="9" t="str">
        <f>IF($B109 = "Mutant",VLOOKUP($C109,Mutants!$A$2:$L$560,12,FALSE),IF($B109 = "Test",VLOOKUP($C109,Tests!$A$2:$L$841,12,FALSE),VLOOKUP($C109,Questions!$A$3:$N$174,9,FALSE)))</f>
        <v>Y</v>
      </c>
      <c r="F109" s="187" t="str">
        <f>IF($B109 = "Mutant",VLOOKUP($C109,Mutants!$A$2:$L$560,11,FALSE),IF($B109 = "Test",VLOOKUP($C109,Tests!$A$2:$L$841,11,FALSE),VLOOKUP($C109,Questions!$A$3:$N$174,13,FALSE)))</f>
        <v xml:space="preserve">getValues
</v>
      </c>
      <c r="G109" s="187"/>
      <c r="H109" s="202"/>
    </row>
    <row r="110" spans="2:8" ht="12.75">
      <c r="B110" s="114" t="s">
        <v>4589</v>
      </c>
      <c r="C110" s="9">
        <v>651</v>
      </c>
      <c r="D110" s="9" t="s">
        <v>4564</v>
      </c>
      <c r="E110" s="9" t="str">
        <f>IF($B110 = "Mutant",VLOOKUP($C110,Mutants!$A$2:$L$560,12,FALSE),IF($B110 = "Test",VLOOKUP($C110,Tests!$A$2:$L$841,12,FALSE),VLOOKUP($C110,Questions!$A$3:$N$174,9,FALSE)))</f>
        <v>Y</v>
      </c>
      <c r="F110" s="187" t="str">
        <f>IF($B110 = "Mutant",VLOOKUP($C110,Mutants!$A$2:$L$560,11,FALSE),IF($B110 = "Test",VLOOKUP($C110,Tests!$A$2:$L$841,11,FALSE),VLOOKUP($C110,Questions!$A$3:$N$174,13,FALSE)))</f>
        <v xml:space="preserve">toString
</v>
      </c>
      <c r="G110" s="187"/>
      <c r="H110" s="202"/>
    </row>
    <row r="111" spans="2:8" ht="12.75">
      <c r="B111" s="133" t="s">
        <v>4589</v>
      </c>
      <c r="C111" s="130">
        <v>657</v>
      </c>
      <c r="D111" s="130" t="s">
        <v>4578</v>
      </c>
      <c r="E111" s="130" t="str">
        <f>IF($B111 = "Mutant",VLOOKUP($C111,Mutants!$A$2:$L$560,12,FALSE),IF($B111 = "Test",VLOOKUP($C111,Tests!$A$2:$L$841,12,FALSE),VLOOKUP($C111,Questions!$A$3:$N$174,9,FALSE)))</f>
        <v>N</v>
      </c>
      <c r="F111" s="203" t="str">
        <f>IF($B111 = "Mutant",VLOOKUP($C111,Mutants!$A$2:$L$560,11,FALSE),IF($B111 = "Test",VLOOKUP($C111,Tests!$A$2:$L$841,11,FALSE),VLOOKUP($C111,Questions!$A$3:$N$174,13,FALSE)))</f>
        <v xml:space="preserve">
</v>
      </c>
      <c r="G111" s="203"/>
      <c r="H111" s="204"/>
    </row>
    <row r="112" spans="2:8" ht="15.75" customHeight="1">
      <c r="E112" s="9"/>
      <c r="F112" s="187"/>
      <c r="G112" s="187"/>
      <c r="H112" s="187"/>
    </row>
    <row r="113" spans="2:8" ht="15.75" customHeight="1">
      <c r="E113" s="9"/>
      <c r="F113" s="187"/>
      <c r="G113" s="187"/>
      <c r="H113" s="187"/>
    </row>
    <row r="114" spans="2:8" ht="13.5" thickBot="1">
      <c r="B114" s="219" t="s">
        <v>4604</v>
      </c>
      <c r="C114" s="201"/>
      <c r="D114" s="45">
        <v>202</v>
      </c>
      <c r="E114" s="9"/>
      <c r="F114" s="187"/>
      <c r="G114" s="187"/>
      <c r="H114" s="187"/>
    </row>
    <row r="115" spans="2:8" ht="13.5" thickTop="1">
      <c r="B115" s="134" t="s">
        <v>4594</v>
      </c>
      <c r="C115" s="135" t="s">
        <v>44</v>
      </c>
      <c r="D115" s="135" t="s">
        <v>110</v>
      </c>
      <c r="E115" s="136" t="s">
        <v>2</v>
      </c>
      <c r="F115" s="229" t="s">
        <v>4612</v>
      </c>
      <c r="G115" s="229"/>
      <c r="H115" s="230"/>
    </row>
    <row r="116" spans="2:8" ht="12.75">
      <c r="B116" s="137" t="s">
        <v>4590</v>
      </c>
      <c r="C116" s="93">
        <v>479</v>
      </c>
      <c r="D116" s="93" t="s">
        <v>1769</v>
      </c>
      <c r="E116" s="93" t="str">
        <f>IF($B116 = "Mutant",VLOOKUP($C116,Mutants!$A$2:$L$560,12,FALSE),IF($B116 = "Test",VLOOKUP($C116,Tests!$A$2:$L$841,12,FALSE),VLOOKUP($C116,Questions!$A$3:$N$174,9,FALSE)))</f>
        <v>Y</v>
      </c>
      <c r="F116" s="205" t="str">
        <f>IF($B116 = "Mutant",VLOOKUP($C116,Mutants!$A$2:$L$560,11,FALSE),IF($B116 = "Test",VLOOKUP($C116,Tests!$A$2:$L$841,11,FALSE),VLOOKUP($C116,Questions!$A$3:$N$174,13,FALSE)))</f>
        <v xml:space="preserve">toString
</v>
      </c>
      <c r="G116" s="205"/>
      <c r="H116" s="206"/>
    </row>
    <row r="117" spans="2:8" ht="12.75">
      <c r="B117" s="114" t="s">
        <v>4590</v>
      </c>
      <c r="C117" s="9">
        <v>487</v>
      </c>
      <c r="D117" s="9" t="s">
        <v>1799</v>
      </c>
      <c r="E117" s="9" t="str">
        <f>IF($B117 = "Mutant",VLOOKUP($C117,Mutants!$A$2:$L$560,12,FALSE),IF($B117 = "Test",VLOOKUP($C117,Tests!$A$2:$L$841,12,FALSE),VLOOKUP($C117,Questions!$A$3:$N$174,9,FALSE)))</f>
        <v>Y</v>
      </c>
      <c r="F117" s="187" t="str">
        <f>IF($B117 = "Mutant",VLOOKUP($C117,Mutants!$A$2:$L$560,11,FALSE),IF($B117 = "Test",VLOOKUP($C117,Tests!$A$2:$L$841,11,FALSE),VLOOKUP($C117,Questions!$A$3:$N$174,13,FALSE)))</f>
        <v xml:space="preserve">getBinaryValue
</v>
      </c>
      <c r="G117" s="187"/>
      <c r="H117" s="202"/>
    </row>
    <row r="118" spans="2:8" ht="12.75">
      <c r="B118" s="114" t="s">
        <v>4590</v>
      </c>
      <c r="C118" s="9">
        <v>638</v>
      </c>
      <c r="D118" s="9" t="s">
        <v>2251</v>
      </c>
      <c r="E118" s="9" t="str">
        <f>IF($B118 = "Mutant",VLOOKUP($C118,Mutants!$A$2:$L$560,12,FALSE),IF($B118 = "Test",VLOOKUP($C118,Tests!$A$2:$L$841,12,FALSE),VLOOKUP($C118,Questions!$A$3:$N$174,9,FALSE)))</f>
        <v>Y</v>
      </c>
      <c r="F118" s="187" t="str">
        <f>IF($B118 = "Mutant",VLOOKUP($C118,Mutants!$A$2:$L$560,11,FALSE),IF($B118 = "Test",VLOOKUP($C118,Tests!$A$2:$L$841,11,FALSE),VLOOKUP($C118,Questions!$A$3:$N$174,13,FALSE)))</f>
        <v xml:space="preserve">add, toString, clear
</v>
      </c>
      <c r="G118" s="187"/>
      <c r="H118" s="202"/>
    </row>
    <row r="119" spans="2:8" ht="12.75">
      <c r="B119" s="114" t="s">
        <v>4590</v>
      </c>
      <c r="C119" s="9">
        <v>738</v>
      </c>
      <c r="D119" s="9" t="s">
        <v>2518</v>
      </c>
      <c r="E119" s="9" t="str">
        <f>IF($B119 = "Mutant",VLOOKUP($C119,Mutants!$A$2:$L$560,12,FALSE),IF($B119 = "Test",VLOOKUP($C119,Tests!$A$2:$L$841,12,FALSE),VLOOKUP($C119,Questions!$A$3:$N$174,9,FALSE)))</f>
        <v>Y</v>
      </c>
      <c r="F119" s="187" t="str">
        <f>IF($B119 = "Mutant",VLOOKUP($C119,Mutants!$A$2:$L$560,11,FALSE),IF($B119 = "Test",VLOOKUP($C119,Tests!$A$2:$L$841,11,FALSE),VLOOKUP($C119,Questions!$A$3:$N$174,13,FALSE)))</f>
        <v xml:space="preserve">add, removeField, getFields_2
</v>
      </c>
      <c r="G119" s="187"/>
      <c r="H119" s="202"/>
    </row>
    <row r="120" spans="2:8" ht="12.75">
      <c r="B120" s="114" t="s">
        <v>4590</v>
      </c>
      <c r="C120" s="9">
        <v>785</v>
      </c>
      <c r="D120" s="9" t="s">
        <v>2645</v>
      </c>
      <c r="E120" s="9" t="str">
        <f>IF($B120 = "Mutant",VLOOKUP($C120,Mutants!$A$2:$L$560,12,FALSE),IF($B120 = "Test",VLOOKUP($C120,Tests!$A$2:$L$841,12,FALSE),VLOOKUP($C120,Questions!$A$3:$N$174,9,FALSE)))</f>
        <v>Y</v>
      </c>
      <c r="F120" s="187" t="str">
        <f>IF($B120 = "Mutant",VLOOKUP($C120,Mutants!$A$2:$L$560,11,FALSE),IF($B120 = "Test",VLOOKUP($C120,Tests!$A$2:$L$841,11,FALSE),VLOOKUP($C120,Questions!$A$3:$N$174,13,FALSE)))</f>
        <v xml:space="preserve">add, getBinaryValue
</v>
      </c>
      <c r="G120" s="187"/>
      <c r="H120" s="202"/>
    </row>
    <row r="121" spans="2:8" ht="12.75">
      <c r="B121" s="114" t="s">
        <v>4590</v>
      </c>
      <c r="C121" s="9">
        <v>829</v>
      </c>
      <c r="D121" s="9" t="s">
        <v>2756</v>
      </c>
      <c r="E121" s="9" t="str">
        <f>IF($B121 = "Mutant",VLOOKUP($C121,Mutants!$A$2:$L$560,12,FALSE),IF($B121 = "Test",VLOOKUP($C121,Tests!$A$2:$L$841,12,FALSE),VLOOKUP($C121,Questions!$A$3:$N$174,9,FALSE)))</f>
        <v>Y</v>
      </c>
      <c r="F121" s="187" t="str">
        <f>IF($B121 = "Mutant",VLOOKUP($C121,Mutants!$A$2:$L$560,11,FALSE),IF($B121 = "Test",VLOOKUP($C121,Tests!$A$2:$L$841,11,FALSE),VLOOKUP($C121,Questions!$A$3:$N$174,13,FALSE)))</f>
        <v xml:space="preserve">add, removeFields, getFields_2
</v>
      </c>
      <c r="G121" s="187"/>
      <c r="H121" s="202"/>
    </row>
    <row r="122" spans="2:8" ht="12.75">
      <c r="B122" s="133" t="s">
        <v>4590</v>
      </c>
      <c r="C122" s="130">
        <v>910</v>
      </c>
      <c r="D122" s="130" t="s">
        <v>3003</v>
      </c>
      <c r="E122" s="130" t="str">
        <f>IF($B122 = "Mutant",VLOOKUP($C122,Mutants!$A$2:$L$560,12,FALSE),IF($B122 = "Test",VLOOKUP($C122,Tests!$A$2:$L$841,12,FALSE),VLOOKUP($C122,Questions!$A$3:$N$174,9,FALSE)))</f>
        <v>Y</v>
      </c>
      <c r="F122" s="203" t="str">
        <f>IF($B122 = "Mutant",VLOOKUP($C122,Mutants!$A$2:$L$560,11,FALSE),IF($B122 = "Test",VLOOKUP($C122,Tests!$A$2:$L$841,11,FALSE),VLOOKUP($C122,Questions!$A$3:$N$174,13,FALSE)))</f>
        <v xml:space="preserve">add, getFields_1
</v>
      </c>
      <c r="G122" s="203"/>
      <c r="H122" s="204"/>
    </row>
    <row r="123" spans="2:8" ht="15.75" customHeight="1">
      <c r="E123" s="9"/>
      <c r="F123" s="187"/>
      <c r="G123" s="187"/>
      <c r="H123" s="187"/>
    </row>
    <row r="124" spans="2:8" ht="15.75" customHeight="1">
      <c r="E124" s="9"/>
      <c r="F124" s="187"/>
      <c r="G124" s="187"/>
      <c r="H124" s="187"/>
    </row>
    <row r="125" spans="2:8" ht="13.5" thickBot="1">
      <c r="B125" s="219" t="s">
        <v>4604</v>
      </c>
      <c r="C125" s="201"/>
      <c r="D125" s="45">
        <v>203</v>
      </c>
      <c r="E125" s="9"/>
      <c r="F125" s="187"/>
      <c r="G125" s="187"/>
      <c r="H125" s="187"/>
    </row>
    <row r="126" spans="2:8" ht="13.5" thickTop="1">
      <c r="B126" s="134" t="s">
        <v>4594</v>
      </c>
      <c r="C126" s="135" t="s">
        <v>44</v>
      </c>
      <c r="D126" s="135" t="s">
        <v>110</v>
      </c>
      <c r="E126" s="136" t="s">
        <v>2</v>
      </c>
      <c r="F126" s="229" t="s">
        <v>4612</v>
      </c>
      <c r="G126" s="229"/>
      <c r="H126" s="230"/>
    </row>
    <row r="127" spans="2:8" ht="12.75">
      <c r="B127" s="137" t="s">
        <v>4589</v>
      </c>
      <c r="C127" s="93">
        <v>383</v>
      </c>
      <c r="D127" s="93" t="s">
        <v>614</v>
      </c>
      <c r="E127" s="93" t="str">
        <f>IF($B127 = "Mutant",VLOOKUP($C127,Mutants!$A$2:$L$560,12,FALSE),IF($B127 = "Test",VLOOKUP($C127,Tests!$A$2:$L$841,12,FALSE),VLOOKUP($C127,Questions!$A$3:$N$174,9,FALSE)))</f>
        <v>Y</v>
      </c>
      <c r="F127" s="205" t="str">
        <f>IF($B127 = "Mutant",VLOOKUP($C127,Mutants!$A$2:$L$560,11,FALSE),IF($B127 = "Test",VLOOKUP($C127,Tests!$A$2:$L$841,11,FALSE),VLOOKUP($C127,Questions!$A$3:$N$174,13,FALSE)))</f>
        <v xml:space="preserve">clear
</v>
      </c>
      <c r="G127" s="205"/>
      <c r="H127" s="206"/>
    </row>
    <row r="128" spans="2:8" ht="12.75">
      <c r="B128" s="114" t="s">
        <v>4589</v>
      </c>
      <c r="C128" s="9">
        <v>416</v>
      </c>
      <c r="D128" s="9" t="s">
        <v>3961</v>
      </c>
      <c r="E128" s="9" t="str">
        <f>IF($B128 = "Mutant",VLOOKUP($C128,Mutants!$A$2:$L$560,12,FALSE),IF($B128 = "Test",VLOOKUP($C128,Tests!$A$2:$L$841,12,FALSE),VLOOKUP($C128,Questions!$A$3:$N$174,9,FALSE)))</f>
        <v>Y</v>
      </c>
      <c r="F128" s="187" t="str">
        <f>IF($B128 = "Mutant",VLOOKUP($C128,Mutants!$A$2:$L$560,11,FALSE),IF($B128 = "Test",VLOOKUP($C128,Tests!$A$2:$L$841,11,FALSE),VLOOKUP($C128,Questions!$A$3:$N$174,13,FALSE)))</f>
        <v xml:space="preserve">
</v>
      </c>
      <c r="G128" s="187"/>
      <c r="H128" s="202"/>
    </row>
    <row r="129" spans="2:8" ht="12.75">
      <c r="B129" s="114" t="s">
        <v>4590</v>
      </c>
      <c r="C129" s="9">
        <v>480</v>
      </c>
      <c r="D129" s="9" t="s">
        <v>1769</v>
      </c>
      <c r="E129" s="9" t="str">
        <f>IF($B129 = "Mutant",VLOOKUP($C129,Mutants!$A$2:$L$560,12,FALSE),IF($B129 = "Test",VLOOKUP($C129,Tests!$A$2:$L$841,12,FALSE),VLOOKUP($C129,Questions!$A$3:$N$174,9,FALSE)))</f>
        <v>Y</v>
      </c>
      <c r="F129" s="187" t="str">
        <f>IF($B129 = "Mutant",VLOOKUP($C129,Mutants!$A$2:$L$560,11,FALSE),IF($B129 = "Test",VLOOKUP($C129,Tests!$A$2:$L$841,11,FALSE),VLOOKUP($C129,Questions!$A$3:$N$174,13,FALSE)))</f>
        <v xml:space="preserve">
</v>
      </c>
      <c r="G129" s="187"/>
      <c r="H129" s="202"/>
    </row>
    <row r="130" spans="2:8" ht="12.75">
      <c r="B130" s="114" t="s">
        <v>4590</v>
      </c>
      <c r="C130" s="9">
        <v>484</v>
      </c>
      <c r="D130" s="9" t="s">
        <v>1787</v>
      </c>
      <c r="E130" s="9" t="str">
        <f>IF($B130 = "Mutant",VLOOKUP($C130,Mutants!$A$2:$L$560,12,FALSE),IF($B130 = "Test",VLOOKUP($C130,Tests!$A$2:$L$841,12,FALSE),VLOOKUP($C130,Questions!$A$3:$N$174,9,FALSE)))</f>
        <v>Y</v>
      </c>
      <c r="F130" s="187" t="str">
        <f>IF($B130 = "Mutant",VLOOKUP($C130,Mutants!$A$2:$L$560,11,FALSE),IF($B130 = "Test",VLOOKUP($C130,Tests!$A$2:$L$841,11,FALSE),VLOOKUP($C130,Questions!$A$3:$N$174,13,FALSE)))</f>
        <v xml:space="preserve">toString
</v>
      </c>
      <c r="G130" s="187"/>
      <c r="H130" s="202"/>
    </row>
    <row r="131" spans="2:8" ht="12.75">
      <c r="B131" s="114" t="s">
        <v>4590</v>
      </c>
      <c r="C131" s="9">
        <v>498</v>
      </c>
      <c r="D131" s="9" t="s">
        <v>1836</v>
      </c>
      <c r="E131" s="9" t="str">
        <f>IF($B131 = "Mutant",VLOOKUP($C131,Mutants!$A$2:$L$560,12,FALSE),IF($B131 = "Test",VLOOKUP($C131,Tests!$A$2:$L$841,12,FALSE),VLOOKUP($C131,Questions!$A$3:$N$174,9,FALSE)))</f>
        <v>Y</v>
      </c>
      <c r="F131" s="187" t="str">
        <f>IF($B131 = "Mutant",VLOOKUP($C131,Mutants!$A$2:$L$560,11,FALSE),IF($B131 = "Test",VLOOKUP($C131,Tests!$A$2:$L$841,11,FALSE),VLOOKUP($C131,Questions!$A$3:$N$174,13,FALSE)))</f>
        <v xml:space="preserve">add, toString
</v>
      </c>
      <c r="G131" s="187"/>
      <c r="H131" s="202"/>
    </row>
    <row r="132" spans="2:8" ht="12.75">
      <c r="B132" s="114" t="s">
        <v>4590</v>
      </c>
      <c r="C132" s="9">
        <v>512</v>
      </c>
      <c r="D132" s="9" t="s">
        <v>1877</v>
      </c>
      <c r="E132" s="9" t="str">
        <f>IF($B132 = "Mutant",VLOOKUP($C132,Mutants!$A$2:$L$560,12,FALSE),IF($B132 = "Test",VLOOKUP($C132,Tests!$A$2:$L$841,12,FALSE),VLOOKUP($C132,Questions!$A$3:$N$174,9,FALSE)))</f>
        <v>Y</v>
      </c>
      <c r="F132" s="187" t="str">
        <f>IF($B132 = "Mutant",VLOOKUP($C132,Mutants!$A$2:$L$560,11,FALSE),IF($B132 = "Test",VLOOKUP($C132,Tests!$A$2:$L$841,11,FALSE),VLOOKUP($C132,Questions!$A$3:$N$174,13,FALSE)))</f>
        <v xml:space="preserve">add, toString
</v>
      </c>
      <c r="G132" s="187"/>
      <c r="H132" s="202"/>
    </row>
    <row r="133" spans="2:8" ht="12.75">
      <c r="B133" s="114" t="s">
        <v>4590</v>
      </c>
      <c r="C133" s="9">
        <v>515</v>
      </c>
      <c r="D133" s="9" t="s">
        <v>564</v>
      </c>
      <c r="E133" s="9" t="str">
        <f>IF($B133 = "Mutant",VLOOKUP($C133,Mutants!$A$2:$L$560,12,FALSE),IF($B133 = "Test",VLOOKUP($C133,Tests!$A$2:$L$841,12,FALSE),VLOOKUP($C133,Questions!$A$3:$N$174,9,FALSE)))</f>
        <v>Y</v>
      </c>
      <c r="F133" s="187" t="str">
        <f>IF($B133 = "Mutant",VLOOKUP($C133,Mutants!$A$2:$L$560,11,FALSE),IF($B133 = "Test",VLOOKUP($C133,Tests!$A$2:$L$841,11,FALSE),VLOOKUP($C133,Questions!$A$3:$N$174,13,FALSE)))</f>
        <v xml:space="preserve">add, toString
</v>
      </c>
      <c r="G133" s="187"/>
      <c r="H133" s="202"/>
    </row>
    <row r="134" spans="2:8" ht="12.75">
      <c r="B134" s="114" t="s">
        <v>4590</v>
      </c>
      <c r="C134" s="9">
        <v>525</v>
      </c>
      <c r="D134" s="9" t="s">
        <v>1922</v>
      </c>
      <c r="E134" s="9" t="str">
        <f>IF($B134 = "Mutant",VLOOKUP($C134,Mutants!$A$2:$L$560,12,FALSE),IF($B134 = "Test",VLOOKUP($C134,Tests!$A$2:$L$841,12,FALSE),VLOOKUP($C134,Questions!$A$3:$N$174,9,FALSE)))</f>
        <v>Y</v>
      </c>
      <c r="F134" s="187" t="str">
        <f>IF($B134 = "Mutant",VLOOKUP($C134,Mutants!$A$2:$L$560,11,FALSE),IF($B134 = "Test",VLOOKUP($C134,Tests!$A$2:$L$841,11,FALSE),VLOOKUP($C134,Questions!$A$3:$N$174,13,FALSE)))</f>
        <v xml:space="preserve">add, toString
</v>
      </c>
      <c r="G134" s="187"/>
      <c r="H134" s="202"/>
    </row>
    <row r="135" spans="2:8" ht="12.75">
      <c r="B135" s="114" t="s">
        <v>4590</v>
      </c>
      <c r="C135" s="9">
        <v>563</v>
      </c>
      <c r="D135" s="9" t="s">
        <v>2033</v>
      </c>
      <c r="E135" s="9" t="str">
        <f>IF($B135 = "Mutant",VLOOKUP($C135,Mutants!$A$2:$L$560,12,FALSE),IF($B135 = "Test",VLOOKUP($C135,Tests!$A$2:$L$841,12,FALSE),VLOOKUP($C135,Questions!$A$3:$N$174,9,FALSE)))</f>
        <v>Y</v>
      </c>
      <c r="F135" s="187" t="str">
        <f>IF($B135 = "Mutant",VLOOKUP($C135,Mutants!$A$2:$L$560,11,FALSE),IF($B135 = "Test",VLOOKUP($C135,Tests!$A$2:$L$841,11,FALSE),VLOOKUP($C135,Questions!$A$3:$N$174,13,FALSE)))</f>
        <v xml:space="preserve">add, removeField, getField
</v>
      </c>
      <c r="G135" s="187"/>
      <c r="H135" s="202"/>
    </row>
    <row r="136" spans="2:8" ht="12.75">
      <c r="B136" s="114" t="s">
        <v>4590</v>
      </c>
      <c r="C136" s="9">
        <v>615</v>
      </c>
      <c r="D136" s="9" t="s">
        <v>2179</v>
      </c>
      <c r="E136" s="9" t="str">
        <f>IF($B136 = "Mutant",VLOOKUP($C136,Mutants!$A$2:$L$560,12,FALSE),IF($B136 = "Test",VLOOKUP($C136,Tests!$A$2:$L$841,12,FALSE),VLOOKUP($C136,Questions!$A$3:$N$174,9,FALSE)))</f>
        <v>Y</v>
      </c>
      <c r="F136" s="187" t="str">
        <f>IF($B136 = "Mutant",VLOOKUP($C136,Mutants!$A$2:$L$560,11,FALSE),IF($B136 = "Test",VLOOKUP($C136,Tests!$A$2:$L$841,11,FALSE),VLOOKUP($C136,Questions!$A$3:$N$174,13,FALSE)))</f>
        <v xml:space="preserve">add, getBinaryValue
</v>
      </c>
      <c r="G136" s="187"/>
      <c r="H136" s="202"/>
    </row>
    <row r="137" spans="2:8" ht="12.75">
      <c r="B137" s="114" t="s">
        <v>4589</v>
      </c>
      <c r="C137" s="9">
        <v>587</v>
      </c>
      <c r="D137" s="9" t="s">
        <v>4401</v>
      </c>
      <c r="E137" s="9" t="str">
        <f>IF($B137 = "Mutant",VLOOKUP($C137,Mutants!$A$2:$L$560,12,FALSE),IF($B137 = "Test",VLOOKUP($C137,Tests!$A$2:$L$841,12,FALSE),VLOOKUP($C137,Questions!$A$3:$N$174,9,FALSE)))</f>
        <v>N</v>
      </c>
      <c r="F137" s="187" t="str">
        <f>IF($B137 = "Mutant",VLOOKUP($C137,Mutants!$A$2:$L$560,11,FALSE),IF($B137 = "Test",VLOOKUP($C137,Tests!$A$2:$L$841,11,FALSE),VLOOKUP($C137,Questions!$A$3:$N$174,13,FALSE)))</f>
        <v xml:space="preserve">
</v>
      </c>
      <c r="G137" s="187"/>
      <c r="H137" s="202"/>
    </row>
    <row r="138" spans="2:8" ht="12.75">
      <c r="B138" s="114" t="s">
        <v>4590</v>
      </c>
      <c r="C138" s="9">
        <v>709</v>
      </c>
      <c r="D138" s="9" t="s">
        <v>2430</v>
      </c>
      <c r="E138" s="9" t="str">
        <f>IF($B138 = "Mutant",VLOOKUP($C138,Mutants!$A$2:$L$560,12,FALSE),IF($B138 = "Test",VLOOKUP($C138,Tests!$A$2:$L$841,12,FALSE),VLOOKUP($C138,Questions!$A$3:$N$174,9,FALSE)))</f>
        <v>N</v>
      </c>
      <c r="F138" s="187" t="str">
        <f>IF($B138 = "Mutant",VLOOKUP($C138,Mutants!$A$2:$L$560,11,FALSE),IF($B138 = "Test",VLOOKUP($C138,Tests!$A$2:$L$841,11,FALSE),VLOOKUP($C138,Questions!$A$3:$N$174,13,FALSE)))</f>
        <v xml:space="preserve">
</v>
      </c>
      <c r="G138" s="187"/>
      <c r="H138" s="202"/>
    </row>
    <row r="139" spans="2:8" ht="12.75">
      <c r="B139" s="114" t="s">
        <v>4590</v>
      </c>
      <c r="C139" s="9">
        <v>714</v>
      </c>
      <c r="D139" s="9" t="s">
        <v>2441</v>
      </c>
      <c r="E139" s="9" t="str">
        <f>IF($B139 = "Mutant",VLOOKUP($C139,Mutants!$A$2:$L$560,12,FALSE),IF($B139 = "Test",VLOOKUP($C139,Tests!$A$2:$L$841,12,FALSE),VLOOKUP($C139,Questions!$A$3:$N$174,9,FALSE)))</f>
        <v>Y</v>
      </c>
      <c r="F139" s="187" t="str">
        <f>IF($B139 = "Mutant",VLOOKUP($C139,Mutants!$A$2:$L$560,11,FALSE),IF($B139 = "Test",VLOOKUP($C139,Tests!$A$2:$L$841,11,FALSE),VLOOKUP($C139,Questions!$A$3:$N$174,13,FALSE)))</f>
        <v xml:space="preserve">getValues
</v>
      </c>
      <c r="G139" s="187"/>
      <c r="H139" s="202"/>
    </row>
    <row r="140" spans="2:8" ht="12.75">
      <c r="B140" s="114" t="s">
        <v>4589</v>
      </c>
      <c r="C140" s="9">
        <v>602</v>
      </c>
      <c r="D140" s="9" t="s">
        <v>4442</v>
      </c>
      <c r="E140" s="9" t="str">
        <f>IF($B140 = "Mutant",VLOOKUP($C140,Mutants!$A$2:$L$560,12,FALSE),IF($B140 = "Test",VLOOKUP($C140,Tests!$A$2:$L$841,12,FALSE),VLOOKUP($C140,Questions!$A$3:$N$174,9,FALSE)))</f>
        <v>Y</v>
      </c>
      <c r="F140" s="187" t="str">
        <f>IF($B140 = "Mutant",VLOOKUP($C140,Mutants!$A$2:$L$560,11,FALSE),IF($B140 = "Test",VLOOKUP($C140,Tests!$A$2:$L$841,11,FALSE),VLOOKUP($C140,Questions!$A$3:$N$174,13,FALSE)))</f>
        <v xml:space="preserve">getFields_2
</v>
      </c>
      <c r="G140" s="187"/>
      <c r="H140" s="202"/>
    </row>
    <row r="141" spans="2:8" ht="12.75">
      <c r="B141" s="114" t="s">
        <v>4589</v>
      </c>
      <c r="C141" s="9">
        <v>607</v>
      </c>
      <c r="D141" s="9" t="s">
        <v>4456</v>
      </c>
      <c r="E141" s="9" t="str">
        <f>IF($B141 = "Mutant",VLOOKUP($C141,Mutants!$A$2:$L$560,12,FALSE),IF($B141 = "Test",VLOOKUP($C141,Tests!$A$2:$L$841,12,FALSE),VLOOKUP($C141,Questions!$A$3:$N$174,9,FALSE)))</f>
        <v>Y</v>
      </c>
      <c r="F141" s="187" t="str">
        <f>IF($B141 = "Mutant",VLOOKUP($C141,Mutants!$A$2:$L$560,11,FALSE),IF($B141 = "Test",VLOOKUP($C141,Tests!$A$2:$L$841,11,FALSE),VLOOKUP($C141,Questions!$A$3:$N$174,13,FALSE)))</f>
        <v xml:space="preserve">
</v>
      </c>
      <c r="G141" s="187"/>
      <c r="H141" s="202"/>
    </row>
    <row r="142" spans="2:8" ht="12.75">
      <c r="B142" s="114" t="s">
        <v>4590</v>
      </c>
      <c r="C142" s="9">
        <v>774</v>
      </c>
      <c r="D142" s="9" t="s">
        <v>2615</v>
      </c>
      <c r="E142" s="9" t="str">
        <f>IF($B142 = "Mutant",VLOOKUP($C142,Mutants!$A$2:$L$560,12,FALSE),IF($B142 = "Test",VLOOKUP($C142,Tests!$A$2:$L$841,12,FALSE),VLOOKUP($C142,Questions!$A$3:$N$174,9,FALSE)))</f>
        <v>N</v>
      </c>
      <c r="F142" s="187" t="str">
        <f>IF($B142 = "Mutant",VLOOKUP($C142,Mutants!$A$2:$L$560,11,FALSE),IF($B142 = "Test",VLOOKUP($C142,Tests!$A$2:$L$841,11,FALSE),VLOOKUP($C142,Questions!$A$3:$N$174,13,FALSE)))</f>
        <v xml:space="preserve">
</v>
      </c>
      <c r="G142" s="187"/>
      <c r="H142" s="202"/>
    </row>
    <row r="143" spans="2:8" ht="12.75">
      <c r="B143" s="114" t="s">
        <v>4590</v>
      </c>
      <c r="C143" s="9">
        <v>780</v>
      </c>
      <c r="D143" s="9" t="s">
        <v>688</v>
      </c>
      <c r="E143" s="9" t="str">
        <f>IF($B143 = "Mutant",VLOOKUP($C143,Mutants!$A$2:$L$560,12,FALSE),IF($B143 = "Test",VLOOKUP($C143,Tests!$A$2:$L$841,12,FALSE),VLOOKUP($C143,Questions!$A$3:$N$174,9,FALSE)))</f>
        <v>Y</v>
      </c>
      <c r="F143" s="187" t="str">
        <f>IF($B143 = "Mutant",VLOOKUP($C143,Mutants!$A$2:$L$560,11,FALSE),IF($B143 = "Test",VLOOKUP($C143,Tests!$A$2:$L$841,11,FALSE),VLOOKUP($C143,Questions!$A$3:$N$174,13,FALSE)))</f>
        <v xml:space="preserve">getBinaryValues
</v>
      </c>
      <c r="G143" s="187"/>
      <c r="H143" s="202"/>
    </row>
    <row r="144" spans="2:8" ht="12.75">
      <c r="B144" s="114" t="s">
        <v>4590</v>
      </c>
      <c r="C144" s="9">
        <v>802</v>
      </c>
      <c r="D144" s="9" t="s">
        <v>2692</v>
      </c>
      <c r="E144" s="9" t="str">
        <f>IF($B144 = "Mutant",VLOOKUP($C144,Mutants!$A$2:$L$560,12,FALSE),IF($B144 = "Test",VLOOKUP($C144,Tests!$A$2:$L$841,12,FALSE),VLOOKUP($C144,Questions!$A$3:$N$174,9,FALSE)))</f>
        <v>N</v>
      </c>
      <c r="F144" s="187" t="str">
        <f>IF($B144 = "Mutant",VLOOKUP($C144,Mutants!$A$2:$L$560,11,FALSE),IF($B144 = "Test",VLOOKUP($C144,Tests!$A$2:$L$841,11,FALSE),VLOOKUP($C144,Questions!$A$3:$N$174,13,FALSE)))</f>
        <v xml:space="preserve">
</v>
      </c>
      <c r="G144" s="187"/>
      <c r="H144" s="202"/>
    </row>
    <row r="145" spans="2:8" ht="12.75">
      <c r="B145" s="114" t="s">
        <v>4590</v>
      </c>
      <c r="C145" s="9">
        <v>808</v>
      </c>
      <c r="D145" s="9" t="s">
        <v>2709</v>
      </c>
      <c r="E145" s="9" t="str">
        <f>IF($B145 = "Mutant",VLOOKUP($C145,Mutants!$A$2:$L$560,12,FALSE),IF($B145 = "Test",VLOOKUP($C145,Tests!$A$2:$L$841,12,FALSE),VLOOKUP($C145,Questions!$A$3:$N$174,9,FALSE)))</f>
        <v>N</v>
      </c>
      <c r="F145" s="187" t="str">
        <f>IF($B145 = "Mutant",VLOOKUP($C145,Mutants!$A$2:$L$560,11,FALSE),IF($B145 = "Test",VLOOKUP($C145,Tests!$A$2:$L$841,11,FALSE),VLOOKUP($C145,Questions!$A$3:$N$174,13,FALSE)))</f>
        <v xml:space="preserve">
</v>
      </c>
      <c r="G145" s="187"/>
      <c r="H145" s="202"/>
    </row>
    <row r="146" spans="2:8" ht="12.75">
      <c r="B146" s="114" t="s">
        <v>4590</v>
      </c>
      <c r="C146" s="9">
        <v>817</v>
      </c>
      <c r="D146" s="9" t="s">
        <v>2730</v>
      </c>
      <c r="E146" s="9" t="str">
        <f>IF($B146 = "Mutant",VLOOKUP($C146,Mutants!$A$2:$L$560,12,FALSE),IF($B146 = "Test",VLOOKUP($C146,Tests!$A$2:$L$841,12,FALSE),VLOOKUP($C146,Questions!$A$3:$N$174,9,FALSE)))</f>
        <v>N</v>
      </c>
      <c r="F146" s="187" t="str">
        <f>IF($B146 = "Mutant",VLOOKUP($C146,Mutants!$A$2:$L$560,11,FALSE),IF($B146 = "Test",VLOOKUP($C146,Tests!$A$2:$L$841,11,FALSE),VLOOKUP($C146,Questions!$A$3:$N$174,13,FALSE)))</f>
        <v xml:space="preserve">
</v>
      </c>
      <c r="G146" s="187"/>
      <c r="H146" s="202"/>
    </row>
    <row r="147" spans="2:8" ht="12.75">
      <c r="B147" s="114" t="s">
        <v>4590</v>
      </c>
      <c r="C147" s="9">
        <v>825</v>
      </c>
      <c r="D147" s="9" t="s">
        <v>2750</v>
      </c>
      <c r="E147" s="9" t="str">
        <f>IF($B147 = "Mutant",VLOOKUP($C147,Mutants!$A$2:$L$560,12,FALSE),IF($B147 = "Test",VLOOKUP($C147,Tests!$A$2:$L$841,12,FALSE),VLOOKUP($C147,Questions!$A$3:$N$174,9,FALSE)))</f>
        <v>Y</v>
      </c>
      <c r="F147" s="187" t="str">
        <f>IF($B147 = "Mutant",VLOOKUP($C147,Mutants!$A$2:$L$560,11,FALSE),IF($B147 = "Test",VLOOKUP($C147,Tests!$A$2:$L$841,11,FALSE),VLOOKUP($C147,Questions!$A$3:$N$174,13,FALSE)))</f>
        <v xml:space="preserve">add, getBinaryValues
</v>
      </c>
      <c r="G147" s="187"/>
      <c r="H147" s="202"/>
    </row>
    <row r="148" spans="2:8" ht="12.75">
      <c r="B148" s="114" t="s">
        <v>4590</v>
      </c>
      <c r="C148" s="9">
        <v>895</v>
      </c>
      <c r="D148" s="9" t="s">
        <v>2953</v>
      </c>
      <c r="E148" s="9" t="str">
        <f>IF($B148 = "Mutant",VLOOKUP($C148,Mutants!$A$2:$L$560,12,FALSE),IF($B148 = "Test",VLOOKUP($C148,Tests!$A$2:$L$841,12,FALSE),VLOOKUP($C148,Questions!$A$3:$N$174,9,FALSE)))</f>
        <v>Y</v>
      </c>
      <c r="F148" s="187" t="str">
        <f>IF($B148 = "Mutant",VLOOKUP($C148,Mutants!$A$2:$L$560,11,FALSE),IF($B148 = "Test",VLOOKUP($C148,Tests!$A$2:$L$841,11,FALSE),VLOOKUP($C148,Questions!$A$3:$N$174,13,FALSE)))</f>
        <v xml:space="preserve">add, get
</v>
      </c>
      <c r="G148" s="187"/>
      <c r="H148" s="202"/>
    </row>
    <row r="149" spans="2:8" ht="12.75">
      <c r="B149" s="133" t="s">
        <v>4590</v>
      </c>
      <c r="C149" s="130">
        <v>929</v>
      </c>
      <c r="D149" s="130" t="s">
        <v>3050</v>
      </c>
      <c r="E149" s="130" t="str">
        <f>IF($B149 = "Mutant",VLOOKUP($C149,Mutants!$A$2:$L$560,12,FALSE),IF($B149 = "Test",VLOOKUP($C149,Tests!$A$2:$L$841,12,FALSE),VLOOKUP($C149,Questions!$A$3:$N$174,9,FALSE)))</f>
        <v>Y</v>
      </c>
      <c r="F149" s="203" t="str">
        <f>IF($B149 = "Mutant",VLOOKUP($C149,Mutants!$A$2:$L$560,11,FALSE),IF($B149 = "Test",VLOOKUP($C149,Tests!$A$2:$L$841,11,FALSE),VLOOKUP($C149,Questions!$A$3:$N$174,13,FALSE)))</f>
        <v xml:space="preserve">add, getFields_1
</v>
      </c>
      <c r="G149" s="203"/>
      <c r="H149" s="204"/>
    </row>
    <row r="150" spans="2:8" ht="15.75" customHeight="1">
      <c r="E150" s="9"/>
      <c r="F150" s="187"/>
      <c r="G150" s="187"/>
      <c r="H150" s="187"/>
    </row>
    <row r="151" spans="2:8" ht="15.75" customHeight="1">
      <c r="E151" s="9"/>
      <c r="F151" s="187"/>
      <c r="G151" s="187"/>
      <c r="H151" s="187"/>
    </row>
    <row r="152" spans="2:8" ht="13.5" thickBot="1">
      <c r="B152" s="219" t="s">
        <v>4604</v>
      </c>
      <c r="C152" s="201"/>
      <c r="D152" s="45">
        <v>204</v>
      </c>
      <c r="E152" s="9"/>
      <c r="F152" s="187"/>
      <c r="G152" s="187"/>
      <c r="H152" s="187"/>
    </row>
    <row r="153" spans="2:8" ht="13.5" thickTop="1">
      <c r="B153" s="134" t="s">
        <v>4594</v>
      </c>
      <c r="C153" s="135" t="s">
        <v>44</v>
      </c>
      <c r="D153" s="135" t="s">
        <v>110</v>
      </c>
      <c r="E153" s="136" t="s">
        <v>2</v>
      </c>
      <c r="F153" s="229" t="s">
        <v>4612</v>
      </c>
      <c r="G153" s="229"/>
      <c r="H153" s="230"/>
    </row>
    <row r="154" spans="2:8" ht="12.75">
      <c r="B154" s="137" t="s">
        <v>4589</v>
      </c>
      <c r="C154" s="93">
        <v>385</v>
      </c>
      <c r="D154" s="93" t="s">
        <v>3877</v>
      </c>
      <c r="E154" s="93" t="str">
        <f>IF($B154 = "Mutant",VLOOKUP($C154,Mutants!$A$2:$L$560,12,FALSE),IF($B154 = "Test",VLOOKUP($C154,Tests!$A$2:$L$841,12,FALSE),VLOOKUP($C154,Questions!$A$3:$N$174,9,FALSE)))</f>
        <v>Y</v>
      </c>
      <c r="F154" s="205" t="str">
        <f>IF($B154 = "Mutant",VLOOKUP($C154,Mutants!$A$2:$L$560,11,FALSE),IF($B154 = "Test",VLOOKUP($C154,Tests!$A$2:$L$841,11,FALSE),VLOOKUP($C154,Questions!$A$3:$N$174,13,FALSE)))</f>
        <v xml:space="preserve">removeFields
</v>
      </c>
      <c r="G154" s="205"/>
      <c r="H154" s="206"/>
    </row>
    <row r="155" spans="2:8" ht="12.75">
      <c r="B155" s="114" t="s">
        <v>4589</v>
      </c>
      <c r="C155" s="9">
        <v>414</v>
      </c>
      <c r="D155" s="9" t="s">
        <v>3955</v>
      </c>
      <c r="E155" s="9" t="str">
        <f>IF($B155 = "Mutant",VLOOKUP($C155,Mutants!$A$2:$L$560,12,FALSE),IF($B155 = "Test",VLOOKUP($C155,Tests!$A$2:$L$841,12,FALSE),VLOOKUP($C155,Questions!$A$3:$N$174,9,FALSE)))</f>
        <v>Y</v>
      </c>
      <c r="F155" s="187" t="str">
        <f>IF($B155 = "Mutant",VLOOKUP($C155,Mutants!$A$2:$L$560,11,FALSE),IF($B155 = "Test",VLOOKUP($C155,Tests!$A$2:$L$841,11,FALSE),VLOOKUP($C155,Questions!$A$3:$N$174,13,FALSE)))</f>
        <v xml:space="preserve">removeField
</v>
      </c>
      <c r="G155" s="187"/>
      <c r="H155" s="202"/>
    </row>
    <row r="156" spans="2:8" ht="12.75">
      <c r="B156" s="114" t="s">
        <v>4589</v>
      </c>
      <c r="C156" s="9">
        <v>441</v>
      </c>
      <c r="D156" s="9" t="s">
        <v>4024</v>
      </c>
      <c r="E156" s="9" t="str">
        <f>IF($B156 = "Mutant",VLOOKUP($C156,Mutants!$A$2:$L$560,12,FALSE),IF($B156 = "Test",VLOOKUP($C156,Tests!$A$2:$L$841,12,FALSE),VLOOKUP($C156,Questions!$A$3:$N$174,9,FALSE)))</f>
        <v>Y</v>
      </c>
      <c r="F156" s="187" t="str">
        <f>IF($B156 = "Mutant",VLOOKUP($C156,Mutants!$A$2:$L$560,11,FALSE),IF($B156 = "Test",VLOOKUP($C156,Tests!$A$2:$L$841,11,FALSE),VLOOKUP($C156,Questions!$A$3:$N$174,13,FALSE)))</f>
        <v xml:space="preserve">getBinaryValues
</v>
      </c>
      <c r="G156" s="187"/>
      <c r="H156" s="202"/>
    </row>
    <row r="157" spans="2:8" ht="12.75">
      <c r="B157" s="114" t="s">
        <v>4589</v>
      </c>
      <c r="C157" s="9">
        <v>471</v>
      </c>
      <c r="D157" s="9" t="s">
        <v>4106</v>
      </c>
      <c r="E157" s="9" t="str">
        <f>IF($B157 = "Mutant",VLOOKUP($C157,Mutants!$A$2:$L$560,12,FALSE),IF($B157 = "Test",VLOOKUP($C157,Tests!$A$2:$L$841,12,FALSE),VLOOKUP($C157,Questions!$A$3:$N$174,9,FALSE)))</f>
        <v>Y</v>
      </c>
      <c r="F157" s="187" t="str">
        <f>IF($B157 = "Mutant",VLOOKUP($C157,Mutants!$A$2:$L$560,11,FALSE),IF($B157 = "Test",VLOOKUP($C157,Tests!$A$2:$L$841,11,FALSE),VLOOKUP($C157,Questions!$A$3:$N$174,13,FALSE)))</f>
        <v xml:space="preserve">toString
</v>
      </c>
      <c r="G157" s="187"/>
      <c r="H157" s="202"/>
    </row>
    <row r="158" spans="2:8" ht="12.75">
      <c r="B158" s="114" t="s">
        <v>4589</v>
      </c>
      <c r="C158" s="9">
        <v>484</v>
      </c>
      <c r="D158" s="9" t="s">
        <v>4137</v>
      </c>
      <c r="E158" s="9" t="str">
        <f>IF($B158 = "Mutant",VLOOKUP($C158,Mutants!$A$2:$L$560,12,FALSE),IF($B158 = "Test",VLOOKUP($C158,Tests!$A$2:$L$841,12,FALSE),VLOOKUP($C158,Questions!$A$3:$N$174,9,FALSE)))</f>
        <v>Y</v>
      </c>
      <c r="F158" s="187" t="str">
        <f>IF($B158 = "Mutant",VLOOKUP($C158,Mutants!$A$2:$L$560,11,FALSE),IF($B158 = "Test",VLOOKUP($C158,Tests!$A$2:$L$841,11,FALSE),VLOOKUP($C158,Questions!$A$3:$N$174,13,FALSE)))</f>
        <v xml:space="preserve">toString
</v>
      </c>
      <c r="G158" s="187"/>
      <c r="H158" s="202"/>
    </row>
    <row r="159" spans="2:8" ht="12.75">
      <c r="B159" s="114" t="s">
        <v>4589</v>
      </c>
      <c r="C159" s="9">
        <v>506</v>
      </c>
      <c r="D159" s="9" t="s">
        <v>4196</v>
      </c>
      <c r="E159" s="9" t="str">
        <f>IF($B159 = "Mutant",VLOOKUP($C159,Mutants!$A$2:$L$560,12,FALSE),IF($B159 = "Test",VLOOKUP($C159,Tests!$A$2:$L$841,12,FALSE),VLOOKUP($C159,Questions!$A$3:$N$174,9,FALSE)))</f>
        <v>Y</v>
      </c>
      <c r="F159" s="187" t="str">
        <f>IF($B159 = "Mutant",VLOOKUP($C159,Mutants!$A$2:$L$560,11,FALSE),IF($B159 = "Test",VLOOKUP($C159,Tests!$A$2:$L$841,11,FALSE),VLOOKUP($C159,Questions!$A$3:$N$174,13,FALSE)))</f>
        <v xml:space="preserve">getBinaryValues
</v>
      </c>
      <c r="G159" s="187"/>
      <c r="H159" s="202"/>
    </row>
    <row r="160" spans="2:8" ht="12.75">
      <c r="B160" s="114" t="s">
        <v>4589</v>
      </c>
      <c r="C160" s="9">
        <v>521</v>
      </c>
      <c r="D160" s="9" t="s">
        <v>4235</v>
      </c>
      <c r="E160" s="9" t="str">
        <f>IF($B160 = "Mutant",VLOOKUP($C160,Mutants!$A$2:$L$560,12,FALSE),IF($B160 = "Test",VLOOKUP($C160,Tests!$A$2:$L$841,12,FALSE),VLOOKUP($C160,Questions!$A$3:$N$174,9,FALSE)))</f>
        <v>N</v>
      </c>
      <c r="F160" s="187" t="str">
        <f>IF($B160 = "Mutant",VLOOKUP($C160,Mutants!$A$2:$L$560,11,FALSE),IF($B160 = "Test",VLOOKUP($C160,Tests!$A$2:$L$841,11,FALSE),VLOOKUP($C160,Questions!$A$3:$N$174,13,FALSE)))</f>
        <v xml:space="preserve">
</v>
      </c>
      <c r="G160" s="187"/>
      <c r="H160" s="202"/>
    </row>
    <row r="161" spans="2:8" ht="12.75">
      <c r="B161" s="114" t="s">
        <v>4589</v>
      </c>
      <c r="C161" s="9">
        <v>533</v>
      </c>
      <c r="D161" s="9" t="s">
        <v>4265</v>
      </c>
      <c r="E161" s="9" t="str">
        <f>IF($B161 = "Mutant",VLOOKUP($C161,Mutants!$A$2:$L$560,12,FALSE),IF($B161 = "Test",VLOOKUP($C161,Tests!$A$2:$L$841,12,FALSE),VLOOKUP($C161,Questions!$A$3:$N$174,9,FALSE)))</f>
        <v>N</v>
      </c>
      <c r="F161" s="187" t="str">
        <f>IF($B161 = "Mutant",VLOOKUP($C161,Mutants!$A$2:$L$560,11,FALSE),IF($B161 = "Test",VLOOKUP($C161,Tests!$A$2:$L$841,11,FALSE),VLOOKUP($C161,Questions!$A$3:$N$174,13,FALSE)))</f>
        <v xml:space="preserve">
</v>
      </c>
      <c r="G161" s="187"/>
      <c r="H161" s="202"/>
    </row>
    <row r="162" spans="2:8" ht="12.75">
      <c r="B162" s="114" t="s">
        <v>4589</v>
      </c>
      <c r="C162" s="9">
        <v>538</v>
      </c>
      <c r="D162" s="9" t="s">
        <v>1860</v>
      </c>
      <c r="E162" s="9" t="str">
        <f>IF($B162 = "Mutant",VLOOKUP($C162,Mutants!$A$2:$L$560,12,FALSE),IF($B162 = "Test",VLOOKUP($C162,Tests!$A$2:$L$841,12,FALSE),VLOOKUP($C162,Questions!$A$3:$N$174,9,FALSE)))</f>
        <v>N</v>
      </c>
      <c r="F162" s="187" t="str">
        <f>IF($B162 = "Mutant",VLOOKUP($C162,Mutants!$A$2:$L$560,11,FALSE),IF($B162 = "Test",VLOOKUP($C162,Tests!$A$2:$L$841,11,FALSE),VLOOKUP($C162,Questions!$A$3:$N$174,13,FALSE)))</f>
        <v xml:space="preserve">
</v>
      </c>
      <c r="G162" s="187"/>
      <c r="H162" s="202"/>
    </row>
    <row r="163" spans="2:8" ht="12.75">
      <c r="B163" s="114" t="s">
        <v>4589</v>
      </c>
      <c r="C163" s="9">
        <v>539</v>
      </c>
      <c r="D163" s="9" t="s">
        <v>4279</v>
      </c>
      <c r="E163" s="9" t="str">
        <f>IF($B163 = "Mutant",VLOOKUP($C163,Mutants!$A$2:$L$560,12,FALSE),IF($B163 = "Test",VLOOKUP($C163,Tests!$A$2:$L$841,12,FALSE),VLOOKUP($C163,Questions!$A$3:$N$174,9,FALSE)))</f>
        <v>N</v>
      </c>
      <c r="F163" s="187" t="str">
        <f>IF($B163 = "Mutant",VLOOKUP($C163,Mutants!$A$2:$L$560,11,FALSE),IF($B163 = "Test",VLOOKUP($C163,Tests!$A$2:$L$841,11,FALSE),VLOOKUP($C163,Questions!$A$3:$N$174,13,FALSE)))</f>
        <v xml:space="preserve">
</v>
      </c>
      <c r="G163" s="187"/>
      <c r="H163" s="202"/>
    </row>
    <row r="164" spans="2:8" ht="12.75">
      <c r="B164" s="114" t="s">
        <v>4589</v>
      </c>
      <c r="C164" s="9">
        <v>551</v>
      </c>
      <c r="D164" s="9" t="s">
        <v>4313</v>
      </c>
      <c r="E164" s="9" t="str">
        <f>IF($B164 = "Mutant",VLOOKUP($C164,Mutants!$A$2:$L$560,12,FALSE),IF($B164 = "Test",VLOOKUP($C164,Tests!$A$2:$L$841,12,FALSE),VLOOKUP($C164,Questions!$A$3:$N$174,9,FALSE)))</f>
        <v>Y</v>
      </c>
      <c r="F164" s="187" t="str">
        <f>IF($B164 = "Mutant",VLOOKUP($C164,Mutants!$A$2:$L$560,11,FALSE),IF($B164 = "Test",VLOOKUP($C164,Tests!$A$2:$L$841,11,FALSE),VLOOKUP($C164,Questions!$A$3:$N$174,13,FALSE)))</f>
        <v xml:space="preserve">
</v>
      </c>
      <c r="G164" s="187"/>
      <c r="H164" s="202"/>
    </row>
    <row r="165" spans="2:8" ht="12.75">
      <c r="B165" s="114" t="s">
        <v>4589</v>
      </c>
      <c r="C165" s="9">
        <v>562</v>
      </c>
      <c r="D165" s="9" t="s">
        <v>4339</v>
      </c>
      <c r="E165" s="9" t="str">
        <f>IF($B165 = "Mutant",VLOOKUP($C165,Mutants!$A$2:$L$560,12,FALSE),IF($B165 = "Test",VLOOKUP($C165,Tests!$A$2:$L$841,12,FALSE),VLOOKUP($C165,Questions!$A$3:$N$174,9,FALSE)))</f>
        <v>Y</v>
      </c>
      <c r="F165" s="187" t="str">
        <f>IF($B165 = "Mutant",VLOOKUP($C165,Mutants!$A$2:$L$560,11,FALSE),IF($B165 = "Test",VLOOKUP($C165,Tests!$A$2:$L$841,11,FALSE),VLOOKUP($C165,Questions!$A$3:$N$174,13,FALSE)))</f>
        <v xml:space="preserve">
</v>
      </c>
      <c r="G165" s="187"/>
      <c r="H165" s="202"/>
    </row>
    <row r="166" spans="2:8" ht="12.75">
      <c r="B166" s="114" t="s">
        <v>4590</v>
      </c>
      <c r="C166" s="9">
        <v>595</v>
      </c>
      <c r="D166" s="9" t="s">
        <v>2128</v>
      </c>
      <c r="E166" s="9" t="str">
        <f>IF($B166 = "Mutant",VLOOKUP($C166,Mutants!$A$2:$L$560,12,FALSE),IF($B166 = "Test",VLOOKUP($C166,Tests!$A$2:$L$841,12,FALSE),VLOOKUP($C166,Questions!$A$3:$N$174,9,FALSE)))</f>
        <v>N</v>
      </c>
      <c r="F166" s="187" t="str">
        <f>IF($B166 = "Mutant",VLOOKUP($C166,Mutants!$A$2:$L$560,11,FALSE),IF($B166 = "Test",VLOOKUP($C166,Tests!$A$2:$L$841,11,FALSE),VLOOKUP($C166,Questions!$A$3:$N$174,13,FALSE)))</f>
        <v xml:space="preserve">
</v>
      </c>
      <c r="G166" s="187"/>
      <c r="H166" s="202"/>
    </row>
    <row r="167" spans="2:8" ht="12.75">
      <c r="B167" s="114" t="s">
        <v>4590</v>
      </c>
      <c r="C167" s="9">
        <v>602</v>
      </c>
      <c r="D167" s="9" t="s">
        <v>2149</v>
      </c>
      <c r="E167" s="9" t="str">
        <f>IF($B167 = "Mutant",VLOOKUP($C167,Mutants!$A$2:$L$560,12,FALSE),IF($B167 = "Test",VLOOKUP($C167,Tests!$A$2:$L$841,12,FALSE),VLOOKUP($C167,Questions!$A$3:$N$174,9,FALSE)))</f>
        <v>Y</v>
      </c>
      <c r="F167" s="187" t="str">
        <f>IF($B167 = "Mutant",VLOOKUP($C167,Mutants!$A$2:$L$560,11,FALSE),IF($B167 = "Test",VLOOKUP($C167,Tests!$A$2:$L$841,11,FALSE),VLOOKUP($C167,Questions!$A$3:$N$174,13,FALSE)))</f>
        <v xml:space="preserve">toString
</v>
      </c>
      <c r="G167" s="187"/>
      <c r="H167" s="202"/>
    </row>
    <row r="168" spans="2:8" ht="12.75">
      <c r="B168" s="114" t="s">
        <v>4590</v>
      </c>
      <c r="C168" s="9">
        <v>607</v>
      </c>
      <c r="D168" s="9" t="s">
        <v>2161</v>
      </c>
      <c r="E168" s="9" t="str">
        <f>IF($B168 = "Mutant",VLOOKUP($C168,Mutants!$A$2:$L$560,12,FALSE),IF($B168 = "Test",VLOOKUP($C168,Tests!$A$2:$L$841,12,FALSE),VLOOKUP($C168,Questions!$A$3:$N$174,9,FALSE)))</f>
        <v>Y</v>
      </c>
      <c r="F168" s="187" t="str">
        <f>IF($B168 = "Mutant",VLOOKUP($C168,Mutants!$A$2:$L$560,11,FALSE),IF($B168 = "Test",VLOOKUP($C168,Tests!$A$2:$L$841,11,FALSE),VLOOKUP($C168,Questions!$A$3:$N$174,13,FALSE)))</f>
        <v xml:space="preserve">toString
</v>
      </c>
      <c r="G168" s="187"/>
      <c r="H168" s="202"/>
    </row>
    <row r="169" spans="2:8" ht="12.75">
      <c r="B169" s="114" t="s">
        <v>4590</v>
      </c>
      <c r="C169" s="9">
        <v>655</v>
      </c>
      <c r="D169" s="9" t="s">
        <v>2296</v>
      </c>
      <c r="E169" s="9" t="str">
        <f>IF($B169 = "Mutant",VLOOKUP($C169,Mutants!$A$2:$L$560,12,FALSE),IF($B169 = "Test",VLOOKUP($C169,Tests!$A$2:$L$841,12,FALSE),VLOOKUP($C169,Questions!$A$3:$N$174,9,FALSE)))</f>
        <v>N</v>
      </c>
      <c r="F169" s="187" t="str">
        <f>IF($B169 = "Mutant",VLOOKUP($C169,Mutants!$A$2:$L$560,11,FALSE),IF($B169 = "Test",VLOOKUP($C169,Tests!$A$2:$L$841,11,FALSE),VLOOKUP($C169,Questions!$A$3:$N$174,13,FALSE)))</f>
        <v xml:space="preserve">
</v>
      </c>
      <c r="G169" s="187"/>
      <c r="H169" s="202"/>
    </row>
    <row r="170" spans="2:8" ht="12.75">
      <c r="B170" s="114" t="s">
        <v>4590</v>
      </c>
      <c r="C170" s="9">
        <v>660</v>
      </c>
      <c r="D170" s="9" t="s">
        <v>2314</v>
      </c>
      <c r="E170" s="9" t="str">
        <f>IF($B170 = "Mutant",VLOOKUP($C170,Mutants!$A$2:$L$560,12,FALSE),IF($B170 = "Test",VLOOKUP($C170,Tests!$A$2:$L$841,12,FALSE),VLOOKUP($C170,Questions!$A$3:$N$174,9,FALSE)))</f>
        <v>N</v>
      </c>
      <c r="F170" s="187" t="str">
        <f>IF($B170 = "Mutant",VLOOKUP($C170,Mutants!$A$2:$L$560,11,FALSE),IF($B170 = "Test",VLOOKUP($C170,Tests!$A$2:$L$841,11,FALSE),VLOOKUP($C170,Questions!$A$3:$N$174,13,FALSE)))</f>
        <v xml:space="preserve">
</v>
      </c>
      <c r="G170" s="187"/>
      <c r="H170" s="202"/>
    </row>
    <row r="171" spans="2:8" ht="12.75">
      <c r="B171" s="114" t="s">
        <v>4590</v>
      </c>
      <c r="C171" s="9">
        <v>664</v>
      </c>
      <c r="D171" s="9" t="s">
        <v>2323</v>
      </c>
      <c r="E171" s="9" t="str">
        <f>IF($B171 = "Mutant",VLOOKUP($C171,Mutants!$A$2:$L$560,12,FALSE),IF($B171 = "Test",VLOOKUP($C171,Tests!$A$2:$L$841,12,FALSE),VLOOKUP($C171,Questions!$A$3:$N$174,9,FALSE)))</f>
        <v>N</v>
      </c>
      <c r="F171" s="187" t="str">
        <f>IF($B171 = "Mutant",VLOOKUP($C171,Mutants!$A$2:$L$560,11,FALSE),IF($B171 = "Test",VLOOKUP($C171,Tests!$A$2:$L$841,11,FALSE),VLOOKUP($C171,Questions!$A$3:$N$174,13,FALSE)))</f>
        <v xml:space="preserve">
</v>
      </c>
      <c r="G171" s="187"/>
      <c r="H171" s="202"/>
    </row>
    <row r="172" spans="2:8" ht="12.75">
      <c r="B172" s="114" t="s">
        <v>4590</v>
      </c>
      <c r="C172" s="9">
        <v>677</v>
      </c>
      <c r="D172" s="9" t="s">
        <v>2357</v>
      </c>
      <c r="E172" s="9" t="str">
        <f>IF($B172 = "Mutant",VLOOKUP($C172,Mutants!$A$2:$L$560,12,FALSE),IF($B172 = "Test",VLOOKUP($C172,Tests!$A$2:$L$841,12,FALSE),VLOOKUP($C172,Questions!$A$3:$N$174,9,FALSE)))</f>
        <v>N</v>
      </c>
      <c r="F172" s="187" t="str">
        <f>IF($B172 = "Mutant",VLOOKUP($C172,Mutants!$A$2:$L$560,11,FALSE),IF($B172 = "Test",VLOOKUP($C172,Tests!$A$2:$L$841,11,FALSE),VLOOKUP($C172,Questions!$A$3:$N$174,13,FALSE)))</f>
        <v xml:space="preserve">
</v>
      </c>
      <c r="G172" s="187"/>
      <c r="H172" s="202"/>
    </row>
    <row r="173" spans="2:8" ht="12.75">
      <c r="B173" s="114" t="s">
        <v>4590</v>
      </c>
      <c r="C173" s="9">
        <v>682</v>
      </c>
      <c r="D173" s="9" t="s">
        <v>2368</v>
      </c>
      <c r="E173" s="9" t="str">
        <f>IF($B173 = "Mutant",VLOOKUP($C173,Mutants!$A$2:$L$560,12,FALSE),IF($B173 = "Test",VLOOKUP($C173,Tests!$A$2:$L$841,12,FALSE),VLOOKUP($C173,Questions!$A$3:$N$174,9,FALSE)))</f>
        <v>Y</v>
      </c>
      <c r="F173" s="187" t="str">
        <f>IF($B173 = "Mutant",VLOOKUP($C173,Mutants!$A$2:$L$560,11,FALSE),IF($B173 = "Test",VLOOKUP($C173,Tests!$A$2:$L$841,11,FALSE),VLOOKUP($C173,Questions!$A$3:$N$174,13,FALSE)))</f>
        <v xml:space="preserve">getBinaryValues
</v>
      </c>
      <c r="G173" s="187"/>
      <c r="H173" s="202"/>
    </row>
    <row r="174" spans="2:8" ht="12.75">
      <c r="B174" s="114" t="s">
        <v>4590</v>
      </c>
      <c r="C174" s="9">
        <v>762</v>
      </c>
      <c r="D174" s="9" t="s">
        <v>2583</v>
      </c>
      <c r="E174" s="9" t="str">
        <f>IF($B174 = "Mutant",VLOOKUP($C174,Mutants!$A$2:$L$560,12,FALSE),IF($B174 = "Test",VLOOKUP($C174,Tests!$A$2:$L$841,12,FALSE),VLOOKUP($C174,Questions!$A$3:$N$174,9,FALSE)))</f>
        <v>N</v>
      </c>
      <c r="F174" s="187" t="str">
        <f>IF($B174 = "Mutant",VLOOKUP($C174,Mutants!$A$2:$L$560,11,FALSE),IF($B174 = "Test",VLOOKUP($C174,Tests!$A$2:$L$841,11,FALSE),VLOOKUP($C174,Questions!$A$3:$N$174,13,FALSE)))</f>
        <v xml:space="preserve">
</v>
      </c>
      <c r="G174" s="187"/>
      <c r="H174" s="202"/>
    </row>
    <row r="175" spans="2:8" ht="12.75">
      <c r="B175" s="114" t="s">
        <v>4590</v>
      </c>
      <c r="C175" s="9">
        <v>775</v>
      </c>
      <c r="D175" s="9" t="s">
        <v>2617</v>
      </c>
      <c r="E175" s="9" t="str">
        <f>IF($B175 = "Mutant",VLOOKUP($C175,Mutants!$A$2:$L$560,12,FALSE),IF($B175 = "Test",VLOOKUP($C175,Tests!$A$2:$L$841,12,FALSE),VLOOKUP($C175,Questions!$A$3:$N$174,9,FALSE)))</f>
        <v>N</v>
      </c>
      <c r="F175" s="187" t="str">
        <f>IF($B175 = "Mutant",VLOOKUP($C175,Mutants!$A$2:$L$560,11,FALSE),IF($B175 = "Test",VLOOKUP($C175,Tests!$A$2:$L$841,11,FALSE),VLOOKUP($C175,Questions!$A$3:$N$174,13,FALSE)))</f>
        <v xml:space="preserve">
</v>
      </c>
      <c r="G175" s="187"/>
      <c r="H175" s="202"/>
    </row>
    <row r="176" spans="2:8" ht="12.75">
      <c r="B176" s="114" t="s">
        <v>4590</v>
      </c>
      <c r="C176" s="9">
        <v>782</v>
      </c>
      <c r="D176" s="9" t="s">
        <v>2635</v>
      </c>
      <c r="E176" s="9" t="str">
        <f>IF($B176 = "Mutant",VLOOKUP($C176,Mutants!$A$2:$L$560,12,FALSE),IF($B176 = "Test",VLOOKUP($C176,Tests!$A$2:$L$841,12,FALSE),VLOOKUP($C176,Questions!$A$3:$N$174,9,FALSE)))</f>
        <v>Y</v>
      </c>
      <c r="F176" s="187" t="str">
        <f>IF($B176 = "Mutant",VLOOKUP($C176,Mutants!$A$2:$L$560,11,FALSE),IF($B176 = "Test",VLOOKUP($C176,Tests!$A$2:$L$841,11,FALSE),VLOOKUP($C176,Questions!$A$3:$N$174,13,FALSE)))</f>
        <v xml:space="preserve">add, getBinaryValues
</v>
      </c>
      <c r="G176" s="187"/>
      <c r="H176" s="202"/>
    </row>
    <row r="177" spans="2:8" ht="12.75">
      <c r="B177" s="114" t="s">
        <v>4590</v>
      </c>
      <c r="C177" s="9">
        <v>810</v>
      </c>
      <c r="D177" s="9" t="s">
        <v>2715</v>
      </c>
      <c r="E177" s="9" t="str">
        <f>IF($B177 = "Mutant",VLOOKUP($C177,Mutants!$A$2:$L$560,12,FALSE),IF($B177 = "Test",VLOOKUP($C177,Tests!$A$2:$L$841,12,FALSE),VLOOKUP($C177,Questions!$A$3:$N$174,9,FALSE)))</f>
        <v>Y</v>
      </c>
      <c r="F177" s="187" t="str">
        <f>IF($B177 = "Mutant",VLOOKUP($C177,Mutants!$A$2:$L$560,11,FALSE),IF($B177 = "Test",VLOOKUP($C177,Tests!$A$2:$L$841,11,FALSE),VLOOKUP($C177,Questions!$A$3:$N$174,13,FALSE)))</f>
        <v xml:space="preserve">add, getBinaryValues
</v>
      </c>
      <c r="G177" s="187"/>
      <c r="H177" s="202"/>
    </row>
    <row r="178" spans="2:8" ht="12.75">
      <c r="B178" s="114" t="s">
        <v>4590</v>
      </c>
      <c r="C178" s="9">
        <v>826</v>
      </c>
      <c r="D178" s="9" t="s">
        <v>2753</v>
      </c>
      <c r="E178" s="9" t="str">
        <f>IF($B178 = "Mutant",VLOOKUP($C178,Mutants!$A$2:$L$560,12,FALSE),IF($B178 = "Test",VLOOKUP($C178,Tests!$A$2:$L$841,12,FALSE),VLOOKUP($C178,Questions!$A$3:$N$174,9,FALSE)))</f>
        <v>Y</v>
      </c>
      <c r="F178" s="187" t="str">
        <f>IF($B178 = "Mutant",VLOOKUP($C178,Mutants!$A$2:$L$560,11,FALSE),IF($B178 = "Test",VLOOKUP($C178,Tests!$A$2:$L$841,11,FALSE),VLOOKUP($C178,Questions!$A$3:$N$174,13,FALSE)))</f>
        <v xml:space="preserve">add, getBinaryValues
</v>
      </c>
      <c r="G178" s="187"/>
      <c r="H178" s="202"/>
    </row>
    <row r="179" spans="2:8" ht="12.75">
      <c r="B179" s="114" t="s">
        <v>4590</v>
      </c>
      <c r="C179" s="9">
        <v>840</v>
      </c>
      <c r="D179" s="9" t="s">
        <v>2788</v>
      </c>
      <c r="E179" s="9" t="str">
        <f>IF($B179 = "Mutant",VLOOKUP($C179,Mutants!$A$2:$L$560,12,FALSE),IF($B179 = "Test",VLOOKUP($C179,Tests!$A$2:$L$841,12,FALSE),VLOOKUP($C179,Questions!$A$3:$N$174,9,FALSE)))</f>
        <v>Y</v>
      </c>
      <c r="F179" s="187" t="str">
        <f>IF($B179 = "Mutant",VLOOKUP($C179,Mutants!$A$2:$L$560,11,FALSE),IF($B179 = "Test",VLOOKUP($C179,Tests!$A$2:$L$841,11,FALSE),VLOOKUP($C179,Questions!$A$3:$N$174,13,FALSE)))</f>
        <v xml:space="preserve">add, getBinaryValues
</v>
      </c>
      <c r="G179" s="187"/>
      <c r="H179" s="202"/>
    </row>
    <row r="180" spans="2:8" ht="12.75">
      <c r="B180" s="114" t="s">
        <v>4590</v>
      </c>
      <c r="C180" s="9">
        <v>865</v>
      </c>
      <c r="D180" s="9" t="s">
        <v>2863</v>
      </c>
      <c r="E180" s="9" t="str">
        <f>IF($B180 = "Mutant",VLOOKUP($C180,Mutants!$A$2:$L$560,12,FALSE),IF($B180 = "Test",VLOOKUP($C180,Tests!$A$2:$L$841,12,FALSE),VLOOKUP($C180,Questions!$A$3:$N$174,9,FALSE)))</f>
        <v>Y</v>
      </c>
      <c r="F180" s="187" t="str">
        <f>IF($B180 = "Mutant",VLOOKUP($C180,Mutants!$A$2:$L$560,11,FALSE),IF($B180 = "Test",VLOOKUP($C180,Tests!$A$2:$L$841,11,FALSE),VLOOKUP($C180,Questions!$A$3:$N$174,13,FALSE)))</f>
        <v xml:space="preserve">add, getBinaryValue
</v>
      </c>
      <c r="G180" s="187"/>
      <c r="H180" s="202"/>
    </row>
    <row r="181" spans="2:8" ht="12.75">
      <c r="B181" s="114" t="s">
        <v>4590</v>
      </c>
      <c r="C181" s="9">
        <v>899</v>
      </c>
      <c r="D181" s="9" t="s">
        <v>2965</v>
      </c>
      <c r="E181" s="9" t="str">
        <f>IF($B181 = "Mutant",VLOOKUP($C181,Mutants!$A$2:$L$560,12,FALSE),IF($B181 = "Test",VLOOKUP($C181,Tests!$A$2:$L$841,12,FALSE),VLOOKUP($C181,Questions!$A$3:$N$174,9,FALSE)))</f>
        <v>Y</v>
      </c>
      <c r="F181" s="187" t="str">
        <f>IF($B181 = "Mutant",VLOOKUP($C181,Mutants!$A$2:$L$560,11,FALSE),IF($B181 = "Test",VLOOKUP($C181,Tests!$A$2:$L$841,11,FALSE),VLOOKUP($C181,Questions!$A$3:$N$174,13,FALSE)))</f>
        <v xml:space="preserve">add, getBinaryValues
</v>
      </c>
      <c r="G181" s="187"/>
      <c r="H181" s="202"/>
    </row>
    <row r="182" spans="2:8" ht="12.75">
      <c r="B182" s="114" t="s">
        <v>4590</v>
      </c>
      <c r="C182" s="9">
        <v>930</v>
      </c>
      <c r="D182" s="9" t="s">
        <v>3050</v>
      </c>
      <c r="E182" s="9" t="str">
        <f>IF($B182 = "Mutant",VLOOKUP($C182,Mutants!$A$2:$L$560,12,FALSE),IF($B182 = "Test",VLOOKUP($C182,Tests!$A$2:$L$841,12,FALSE),VLOOKUP($C182,Questions!$A$3:$N$174,9,FALSE)))</f>
        <v>Y</v>
      </c>
      <c r="F182" s="187" t="str">
        <f>IF($B182 = "Mutant",VLOOKUP($C182,Mutants!$A$2:$L$560,11,FALSE),IF($B182 = "Test",VLOOKUP($C182,Tests!$A$2:$L$841,11,FALSE),VLOOKUP($C182,Questions!$A$3:$N$174,13,FALSE)))</f>
        <v xml:space="preserve">add, getValues
</v>
      </c>
      <c r="G182" s="187"/>
      <c r="H182" s="202"/>
    </row>
    <row r="183" spans="2:8" ht="12.75">
      <c r="B183" s="133" t="s">
        <v>4590</v>
      </c>
      <c r="C183" s="130">
        <v>942</v>
      </c>
      <c r="D183" s="130" t="s">
        <v>3086</v>
      </c>
      <c r="E183" s="130" t="str">
        <f>IF($B183 = "Mutant",VLOOKUP($C183,Mutants!$A$2:$L$560,12,FALSE),IF($B183 = "Test",VLOOKUP($C183,Tests!$A$2:$L$841,12,FALSE),VLOOKUP($C183,Questions!$A$3:$N$174,9,FALSE)))</f>
        <v>Y</v>
      </c>
      <c r="F183" s="203" t="str">
        <f>IF($B183 = "Mutant",VLOOKUP($C183,Mutants!$A$2:$L$560,11,FALSE),IF($B183 = "Test",VLOOKUP($C183,Tests!$A$2:$L$841,11,FALSE),VLOOKUP($C183,Questions!$A$3:$N$174,13,FALSE)))</f>
        <v xml:space="preserve">add, getValues
</v>
      </c>
      <c r="G183" s="203"/>
      <c r="H183" s="204"/>
    </row>
  </sheetData>
  <mergeCells count="150">
    <mergeCell ref="B13:C13"/>
    <mergeCell ref="B5:C5"/>
    <mergeCell ref="B6:C6"/>
    <mergeCell ref="B7:C7"/>
    <mergeCell ref="B8:C8"/>
    <mergeCell ref="B9:C9"/>
    <mergeCell ref="B10:C10"/>
    <mergeCell ref="F52:H52"/>
    <mergeCell ref="F53:H53"/>
    <mergeCell ref="F54:H54"/>
    <mergeCell ref="F55:H55"/>
    <mergeCell ref="F56:H56"/>
    <mergeCell ref="F47:H47"/>
    <mergeCell ref="F48:H48"/>
    <mergeCell ref="F49:H49"/>
    <mergeCell ref="F50:H50"/>
    <mergeCell ref="F51:H51"/>
    <mergeCell ref="F62:H62"/>
    <mergeCell ref="F63:H63"/>
    <mergeCell ref="F64:H64"/>
    <mergeCell ref="F65:H65"/>
    <mergeCell ref="F66:H66"/>
    <mergeCell ref="F57:H57"/>
    <mergeCell ref="F58:H58"/>
    <mergeCell ref="F59:H59"/>
    <mergeCell ref="F60:H60"/>
    <mergeCell ref="F61:H61"/>
    <mergeCell ref="F72:H72"/>
    <mergeCell ref="F73:H73"/>
    <mergeCell ref="F74:H74"/>
    <mergeCell ref="F75:H75"/>
    <mergeCell ref="F76:H76"/>
    <mergeCell ref="F67:H67"/>
    <mergeCell ref="F68:H68"/>
    <mergeCell ref="F69:H69"/>
    <mergeCell ref="F70:H70"/>
    <mergeCell ref="F71:H71"/>
    <mergeCell ref="F82:H82"/>
    <mergeCell ref="F83:H83"/>
    <mergeCell ref="F84:H84"/>
    <mergeCell ref="F85:H85"/>
    <mergeCell ref="F86:H86"/>
    <mergeCell ref="F77:H77"/>
    <mergeCell ref="F78:H78"/>
    <mergeCell ref="F79:H79"/>
    <mergeCell ref="F80:H80"/>
    <mergeCell ref="F81:H81"/>
    <mergeCell ref="F92:H92"/>
    <mergeCell ref="F93:H93"/>
    <mergeCell ref="F94:H94"/>
    <mergeCell ref="F95:H95"/>
    <mergeCell ref="F96:H96"/>
    <mergeCell ref="F87:H87"/>
    <mergeCell ref="F88:H88"/>
    <mergeCell ref="F89:H89"/>
    <mergeCell ref="F90:H90"/>
    <mergeCell ref="F91:H91"/>
    <mergeCell ref="F102:H102"/>
    <mergeCell ref="F103:H103"/>
    <mergeCell ref="F104:H104"/>
    <mergeCell ref="F105:H105"/>
    <mergeCell ref="F106:H106"/>
    <mergeCell ref="F97:H97"/>
    <mergeCell ref="F98:H98"/>
    <mergeCell ref="F99:H99"/>
    <mergeCell ref="F100:H100"/>
    <mergeCell ref="F101:H101"/>
    <mergeCell ref="F112:H112"/>
    <mergeCell ref="F113:H113"/>
    <mergeCell ref="F114:H114"/>
    <mergeCell ref="F115:H115"/>
    <mergeCell ref="F116:H116"/>
    <mergeCell ref="F107:H107"/>
    <mergeCell ref="F108:H108"/>
    <mergeCell ref="F109:H109"/>
    <mergeCell ref="F110:H110"/>
    <mergeCell ref="F111:H111"/>
    <mergeCell ref="F122:H122"/>
    <mergeCell ref="F123:H123"/>
    <mergeCell ref="F124:H124"/>
    <mergeCell ref="F125:H125"/>
    <mergeCell ref="F126:H126"/>
    <mergeCell ref="F117:H117"/>
    <mergeCell ref="F118:H118"/>
    <mergeCell ref="F119:H119"/>
    <mergeCell ref="F120:H120"/>
    <mergeCell ref="F121:H121"/>
    <mergeCell ref="F132:H132"/>
    <mergeCell ref="F133:H133"/>
    <mergeCell ref="F134:H134"/>
    <mergeCell ref="F135:H135"/>
    <mergeCell ref="F136:H136"/>
    <mergeCell ref="F127:H127"/>
    <mergeCell ref="F128:H128"/>
    <mergeCell ref="F129:H129"/>
    <mergeCell ref="F130:H130"/>
    <mergeCell ref="F131:H131"/>
    <mergeCell ref="F142:H142"/>
    <mergeCell ref="F143:H143"/>
    <mergeCell ref="F144:H144"/>
    <mergeCell ref="F145:H145"/>
    <mergeCell ref="F146:H146"/>
    <mergeCell ref="F137:H137"/>
    <mergeCell ref="F138:H138"/>
    <mergeCell ref="F139:H139"/>
    <mergeCell ref="F140:H140"/>
    <mergeCell ref="F141:H141"/>
    <mergeCell ref="F152:H152"/>
    <mergeCell ref="F153:H153"/>
    <mergeCell ref="F154:H154"/>
    <mergeCell ref="F155:H155"/>
    <mergeCell ref="F156:H156"/>
    <mergeCell ref="F147:H147"/>
    <mergeCell ref="F148:H148"/>
    <mergeCell ref="F149:H149"/>
    <mergeCell ref="F150:H150"/>
    <mergeCell ref="F151:H151"/>
    <mergeCell ref="F163:H163"/>
    <mergeCell ref="F164:H164"/>
    <mergeCell ref="F165:H165"/>
    <mergeCell ref="F166:H166"/>
    <mergeCell ref="F157:H157"/>
    <mergeCell ref="F158:H158"/>
    <mergeCell ref="F159:H159"/>
    <mergeCell ref="F160:H160"/>
    <mergeCell ref="F161:H161"/>
    <mergeCell ref="F182:H182"/>
    <mergeCell ref="F183:H183"/>
    <mergeCell ref="B45:C45"/>
    <mergeCell ref="B69:C69"/>
    <mergeCell ref="B114:C114"/>
    <mergeCell ref="B125:C125"/>
    <mergeCell ref="B152:C152"/>
    <mergeCell ref="F46:H46"/>
    <mergeCell ref="F177:H177"/>
    <mergeCell ref="F178:H178"/>
    <mergeCell ref="F179:H179"/>
    <mergeCell ref="F180:H180"/>
    <mergeCell ref="F181:H181"/>
    <mergeCell ref="F172:H172"/>
    <mergeCell ref="F173:H173"/>
    <mergeCell ref="F174:H174"/>
    <mergeCell ref="F175:H175"/>
    <mergeCell ref="F176:H176"/>
    <mergeCell ref="F167:H167"/>
    <mergeCell ref="F168:H168"/>
    <mergeCell ref="F169:H169"/>
    <mergeCell ref="F170:H170"/>
    <mergeCell ref="F171:H171"/>
    <mergeCell ref="F162:H162"/>
  </mergeCells>
  <conditionalFormatting sqref="A45:B45">
    <cfRule type="cellIs" dxfId="212" priority="40" operator="equal">
      <formula>"NO_KILL"</formula>
    </cfRule>
    <cfRule type="cellIs" dxfId="211" priority="41" operator="equal">
      <formula>"KILL"</formula>
    </cfRule>
    <cfRule type="cellIs" dxfId="210" priority="42" operator="equal">
      <formula>"ERROR"</formula>
    </cfRule>
  </conditionalFormatting>
  <conditionalFormatting sqref="A69:B69">
    <cfRule type="cellIs" dxfId="209" priority="34" operator="equal">
      <formula>"NO_KILL"</formula>
    </cfRule>
    <cfRule type="cellIs" dxfId="208" priority="35" operator="equal">
      <formula>"KILL"</formula>
    </cfRule>
    <cfRule type="cellIs" dxfId="207" priority="36" operator="equal">
      <formula>"ERROR"</formula>
    </cfRule>
  </conditionalFormatting>
  <conditionalFormatting sqref="A114:B114">
    <cfRule type="cellIs" dxfId="206" priority="28" operator="equal">
      <formula>"NO_KILL"</formula>
    </cfRule>
    <cfRule type="cellIs" dxfId="205" priority="29" operator="equal">
      <formula>"KILL"</formula>
    </cfRule>
    <cfRule type="cellIs" dxfId="204" priority="30" operator="equal">
      <formula>"ERROR"</formula>
    </cfRule>
  </conditionalFormatting>
  <conditionalFormatting sqref="A125:B125">
    <cfRule type="cellIs" dxfId="203" priority="23" operator="equal">
      <formula>"KILL"</formula>
    </cfRule>
    <cfRule type="cellIs" dxfId="202" priority="24" operator="equal">
      <formula>"ERROR"</formula>
    </cfRule>
    <cfRule type="cellIs" dxfId="201" priority="22" operator="equal">
      <formula>"NO_KILL"</formula>
    </cfRule>
  </conditionalFormatting>
  <conditionalFormatting sqref="A152:B152">
    <cfRule type="cellIs" dxfId="200" priority="16" operator="equal">
      <formula>"NO_KILL"</formula>
    </cfRule>
    <cfRule type="cellIs" dxfId="199" priority="17" operator="equal">
      <formula>"KILL"</formula>
    </cfRule>
    <cfRule type="cellIs" dxfId="198" priority="18" operator="equal">
      <formula>"ERROR"</formula>
    </cfRule>
  </conditionalFormatting>
  <conditionalFormatting sqref="A1:AT4 A5:B10 D5:AT10 A11:AT44 D45:AT45 A46:D68 I46:AT183 D69 A70:D113 D114 A115:D124 D125 A126:D151 D152 A153:D183 A184:AT1121">
    <cfRule type="cellIs" dxfId="197" priority="49" operator="equal">
      <formula>"NO_KILL"</formula>
    </cfRule>
    <cfRule type="cellIs" dxfId="196" priority="50" operator="equal">
      <formula>"KILL"</formula>
    </cfRule>
    <cfRule type="cellIs" dxfId="195" priority="51" operator="equal">
      <formula>"ERROR"</formula>
    </cfRule>
  </conditionalFormatting>
  <conditionalFormatting sqref="B43:B1121">
    <cfRule type="cellIs" dxfId="194" priority="19" operator="equal">
      <formula>"Test"</formula>
    </cfRule>
    <cfRule type="cellIs" dxfId="193" priority="20" operator="equal">
      <formula>"Mutant"</formula>
    </cfRule>
    <cfRule type="cellIs" dxfId="192" priority="21" operator="equal">
      <formula>"Question"</formula>
    </cfRule>
  </conditionalFormatting>
  <conditionalFormatting sqref="E46:F183">
    <cfRule type="cellIs" dxfId="191" priority="1" operator="equal">
      <formula>"NO_KILL"</formula>
    </cfRule>
    <cfRule type="cellIs" dxfId="190" priority="2" operator="equal">
      <formula>"KILL"</formula>
    </cfRule>
    <cfRule type="cellIs" dxfId="189" priority="3" operator="equal">
      <formula>"ERROR"</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B2:AI182"/>
  <sheetViews>
    <sheetView topLeftCell="A104" workbookViewId="0">
      <selection activeCell="M126" sqref="M126"/>
    </sheetView>
  </sheetViews>
  <sheetFormatPr defaultColWidth="12.5703125" defaultRowHeight="15.75" customHeight="1"/>
  <cols>
    <col min="4" max="4" width="18.140625" bestFit="1" customWidth="1"/>
    <col min="6" max="6" width="13.42578125" customWidth="1"/>
    <col min="14" max="14" width="13.42578125" customWidth="1"/>
  </cols>
  <sheetData>
    <row r="2" spans="2:35" ht="12.75">
      <c r="B2" s="29" t="s">
        <v>4</v>
      </c>
      <c r="C2" s="29" t="s">
        <v>45</v>
      </c>
      <c r="D2" s="29" t="s">
        <v>46</v>
      </c>
    </row>
    <row r="3" spans="2:35" ht="12.75">
      <c r="B3" s="29">
        <v>120</v>
      </c>
      <c r="C3" s="29" t="s">
        <v>60</v>
      </c>
      <c r="D3" s="127" t="s">
        <v>19</v>
      </c>
    </row>
    <row r="5" spans="2:35" ht="12.75">
      <c r="B5" s="221" t="s">
        <v>3</v>
      </c>
      <c r="C5" s="222"/>
      <c r="D5" s="44" t="s">
        <v>5</v>
      </c>
      <c r="E5" s="43" t="s">
        <v>6</v>
      </c>
      <c r="F5" s="43" t="s">
        <v>7</v>
      </c>
      <c r="G5" s="43" t="s">
        <v>8</v>
      </c>
      <c r="H5" s="44" t="s">
        <v>9</v>
      </c>
      <c r="I5" s="43" t="s">
        <v>10</v>
      </c>
      <c r="J5" s="43" t="s">
        <v>11</v>
      </c>
      <c r="K5" s="44" t="s">
        <v>12</v>
      </c>
      <c r="L5" s="43" t="s">
        <v>13</v>
      </c>
      <c r="M5" s="43" t="s">
        <v>14</v>
      </c>
      <c r="N5" s="61" t="s">
        <v>15</v>
      </c>
    </row>
    <row r="6" spans="2:35" ht="12.75">
      <c r="B6" s="223">
        <v>207</v>
      </c>
      <c r="C6" s="224"/>
      <c r="D6" s="47">
        <f ca="1">COUNTIF(Valid_questions!F$1:F1120, B6)</f>
        <v>0</v>
      </c>
      <c r="E6" s="40">
        <v>3</v>
      </c>
      <c r="F6" s="40">
        <v>28</v>
      </c>
      <c r="G6" s="40">
        <v>1</v>
      </c>
      <c r="H6" s="47">
        <v>32</v>
      </c>
      <c r="I6" s="40">
        <f>COUNTIFS(Tests!E$1:E1120,B6,Tests!D$1:D1120,"&lt;&gt;\N")</f>
        <v>18</v>
      </c>
      <c r="J6" s="40">
        <f>COUNTIFS(Tests!E$1:E1120,B6,Tests!D$1:D1120,"=\N")</f>
        <v>3</v>
      </c>
      <c r="K6" s="47">
        <v>13</v>
      </c>
      <c r="L6" s="40">
        <f>COUNTIFS(Mutants!E$1:E1120,B6,Mutants!D$1:D1120,"&lt;&gt;\N")</f>
        <v>4</v>
      </c>
      <c r="M6" s="40">
        <f>COUNTIFS(Mutants!E$1:E1120,B6,Mutants!D$1:D1120,"=\N")</f>
        <v>3</v>
      </c>
      <c r="N6" s="45">
        <v>3</v>
      </c>
    </row>
    <row r="7" spans="2:35" ht="12.75">
      <c r="B7" s="225">
        <v>208</v>
      </c>
      <c r="C7" s="226"/>
      <c r="D7" s="10">
        <f ca="1">COUNTIF(Valid_questions!F$1:F1120, B7)</f>
        <v>0</v>
      </c>
      <c r="E7" s="9">
        <v>14</v>
      </c>
      <c r="F7" s="9">
        <v>0</v>
      </c>
      <c r="G7" s="9">
        <v>1</v>
      </c>
      <c r="H7" s="10">
        <v>15</v>
      </c>
      <c r="I7" s="9">
        <f>COUNTIFS(Tests!E$1:E1120,B7,Tests!D$1:D1120,"&lt;&gt;\N")</f>
        <v>5</v>
      </c>
      <c r="J7" s="9">
        <f>COUNTIFS(Tests!E$1:E1120,B7,Tests!D$1:D1120,"=\N")</f>
        <v>4</v>
      </c>
      <c r="K7" s="10">
        <v>3</v>
      </c>
      <c r="L7" s="9">
        <f>COUNTIFS(Mutants!E$1:E1120,B7,Mutants!D$1:D1120,"&lt;&gt;\N")</f>
        <v>18</v>
      </c>
      <c r="M7" s="9">
        <f>COUNTIFS(Mutants!E$1:E1120,B7,Mutants!D$1:D1120,"=\N")</f>
        <v>1</v>
      </c>
      <c r="N7" s="14">
        <v>16</v>
      </c>
    </row>
    <row r="8" spans="2:35" ht="12.75">
      <c r="B8" s="225">
        <v>209</v>
      </c>
      <c r="C8" s="226"/>
      <c r="D8" s="10">
        <f ca="1">COUNTIF(Valid_questions!F$1:F1120, B8)</f>
        <v>0</v>
      </c>
      <c r="E8" s="9">
        <v>1</v>
      </c>
      <c r="F8" s="9">
        <v>2</v>
      </c>
      <c r="G8" s="9">
        <v>0</v>
      </c>
      <c r="H8" s="10">
        <v>3</v>
      </c>
      <c r="I8" s="9">
        <f>COUNTIFS(Tests!E$1:E1120,B8,Tests!D$1:D1120,"&lt;&gt;\N")</f>
        <v>16</v>
      </c>
      <c r="J8" s="9">
        <f>COUNTIFS(Tests!E$1:E1120,B8,Tests!D$1:D1120,"=\N")</f>
        <v>12</v>
      </c>
      <c r="K8" s="10">
        <v>4</v>
      </c>
      <c r="L8" s="9">
        <f>COUNTIFS(Mutants!E$1:E1120,B8,Mutants!D$1:D1120,"&lt;&gt;\N")</f>
        <v>5</v>
      </c>
      <c r="M8" s="9">
        <f>COUNTIFS(Mutants!E$1:E1120,B8,Mutants!D$1:D1120,"=\N")</f>
        <v>0</v>
      </c>
      <c r="N8" s="14">
        <v>3</v>
      </c>
    </row>
    <row r="9" spans="2:35" ht="12.75">
      <c r="B9" s="225">
        <v>210</v>
      </c>
      <c r="C9" s="226"/>
      <c r="D9" s="10">
        <f ca="1">COUNTIF(Valid_questions!F$1:F1120, B9)</f>
        <v>0</v>
      </c>
      <c r="E9" s="9">
        <v>1</v>
      </c>
      <c r="F9" s="9">
        <v>1</v>
      </c>
      <c r="G9" s="9">
        <v>0</v>
      </c>
      <c r="H9" s="10">
        <v>2</v>
      </c>
      <c r="I9" s="9">
        <f>COUNTIFS(Tests!E$1:E1120,B9,Tests!D$1:D1120,"&lt;&gt;\N")</f>
        <v>2</v>
      </c>
      <c r="J9" s="9">
        <f>COUNTIFS(Tests!E$1:E1120,B9,Tests!D$1:D1120,"=\N")</f>
        <v>2</v>
      </c>
      <c r="K9" s="10">
        <v>1</v>
      </c>
      <c r="L9" s="9">
        <f>COUNTIFS(Mutants!E$1:E1120,B9,Mutants!D$1:D1120,"&lt;&gt;\N")</f>
        <v>4</v>
      </c>
      <c r="M9" s="9">
        <f>COUNTIFS(Mutants!E$1:E1120,B9,Mutants!D$1:D1120,"=\N")</f>
        <v>0</v>
      </c>
      <c r="N9" s="14">
        <v>2</v>
      </c>
    </row>
    <row r="10" spans="2:35" ht="12.75">
      <c r="B10" s="227">
        <v>211</v>
      </c>
      <c r="C10" s="228"/>
      <c r="D10" s="22">
        <f ca="1">COUNTIF(Valid_questions!F$1:F1120, B10)</f>
        <v>0</v>
      </c>
      <c r="E10" s="21">
        <v>20</v>
      </c>
      <c r="F10" s="21">
        <v>16</v>
      </c>
      <c r="G10" s="21">
        <v>1</v>
      </c>
      <c r="H10" s="22">
        <v>37</v>
      </c>
      <c r="I10" s="21">
        <f>COUNTIFS(Tests!E$1:E1120,B10,Tests!D$1:D1120,"&lt;&gt;\N")</f>
        <v>8</v>
      </c>
      <c r="J10" s="21">
        <f>COUNTIFS(Tests!E$1:E1120,B10,Tests!D$1:D1120,"=\N")</f>
        <v>0</v>
      </c>
      <c r="K10" s="22">
        <v>0</v>
      </c>
      <c r="L10" s="21">
        <f>COUNTIFS(Mutants!E$1:E1120,B10,Mutants!D$1:D1120,"&lt;&gt;\N")</f>
        <v>5</v>
      </c>
      <c r="M10" s="21">
        <f>COUNTIFS(Mutants!E$1:E1120,B10,Mutants!D$1:D1120,"=\N")</f>
        <v>0</v>
      </c>
      <c r="N10" s="38">
        <v>1</v>
      </c>
    </row>
    <row r="13" spans="2:35" ht="27" customHeight="1">
      <c r="B13" s="220" t="s">
        <v>4588</v>
      </c>
      <c r="C13" s="173"/>
    </row>
    <row r="15" spans="2:35" ht="12.75">
      <c r="C15" s="29" t="s">
        <v>4589</v>
      </c>
    </row>
    <row r="16" spans="2:35" ht="12.75">
      <c r="B16" s="29" t="s">
        <v>4590</v>
      </c>
      <c r="C16" s="29"/>
      <c r="D16" s="43">
        <v>522</v>
      </c>
      <c r="E16" s="43">
        <v>524</v>
      </c>
      <c r="F16" s="43">
        <v>549</v>
      </c>
      <c r="G16" s="43">
        <v>556</v>
      </c>
      <c r="H16" s="43">
        <v>588</v>
      </c>
      <c r="I16" s="43">
        <v>594</v>
      </c>
      <c r="J16" s="43">
        <v>613</v>
      </c>
      <c r="K16" s="43">
        <v>628</v>
      </c>
      <c r="L16" s="43">
        <v>639</v>
      </c>
      <c r="M16" s="43">
        <v>674</v>
      </c>
      <c r="N16" s="43">
        <v>692</v>
      </c>
      <c r="O16" s="43">
        <v>694</v>
      </c>
      <c r="P16" s="43">
        <v>704</v>
      </c>
      <c r="Q16" s="43">
        <v>716</v>
      </c>
      <c r="R16" s="43">
        <v>726</v>
      </c>
      <c r="S16" s="43">
        <v>729</v>
      </c>
      <c r="T16" s="43">
        <v>763</v>
      </c>
      <c r="U16" s="43">
        <v>766</v>
      </c>
      <c r="V16" s="43">
        <v>769</v>
      </c>
      <c r="W16" s="43">
        <v>779</v>
      </c>
      <c r="X16" s="43">
        <v>797</v>
      </c>
      <c r="Y16" s="43">
        <v>798</v>
      </c>
      <c r="Z16" s="43">
        <v>805</v>
      </c>
      <c r="AA16" s="43">
        <v>859</v>
      </c>
      <c r="AB16" s="43">
        <v>874</v>
      </c>
      <c r="AC16" s="43">
        <v>877</v>
      </c>
      <c r="AD16" s="43">
        <v>879</v>
      </c>
      <c r="AE16" s="43">
        <v>898</v>
      </c>
      <c r="AF16" s="43">
        <v>907</v>
      </c>
      <c r="AG16" s="43">
        <v>921</v>
      </c>
      <c r="AH16" s="43">
        <v>935</v>
      </c>
      <c r="AI16" s="61">
        <v>938</v>
      </c>
    </row>
    <row r="17" spans="2:35" ht="12.75">
      <c r="B17" s="9"/>
      <c r="C17" s="81">
        <v>368</v>
      </c>
      <c r="D17" s="9" t="s">
        <v>4595</v>
      </c>
      <c r="E17" s="9" t="s">
        <v>4595</v>
      </c>
      <c r="F17" s="9" t="s">
        <v>4591</v>
      </c>
      <c r="G17" s="9" t="s">
        <v>4595</v>
      </c>
      <c r="H17" s="9" t="s">
        <v>4595</v>
      </c>
      <c r="I17" s="9" t="s">
        <v>4591</v>
      </c>
      <c r="J17" s="9" t="s">
        <v>4595</v>
      </c>
      <c r="K17" s="9" t="s">
        <v>4595</v>
      </c>
      <c r="L17" s="9" t="s">
        <v>4595</v>
      </c>
      <c r="M17" s="9" t="s">
        <v>4595</v>
      </c>
      <c r="N17" s="9" t="s">
        <v>4592</v>
      </c>
      <c r="O17" s="9" t="s">
        <v>4595</v>
      </c>
      <c r="P17" s="9" t="s">
        <v>4595</v>
      </c>
      <c r="Q17" s="9" t="s">
        <v>4595</v>
      </c>
      <c r="R17" s="9" t="s">
        <v>4595</v>
      </c>
      <c r="S17" s="9" t="s">
        <v>4595</v>
      </c>
      <c r="T17" s="9" t="s">
        <v>4595</v>
      </c>
      <c r="U17" s="9" t="s">
        <v>4595</v>
      </c>
      <c r="V17" s="9" t="s">
        <v>4595</v>
      </c>
      <c r="W17" s="9" t="s">
        <v>4595</v>
      </c>
      <c r="X17" s="9" t="s">
        <v>4592</v>
      </c>
      <c r="Y17" s="9" t="s">
        <v>4595</v>
      </c>
      <c r="Z17" s="9" t="s">
        <v>4595</v>
      </c>
      <c r="AA17" s="9" t="s">
        <v>4595</v>
      </c>
      <c r="AB17" s="9" t="s">
        <v>4595</v>
      </c>
      <c r="AC17" s="9" t="s">
        <v>4595</v>
      </c>
      <c r="AD17" s="9" t="s">
        <v>4595</v>
      </c>
      <c r="AE17" s="9" t="s">
        <v>4595</v>
      </c>
      <c r="AF17" s="9" t="s">
        <v>4595</v>
      </c>
      <c r="AG17" s="9" t="s">
        <v>4595</v>
      </c>
      <c r="AH17" s="9" t="s">
        <v>4595</v>
      </c>
      <c r="AI17" s="14" t="s">
        <v>4595</v>
      </c>
    </row>
    <row r="18" spans="2:35" ht="12.75">
      <c r="B18" s="9"/>
      <c r="C18" s="81">
        <v>370</v>
      </c>
      <c r="D18" s="9" t="s">
        <v>4591</v>
      </c>
      <c r="E18" s="9" t="s">
        <v>4591</v>
      </c>
      <c r="F18" s="9" t="s">
        <v>4591</v>
      </c>
      <c r="G18" s="9" t="s">
        <v>4591</v>
      </c>
      <c r="H18" s="9" t="s">
        <v>4591</v>
      </c>
      <c r="I18" s="9" t="s">
        <v>4591</v>
      </c>
      <c r="J18" s="9" t="s">
        <v>4591</v>
      </c>
      <c r="K18" s="9" t="s">
        <v>4591</v>
      </c>
      <c r="L18" s="9" t="s">
        <v>4591</v>
      </c>
      <c r="M18" s="9" t="s">
        <v>4591</v>
      </c>
      <c r="N18" s="9" t="s">
        <v>4591</v>
      </c>
      <c r="O18" s="9" t="s">
        <v>4591</v>
      </c>
      <c r="P18" s="9" t="s">
        <v>4591</v>
      </c>
      <c r="Q18" s="9" t="s">
        <v>4591</v>
      </c>
      <c r="R18" s="9" t="s">
        <v>4591</v>
      </c>
      <c r="S18" s="9" t="s">
        <v>4591</v>
      </c>
      <c r="T18" s="9" t="s">
        <v>4591</v>
      </c>
      <c r="U18" s="9" t="s">
        <v>4591</v>
      </c>
      <c r="V18" s="9" t="s">
        <v>4591</v>
      </c>
      <c r="W18" s="9" t="s">
        <v>4591</v>
      </c>
      <c r="X18" s="9" t="s">
        <v>4591</v>
      </c>
      <c r="Y18" s="9" t="s">
        <v>4593</v>
      </c>
      <c r="Z18" s="9" t="s">
        <v>4591</v>
      </c>
      <c r="AA18" s="9" t="s">
        <v>4591</v>
      </c>
      <c r="AB18" s="9" t="s">
        <v>4591</v>
      </c>
      <c r="AC18" s="9" t="s">
        <v>4591</v>
      </c>
      <c r="AD18" s="9" t="s">
        <v>4591</v>
      </c>
      <c r="AE18" s="9" t="s">
        <v>4591</v>
      </c>
      <c r="AF18" s="9" t="s">
        <v>4591</v>
      </c>
      <c r="AG18" s="9" t="s">
        <v>4591</v>
      </c>
      <c r="AH18" s="9" t="s">
        <v>4591</v>
      </c>
      <c r="AI18" s="14" t="s">
        <v>4591</v>
      </c>
    </row>
    <row r="19" spans="2:35" ht="12.75">
      <c r="B19" s="9"/>
      <c r="C19" s="81">
        <v>373</v>
      </c>
      <c r="D19" s="9" t="s">
        <v>4591</v>
      </c>
      <c r="E19" s="9" t="s">
        <v>4591</v>
      </c>
      <c r="F19" s="9" t="s">
        <v>4591</v>
      </c>
      <c r="G19" s="9" t="s">
        <v>4591</v>
      </c>
      <c r="H19" s="9" t="s">
        <v>4591</v>
      </c>
      <c r="I19" s="9" t="s">
        <v>4591</v>
      </c>
      <c r="J19" s="9" t="s">
        <v>4591</v>
      </c>
      <c r="K19" s="9" t="s">
        <v>4593</v>
      </c>
      <c r="L19" s="9" t="s">
        <v>4591</v>
      </c>
      <c r="M19" s="9" t="s">
        <v>4593</v>
      </c>
      <c r="N19" s="9" t="s">
        <v>4591</v>
      </c>
      <c r="O19" s="9" t="s">
        <v>4591</v>
      </c>
      <c r="P19" s="9" t="s">
        <v>4591</v>
      </c>
      <c r="Q19" s="9" t="s">
        <v>4591</v>
      </c>
      <c r="R19" s="9" t="s">
        <v>4591</v>
      </c>
      <c r="S19" s="9" t="s">
        <v>4591</v>
      </c>
      <c r="T19" s="9" t="s">
        <v>4592</v>
      </c>
      <c r="U19" s="9" t="s">
        <v>4591</v>
      </c>
      <c r="V19" s="9" t="s">
        <v>4591</v>
      </c>
      <c r="W19" s="9" t="s">
        <v>4591</v>
      </c>
      <c r="X19" s="9" t="s">
        <v>4591</v>
      </c>
      <c r="Y19" s="9" t="s">
        <v>4591</v>
      </c>
      <c r="Z19" s="9" t="s">
        <v>4591</v>
      </c>
      <c r="AA19" s="9" t="s">
        <v>4591</v>
      </c>
      <c r="AB19" s="9" t="s">
        <v>4591</v>
      </c>
      <c r="AC19" s="9" t="s">
        <v>4593</v>
      </c>
      <c r="AD19" s="9" t="s">
        <v>4593</v>
      </c>
      <c r="AE19" s="9" t="s">
        <v>4591</v>
      </c>
      <c r="AF19" s="9" t="s">
        <v>4591</v>
      </c>
      <c r="AG19" s="9" t="s">
        <v>4591</v>
      </c>
      <c r="AH19" s="9" t="s">
        <v>4591</v>
      </c>
      <c r="AI19" s="14" t="s">
        <v>4592</v>
      </c>
    </row>
    <row r="20" spans="2:35" ht="12.75">
      <c r="B20" s="9"/>
      <c r="C20" s="81">
        <v>395</v>
      </c>
      <c r="D20" s="9" t="s">
        <v>4591</v>
      </c>
      <c r="E20" s="9" t="s">
        <v>4591</v>
      </c>
      <c r="F20" s="9" t="s">
        <v>4591</v>
      </c>
      <c r="G20" s="9" t="s">
        <v>4591</v>
      </c>
      <c r="H20" s="9" t="s">
        <v>4591</v>
      </c>
      <c r="I20" s="9" t="s">
        <v>4591</v>
      </c>
      <c r="J20" s="9" t="s">
        <v>4591</v>
      </c>
      <c r="K20" s="9" t="s">
        <v>4591</v>
      </c>
      <c r="L20" s="9" t="s">
        <v>4591</v>
      </c>
      <c r="M20" s="9" t="s">
        <v>4591</v>
      </c>
      <c r="N20" s="9" t="s">
        <v>4591</v>
      </c>
      <c r="O20" s="9" t="s">
        <v>4591</v>
      </c>
      <c r="P20" s="9" t="s">
        <v>4591</v>
      </c>
      <c r="Q20" s="9" t="s">
        <v>4593</v>
      </c>
      <c r="R20" s="9" t="s">
        <v>4591</v>
      </c>
      <c r="S20" s="9" t="s">
        <v>4595</v>
      </c>
      <c r="T20" s="9" t="s">
        <v>4591</v>
      </c>
      <c r="U20" s="9" t="s">
        <v>4591</v>
      </c>
      <c r="V20" s="9" t="s">
        <v>4591</v>
      </c>
      <c r="W20" s="9" t="s">
        <v>4591</v>
      </c>
      <c r="X20" s="9" t="s">
        <v>4591</v>
      </c>
      <c r="Y20" s="9" t="s">
        <v>4591</v>
      </c>
      <c r="Z20" s="9" t="s">
        <v>4591</v>
      </c>
      <c r="AA20" s="9" t="s">
        <v>4591</v>
      </c>
      <c r="AB20" s="9" t="s">
        <v>4591</v>
      </c>
      <c r="AC20" s="9" t="s">
        <v>4591</v>
      </c>
      <c r="AD20" s="9" t="s">
        <v>4591</v>
      </c>
      <c r="AE20" s="9" t="s">
        <v>4591</v>
      </c>
      <c r="AF20" s="9" t="s">
        <v>4591</v>
      </c>
      <c r="AG20" s="9" t="s">
        <v>4591</v>
      </c>
      <c r="AH20" s="9" t="s">
        <v>4591</v>
      </c>
      <c r="AI20" s="14" t="s">
        <v>4591</v>
      </c>
    </row>
    <row r="21" spans="2:35" ht="12.75">
      <c r="B21" s="9"/>
      <c r="C21" s="81">
        <v>405</v>
      </c>
      <c r="D21" s="9" t="s">
        <v>4591</v>
      </c>
      <c r="E21" s="9" t="s">
        <v>4591</v>
      </c>
      <c r="F21" s="9" t="s">
        <v>4591</v>
      </c>
      <c r="G21" s="9" t="s">
        <v>4591</v>
      </c>
      <c r="H21" s="9" t="s">
        <v>4591</v>
      </c>
      <c r="I21" s="9" t="s">
        <v>4591</v>
      </c>
      <c r="J21" s="9" t="s">
        <v>4591</v>
      </c>
      <c r="K21" s="9" t="s">
        <v>4591</v>
      </c>
      <c r="L21" s="9" t="s">
        <v>4591</v>
      </c>
      <c r="M21" s="9" t="s">
        <v>4593</v>
      </c>
      <c r="N21" s="9" t="s">
        <v>4591</v>
      </c>
      <c r="O21" s="9" t="s">
        <v>4593</v>
      </c>
      <c r="P21" s="9" t="s">
        <v>4591</v>
      </c>
      <c r="Q21" s="9" t="s">
        <v>4592</v>
      </c>
      <c r="R21" s="9" t="s">
        <v>4592</v>
      </c>
      <c r="S21" s="9" t="s">
        <v>4591</v>
      </c>
      <c r="T21" s="9" t="s">
        <v>4591</v>
      </c>
      <c r="U21" s="9" t="s">
        <v>4592</v>
      </c>
      <c r="V21" s="9" t="s">
        <v>4591</v>
      </c>
      <c r="W21" s="9" t="s">
        <v>4591</v>
      </c>
      <c r="X21" s="9" t="s">
        <v>4591</v>
      </c>
      <c r="Y21" s="9" t="s">
        <v>4591</v>
      </c>
      <c r="Z21" s="9" t="s">
        <v>4591</v>
      </c>
      <c r="AA21" s="9" t="s">
        <v>4591</v>
      </c>
      <c r="AB21" s="9" t="s">
        <v>4593</v>
      </c>
      <c r="AC21" s="9" t="s">
        <v>4593</v>
      </c>
      <c r="AD21" s="9" t="s">
        <v>4593</v>
      </c>
      <c r="AE21" s="9" t="s">
        <v>4591</v>
      </c>
      <c r="AF21" s="9" t="s">
        <v>4591</v>
      </c>
      <c r="AG21" s="9" t="s">
        <v>4591</v>
      </c>
      <c r="AH21" s="9" t="s">
        <v>4591</v>
      </c>
      <c r="AI21" s="14" t="s">
        <v>4591</v>
      </c>
    </row>
    <row r="22" spans="2:35" ht="12.75">
      <c r="B22" s="9"/>
      <c r="C22" s="81">
        <v>412</v>
      </c>
      <c r="D22" s="9" t="s">
        <v>4591</v>
      </c>
      <c r="E22" s="9" t="s">
        <v>4591</v>
      </c>
      <c r="F22" s="9" t="s">
        <v>4591</v>
      </c>
      <c r="G22" s="9" t="s">
        <v>4591</v>
      </c>
      <c r="H22" s="9" t="s">
        <v>4591</v>
      </c>
      <c r="I22" s="9" t="s">
        <v>4591</v>
      </c>
      <c r="J22" s="9" t="s">
        <v>4591</v>
      </c>
      <c r="K22" s="9" t="s">
        <v>4591</v>
      </c>
      <c r="L22" s="9" t="s">
        <v>4591</v>
      </c>
      <c r="M22" s="9" t="s">
        <v>4591</v>
      </c>
      <c r="N22" s="9" t="s">
        <v>4591</v>
      </c>
      <c r="O22" s="9" t="s">
        <v>4591</v>
      </c>
      <c r="P22" s="9" t="s">
        <v>4591</v>
      </c>
      <c r="Q22" s="9" t="s">
        <v>4591</v>
      </c>
      <c r="R22" s="9" t="s">
        <v>4591</v>
      </c>
      <c r="S22" s="9" t="s">
        <v>4591</v>
      </c>
      <c r="T22" s="9" t="s">
        <v>4591</v>
      </c>
      <c r="U22" s="9" t="s">
        <v>4591</v>
      </c>
      <c r="V22" s="9" t="s">
        <v>4591</v>
      </c>
      <c r="W22" s="9" t="s">
        <v>4591</v>
      </c>
      <c r="X22" s="9" t="s">
        <v>4591</v>
      </c>
      <c r="Y22" s="9" t="s">
        <v>4593</v>
      </c>
      <c r="Z22" s="9" t="s">
        <v>4591</v>
      </c>
      <c r="AA22" s="9" t="s">
        <v>4591</v>
      </c>
      <c r="AB22" s="9" t="s">
        <v>4591</v>
      </c>
      <c r="AC22" s="9" t="s">
        <v>4591</v>
      </c>
      <c r="AD22" s="9" t="s">
        <v>4591</v>
      </c>
      <c r="AE22" s="9" t="s">
        <v>4591</v>
      </c>
      <c r="AF22" s="9" t="s">
        <v>4591</v>
      </c>
      <c r="AG22" s="9" t="s">
        <v>4591</v>
      </c>
      <c r="AH22" s="9" t="s">
        <v>4591</v>
      </c>
      <c r="AI22" s="14" t="s">
        <v>4591</v>
      </c>
    </row>
    <row r="23" spans="2:35" ht="12.75">
      <c r="B23" s="9"/>
      <c r="C23" s="81">
        <v>420</v>
      </c>
      <c r="D23" s="9" t="s">
        <v>4592</v>
      </c>
      <c r="E23" s="9" t="s">
        <v>4591</v>
      </c>
      <c r="F23" s="9" t="s">
        <v>4591</v>
      </c>
      <c r="G23" s="9" t="s">
        <v>4595</v>
      </c>
      <c r="H23" s="9" t="s">
        <v>4591</v>
      </c>
      <c r="I23" s="9" t="s">
        <v>4591</v>
      </c>
      <c r="J23" s="9" t="s">
        <v>4591</v>
      </c>
      <c r="K23" s="9" t="s">
        <v>4591</v>
      </c>
      <c r="L23" s="9" t="s">
        <v>4591</v>
      </c>
      <c r="M23" s="9" t="s">
        <v>4591</v>
      </c>
      <c r="N23" s="9" t="s">
        <v>4591</v>
      </c>
      <c r="O23" s="9" t="s">
        <v>4591</v>
      </c>
      <c r="P23" s="9" t="s">
        <v>4591</v>
      </c>
      <c r="Q23" s="9" t="s">
        <v>4591</v>
      </c>
      <c r="R23" s="9" t="s">
        <v>4591</v>
      </c>
      <c r="S23" s="9" t="s">
        <v>4591</v>
      </c>
      <c r="T23" s="9" t="s">
        <v>4591</v>
      </c>
      <c r="U23" s="9" t="s">
        <v>4591</v>
      </c>
      <c r="V23" s="9" t="s">
        <v>4591</v>
      </c>
      <c r="W23" s="9" t="s">
        <v>4591</v>
      </c>
      <c r="X23" s="9" t="s">
        <v>4591</v>
      </c>
      <c r="Y23" s="9" t="s">
        <v>4591</v>
      </c>
      <c r="Z23" s="9" t="s">
        <v>4591</v>
      </c>
      <c r="AA23" s="9" t="s">
        <v>4591</v>
      </c>
      <c r="AB23" s="9" t="s">
        <v>4591</v>
      </c>
      <c r="AC23" s="9" t="s">
        <v>4591</v>
      </c>
      <c r="AD23" s="9" t="s">
        <v>4591</v>
      </c>
      <c r="AE23" s="9" t="s">
        <v>4593</v>
      </c>
      <c r="AF23" s="9" t="s">
        <v>4591</v>
      </c>
      <c r="AG23" s="9" t="s">
        <v>4591</v>
      </c>
      <c r="AH23" s="9" t="s">
        <v>4591</v>
      </c>
      <c r="AI23" s="14" t="s">
        <v>4591</v>
      </c>
    </row>
    <row r="24" spans="2:35" ht="12.75">
      <c r="B24" s="9"/>
      <c r="C24" s="81">
        <v>431</v>
      </c>
      <c r="D24" s="9" t="s">
        <v>4591</v>
      </c>
      <c r="E24" s="9" t="s">
        <v>4591</v>
      </c>
      <c r="F24" s="9" t="s">
        <v>4591</v>
      </c>
      <c r="G24" s="9" t="s">
        <v>4591</v>
      </c>
      <c r="H24" s="9" t="s">
        <v>4592</v>
      </c>
      <c r="I24" s="9" t="s">
        <v>4591</v>
      </c>
      <c r="J24" s="9" t="s">
        <v>4595</v>
      </c>
      <c r="K24" s="9" t="s">
        <v>4595</v>
      </c>
      <c r="L24" s="9" t="s">
        <v>4591</v>
      </c>
      <c r="M24" s="9" t="s">
        <v>4591</v>
      </c>
      <c r="N24" s="9" t="s">
        <v>4591</v>
      </c>
      <c r="O24" s="9" t="s">
        <v>4591</v>
      </c>
      <c r="P24" s="9" t="s">
        <v>4591</v>
      </c>
      <c r="Q24" s="9" t="s">
        <v>4591</v>
      </c>
      <c r="R24" s="9" t="s">
        <v>4591</v>
      </c>
      <c r="S24" s="9" t="s">
        <v>4591</v>
      </c>
      <c r="T24" s="9" t="s">
        <v>4592</v>
      </c>
      <c r="U24" s="9" t="s">
        <v>4591</v>
      </c>
      <c r="V24" s="9" t="s">
        <v>4591</v>
      </c>
      <c r="W24" s="9" t="s">
        <v>4592</v>
      </c>
      <c r="X24" s="9" t="s">
        <v>4591</v>
      </c>
      <c r="Y24" s="9" t="s">
        <v>4591</v>
      </c>
      <c r="Z24" s="9" t="s">
        <v>4591</v>
      </c>
      <c r="AA24" s="9" t="s">
        <v>4592</v>
      </c>
      <c r="AB24" s="9" t="s">
        <v>4591</v>
      </c>
      <c r="AC24" s="9" t="s">
        <v>4592</v>
      </c>
      <c r="AD24" s="9" t="s">
        <v>4591</v>
      </c>
      <c r="AE24" s="9" t="s">
        <v>4591</v>
      </c>
      <c r="AF24" s="9" t="s">
        <v>4591</v>
      </c>
      <c r="AG24" s="9" t="s">
        <v>4591</v>
      </c>
      <c r="AH24" s="9" t="s">
        <v>4591</v>
      </c>
      <c r="AI24" s="14" t="s">
        <v>4592</v>
      </c>
    </row>
    <row r="25" spans="2:35" ht="12.75">
      <c r="B25" s="9"/>
      <c r="C25" s="81">
        <v>437</v>
      </c>
      <c r="D25" s="9" t="s">
        <v>4592</v>
      </c>
      <c r="E25" s="9" t="s">
        <v>4592</v>
      </c>
      <c r="F25" s="9" t="s">
        <v>4592</v>
      </c>
      <c r="G25" s="9" t="s">
        <v>4592</v>
      </c>
      <c r="H25" s="9" t="s">
        <v>4592</v>
      </c>
      <c r="I25" s="9" t="s">
        <v>4595</v>
      </c>
      <c r="J25" s="9" t="s">
        <v>4592</v>
      </c>
      <c r="K25" s="9" t="s">
        <v>4592</v>
      </c>
      <c r="L25" s="9" t="s">
        <v>4592</v>
      </c>
      <c r="M25" s="9" t="s">
        <v>4592</v>
      </c>
      <c r="N25" s="9" t="s">
        <v>4595</v>
      </c>
      <c r="O25" s="9" t="s">
        <v>4592</v>
      </c>
      <c r="P25" s="9" t="s">
        <v>4592</v>
      </c>
      <c r="Q25" s="9" t="s">
        <v>4592</v>
      </c>
      <c r="R25" s="9" t="s">
        <v>4592</v>
      </c>
      <c r="S25" s="9" t="s">
        <v>4592</v>
      </c>
      <c r="T25" s="9" t="s">
        <v>4592</v>
      </c>
      <c r="U25" s="9" t="s">
        <v>4592</v>
      </c>
      <c r="V25" s="9" t="s">
        <v>4592</v>
      </c>
      <c r="W25" s="9" t="s">
        <v>4592</v>
      </c>
      <c r="X25" s="9" t="s">
        <v>4592</v>
      </c>
      <c r="Y25" s="9" t="s">
        <v>4592</v>
      </c>
      <c r="Z25" s="9" t="s">
        <v>4592</v>
      </c>
      <c r="AA25" s="9" t="s">
        <v>4592</v>
      </c>
      <c r="AB25" s="9" t="s">
        <v>4592</v>
      </c>
      <c r="AC25" s="9" t="s">
        <v>4592</v>
      </c>
      <c r="AD25" s="9" t="s">
        <v>4592</v>
      </c>
      <c r="AE25" s="9" t="s">
        <v>4592</v>
      </c>
      <c r="AF25" s="9" t="s">
        <v>4592</v>
      </c>
      <c r="AG25" s="9" t="s">
        <v>4592</v>
      </c>
      <c r="AH25" s="9" t="s">
        <v>4592</v>
      </c>
      <c r="AI25" s="14" t="s">
        <v>4592</v>
      </c>
    </row>
    <row r="26" spans="2:35" ht="12.75">
      <c r="B26" s="9"/>
      <c r="C26" s="81">
        <v>443</v>
      </c>
      <c r="D26" s="9" t="s">
        <v>4592</v>
      </c>
      <c r="E26" s="9" t="s">
        <v>4592</v>
      </c>
      <c r="F26" s="9" t="s">
        <v>4592</v>
      </c>
      <c r="G26" s="9" t="s">
        <v>4592</v>
      </c>
      <c r="H26" s="9" t="s">
        <v>4592</v>
      </c>
      <c r="I26" s="9" t="s">
        <v>4595</v>
      </c>
      <c r="J26" s="9" t="s">
        <v>4592</v>
      </c>
      <c r="K26" s="9" t="s">
        <v>4592</v>
      </c>
      <c r="L26" s="9" t="s">
        <v>4592</v>
      </c>
      <c r="M26" s="9" t="s">
        <v>4592</v>
      </c>
      <c r="N26" s="9" t="s">
        <v>4595</v>
      </c>
      <c r="O26" s="9" t="s">
        <v>4592</v>
      </c>
      <c r="P26" s="9" t="s">
        <v>4592</v>
      </c>
      <c r="Q26" s="9" t="s">
        <v>4592</v>
      </c>
      <c r="R26" s="9" t="s">
        <v>4592</v>
      </c>
      <c r="S26" s="9" t="s">
        <v>4592</v>
      </c>
      <c r="T26" s="9" t="s">
        <v>4592</v>
      </c>
      <c r="U26" s="9" t="s">
        <v>4592</v>
      </c>
      <c r="V26" s="9" t="s">
        <v>4592</v>
      </c>
      <c r="W26" s="9" t="s">
        <v>4592</v>
      </c>
      <c r="X26" s="9" t="s">
        <v>4592</v>
      </c>
      <c r="Y26" s="9" t="s">
        <v>4592</v>
      </c>
      <c r="Z26" s="9" t="s">
        <v>4592</v>
      </c>
      <c r="AA26" s="9" t="s">
        <v>4592</v>
      </c>
      <c r="AB26" s="9" t="s">
        <v>4592</v>
      </c>
      <c r="AC26" s="9" t="s">
        <v>4592</v>
      </c>
      <c r="AD26" s="9" t="s">
        <v>4592</v>
      </c>
      <c r="AE26" s="9" t="s">
        <v>4592</v>
      </c>
      <c r="AF26" s="9" t="s">
        <v>4592</v>
      </c>
      <c r="AG26" s="9" t="s">
        <v>4592</v>
      </c>
      <c r="AH26" s="9" t="s">
        <v>4592</v>
      </c>
      <c r="AI26" s="14" t="s">
        <v>4592</v>
      </c>
    </row>
    <row r="27" spans="2:35" ht="12.75">
      <c r="B27" s="9"/>
      <c r="C27" s="81">
        <v>456</v>
      </c>
      <c r="D27" s="9" t="s">
        <v>4591</v>
      </c>
      <c r="E27" s="9" t="s">
        <v>4591</v>
      </c>
      <c r="F27" s="9" t="s">
        <v>4591</v>
      </c>
      <c r="G27" s="9" t="s">
        <v>4591</v>
      </c>
      <c r="H27" s="9" t="s">
        <v>4591</v>
      </c>
      <c r="I27" s="9" t="s">
        <v>4591</v>
      </c>
      <c r="J27" s="9" t="s">
        <v>4591</v>
      </c>
      <c r="K27" s="9" t="s">
        <v>4591</v>
      </c>
      <c r="L27" s="9" t="s">
        <v>4591</v>
      </c>
      <c r="M27" s="9" t="s">
        <v>4593</v>
      </c>
      <c r="N27" s="9" t="s">
        <v>4591</v>
      </c>
      <c r="O27" s="9" t="s">
        <v>4593</v>
      </c>
      <c r="P27" s="9" t="s">
        <v>4591</v>
      </c>
      <c r="Q27" s="9" t="s">
        <v>4592</v>
      </c>
      <c r="R27" s="9" t="s">
        <v>4592</v>
      </c>
      <c r="S27" s="9" t="s">
        <v>4591</v>
      </c>
      <c r="T27" s="9" t="s">
        <v>4591</v>
      </c>
      <c r="U27" s="9" t="s">
        <v>4592</v>
      </c>
      <c r="V27" s="9" t="s">
        <v>4591</v>
      </c>
      <c r="W27" s="9" t="s">
        <v>4591</v>
      </c>
      <c r="X27" s="9" t="s">
        <v>4591</v>
      </c>
      <c r="Y27" s="9" t="s">
        <v>4591</v>
      </c>
      <c r="Z27" s="9" t="s">
        <v>4591</v>
      </c>
      <c r="AA27" s="9" t="s">
        <v>4591</v>
      </c>
      <c r="AB27" s="9" t="s">
        <v>4593</v>
      </c>
      <c r="AC27" s="9" t="s">
        <v>4593</v>
      </c>
      <c r="AD27" s="9" t="s">
        <v>4593</v>
      </c>
      <c r="AE27" s="9" t="s">
        <v>4591</v>
      </c>
      <c r="AF27" s="9" t="s">
        <v>4591</v>
      </c>
      <c r="AG27" s="9" t="s">
        <v>4591</v>
      </c>
      <c r="AH27" s="9" t="s">
        <v>4591</v>
      </c>
      <c r="AI27" s="14" t="s">
        <v>4591</v>
      </c>
    </row>
    <row r="28" spans="2:35" ht="12.75">
      <c r="B28" s="9"/>
      <c r="C28" s="81">
        <v>459</v>
      </c>
      <c r="D28" s="9" t="s">
        <v>4591</v>
      </c>
      <c r="E28" s="9" t="s">
        <v>4591</v>
      </c>
      <c r="F28" s="9" t="s">
        <v>4591</v>
      </c>
      <c r="G28" s="9" t="s">
        <v>4591</v>
      </c>
      <c r="H28" s="9" t="s">
        <v>4591</v>
      </c>
      <c r="I28" s="9" t="s">
        <v>4591</v>
      </c>
      <c r="J28" s="9" t="s">
        <v>4593</v>
      </c>
      <c r="K28" s="9" t="s">
        <v>4591</v>
      </c>
      <c r="L28" s="9" t="s">
        <v>4591</v>
      </c>
      <c r="M28" s="9" t="s">
        <v>4591</v>
      </c>
      <c r="N28" s="9" t="s">
        <v>4591</v>
      </c>
      <c r="O28" s="9" t="s">
        <v>4591</v>
      </c>
      <c r="P28" s="9" t="s">
        <v>4591</v>
      </c>
      <c r="Q28" s="9" t="s">
        <v>4591</v>
      </c>
      <c r="R28" s="9" t="s">
        <v>4591</v>
      </c>
      <c r="S28" s="9" t="s">
        <v>4591</v>
      </c>
      <c r="T28" s="9" t="s">
        <v>4591</v>
      </c>
      <c r="U28" s="9" t="s">
        <v>4591</v>
      </c>
      <c r="V28" s="9" t="s">
        <v>4595</v>
      </c>
      <c r="W28" s="9" t="s">
        <v>4592</v>
      </c>
      <c r="X28" s="9" t="s">
        <v>4591</v>
      </c>
      <c r="Y28" s="9" t="s">
        <v>4591</v>
      </c>
      <c r="Z28" s="9" t="s">
        <v>4591</v>
      </c>
      <c r="AA28" s="9" t="s">
        <v>4592</v>
      </c>
      <c r="AB28" s="9" t="s">
        <v>4593</v>
      </c>
      <c r="AC28" s="9" t="s">
        <v>4591</v>
      </c>
      <c r="AD28" s="9" t="s">
        <v>4591</v>
      </c>
      <c r="AE28" s="9" t="s">
        <v>4591</v>
      </c>
      <c r="AF28" s="9" t="s">
        <v>4591</v>
      </c>
      <c r="AG28" s="9" t="s">
        <v>4591</v>
      </c>
      <c r="AH28" s="9" t="s">
        <v>4593</v>
      </c>
      <c r="AI28" s="14" t="s">
        <v>4591</v>
      </c>
    </row>
    <row r="29" spans="2:35" ht="12.75">
      <c r="B29" s="9"/>
      <c r="C29" s="81">
        <v>468</v>
      </c>
      <c r="D29" s="9" t="s">
        <v>4591</v>
      </c>
      <c r="E29" s="9" t="s">
        <v>4591</v>
      </c>
      <c r="F29" s="9" t="s">
        <v>4591</v>
      </c>
      <c r="G29" s="9" t="s">
        <v>4591</v>
      </c>
      <c r="H29" s="9" t="s">
        <v>4591</v>
      </c>
      <c r="I29" s="9" t="s">
        <v>4591</v>
      </c>
      <c r="J29" s="9" t="s">
        <v>4591</v>
      </c>
      <c r="K29" s="9" t="s">
        <v>4591</v>
      </c>
      <c r="L29" s="9" t="s">
        <v>4591</v>
      </c>
      <c r="M29" s="9" t="s">
        <v>4591</v>
      </c>
      <c r="N29" s="9" t="s">
        <v>4591</v>
      </c>
      <c r="O29" s="9" t="s">
        <v>4593</v>
      </c>
      <c r="P29" s="9" t="s">
        <v>4591</v>
      </c>
      <c r="Q29" s="9" t="s">
        <v>4592</v>
      </c>
      <c r="R29" s="9" t="s">
        <v>4592</v>
      </c>
      <c r="S29" s="9" t="s">
        <v>4591</v>
      </c>
      <c r="T29" s="9" t="s">
        <v>4591</v>
      </c>
      <c r="U29" s="9" t="s">
        <v>4592</v>
      </c>
      <c r="V29" s="9" t="s">
        <v>4591</v>
      </c>
      <c r="W29" s="9" t="s">
        <v>4591</v>
      </c>
      <c r="X29" s="9" t="s">
        <v>4591</v>
      </c>
      <c r="Y29" s="9" t="s">
        <v>4591</v>
      </c>
      <c r="Z29" s="9" t="s">
        <v>4591</v>
      </c>
      <c r="AA29" s="9" t="s">
        <v>4591</v>
      </c>
      <c r="AB29" s="9" t="s">
        <v>4591</v>
      </c>
      <c r="AC29" s="9" t="s">
        <v>4591</v>
      </c>
      <c r="AD29" s="9" t="s">
        <v>4591</v>
      </c>
      <c r="AE29" s="9" t="s">
        <v>4591</v>
      </c>
      <c r="AF29" s="9" t="s">
        <v>4591</v>
      </c>
      <c r="AG29" s="9" t="s">
        <v>4591</v>
      </c>
      <c r="AH29" s="9" t="s">
        <v>4591</v>
      </c>
      <c r="AI29" s="14" t="s">
        <v>4591</v>
      </c>
    </row>
    <row r="30" spans="2:35" ht="12.75">
      <c r="B30" s="9"/>
      <c r="C30" s="81">
        <v>475</v>
      </c>
      <c r="D30" s="9" t="s">
        <v>4591</v>
      </c>
      <c r="E30" s="9" t="s">
        <v>4591</v>
      </c>
      <c r="F30" s="9" t="s">
        <v>4591</v>
      </c>
      <c r="G30" s="9" t="s">
        <v>4591</v>
      </c>
      <c r="H30" s="9" t="s">
        <v>4591</v>
      </c>
      <c r="I30" s="9" t="s">
        <v>4591</v>
      </c>
      <c r="J30" s="9" t="s">
        <v>4591</v>
      </c>
      <c r="K30" s="9" t="s">
        <v>4591</v>
      </c>
      <c r="L30" s="9" t="s">
        <v>4591</v>
      </c>
      <c r="M30" s="9" t="s">
        <v>4593</v>
      </c>
      <c r="N30" s="9" t="s">
        <v>4591</v>
      </c>
      <c r="O30" s="9" t="s">
        <v>4593</v>
      </c>
      <c r="P30" s="9" t="s">
        <v>4591</v>
      </c>
      <c r="Q30" s="9" t="s">
        <v>4592</v>
      </c>
      <c r="R30" s="9" t="s">
        <v>4592</v>
      </c>
      <c r="S30" s="9" t="s">
        <v>4591</v>
      </c>
      <c r="T30" s="9" t="s">
        <v>4591</v>
      </c>
      <c r="U30" s="9" t="s">
        <v>4592</v>
      </c>
      <c r="V30" s="9" t="s">
        <v>4591</v>
      </c>
      <c r="W30" s="9" t="s">
        <v>4591</v>
      </c>
      <c r="X30" s="9" t="s">
        <v>4591</v>
      </c>
      <c r="Y30" s="9" t="s">
        <v>4591</v>
      </c>
      <c r="Z30" s="9" t="s">
        <v>4591</v>
      </c>
      <c r="AA30" s="9" t="s">
        <v>4591</v>
      </c>
      <c r="AB30" s="9" t="s">
        <v>4593</v>
      </c>
      <c r="AC30" s="9" t="s">
        <v>4593</v>
      </c>
      <c r="AD30" s="9" t="s">
        <v>4593</v>
      </c>
      <c r="AE30" s="9" t="s">
        <v>4591</v>
      </c>
      <c r="AF30" s="9" t="s">
        <v>4591</v>
      </c>
      <c r="AG30" s="9" t="s">
        <v>4591</v>
      </c>
      <c r="AH30" s="9" t="s">
        <v>4591</v>
      </c>
      <c r="AI30" s="14" t="s">
        <v>4591</v>
      </c>
    </row>
    <row r="31" spans="2:35" ht="12.75">
      <c r="B31" s="9"/>
      <c r="C31" s="81">
        <v>480</v>
      </c>
      <c r="D31" s="9" t="s">
        <v>4591</v>
      </c>
      <c r="E31" s="9" t="s">
        <v>4592</v>
      </c>
      <c r="F31" s="9" t="s">
        <v>4592</v>
      </c>
      <c r="G31" s="9" t="s">
        <v>4591</v>
      </c>
      <c r="H31" s="9" t="s">
        <v>4591</v>
      </c>
      <c r="I31" s="9" t="s">
        <v>4591</v>
      </c>
      <c r="J31" s="9" t="s">
        <v>4591</v>
      </c>
      <c r="K31" s="9" t="s">
        <v>4591</v>
      </c>
      <c r="L31" s="9" t="s">
        <v>4591</v>
      </c>
      <c r="M31" s="9" t="s">
        <v>4591</v>
      </c>
      <c r="N31" s="9" t="s">
        <v>4591</v>
      </c>
      <c r="O31" s="9" t="s">
        <v>4591</v>
      </c>
      <c r="P31" s="9" t="s">
        <v>4592</v>
      </c>
      <c r="Q31" s="9" t="s">
        <v>4591</v>
      </c>
      <c r="R31" s="9" t="s">
        <v>4591</v>
      </c>
      <c r="S31" s="9" t="s">
        <v>4591</v>
      </c>
      <c r="T31" s="9" t="s">
        <v>4591</v>
      </c>
      <c r="U31" s="9" t="s">
        <v>4592</v>
      </c>
      <c r="V31" s="9" t="s">
        <v>4592</v>
      </c>
      <c r="W31" s="9" t="s">
        <v>4591</v>
      </c>
      <c r="X31" s="9" t="s">
        <v>4592</v>
      </c>
      <c r="Y31" s="9" t="s">
        <v>4591</v>
      </c>
      <c r="Z31" s="9" t="s">
        <v>4595</v>
      </c>
      <c r="AA31" s="9" t="s">
        <v>4592</v>
      </c>
      <c r="AB31" s="9" t="s">
        <v>4591</v>
      </c>
      <c r="AC31" s="9" t="s">
        <v>4591</v>
      </c>
      <c r="AD31" s="9" t="s">
        <v>4591</v>
      </c>
      <c r="AE31" s="9" t="s">
        <v>4591</v>
      </c>
      <c r="AF31" s="9" t="s">
        <v>4591</v>
      </c>
      <c r="AG31" s="9" t="s">
        <v>4591</v>
      </c>
      <c r="AH31" s="9" t="s">
        <v>4592</v>
      </c>
      <c r="AI31" s="14" t="s">
        <v>4591</v>
      </c>
    </row>
    <row r="32" spans="2:35" ht="12.75">
      <c r="B32" s="9"/>
      <c r="C32" s="81">
        <v>485</v>
      </c>
      <c r="D32" s="9" t="s">
        <v>4591</v>
      </c>
      <c r="E32" s="9" t="s">
        <v>4591</v>
      </c>
      <c r="F32" s="9" t="s">
        <v>4591</v>
      </c>
      <c r="G32" s="9" t="s">
        <v>4591</v>
      </c>
      <c r="H32" s="9" t="s">
        <v>4591</v>
      </c>
      <c r="I32" s="9" t="s">
        <v>4591</v>
      </c>
      <c r="J32" s="9" t="s">
        <v>4591</v>
      </c>
      <c r="K32" s="9" t="s">
        <v>4593</v>
      </c>
      <c r="L32" s="9" t="s">
        <v>4591</v>
      </c>
      <c r="M32" s="9" t="s">
        <v>4593</v>
      </c>
      <c r="N32" s="9" t="s">
        <v>4591</v>
      </c>
      <c r="O32" s="9" t="s">
        <v>4591</v>
      </c>
      <c r="P32" s="9" t="s">
        <v>4591</v>
      </c>
      <c r="Q32" s="9" t="s">
        <v>4591</v>
      </c>
      <c r="R32" s="9" t="s">
        <v>4591</v>
      </c>
      <c r="S32" s="9" t="s">
        <v>4591</v>
      </c>
      <c r="T32" s="9" t="s">
        <v>4592</v>
      </c>
      <c r="U32" s="9" t="s">
        <v>4591</v>
      </c>
      <c r="V32" s="9" t="s">
        <v>4591</v>
      </c>
      <c r="W32" s="9" t="s">
        <v>4591</v>
      </c>
      <c r="X32" s="9" t="s">
        <v>4591</v>
      </c>
      <c r="Y32" s="9" t="s">
        <v>4591</v>
      </c>
      <c r="Z32" s="9" t="s">
        <v>4591</v>
      </c>
      <c r="AA32" s="9" t="s">
        <v>4591</v>
      </c>
      <c r="AB32" s="9" t="s">
        <v>4591</v>
      </c>
      <c r="AC32" s="9" t="s">
        <v>4593</v>
      </c>
      <c r="AD32" s="9" t="s">
        <v>4593</v>
      </c>
      <c r="AE32" s="9" t="s">
        <v>4591</v>
      </c>
      <c r="AF32" s="9" t="s">
        <v>4591</v>
      </c>
      <c r="AG32" s="9" t="s">
        <v>4591</v>
      </c>
      <c r="AH32" s="9" t="s">
        <v>4591</v>
      </c>
      <c r="AI32" s="14" t="s">
        <v>4592</v>
      </c>
    </row>
    <row r="33" spans="2:35" ht="12.75">
      <c r="B33" s="9"/>
      <c r="C33" s="81">
        <v>493</v>
      </c>
      <c r="D33" s="9" t="s">
        <v>4591</v>
      </c>
      <c r="E33" s="9" t="s">
        <v>4591</v>
      </c>
      <c r="F33" s="9" t="s">
        <v>4591</v>
      </c>
      <c r="G33" s="9" t="s">
        <v>4591</v>
      </c>
      <c r="H33" s="9" t="s">
        <v>4591</v>
      </c>
      <c r="I33" s="9" t="s">
        <v>4591</v>
      </c>
      <c r="J33" s="9" t="s">
        <v>4593</v>
      </c>
      <c r="K33" s="9" t="s">
        <v>4591</v>
      </c>
      <c r="L33" s="9" t="s">
        <v>4591</v>
      </c>
      <c r="M33" s="9" t="s">
        <v>4591</v>
      </c>
      <c r="N33" s="9" t="s">
        <v>4591</v>
      </c>
      <c r="O33" s="9" t="s">
        <v>4591</v>
      </c>
      <c r="P33" s="9" t="s">
        <v>4591</v>
      </c>
      <c r="Q33" s="9" t="s">
        <v>4591</v>
      </c>
      <c r="R33" s="9" t="s">
        <v>4591</v>
      </c>
      <c r="S33" s="9" t="s">
        <v>4591</v>
      </c>
      <c r="T33" s="9" t="s">
        <v>4591</v>
      </c>
      <c r="U33" s="9" t="s">
        <v>4591</v>
      </c>
      <c r="V33" s="9" t="s">
        <v>4595</v>
      </c>
      <c r="W33" s="9" t="s">
        <v>4592</v>
      </c>
      <c r="X33" s="9" t="s">
        <v>4591</v>
      </c>
      <c r="Y33" s="9" t="s">
        <v>4591</v>
      </c>
      <c r="Z33" s="9" t="s">
        <v>4591</v>
      </c>
      <c r="AA33" s="9" t="s">
        <v>4592</v>
      </c>
      <c r="AB33" s="9" t="s">
        <v>4593</v>
      </c>
      <c r="AC33" s="9" t="s">
        <v>4591</v>
      </c>
      <c r="AD33" s="9" t="s">
        <v>4591</v>
      </c>
      <c r="AE33" s="9" t="s">
        <v>4591</v>
      </c>
      <c r="AF33" s="9" t="s">
        <v>4591</v>
      </c>
      <c r="AG33" s="9" t="s">
        <v>4591</v>
      </c>
      <c r="AH33" s="9" t="s">
        <v>4593</v>
      </c>
      <c r="AI33" s="14" t="s">
        <v>4591</v>
      </c>
    </row>
    <row r="34" spans="2:35" ht="12.75">
      <c r="B34" s="9"/>
      <c r="C34" s="81">
        <v>503</v>
      </c>
      <c r="D34" s="9" t="s">
        <v>4591</v>
      </c>
      <c r="E34" s="9" t="s">
        <v>4591</v>
      </c>
      <c r="F34" s="9" t="s">
        <v>4591</v>
      </c>
      <c r="G34" s="9" t="s">
        <v>4591</v>
      </c>
      <c r="H34" s="9" t="s">
        <v>4591</v>
      </c>
      <c r="I34" s="9" t="s">
        <v>4591</v>
      </c>
      <c r="J34" s="9" t="s">
        <v>4591</v>
      </c>
      <c r="K34" s="9" t="s">
        <v>4591</v>
      </c>
      <c r="L34" s="9" t="s">
        <v>4591</v>
      </c>
      <c r="M34" s="9" t="s">
        <v>4595</v>
      </c>
      <c r="N34" s="9" t="s">
        <v>4591</v>
      </c>
      <c r="O34" s="9" t="s">
        <v>4595</v>
      </c>
      <c r="P34" s="9" t="s">
        <v>4591</v>
      </c>
      <c r="Q34" s="9" t="s">
        <v>4595</v>
      </c>
      <c r="R34" s="9" t="s">
        <v>4595</v>
      </c>
      <c r="S34" s="9" t="s">
        <v>4591</v>
      </c>
      <c r="T34" s="9" t="s">
        <v>4591</v>
      </c>
      <c r="U34" s="9" t="s">
        <v>4595</v>
      </c>
      <c r="V34" s="9" t="s">
        <v>4591</v>
      </c>
      <c r="W34" s="9" t="s">
        <v>4591</v>
      </c>
      <c r="X34" s="9" t="s">
        <v>4591</v>
      </c>
      <c r="Y34" s="9" t="s">
        <v>4591</v>
      </c>
      <c r="Z34" s="9" t="s">
        <v>4591</v>
      </c>
      <c r="AA34" s="9" t="s">
        <v>4591</v>
      </c>
      <c r="AB34" s="9" t="s">
        <v>4595</v>
      </c>
      <c r="AC34" s="9" t="s">
        <v>4595</v>
      </c>
      <c r="AD34" s="9" t="s">
        <v>4595</v>
      </c>
      <c r="AE34" s="9" t="s">
        <v>4591</v>
      </c>
      <c r="AF34" s="9" t="s">
        <v>4591</v>
      </c>
      <c r="AG34" s="9" t="s">
        <v>4591</v>
      </c>
      <c r="AH34" s="9" t="s">
        <v>4591</v>
      </c>
      <c r="AI34" s="14" t="s">
        <v>4591</v>
      </c>
    </row>
    <row r="35" spans="2:35" ht="12.75">
      <c r="B35" s="9"/>
      <c r="C35" s="81">
        <v>518</v>
      </c>
      <c r="D35" s="9" t="s">
        <v>4591</v>
      </c>
      <c r="E35" s="9" t="s">
        <v>4591</v>
      </c>
      <c r="F35" s="9" t="s">
        <v>4591</v>
      </c>
      <c r="G35" s="9" t="s">
        <v>4591</v>
      </c>
      <c r="H35" s="9" t="s">
        <v>4592</v>
      </c>
      <c r="I35" s="9" t="s">
        <v>4591</v>
      </c>
      <c r="J35" s="9" t="s">
        <v>4593</v>
      </c>
      <c r="K35" s="9" t="s">
        <v>4593</v>
      </c>
      <c r="L35" s="9" t="s">
        <v>4591</v>
      </c>
      <c r="M35" s="9" t="s">
        <v>4591</v>
      </c>
      <c r="N35" s="9" t="s">
        <v>4591</v>
      </c>
      <c r="O35" s="9" t="s">
        <v>4591</v>
      </c>
      <c r="P35" s="9" t="s">
        <v>4591</v>
      </c>
      <c r="Q35" s="9" t="s">
        <v>4591</v>
      </c>
      <c r="R35" s="9" t="s">
        <v>4591</v>
      </c>
      <c r="S35" s="9" t="s">
        <v>4591</v>
      </c>
      <c r="T35" s="9" t="s">
        <v>4593</v>
      </c>
      <c r="U35" s="9" t="s">
        <v>4591</v>
      </c>
      <c r="V35" s="9" t="s">
        <v>4591</v>
      </c>
      <c r="W35" s="9" t="s">
        <v>4593</v>
      </c>
      <c r="X35" s="9" t="s">
        <v>4591</v>
      </c>
      <c r="Y35" s="9" t="s">
        <v>4591</v>
      </c>
      <c r="Z35" s="9" t="s">
        <v>4591</v>
      </c>
      <c r="AA35" s="9" t="s">
        <v>4592</v>
      </c>
      <c r="AB35" s="9" t="s">
        <v>4591</v>
      </c>
      <c r="AC35" s="9" t="s">
        <v>4592</v>
      </c>
      <c r="AD35" s="9" t="s">
        <v>4591</v>
      </c>
      <c r="AE35" s="9" t="s">
        <v>4591</v>
      </c>
      <c r="AF35" s="9" t="s">
        <v>4591</v>
      </c>
      <c r="AG35" s="9" t="s">
        <v>4591</v>
      </c>
      <c r="AH35" s="9" t="s">
        <v>4591</v>
      </c>
      <c r="AI35" s="14" t="s">
        <v>4593</v>
      </c>
    </row>
    <row r="36" spans="2:35" ht="12.75">
      <c r="B36" s="9"/>
      <c r="C36" s="81">
        <v>525</v>
      </c>
      <c r="D36" s="9" t="s">
        <v>4591</v>
      </c>
      <c r="E36" s="9" t="s">
        <v>4591</v>
      </c>
      <c r="F36" s="9" t="s">
        <v>4591</v>
      </c>
      <c r="G36" s="9" t="s">
        <v>4591</v>
      </c>
      <c r="H36" s="9" t="s">
        <v>4593</v>
      </c>
      <c r="I36" s="9" t="s">
        <v>4591</v>
      </c>
      <c r="J36" s="9" t="s">
        <v>4593</v>
      </c>
      <c r="K36" s="9" t="s">
        <v>4593</v>
      </c>
      <c r="L36" s="9" t="s">
        <v>4591</v>
      </c>
      <c r="M36" s="9" t="s">
        <v>4591</v>
      </c>
      <c r="N36" s="9" t="s">
        <v>4591</v>
      </c>
      <c r="O36" s="9" t="s">
        <v>4591</v>
      </c>
      <c r="P36" s="9" t="s">
        <v>4591</v>
      </c>
      <c r="Q36" s="9" t="s">
        <v>4591</v>
      </c>
      <c r="R36" s="9" t="s">
        <v>4591</v>
      </c>
      <c r="S36" s="9" t="s">
        <v>4591</v>
      </c>
      <c r="T36" s="9" t="s">
        <v>4593</v>
      </c>
      <c r="U36" s="9" t="s">
        <v>4591</v>
      </c>
      <c r="V36" s="9" t="s">
        <v>4591</v>
      </c>
      <c r="W36" s="9" t="s">
        <v>4593</v>
      </c>
      <c r="X36" s="9" t="s">
        <v>4591</v>
      </c>
      <c r="Y36" s="9" t="s">
        <v>4591</v>
      </c>
      <c r="Z36" s="9" t="s">
        <v>4591</v>
      </c>
      <c r="AA36" s="9" t="s">
        <v>4592</v>
      </c>
      <c r="AB36" s="9" t="s">
        <v>4591</v>
      </c>
      <c r="AC36" s="9" t="s">
        <v>4592</v>
      </c>
      <c r="AD36" s="9" t="s">
        <v>4591</v>
      </c>
      <c r="AE36" s="9" t="s">
        <v>4591</v>
      </c>
      <c r="AF36" s="9" t="s">
        <v>4591</v>
      </c>
      <c r="AG36" s="9" t="s">
        <v>4591</v>
      </c>
      <c r="AH36" s="9" t="s">
        <v>4591</v>
      </c>
      <c r="AI36" s="14" t="s">
        <v>4593</v>
      </c>
    </row>
    <row r="37" spans="2:35" ht="12.75">
      <c r="B37" s="9"/>
      <c r="C37" s="81">
        <v>532</v>
      </c>
      <c r="D37" s="9" t="s">
        <v>4591</v>
      </c>
      <c r="E37" s="9" t="s">
        <v>4591</v>
      </c>
      <c r="F37" s="9" t="s">
        <v>4591</v>
      </c>
      <c r="G37" s="9" t="s">
        <v>4591</v>
      </c>
      <c r="H37" s="9" t="s">
        <v>4593</v>
      </c>
      <c r="I37" s="9" t="s">
        <v>4591</v>
      </c>
      <c r="J37" s="9" t="s">
        <v>4592</v>
      </c>
      <c r="K37" s="9" t="s">
        <v>4592</v>
      </c>
      <c r="L37" s="9" t="s">
        <v>4591</v>
      </c>
      <c r="M37" s="9" t="s">
        <v>4591</v>
      </c>
      <c r="N37" s="9" t="s">
        <v>4591</v>
      </c>
      <c r="O37" s="9" t="s">
        <v>4591</v>
      </c>
      <c r="P37" s="9" t="s">
        <v>4591</v>
      </c>
      <c r="Q37" s="9" t="s">
        <v>4591</v>
      </c>
      <c r="R37" s="9" t="s">
        <v>4591</v>
      </c>
      <c r="S37" s="9" t="s">
        <v>4591</v>
      </c>
      <c r="T37" s="9" t="s">
        <v>4593</v>
      </c>
      <c r="U37" s="9" t="s">
        <v>4591</v>
      </c>
      <c r="V37" s="9" t="s">
        <v>4591</v>
      </c>
      <c r="W37" s="9" t="s">
        <v>4593</v>
      </c>
      <c r="X37" s="9" t="s">
        <v>4591</v>
      </c>
      <c r="Y37" s="9" t="s">
        <v>4591</v>
      </c>
      <c r="Z37" s="9" t="s">
        <v>4591</v>
      </c>
      <c r="AA37" s="9" t="s">
        <v>4592</v>
      </c>
      <c r="AB37" s="9" t="s">
        <v>4591</v>
      </c>
      <c r="AC37" s="9" t="s">
        <v>4592</v>
      </c>
      <c r="AD37" s="9" t="s">
        <v>4591</v>
      </c>
      <c r="AE37" s="9" t="s">
        <v>4591</v>
      </c>
      <c r="AF37" s="9" t="s">
        <v>4591</v>
      </c>
      <c r="AG37" s="9" t="s">
        <v>4591</v>
      </c>
      <c r="AH37" s="9" t="s">
        <v>4591</v>
      </c>
      <c r="AI37" s="14" t="s">
        <v>4593</v>
      </c>
    </row>
    <row r="38" spans="2:35" ht="12.75">
      <c r="B38" s="9"/>
      <c r="C38" s="81">
        <v>534</v>
      </c>
      <c r="D38" s="9" t="s">
        <v>4591</v>
      </c>
      <c r="E38" s="9" t="s">
        <v>4591</v>
      </c>
      <c r="F38" s="9" t="s">
        <v>4591</v>
      </c>
      <c r="G38" s="9" t="s">
        <v>4591</v>
      </c>
      <c r="H38" s="9" t="s">
        <v>4591</v>
      </c>
      <c r="I38" s="9" t="s">
        <v>4592</v>
      </c>
      <c r="J38" s="9" t="s">
        <v>4591</v>
      </c>
      <c r="K38" s="9" t="s">
        <v>4591</v>
      </c>
      <c r="L38" s="9" t="s">
        <v>4595</v>
      </c>
      <c r="M38" s="9" t="s">
        <v>4591</v>
      </c>
      <c r="N38" s="9" t="s">
        <v>4592</v>
      </c>
      <c r="O38" s="9" t="s">
        <v>4591</v>
      </c>
      <c r="P38" s="9" t="s">
        <v>4591</v>
      </c>
      <c r="Q38" s="9" t="s">
        <v>4591</v>
      </c>
      <c r="R38" s="9" t="s">
        <v>4591</v>
      </c>
      <c r="S38" s="9" t="s">
        <v>4591</v>
      </c>
      <c r="T38" s="9" t="s">
        <v>4591</v>
      </c>
      <c r="U38" s="9" t="s">
        <v>4591</v>
      </c>
      <c r="V38" s="9" t="s">
        <v>4591</v>
      </c>
      <c r="W38" s="9" t="s">
        <v>4591</v>
      </c>
      <c r="X38" s="9" t="s">
        <v>4591</v>
      </c>
      <c r="Y38" s="9" t="s">
        <v>4591</v>
      </c>
      <c r="Z38" s="9" t="s">
        <v>4591</v>
      </c>
      <c r="AA38" s="9" t="s">
        <v>4591</v>
      </c>
      <c r="AB38" s="9" t="s">
        <v>4591</v>
      </c>
      <c r="AC38" s="9" t="s">
        <v>4591</v>
      </c>
      <c r="AD38" s="9" t="s">
        <v>4591</v>
      </c>
      <c r="AE38" s="9" t="s">
        <v>4591</v>
      </c>
      <c r="AF38" s="9" t="s">
        <v>4591</v>
      </c>
      <c r="AG38" s="9" t="s">
        <v>4591</v>
      </c>
      <c r="AH38" s="9" t="s">
        <v>4591</v>
      </c>
      <c r="AI38" s="14" t="s">
        <v>4591</v>
      </c>
    </row>
    <row r="39" spans="2:35" ht="12.75">
      <c r="B39" s="9"/>
      <c r="C39" s="81">
        <v>542</v>
      </c>
      <c r="D39" s="9" t="s">
        <v>4591</v>
      </c>
      <c r="E39" s="9" t="s">
        <v>4591</v>
      </c>
      <c r="F39" s="9" t="s">
        <v>4591</v>
      </c>
      <c r="G39" s="9" t="s">
        <v>4591</v>
      </c>
      <c r="H39" s="9" t="s">
        <v>4591</v>
      </c>
      <c r="I39" s="9" t="s">
        <v>4591</v>
      </c>
      <c r="J39" s="9" t="s">
        <v>4591</v>
      </c>
      <c r="K39" s="9" t="s">
        <v>4591</v>
      </c>
      <c r="L39" s="9" t="s">
        <v>4591</v>
      </c>
      <c r="M39" s="9" t="s">
        <v>4591</v>
      </c>
      <c r="N39" s="9" t="s">
        <v>4591</v>
      </c>
      <c r="O39" s="9" t="s">
        <v>4593</v>
      </c>
      <c r="P39" s="9" t="s">
        <v>4591</v>
      </c>
      <c r="Q39" s="9" t="s">
        <v>4592</v>
      </c>
      <c r="R39" s="9" t="s">
        <v>4592</v>
      </c>
      <c r="S39" s="9" t="s">
        <v>4591</v>
      </c>
      <c r="T39" s="9" t="s">
        <v>4591</v>
      </c>
      <c r="U39" s="9" t="s">
        <v>4592</v>
      </c>
      <c r="V39" s="9" t="s">
        <v>4591</v>
      </c>
      <c r="W39" s="9" t="s">
        <v>4591</v>
      </c>
      <c r="X39" s="9" t="s">
        <v>4591</v>
      </c>
      <c r="Y39" s="9" t="s">
        <v>4591</v>
      </c>
      <c r="Z39" s="9" t="s">
        <v>4591</v>
      </c>
      <c r="AA39" s="9" t="s">
        <v>4591</v>
      </c>
      <c r="AB39" s="9" t="s">
        <v>4591</v>
      </c>
      <c r="AC39" s="9" t="s">
        <v>4591</v>
      </c>
      <c r="AD39" s="9" t="s">
        <v>4593</v>
      </c>
      <c r="AE39" s="9" t="s">
        <v>4591</v>
      </c>
      <c r="AF39" s="9" t="s">
        <v>4591</v>
      </c>
      <c r="AG39" s="9" t="s">
        <v>4591</v>
      </c>
      <c r="AH39" s="9" t="s">
        <v>4591</v>
      </c>
      <c r="AI39" s="14" t="s">
        <v>4591</v>
      </c>
    </row>
    <row r="40" spans="2:35" ht="12.75">
      <c r="B40" s="9"/>
      <c r="C40" s="81">
        <v>544</v>
      </c>
      <c r="D40" s="9" t="s">
        <v>4591</v>
      </c>
      <c r="E40" s="9" t="s">
        <v>4591</v>
      </c>
      <c r="F40" s="9" t="s">
        <v>4591</v>
      </c>
      <c r="G40" s="9" t="s">
        <v>4591</v>
      </c>
      <c r="H40" s="9" t="s">
        <v>4591</v>
      </c>
      <c r="I40" s="9" t="s">
        <v>4595</v>
      </c>
      <c r="J40" s="9" t="s">
        <v>4591</v>
      </c>
      <c r="K40" s="9" t="s">
        <v>4591</v>
      </c>
      <c r="L40" s="9" t="s">
        <v>4591</v>
      </c>
      <c r="M40" s="9" t="s">
        <v>4591</v>
      </c>
      <c r="N40" s="9" t="s">
        <v>4595</v>
      </c>
      <c r="O40" s="9" t="s">
        <v>4591</v>
      </c>
      <c r="P40" s="9" t="s">
        <v>4591</v>
      </c>
      <c r="Q40" s="9" t="s">
        <v>4591</v>
      </c>
      <c r="R40" s="9" t="s">
        <v>4591</v>
      </c>
      <c r="S40" s="9" t="s">
        <v>4591</v>
      </c>
      <c r="T40" s="9" t="s">
        <v>4591</v>
      </c>
      <c r="U40" s="9" t="s">
        <v>4591</v>
      </c>
      <c r="V40" s="9" t="s">
        <v>4591</v>
      </c>
      <c r="W40" s="9" t="s">
        <v>4591</v>
      </c>
      <c r="X40" s="9" t="s">
        <v>4591</v>
      </c>
      <c r="Y40" s="9" t="s">
        <v>4591</v>
      </c>
      <c r="Z40" s="9" t="s">
        <v>4591</v>
      </c>
      <c r="AA40" s="9" t="s">
        <v>4591</v>
      </c>
      <c r="AB40" s="9" t="s">
        <v>4591</v>
      </c>
      <c r="AC40" s="9" t="s">
        <v>4591</v>
      </c>
      <c r="AD40" s="9" t="s">
        <v>4591</v>
      </c>
      <c r="AE40" s="9" t="s">
        <v>4591</v>
      </c>
      <c r="AF40" s="9" t="s">
        <v>4591</v>
      </c>
      <c r="AG40" s="9" t="s">
        <v>4591</v>
      </c>
      <c r="AH40" s="9" t="s">
        <v>4591</v>
      </c>
      <c r="AI40" s="14" t="s">
        <v>4591</v>
      </c>
    </row>
    <row r="41" spans="2:35" ht="12.75">
      <c r="B41" s="9"/>
      <c r="C41" s="81">
        <v>547</v>
      </c>
      <c r="D41" s="9" t="s">
        <v>4591</v>
      </c>
      <c r="E41" s="9" t="s">
        <v>4591</v>
      </c>
      <c r="F41" s="9" t="s">
        <v>4591</v>
      </c>
      <c r="G41" s="9" t="s">
        <v>4591</v>
      </c>
      <c r="H41" s="9" t="s">
        <v>4591</v>
      </c>
      <c r="I41" s="9" t="s">
        <v>4591</v>
      </c>
      <c r="J41" s="9" t="s">
        <v>4591</v>
      </c>
      <c r="K41" s="9" t="s">
        <v>4591</v>
      </c>
      <c r="L41" s="9" t="s">
        <v>4591</v>
      </c>
      <c r="M41" s="9" t="s">
        <v>4591</v>
      </c>
      <c r="N41" s="9" t="s">
        <v>4591</v>
      </c>
      <c r="O41" s="9" t="s">
        <v>4593</v>
      </c>
      <c r="P41" s="9" t="s">
        <v>4591</v>
      </c>
      <c r="Q41" s="9" t="s">
        <v>4592</v>
      </c>
      <c r="R41" s="9" t="s">
        <v>4592</v>
      </c>
      <c r="S41" s="9" t="s">
        <v>4591</v>
      </c>
      <c r="T41" s="9" t="s">
        <v>4591</v>
      </c>
      <c r="U41" s="9" t="s">
        <v>4592</v>
      </c>
      <c r="V41" s="9" t="s">
        <v>4591</v>
      </c>
      <c r="W41" s="9" t="s">
        <v>4591</v>
      </c>
      <c r="X41" s="9" t="s">
        <v>4591</v>
      </c>
      <c r="Y41" s="9" t="s">
        <v>4591</v>
      </c>
      <c r="Z41" s="9" t="s">
        <v>4591</v>
      </c>
      <c r="AA41" s="9" t="s">
        <v>4591</v>
      </c>
      <c r="AB41" s="9" t="s">
        <v>4591</v>
      </c>
      <c r="AC41" s="9" t="s">
        <v>4591</v>
      </c>
      <c r="AD41" s="9" t="s">
        <v>4593</v>
      </c>
      <c r="AE41" s="9" t="s">
        <v>4591</v>
      </c>
      <c r="AF41" s="9" t="s">
        <v>4591</v>
      </c>
      <c r="AG41" s="9" t="s">
        <v>4591</v>
      </c>
      <c r="AH41" s="9" t="s">
        <v>4591</v>
      </c>
      <c r="AI41" s="14" t="s">
        <v>4591</v>
      </c>
    </row>
    <row r="42" spans="2:35" ht="12.75">
      <c r="B42" s="9"/>
      <c r="C42" s="81">
        <v>550</v>
      </c>
      <c r="D42" s="9" t="s">
        <v>4591</v>
      </c>
      <c r="E42" s="9" t="s">
        <v>4591</v>
      </c>
      <c r="F42" s="9" t="s">
        <v>4591</v>
      </c>
      <c r="G42" s="9" t="s">
        <v>4591</v>
      </c>
      <c r="H42" s="9" t="s">
        <v>4591</v>
      </c>
      <c r="I42" s="9" t="s">
        <v>4591</v>
      </c>
      <c r="J42" s="9" t="s">
        <v>4591</v>
      </c>
      <c r="K42" s="9" t="s">
        <v>4591</v>
      </c>
      <c r="L42" s="9" t="s">
        <v>4591</v>
      </c>
      <c r="M42" s="9" t="s">
        <v>4591</v>
      </c>
      <c r="N42" s="9" t="s">
        <v>4592</v>
      </c>
      <c r="O42" s="9" t="s">
        <v>4591</v>
      </c>
      <c r="P42" s="9" t="s">
        <v>4591</v>
      </c>
      <c r="Q42" s="9" t="s">
        <v>4591</v>
      </c>
      <c r="R42" s="9" t="s">
        <v>4591</v>
      </c>
      <c r="S42" s="9" t="s">
        <v>4591</v>
      </c>
      <c r="T42" s="9" t="s">
        <v>4591</v>
      </c>
      <c r="U42" s="9" t="s">
        <v>4591</v>
      </c>
      <c r="V42" s="9" t="s">
        <v>4591</v>
      </c>
      <c r="W42" s="9" t="s">
        <v>4591</v>
      </c>
      <c r="X42" s="9" t="s">
        <v>4593</v>
      </c>
      <c r="Y42" s="9" t="s">
        <v>4591</v>
      </c>
      <c r="Z42" s="9" t="s">
        <v>4591</v>
      </c>
      <c r="AA42" s="9" t="s">
        <v>4591</v>
      </c>
      <c r="AB42" s="9" t="s">
        <v>4591</v>
      </c>
      <c r="AC42" s="9" t="s">
        <v>4591</v>
      </c>
      <c r="AD42" s="9" t="s">
        <v>4591</v>
      </c>
      <c r="AE42" s="9" t="s">
        <v>4591</v>
      </c>
      <c r="AF42" s="9" t="s">
        <v>4591</v>
      </c>
      <c r="AG42" s="9" t="s">
        <v>4591</v>
      </c>
      <c r="AH42" s="9" t="s">
        <v>4591</v>
      </c>
      <c r="AI42" s="14" t="s">
        <v>4592</v>
      </c>
    </row>
    <row r="43" spans="2:35" ht="12.75">
      <c r="B43" s="9"/>
      <c r="C43" s="81">
        <v>563</v>
      </c>
      <c r="D43" s="9" t="s">
        <v>4591</v>
      </c>
      <c r="E43" s="9" t="s">
        <v>4593</v>
      </c>
      <c r="F43" s="9" t="s">
        <v>4591</v>
      </c>
      <c r="G43" s="9" t="s">
        <v>4591</v>
      </c>
      <c r="H43" s="9" t="s">
        <v>4591</v>
      </c>
      <c r="I43" s="9" t="s">
        <v>4591</v>
      </c>
      <c r="J43" s="9" t="s">
        <v>4591</v>
      </c>
      <c r="K43" s="9" t="s">
        <v>4591</v>
      </c>
      <c r="L43" s="9" t="s">
        <v>4591</v>
      </c>
      <c r="M43" s="9" t="s">
        <v>4591</v>
      </c>
      <c r="N43" s="9" t="s">
        <v>4591</v>
      </c>
      <c r="O43" s="9" t="s">
        <v>4591</v>
      </c>
      <c r="P43" s="9" t="s">
        <v>4593</v>
      </c>
      <c r="Q43" s="9" t="s">
        <v>4591</v>
      </c>
      <c r="R43" s="9" t="s">
        <v>4591</v>
      </c>
      <c r="S43" s="9" t="s">
        <v>4591</v>
      </c>
      <c r="T43" s="9" t="s">
        <v>4591</v>
      </c>
      <c r="U43" s="9" t="s">
        <v>4592</v>
      </c>
      <c r="V43" s="9" t="s">
        <v>4591</v>
      </c>
      <c r="W43" s="9" t="s">
        <v>4591</v>
      </c>
      <c r="X43" s="9" t="s">
        <v>4591</v>
      </c>
      <c r="Y43" s="9" t="s">
        <v>4591</v>
      </c>
      <c r="Z43" s="9" t="s">
        <v>4595</v>
      </c>
      <c r="AA43" s="9" t="s">
        <v>4591</v>
      </c>
      <c r="AB43" s="9" t="s">
        <v>4591</v>
      </c>
      <c r="AC43" s="9" t="s">
        <v>4591</v>
      </c>
      <c r="AD43" s="9" t="s">
        <v>4591</v>
      </c>
      <c r="AE43" s="9" t="s">
        <v>4591</v>
      </c>
      <c r="AF43" s="9" t="s">
        <v>4591</v>
      </c>
      <c r="AG43" s="9" t="s">
        <v>4591</v>
      </c>
      <c r="AH43" s="9" t="s">
        <v>4591</v>
      </c>
      <c r="AI43" s="14" t="s">
        <v>4591</v>
      </c>
    </row>
    <row r="44" spans="2:35" ht="12.75">
      <c r="B44" s="9"/>
      <c r="C44" s="81">
        <v>573</v>
      </c>
      <c r="D44" s="9" t="s">
        <v>4591</v>
      </c>
      <c r="E44" s="9" t="s">
        <v>4591</v>
      </c>
      <c r="F44" s="9" t="s">
        <v>4591</v>
      </c>
      <c r="G44" s="9" t="s">
        <v>4591</v>
      </c>
      <c r="H44" s="9" t="s">
        <v>4591</v>
      </c>
      <c r="I44" s="9" t="s">
        <v>4591</v>
      </c>
      <c r="J44" s="9" t="s">
        <v>4591</v>
      </c>
      <c r="K44" s="9" t="s">
        <v>4591</v>
      </c>
      <c r="L44" s="9" t="s">
        <v>4591</v>
      </c>
      <c r="M44" s="9" t="s">
        <v>4591</v>
      </c>
      <c r="N44" s="9" t="s">
        <v>4591</v>
      </c>
      <c r="O44" s="9" t="s">
        <v>4591</v>
      </c>
      <c r="P44" s="9" t="s">
        <v>4591</v>
      </c>
      <c r="Q44" s="9" t="s">
        <v>4591</v>
      </c>
      <c r="R44" s="9" t="s">
        <v>4593</v>
      </c>
      <c r="S44" s="9" t="s">
        <v>4591</v>
      </c>
      <c r="T44" s="9" t="s">
        <v>4591</v>
      </c>
      <c r="U44" s="9" t="s">
        <v>4591</v>
      </c>
      <c r="V44" s="9" t="s">
        <v>4591</v>
      </c>
      <c r="W44" s="9" t="s">
        <v>4591</v>
      </c>
      <c r="X44" s="9" t="s">
        <v>4591</v>
      </c>
      <c r="Y44" s="9" t="s">
        <v>4591</v>
      </c>
      <c r="Z44" s="9" t="s">
        <v>4591</v>
      </c>
      <c r="AA44" s="9" t="s">
        <v>4591</v>
      </c>
      <c r="AB44" s="9" t="s">
        <v>4591</v>
      </c>
      <c r="AC44" s="9" t="s">
        <v>4591</v>
      </c>
      <c r="AD44" s="9" t="s">
        <v>4591</v>
      </c>
      <c r="AE44" s="9" t="s">
        <v>4591</v>
      </c>
      <c r="AF44" s="9" t="s">
        <v>4591</v>
      </c>
      <c r="AG44" s="9" t="s">
        <v>4591</v>
      </c>
      <c r="AH44" s="9" t="s">
        <v>4591</v>
      </c>
      <c r="AI44" s="14" t="s">
        <v>4591</v>
      </c>
    </row>
    <row r="45" spans="2:35" ht="12.75">
      <c r="B45" s="9"/>
      <c r="C45" s="81">
        <v>584</v>
      </c>
      <c r="D45" s="9" t="s">
        <v>4591</v>
      </c>
      <c r="E45" s="9" t="s">
        <v>4591</v>
      </c>
      <c r="F45" s="9" t="s">
        <v>4591</v>
      </c>
      <c r="G45" s="9" t="s">
        <v>4591</v>
      </c>
      <c r="H45" s="9" t="s">
        <v>4593</v>
      </c>
      <c r="I45" s="9" t="s">
        <v>4591</v>
      </c>
      <c r="J45" s="9" t="s">
        <v>4591</v>
      </c>
      <c r="K45" s="9" t="s">
        <v>4591</v>
      </c>
      <c r="L45" s="9" t="s">
        <v>4591</v>
      </c>
      <c r="M45" s="9" t="s">
        <v>4591</v>
      </c>
      <c r="N45" s="9" t="s">
        <v>4591</v>
      </c>
      <c r="O45" s="9" t="s">
        <v>4591</v>
      </c>
      <c r="P45" s="9" t="s">
        <v>4591</v>
      </c>
      <c r="Q45" s="9" t="s">
        <v>4591</v>
      </c>
      <c r="R45" s="9" t="s">
        <v>4591</v>
      </c>
      <c r="S45" s="9" t="s">
        <v>4591</v>
      </c>
      <c r="T45" s="9" t="s">
        <v>4593</v>
      </c>
      <c r="U45" s="9" t="s">
        <v>4591</v>
      </c>
      <c r="V45" s="9" t="s">
        <v>4591</v>
      </c>
      <c r="W45" s="9" t="s">
        <v>4593</v>
      </c>
      <c r="X45" s="9" t="s">
        <v>4591</v>
      </c>
      <c r="Y45" s="9" t="s">
        <v>4591</v>
      </c>
      <c r="Z45" s="9" t="s">
        <v>4591</v>
      </c>
      <c r="AA45" s="9" t="s">
        <v>4592</v>
      </c>
      <c r="AB45" s="9" t="s">
        <v>4591</v>
      </c>
      <c r="AC45" s="9" t="s">
        <v>4592</v>
      </c>
      <c r="AD45" s="9" t="s">
        <v>4591</v>
      </c>
      <c r="AE45" s="9" t="s">
        <v>4591</v>
      </c>
      <c r="AF45" s="9" t="s">
        <v>4591</v>
      </c>
      <c r="AG45" s="9" t="s">
        <v>4591</v>
      </c>
      <c r="AH45" s="9" t="s">
        <v>4591</v>
      </c>
      <c r="AI45" s="14" t="s">
        <v>4593</v>
      </c>
    </row>
    <row r="46" spans="2:35" ht="12.75">
      <c r="B46" s="9"/>
      <c r="C46" s="81">
        <v>627</v>
      </c>
      <c r="D46" s="9" t="s">
        <v>4591</v>
      </c>
      <c r="E46" s="9" t="s">
        <v>4591</v>
      </c>
      <c r="F46" s="9" t="s">
        <v>4591</v>
      </c>
      <c r="G46" s="9" t="s">
        <v>4591</v>
      </c>
      <c r="H46" s="9" t="s">
        <v>4591</v>
      </c>
      <c r="I46" s="9" t="s">
        <v>4591</v>
      </c>
      <c r="J46" s="9" t="s">
        <v>4591</v>
      </c>
      <c r="K46" s="9" t="s">
        <v>4591</v>
      </c>
      <c r="L46" s="9" t="s">
        <v>4591</v>
      </c>
      <c r="M46" s="9" t="s">
        <v>4591</v>
      </c>
      <c r="N46" s="9" t="s">
        <v>4591</v>
      </c>
      <c r="O46" s="9" t="s">
        <v>4591</v>
      </c>
      <c r="P46" s="9" t="s">
        <v>4591</v>
      </c>
      <c r="Q46" s="9" t="s">
        <v>4593</v>
      </c>
      <c r="R46" s="9" t="s">
        <v>4592</v>
      </c>
      <c r="S46" s="9" t="s">
        <v>4595</v>
      </c>
      <c r="T46" s="9" t="s">
        <v>4591</v>
      </c>
      <c r="U46" s="9" t="s">
        <v>4591</v>
      </c>
      <c r="V46" s="9" t="s">
        <v>4591</v>
      </c>
      <c r="W46" s="9" t="s">
        <v>4591</v>
      </c>
      <c r="X46" s="9" t="s">
        <v>4591</v>
      </c>
      <c r="Y46" s="9" t="s">
        <v>4591</v>
      </c>
      <c r="Z46" s="9" t="s">
        <v>4591</v>
      </c>
      <c r="AA46" s="9" t="s">
        <v>4591</v>
      </c>
      <c r="AB46" s="9" t="s">
        <v>4591</v>
      </c>
      <c r="AC46" s="9" t="s">
        <v>4591</v>
      </c>
      <c r="AD46" s="9" t="s">
        <v>4591</v>
      </c>
      <c r="AE46" s="9" t="s">
        <v>4591</v>
      </c>
      <c r="AF46" s="9" t="s">
        <v>4591</v>
      </c>
      <c r="AG46" s="9" t="s">
        <v>4591</v>
      </c>
      <c r="AH46" s="9" t="s">
        <v>4591</v>
      </c>
      <c r="AI46" s="14" t="s">
        <v>4591</v>
      </c>
    </row>
    <row r="47" spans="2:35" ht="12.75">
      <c r="B47" s="9"/>
      <c r="C47" s="81">
        <v>632</v>
      </c>
      <c r="D47" s="9" t="s">
        <v>4592</v>
      </c>
      <c r="E47" s="9" t="s">
        <v>4591</v>
      </c>
      <c r="F47" s="9" t="s">
        <v>4591</v>
      </c>
      <c r="G47" s="9" t="s">
        <v>4592</v>
      </c>
      <c r="H47" s="9" t="s">
        <v>4591</v>
      </c>
      <c r="I47" s="9" t="s">
        <v>4591</v>
      </c>
      <c r="J47" s="9" t="s">
        <v>4591</v>
      </c>
      <c r="K47" s="9" t="s">
        <v>4591</v>
      </c>
      <c r="L47" s="9" t="s">
        <v>4591</v>
      </c>
      <c r="M47" s="9" t="s">
        <v>4591</v>
      </c>
      <c r="N47" s="9" t="s">
        <v>4591</v>
      </c>
      <c r="O47" s="9" t="s">
        <v>4591</v>
      </c>
      <c r="P47" s="9" t="s">
        <v>4591</v>
      </c>
      <c r="Q47" s="9" t="s">
        <v>4591</v>
      </c>
      <c r="R47" s="9" t="s">
        <v>4591</v>
      </c>
      <c r="S47" s="9" t="s">
        <v>4591</v>
      </c>
      <c r="T47" s="9" t="s">
        <v>4591</v>
      </c>
      <c r="U47" s="9" t="s">
        <v>4591</v>
      </c>
      <c r="V47" s="9" t="s">
        <v>4591</v>
      </c>
      <c r="W47" s="9" t="s">
        <v>4591</v>
      </c>
      <c r="X47" s="9" t="s">
        <v>4591</v>
      </c>
      <c r="Y47" s="9" t="s">
        <v>4591</v>
      </c>
      <c r="Z47" s="9" t="s">
        <v>4591</v>
      </c>
      <c r="AA47" s="9" t="s">
        <v>4591</v>
      </c>
      <c r="AB47" s="9" t="s">
        <v>4591</v>
      </c>
      <c r="AC47" s="9" t="s">
        <v>4591</v>
      </c>
      <c r="AD47" s="9" t="s">
        <v>4591</v>
      </c>
      <c r="AE47" s="9" t="s">
        <v>4592</v>
      </c>
      <c r="AF47" s="9" t="s">
        <v>4592</v>
      </c>
      <c r="AG47" s="9" t="s">
        <v>4592</v>
      </c>
      <c r="AH47" s="9" t="s">
        <v>4591</v>
      </c>
      <c r="AI47" s="14" t="s">
        <v>4591</v>
      </c>
    </row>
    <row r="48" spans="2:35" ht="12.75">
      <c r="B48" s="9"/>
      <c r="C48" s="81">
        <v>633</v>
      </c>
      <c r="D48" s="9" t="s">
        <v>4591</v>
      </c>
      <c r="E48" s="9" t="s">
        <v>4591</v>
      </c>
      <c r="F48" s="9" t="s">
        <v>4591</v>
      </c>
      <c r="G48" s="9" t="s">
        <v>4591</v>
      </c>
      <c r="H48" s="9" t="s">
        <v>4591</v>
      </c>
      <c r="I48" s="9" t="s">
        <v>4591</v>
      </c>
      <c r="J48" s="9" t="s">
        <v>4591</v>
      </c>
      <c r="K48" s="9" t="s">
        <v>4591</v>
      </c>
      <c r="L48" s="9" t="s">
        <v>4591</v>
      </c>
      <c r="M48" s="9" t="s">
        <v>4592</v>
      </c>
      <c r="N48" s="9" t="s">
        <v>4591</v>
      </c>
      <c r="O48" s="9" t="s">
        <v>4593</v>
      </c>
      <c r="P48" s="9" t="s">
        <v>4591</v>
      </c>
      <c r="Q48" s="9" t="s">
        <v>4592</v>
      </c>
      <c r="R48" s="9" t="s">
        <v>4592</v>
      </c>
      <c r="S48" s="9" t="s">
        <v>4591</v>
      </c>
      <c r="T48" s="9" t="s">
        <v>4591</v>
      </c>
      <c r="U48" s="9" t="s">
        <v>4592</v>
      </c>
      <c r="V48" s="9" t="s">
        <v>4591</v>
      </c>
      <c r="W48" s="9" t="s">
        <v>4591</v>
      </c>
      <c r="X48" s="9" t="s">
        <v>4591</v>
      </c>
      <c r="Y48" s="9" t="s">
        <v>4591</v>
      </c>
      <c r="Z48" s="9" t="s">
        <v>4591</v>
      </c>
      <c r="AA48" s="9" t="s">
        <v>4591</v>
      </c>
      <c r="AB48" s="9" t="s">
        <v>4592</v>
      </c>
      <c r="AC48" s="9" t="s">
        <v>4592</v>
      </c>
      <c r="AD48" s="9" t="s">
        <v>4592</v>
      </c>
      <c r="AE48" s="9" t="s">
        <v>4591</v>
      </c>
      <c r="AF48" s="9" t="s">
        <v>4591</v>
      </c>
      <c r="AG48" s="9" t="s">
        <v>4591</v>
      </c>
      <c r="AH48" s="9" t="s">
        <v>4591</v>
      </c>
      <c r="AI48" s="14" t="s">
        <v>4591</v>
      </c>
    </row>
    <row r="49" spans="2:35" ht="12.75">
      <c r="B49" s="9"/>
      <c r="C49" s="81">
        <v>637</v>
      </c>
      <c r="D49" s="9" t="s">
        <v>4591</v>
      </c>
      <c r="E49" s="9" t="s">
        <v>4592</v>
      </c>
      <c r="F49" s="9" t="s">
        <v>4592</v>
      </c>
      <c r="G49" s="9" t="s">
        <v>4591</v>
      </c>
      <c r="H49" s="9" t="s">
        <v>4591</v>
      </c>
      <c r="I49" s="9" t="s">
        <v>4591</v>
      </c>
      <c r="J49" s="9" t="s">
        <v>4591</v>
      </c>
      <c r="K49" s="9" t="s">
        <v>4591</v>
      </c>
      <c r="L49" s="9" t="s">
        <v>4591</v>
      </c>
      <c r="M49" s="9" t="s">
        <v>4591</v>
      </c>
      <c r="N49" s="9" t="s">
        <v>4591</v>
      </c>
      <c r="O49" s="9" t="s">
        <v>4591</v>
      </c>
      <c r="P49" s="9" t="s">
        <v>4592</v>
      </c>
      <c r="Q49" s="9" t="s">
        <v>4591</v>
      </c>
      <c r="R49" s="9" t="s">
        <v>4591</v>
      </c>
      <c r="S49" s="9" t="s">
        <v>4591</v>
      </c>
      <c r="T49" s="9" t="s">
        <v>4591</v>
      </c>
      <c r="U49" s="9" t="s">
        <v>4592</v>
      </c>
      <c r="V49" s="9" t="s">
        <v>4592</v>
      </c>
      <c r="W49" s="9" t="s">
        <v>4591</v>
      </c>
      <c r="X49" s="9" t="s">
        <v>4592</v>
      </c>
      <c r="Y49" s="9" t="s">
        <v>4591</v>
      </c>
      <c r="Z49" s="9" t="s">
        <v>4595</v>
      </c>
      <c r="AA49" s="9" t="s">
        <v>4592</v>
      </c>
      <c r="AB49" s="9" t="s">
        <v>4591</v>
      </c>
      <c r="AC49" s="9" t="s">
        <v>4591</v>
      </c>
      <c r="AD49" s="9" t="s">
        <v>4591</v>
      </c>
      <c r="AE49" s="9" t="s">
        <v>4591</v>
      </c>
      <c r="AF49" s="9" t="s">
        <v>4591</v>
      </c>
      <c r="AG49" s="9" t="s">
        <v>4591</v>
      </c>
      <c r="AH49" s="9" t="s">
        <v>4592</v>
      </c>
      <c r="AI49" s="14" t="s">
        <v>4591</v>
      </c>
    </row>
    <row r="50" spans="2:35" ht="12.75">
      <c r="B50" s="9"/>
      <c r="C50" s="81">
        <v>645</v>
      </c>
      <c r="D50" s="9" t="s">
        <v>4591</v>
      </c>
      <c r="E50" s="9" t="s">
        <v>4591</v>
      </c>
      <c r="F50" s="9" t="s">
        <v>4591</v>
      </c>
      <c r="G50" s="9" t="s">
        <v>4591</v>
      </c>
      <c r="H50" s="9" t="s">
        <v>4591</v>
      </c>
      <c r="I50" s="9" t="s">
        <v>4591</v>
      </c>
      <c r="J50" s="9" t="s">
        <v>4591</v>
      </c>
      <c r="K50" s="9" t="s">
        <v>4592</v>
      </c>
      <c r="L50" s="9" t="s">
        <v>4591</v>
      </c>
      <c r="M50" s="9" t="s">
        <v>4592</v>
      </c>
      <c r="N50" s="9" t="s">
        <v>4591</v>
      </c>
      <c r="O50" s="9" t="s">
        <v>4591</v>
      </c>
      <c r="P50" s="9" t="s">
        <v>4591</v>
      </c>
      <c r="Q50" s="9" t="s">
        <v>4591</v>
      </c>
      <c r="R50" s="9" t="s">
        <v>4591</v>
      </c>
      <c r="S50" s="9" t="s">
        <v>4591</v>
      </c>
      <c r="T50" s="9" t="s">
        <v>4592</v>
      </c>
      <c r="U50" s="9" t="s">
        <v>4591</v>
      </c>
      <c r="V50" s="9" t="s">
        <v>4591</v>
      </c>
      <c r="W50" s="9" t="s">
        <v>4591</v>
      </c>
      <c r="X50" s="9" t="s">
        <v>4591</v>
      </c>
      <c r="Y50" s="9" t="s">
        <v>4591</v>
      </c>
      <c r="Z50" s="9" t="s">
        <v>4591</v>
      </c>
      <c r="AA50" s="9" t="s">
        <v>4591</v>
      </c>
      <c r="AB50" s="9" t="s">
        <v>4591</v>
      </c>
      <c r="AC50" s="9" t="s">
        <v>4592</v>
      </c>
      <c r="AD50" s="9" t="s">
        <v>4592</v>
      </c>
      <c r="AE50" s="9" t="s">
        <v>4591</v>
      </c>
      <c r="AF50" s="9" t="s">
        <v>4591</v>
      </c>
      <c r="AG50" s="9" t="s">
        <v>4591</v>
      </c>
      <c r="AH50" s="9" t="s">
        <v>4591</v>
      </c>
      <c r="AI50" s="14" t="s">
        <v>4592</v>
      </c>
    </row>
    <row r="51" spans="2:35" ht="12.75">
      <c r="B51" s="9"/>
      <c r="C51" s="81">
        <v>646</v>
      </c>
      <c r="D51" s="9" t="s">
        <v>4591</v>
      </c>
      <c r="E51" s="9" t="s">
        <v>4591</v>
      </c>
      <c r="F51" s="9" t="s">
        <v>4591</v>
      </c>
      <c r="G51" s="9" t="s">
        <v>4591</v>
      </c>
      <c r="H51" s="9" t="s">
        <v>4591</v>
      </c>
      <c r="I51" s="9" t="s">
        <v>4591</v>
      </c>
      <c r="J51" s="9" t="s">
        <v>4591</v>
      </c>
      <c r="K51" s="9" t="s">
        <v>4591</v>
      </c>
      <c r="L51" s="9" t="s">
        <v>4591</v>
      </c>
      <c r="M51" s="9" t="s">
        <v>4591</v>
      </c>
      <c r="N51" s="9" t="s">
        <v>4591</v>
      </c>
      <c r="O51" s="9" t="s">
        <v>4593</v>
      </c>
      <c r="P51" s="9" t="s">
        <v>4591</v>
      </c>
      <c r="Q51" s="9" t="s">
        <v>4592</v>
      </c>
      <c r="R51" s="9" t="s">
        <v>4592</v>
      </c>
      <c r="S51" s="9" t="s">
        <v>4591</v>
      </c>
      <c r="T51" s="9" t="s">
        <v>4591</v>
      </c>
      <c r="U51" s="9" t="s">
        <v>4592</v>
      </c>
      <c r="V51" s="9" t="s">
        <v>4591</v>
      </c>
      <c r="W51" s="9" t="s">
        <v>4591</v>
      </c>
      <c r="X51" s="9" t="s">
        <v>4591</v>
      </c>
      <c r="Y51" s="9" t="s">
        <v>4591</v>
      </c>
      <c r="Z51" s="9" t="s">
        <v>4591</v>
      </c>
      <c r="AA51" s="9" t="s">
        <v>4591</v>
      </c>
      <c r="AB51" s="9" t="s">
        <v>4591</v>
      </c>
      <c r="AC51" s="9" t="s">
        <v>4591</v>
      </c>
      <c r="AD51" s="9" t="s">
        <v>4593</v>
      </c>
      <c r="AE51" s="9" t="s">
        <v>4591</v>
      </c>
      <c r="AF51" s="9" t="s">
        <v>4591</v>
      </c>
      <c r="AG51" s="9" t="s">
        <v>4591</v>
      </c>
      <c r="AH51" s="9" t="s">
        <v>4591</v>
      </c>
      <c r="AI51" s="14" t="s">
        <v>4591</v>
      </c>
    </row>
    <row r="52" spans="2:35" ht="12.75">
      <c r="B52" s="9"/>
      <c r="C52" s="82">
        <v>660</v>
      </c>
      <c r="D52" s="21" t="s">
        <v>4591</v>
      </c>
      <c r="E52" s="21" t="s">
        <v>4591</v>
      </c>
      <c r="F52" s="21" t="s">
        <v>4591</v>
      </c>
      <c r="G52" s="21" t="s">
        <v>4591</v>
      </c>
      <c r="H52" s="21" t="s">
        <v>4591</v>
      </c>
      <c r="I52" s="21" t="s">
        <v>4591</v>
      </c>
      <c r="J52" s="21" t="s">
        <v>4591</v>
      </c>
      <c r="K52" s="21" t="s">
        <v>4591</v>
      </c>
      <c r="L52" s="21" t="s">
        <v>4591</v>
      </c>
      <c r="M52" s="21" t="s">
        <v>4591</v>
      </c>
      <c r="N52" s="21" t="s">
        <v>4591</v>
      </c>
      <c r="O52" s="21" t="s">
        <v>4591</v>
      </c>
      <c r="P52" s="21" t="s">
        <v>4591</v>
      </c>
      <c r="Q52" s="21" t="s">
        <v>4591</v>
      </c>
      <c r="R52" s="21" t="s">
        <v>4591</v>
      </c>
      <c r="S52" s="21" t="s">
        <v>4591</v>
      </c>
      <c r="T52" s="21" t="s">
        <v>4591</v>
      </c>
      <c r="U52" s="21" t="s">
        <v>4591</v>
      </c>
      <c r="V52" s="21" t="s">
        <v>4591</v>
      </c>
      <c r="W52" s="21" t="s">
        <v>4591</v>
      </c>
      <c r="X52" s="21" t="s">
        <v>4591</v>
      </c>
      <c r="Y52" s="21" t="s">
        <v>4591</v>
      </c>
      <c r="Z52" s="21" t="s">
        <v>4591</v>
      </c>
      <c r="AA52" s="21" t="s">
        <v>4591</v>
      </c>
      <c r="AB52" s="21" t="s">
        <v>4591</v>
      </c>
      <c r="AC52" s="21" t="s">
        <v>4591</v>
      </c>
      <c r="AD52" s="21" t="s">
        <v>4591</v>
      </c>
      <c r="AE52" s="21" t="s">
        <v>4591</v>
      </c>
      <c r="AF52" s="21" t="s">
        <v>4591</v>
      </c>
      <c r="AG52" s="21" t="s">
        <v>4591</v>
      </c>
      <c r="AH52" s="21" t="s">
        <v>4591</v>
      </c>
      <c r="AI52" s="38" t="s">
        <v>4591</v>
      </c>
    </row>
    <row r="55" spans="2:35" ht="13.5" thickBot="1">
      <c r="B55" s="219" t="s">
        <v>4604</v>
      </c>
      <c r="C55" s="201"/>
      <c r="D55" s="45">
        <v>207</v>
      </c>
    </row>
    <row r="56" spans="2:35" ht="13.5" thickTop="1">
      <c r="B56" s="134" t="s">
        <v>4594</v>
      </c>
      <c r="C56" s="135" t="s">
        <v>44</v>
      </c>
      <c r="D56" s="135" t="s">
        <v>110</v>
      </c>
      <c r="E56" s="136" t="s">
        <v>2</v>
      </c>
      <c r="F56" s="229" t="s">
        <v>4612</v>
      </c>
      <c r="G56" s="229"/>
      <c r="H56" s="230"/>
    </row>
    <row r="57" spans="2:35" ht="12.75">
      <c r="B57" s="137" t="s">
        <v>4589</v>
      </c>
      <c r="C57" s="93">
        <v>373</v>
      </c>
      <c r="D57" s="93" t="s">
        <v>3846</v>
      </c>
      <c r="E57" s="93" t="str">
        <f>IF($B57 = "Mutant",VLOOKUP($C57,Mutants!$A$2:$L$560,12,FALSE),IF($B57 = "Test",VLOOKUP($C57,Tests!$A$2:$L$841,12,FALSE),VLOOKUP($C57,Questions!$A$3:$N$174,9,FALSE)))</f>
        <v>Y</v>
      </c>
      <c r="F57" s="205" t="str">
        <f>IF($B57 = "Mutant",VLOOKUP($C57,Mutants!$A$2:$L$560,11,FALSE),IF($B57 = "Test",VLOOKUP($C57,Tests!$A$2:$L$841,11,FALSE),VLOOKUP($C57,Questions!$A$3:$N$174,13,FALSE)))</f>
        <v xml:space="preserve">removeFields
</v>
      </c>
      <c r="G57" s="205"/>
      <c r="H57" s="206"/>
    </row>
    <row r="58" spans="2:35" ht="12.75">
      <c r="B58" s="114" t="s">
        <v>4589</v>
      </c>
      <c r="C58" s="9">
        <v>393</v>
      </c>
      <c r="D58" s="9" t="s">
        <v>3900</v>
      </c>
      <c r="E58" s="9" t="str">
        <f>IF($B58 = "Mutant",VLOOKUP($C58,Mutants!$A$2:$L$560,12,FALSE),IF($B58 = "Test",VLOOKUP($C58,Tests!$A$2:$L$841,12,FALSE),VLOOKUP($C58,Questions!$A$3:$N$174,9,FALSE)))</f>
        <v>N</v>
      </c>
      <c r="F58" s="187" t="str">
        <f>IF($B58 = "Mutant",VLOOKUP($C58,Mutants!$A$2:$L$560,11,FALSE),IF($B58 = "Test",VLOOKUP($C58,Tests!$A$2:$L$841,11,FALSE),VLOOKUP($C58,Questions!$A$3:$N$174,13,FALSE)))</f>
        <v xml:space="preserve">
</v>
      </c>
      <c r="G58" s="187"/>
      <c r="H58" s="202"/>
    </row>
    <row r="59" spans="2:35" ht="12.75">
      <c r="B59" s="114" t="s">
        <v>4589</v>
      </c>
      <c r="C59" s="9">
        <v>437</v>
      </c>
      <c r="D59" s="9" t="s">
        <v>4013</v>
      </c>
      <c r="E59" s="9" t="str">
        <f>IF($B59 = "Mutant",VLOOKUP($C59,Mutants!$A$2:$L$560,12,FALSE),IF($B59 = "Test",VLOOKUP($C59,Tests!$A$2:$L$841,12,FALSE),VLOOKUP($C59,Questions!$A$3:$N$174,9,FALSE)))</f>
        <v>Y</v>
      </c>
      <c r="F59" s="187" t="str">
        <f>IF($B59 = "Mutant",VLOOKUP($C59,Mutants!$A$2:$L$560,11,FALSE),IF($B59 = "Test",VLOOKUP($C59,Tests!$A$2:$L$841,11,FALSE),VLOOKUP($C59,Questions!$A$3:$N$174,13,FALSE)))</f>
        <v xml:space="preserve">
</v>
      </c>
      <c r="G59" s="187"/>
      <c r="H59" s="202"/>
    </row>
    <row r="60" spans="2:35" ht="12.75">
      <c r="B60" s="114" t="s">
        <v>4589</v>
      </c>
      <c r="C60" s="9">
        <v>459</v>
      </c>
      <c r="D60" s="9" t="s">
        <v>4076</v>
      </c>
      <c r="E60" s="9" t="str">
        <f>IF($B60 = "Mutant",VLOOKUP($C60,Mutants!$A$2:$L$560,12,FALSE),IF($B60 = "Test",VLOOKUP($C60,Tests!$A$2:$L$841,12,FALSE),VLOOKUP($C60,Questions!$A$3:$N$174,9,FALSE)))</f>
        <v>Y</v>
      </c>
      <c r="F60" s="187" t="str">
        <f>IF($B60 = "Mutant",VLOOKUP($C60,Mutants!$A$2:$L$560,11,FALSE),IF($B60 = "Test",VLOOKUP($C60,Tests!$A$2:$L$841,11,FALSE),VLOOKUP($C60,Questions!$A$3:$N$174,13,FALSE)))</f>
        <v xml:space="preserve">removeField
</v>
      </c>
      <c r="G60" s="187"/>
      <c r="H60" s="202"/>
    </row>
    <row r="61" spans="2:35" ht="12.75">
      <c r="B61" s="114" t="s">
        <v>4589</v>
      </c>
      <c r="C61" s="9">
        <v>472</v>
      </c>
      <c r="D61" s="9" t="s">
        <v>4108</v>
      </c>
      <c r="E61" s="9" t="str">
        <f>IF($B61 = "Mutant",VLOOKUP($C61,Mutants!$A$2:$L$560,12,FALSE),IF($B61 = "Test",VLOOKUP($C61,Tests!$A$2:$L$841,12,FALSE),VLOOKUP($C61,Questions!$A$3:$N$174,9,FALSE)))</f>
        <v>N</v>
      </c>
      <c r="F61" s="187" t="str">
        <f>IF($B61 = "Mutant",VLOOKUP($C61,Mutants!$A$2:$L$560,11,FALSE),IF($B61 = "Test",VLOOKUP($C61,Tests!$A$2:$L$841,11,FALSE),VLOOKUP($C61,Questions!$A$3:$N$174,13,FALSE)))</f>
        <v xml:space="preserve">
</v>
      </c>
      <c r="G61" s="187"/>
      <c r="H61" s="202"/>
    </row>
    <row r="62" spans="2:35" ht="12.75">
      <c r="B62" s="114" t="s">
        <v>4589</v>
      </c>
      <c r="C62" s="9">
        <v>501</v>
      </c>
      <c r="D62" s="9" t="s">
        <v>4184</v>
      </c>
      <c r="E62" s="9" t="str">
        <f>IF($B62 = "Mutant",VLOOKUP($C62,Mutants!$A$2:$L$560,12,FALSE),IF($B62 = "Test",VLOOKUP($C62,Tests!$A$2:$L$841,12,FALSE),VLOOKUP($C62,Questions!$A$3:$N$174,9,FALSE)))</f>
        <v>N</v>
      </c>
      <c r="F62" s="187" t="str">
        <f>IF($B62 = "Mutant",VLOOKUP($C62,Mutants!$A$2:$L$560,11,FALSE),IF($B62 = "Test",VLOOKUP($C62,Tests!$A$2:$L$841,11,FALSE),VLOOKUP($C62,Questions!$A$3:$N$174,13,FALSE)))</f>
        <v xml:space="preserve">
</v>
      </c>
      <c r="G62" s="187"/>
      <c r="H62" s="202"/>
    </row>
    <row r="63" spans="2:35" ht="12.75">
      <c r="B63" s="114" t="s">
        <v>4589</v>
      </c>
      <c r="C63" s="9">
        <v>503</v>
      </c>
      <c r="D63" s="9" t="s">
        <v>4190</v>
      </c>
      <c r="E63" s="9" t="str">
        <f>IF($B63 = "Mutant",VLOOKUP($C63,Mutants!$A$2:$L$560,12,FALSE),IF($B63 = "Test",VLOOKUP($C63,Tests!$A$2:$L$841,12,FALSE),VLOOKUP($C63,Questions!$A$3:$N$174,9,FALSE)))</f>
        <v>Y</v>
      </c>
      <c r="F63" s="187" t="str">
        <f>IF($B63 = "Mutant",VLOOKUP($C63,Mutants!$A$2:$L$560,11,FALSE),IF($B63 = "Test",VLOOKUP($C63,Tests!$A$2:$L$841,11,FALSE),VLOOKUP($C63,Questions!$A$3:$N$174,13,FALSE)))</f>
        <v xml:space="preserve">toString
</v>
      </c>
      <c r="G63" s="187"/>
      <c r="H63" s="202"/>
    </row>
    <row r="64" spans="2:35" ht="12.75">
      <c r="B64" s="114" t="s">
        <v>4590</v>
      </c>
      <c r="C64" s="9">
        <v>499</v>
      </c>
      <c r="D64" s="9" t="s">
        <v>1836</v>
      </c>
      <c r="E64" s="9" t="str">
        <f>IF($B64 = "Mutant",VLOOKUP($C64,Mutants!$A$2:$L$560,12,FALSE),IF($B64 = "Test",VLOOKUP($C64,Tests!$A$2:$L$841,12,FALSE),VLOOKUP($C64,Questions!$A$3:$N$174,9,FALSE)))</f>
        <v>N</v>
      </c>
      <c r="F64" s="187" t="str">
        <f>IF($B64 = "Mutant",VLOOKUP($C64,Mutants!$A$2:$L$560,11,FALSE),IF($B64 = "Test",VLOOKUP($C64,Tests!$A$2:$L$841,11,FALSE),VLOOKUP($C64,Questions!$A$3:$N$174,13,FALSE)))</f>
        <v xml:space="preserve">
</v>
      </c>
      <c r="G64" s="187"/>
      <c r="H64" s="202"/>
    </row>
    <row r="65" spans="2:8" ht="12.75">
      <c r="B65" s="114" t="s">
        <v>4590</v>
      </c>
      <c r="C65" s="9">
        <v>504</v>
      </c>
      <c r="D65" s="9" t="s">
        <v>1853</v>
      </c>
      <c r="E65" s="9" t="str">
        <f>IF($B65 = "Mutant",VLOOKUP($C65,Mutants!$A$2:$L$560,12,FALSE),IF($B65 = "Test",VLOOKUP($C65,Tests!$A$2:$L$841,12,FALSE),VLOOKUP($C65,Questions!$A$3:$N$174,9,FALSE)))</f>
        <v>Y</v>
      </c>
      <c r="F65" s="187" t="str">
        <f>IF($B65 = "Mutant",VLOOKUP($C65,Mutants!$A$2:$L$560,11,FALSE),IF($B65 = "Test",VLOOKUP($C65,Tests!$A$2:$L$841,11,FALSE),VLOOKUP($C65,Questions!$A$3:$N$174,13,FALSE)))</f>
        <v xml:space="preserve">add, get
</v>
      </c>
      <c r="G65" s="187"/>
      <c r="H65" s="202"/>
    </row>
    <row r="66" spans="2:8" ht="12.75">
      <c r="B66" s="114" t="s">
        <v>4590</v>
      </c>
      <c r="C66" s="9">
        <v>524</v>
      </c>
      <c r="D66" s="9" t="s">
        <v>1914</v>
      </c>
      <c r="E66" s="9" t="str">
        <f>IF($B66 = "Mutant",VLOOKUP($C66,Mutants!$A$2:$L$560,12,FALSE),IF($B66 = "Test",VLOOKUP($C66,Tests!$A$2:$L$841,12,FALSE),VLOOKUP($C66,Questions!$A$3:$N$174,9,FALSE)))</f>
        <v>Y</v>
      </c>
      <c r="F66" s="187" t="str">
        <f>IF($B66 = "Mutant",VLOOKUP($C66,Mutants!$A$2:$L$560,11,FALSE),IF($B66 = "Test",VLOOKUP($C66,Tests!$A$2:$L$841,11,FALSE),VLOOKUP($C66,Questions!$A$3:$N$174,13,FALSE)))</f>
        <v xml:space="preserve">add, getField
</v>
      </c>
      <c r="G66" s="187"/>
      <c r="H66" s="202"/>
    </row>
    <row r="67" spans="2:8" ht="12.75">
      <c r="B67" s="114" t="s">
        <v>4590</v>
      </c>
      <c r="C67" s="9">
        <v>537</v>
      </c>
      <c r="D67" s="9" t="s">
        <v>1955</v>
      </c>
      <c r="E67" s="9" t="str">
        <f>IF($B67 = "Mutant",VLOOKUP($C67,Mutants!$A$2:$L$560,12,FALSE),IF($B67 = "Test",VLOOKUP($C67,Tests!$A$2:$L$841,12,FALSE),VLOOKUP($C67,Questions!$A$3:$N$174,9,FALSE)))</f>
        <v>Y</v>
      </c>
      <c r="F67" s="187" t="str">
        <f>IF($B67 = "Mutant",VLOOKUP($C67,Mutants!$A$2:$L$560,11,FALSE),IF($B67 = "Test",VLOOKUP($C67,Tests!$A$2:$L$841,11,FALSE),VLOOKUP($C67,Questions!$A$3:$N$174,13,FALSE)))</f>
        <v xml:space="preserve">
</v>
      </c>
      <c r="G67" s="187"/>
      <c r="H67" s="202"/>
    </row>
    <row r="68" spans="2:8" ht="12.75">
      <c r="B68" s="114" t="s">
        <v>4590</v>
      </c>
      <c r="C68" s="9">
        <v>549</v>
      </c>
      <c r="D68" s="9" t="s">
        <v>1993</v>
      </c>
      <c r="E68" s="9" t="str">
        <f>IF($B68 = "Mutant",VLOOKUP($C68,Mutants!$A$2:$L$560,12,FALSE),IF($B68 = "Test",VLOOKUP($C68,Tests!$A$2:$L$841,12,FALSE),VLOOKUP($C68,Questions!$A$3:$N$174,9,FALSE)))</f>
        <v>Y</v>
      </c>
      <c r="F68" s="187" t="str">
        <f>IF($B68 = "Mutant",VLOOKUP($C68,Mutants!$A$2:$L$560,11,FALSE),IF($B68 = "Test",VLOOKUP($C68,Tests!$A$2:$L$841,11,FALSE),VLOOKUP($C68,Questions!$A$3:$N$174,13,FALSE)))</f>
        <v xml:space="preserve">getField
</v>
      </c>
      <c r="G68" s="187"/>
      <c r="H68" s="202"/>
    </row>
    <row r="69" spans="2:8" ht="12.75">
      <c r="B69" s="114" t="s">
        <v>4590</v>
      </c>
      <c r="C69" s="9">
        <v>575</v>
      </c>
      <c r="D69" s="9" t="s">
        <v>2071</v>
      </c>
      <c r="E69" s="9" t="str">
        <f>IF($B69 = "Mutant",VLOOKUP($C69,Mutants!$A$2:$L$560,12,FALSE),IF($B69 = "Test",VLOOKUP($C69,Tests!$A$2:$L$841,12,FALSE),VLOOKUP($C69,Questions!$A$3:$N$174,9,FALSE)))</f>
        <v>N</v>
      </c>
      <c r="F69" s="187" t="str">
        <f>IF($B69 = "Mutant",VLOOKUP($C69,Mutants!$A$2:$L$560,11,FALSE),IF($B69 = "Test",VLOOKUP($C69,Tests!$A$2:$L$841,11,FALSE),VLOOKUP($C69,Questions!$A$3:$N$174,13,FALSE)))</f>
        <v xml:space="preserve">
</v>
      </c>
      <c r="G69" s="187"/>
      <c r="H69" s="202"/>
    </row>
    <row r="70" spans="2:8" ht="12.75">
      <c r="B70" s="114" t="s">
        <v>4590</v>
      </c>
      <c r="C70" s="9">
        <v>586</v>
      </c>
      <c r="D70" s="9" t="s">
        <v>2104</v>
      </c>
      <c r="E70" s="9" t="str">
        <f>IF($B70 = "Mutant",VLOOKUP($C70,Mutants!$A$2:$L$560,12,FALSE),IF($B70 = "Test",VLOOKUP($C70,Tests!$A$2:$L$841,12,FALSE),VLOOKUP($C70,Questions!$A$3:$N$174,9,FALSE)))</f>
        <v>N</v>
      </c>
      <c r="F70" s="187" t="str">
        <f>IF($B70 = "Mutant",VLOOKUP($C70,Mutants!$A$2:$L$560,11,FALSE),IF($B70 = "Test",VLOOKUP($C70,Tests!$A$2:$L$841,11,FALSE),VLOOKUP($C70,Questions!$A$3:$N$174,13,FALSE)))</f>
        <v xml:space="preserve">
</v>
      </c>
      <c r="G70" s="187"/>
      <c r="H70" s="202"/>
    </row>
    <row r="71" spans="2:8" ht="12.75">
      <c r="B71" s="114" t="s">
        <v>4590</v>
      </c>
      <c r="C71" s="9">
        <v>588</v>
      </c>
      <c r="D71" s="9" t="s">
        <v>496</v>
      </c>
      <c r="E71" s="9" t="str">
        <f>IF($B71 = "Mutant",VLOOKUP($C71,Mutants!$A$2:$L$560,12,FALSE),IF($B71 = "Test",VLOOKUP($C71,Tests!$A$2:$L$841,12,FALSE),VLOOKUP($C71,Questions!$A$3:$N$174,9,FALSE)))</f>
        <v>Y</v>
      </c>
      <c r="F71" s="187" t="str">
        <f>IF($B71 = "Mutant",VLOOKUP($C71,Mutants!$A$2:$L$560,11,FALSE),IF($B71 = "Test",VLOOKUP($C71,Tests!$A$2:$L$841,11,FALSE),VLOOKUP($C71,Questions!$A$3:$N$174,13,FALSE)))</f>
        <v xml:space="preserve">add, getFields_1
</v>
      </c>
      <c r="G71" s="187"/>
      <c r="H71" s="202"/>
    </row>
    <row r="72" spans="2:8" ht="12.75">
      <c r="B72" s="114" t="s">
        <v>4590</v>
      </c>
      <c r="C72" s="9">
        <v>599</v>
      </c>
      <c r="D72" s="9" t="s">
        <v>2137</v>
      </c>
      <c r="E72" s="9" t="str">
        <f>IF($B72 = "Mutant",VLOOKUP($C72,Mutants!$A$2:$L$560,12,FALSE),IF($B72 = "Test",VLOOKUP($C72,Tests!$A$2:$L$841,12,FALSE),VLOOKUP($C72,Questions!$A$3:$N$174,9,FALSE)))</f>
        <v>Y</v>
      </c>
      <c r="F72" s="187" t="str">
        <f>IF($B72 = "Mutant",VLOOKUP($C72,Mutants!$A$2:$L$560,11,FALSE),IF($B72 = "Test",VLOOKUP($C72,Tests!$A$2:$L$841,11,FALSE),VLOOKUP($C72,Questions!$A$3:$N$174,13,FALSE)))</f>
        <v xml:space="preserve">add, removeField, getFields_1
</v>
      </c>
      <c r="G72" s="187"/>
      <c r="H72" s="202"/>
    </row>
    <row r="73" spans="2:8" ht="12.75">
      <c r="B73" s="114" t="s">
        <v>4590</v>
      </c>
      <c r="C73" s="9">
        <v>613</v>
      </c>
      <c r="D73" s="9" t="s">
        <v>2176</v>
      </c>
      <c r="E73" s="9" t="str">
        <f>IF($B73 = "Mutant",VLOOKUP($C73,Mutants!$A$2:$L$560,12,FALSE),IF($B73 = "Test",VLOOKUP($C73,Tests!$A$2:$L$841,12,FALSE),VLOOKUP($C73,Questions!$A$3:$N$174,9,FALSE)))</f>
        <v>Y</v>
      </c>
      <c r="F73" s="187" t="str">
        <f>IF($B73 = "Mutant",VLOOKUP($C73,Mutants!$A$2:$L$560,11,FALSE),IF($B73 = "Test",VLOOKUP($C73,Tests!$A$2:$L$841,11,FALSE),VLOOKUP($C73,Questions!$A$3:$N$174,13,FALSE)))</f>
        <v xml:space="preserve">add, removeField, getFields_1
</v>
      </c>
      <c r="G73" s="187"/>
      <c r="H73" s="202"/>
    </row>
    <row r="74" spans="2:8" ht="12.75">
      <c r="B74" s="114" t="s">
        <v>4590</v>
      </c>
      <c r="C74" s="9">
        <v>628</v>
      </c>
      <c r="D74" s="9" t="s">
        <v>2214</v>
      </c>
      <c r="E74" s="9" t="str">
        <f>IF($B74 = "Mutant",VLOOKUP($C74,Mutants!$A$2:$L$560,12,FALSE),IF($B74 = "Test",VLOOKUP($C74,Tests!$A$2:$L$841,12,FALSE),VLOOKUP($C74,Questions!$A$3:$N$174,9,FALSE)))</f>
        <v>Y</v>
      </c>
      <c r="F74" s="187" t="str">
        <f>IF($B74 = "Mutant",VLOOKUP($C74,Mutants!$A$2:$L$560,11,FALSE),IF($B74 = "Test",VLOOKUP($C74,Tests!$A$2:$L$841,11,FALSE),VLOOKUP($C74,Questions!$A$3:$N$174,13,FALSE)))</f>
        <v xml:space="preserve">add, removeFields, getFields_1
</v>
      </c>
      <c r="G74" s="187"/>
      <c r="H74" s="202"/>
    </row>
    <row r="75" spans="2:8" ht="12.75">
      <c r="B75" s="114" t="s">
        <v>4590</v>
      </c>
      <c r="C75" s="9">
        <v>674</v>
      </c>
      <c r="D75" s="9" t="s">
        <v>2351</v>
      </c>
      <c r="E75" s="9" t="str">
        <f>IF($B75 = "Mutant",VLOOKUP($C75,Mutants!$A$2:$L$560,12,FALSE),IF($B75 = "Test",VLOOKUP($C75,Tests!$A$2:$L$841,12,FALSE),VLOOKUP($C75,Questions!$A$3:$N$174,9,FALSE)))</f>
        <v>Y</v>
      </c>
      <c r="F75" s="187" t="str">
        <f>IF($B75 = "Mutant",VLOOKUP($C75,Mutants!$A$2:$L$560,11,FALSE),IF($B75 = "Test",VLOOKUP($C75,Tests!$A$2:$L$841,11,FALSE),VLOOKUP($C75,Questions!$A$3:$N$174,13,FALSE)))</f>
        <v xml:space="preserve">add, removeFields, toString
</v>
      </c>
      <c r="G75" s="187"/>
      <c r="H75" s="202"/>
    </row>
    <row r="76" spans="2:8" ht="12.75">
      <c r="B76" s="114" t="s">
        <v>4590</v>
      </c>
      <c r="C76" s="9">
        <v>694</v>
      </c>
      <c r="D76" s="9" t="s">
        <v>2400</v>
      </c>
      <c r="E76" s="9" t="str">
        <f>IF($B76 = "Mutant",VLOOKUP($C76,Mutants!$A$2:$L$560,12,FALSE),IF($B76 = "Test",VLOOKUP($C76,Tests!$A$2:$L$841,12,FALSE),VLOOKUP($C76,Questions!$A$3:$N$174,9,FALSE)))</f>
        <v>Y</v>
      </c>
      <c r="F76" s="187" t="str">
        <f>IF($B76 = "Mutant",VLOOKUP($C76,Mutants!$A$2:$L$560,11,FALSE),IF($B76 = "Test",VLOOKUP($C76,Tests!$A$2:$L$841,11,FALSE),VLOOKUP($C76,Questions!$A$3:$N$174,13,FALSE)))</f>
        <v xml:space="preserve">add, toString
</v>
      </c>
      <c r="G76" s="187"/>
      <c r="H76" s="202"/>
    </row>
    <row r="77" spans="2:8" ht="12.75">
      <c r="B77" s="114" t="s">
        <v>4590</v>
      </c>
      <c r="C77" s="9">
        <v>716</v>
      </c>
      <c r="D77" s="9" t="s">
        <v>425</v>
      </c>
      <c r="E77" s="9" t="str">
        <f>IF($B77 = "Mutant",VLOOKUP($C77,Mutants!$A$2:$L$560,12,FALSE),IF($B77 = "Test",VLOOKUP($C77,Tests!$A$2:$L$841,12,FALSE),VLOOKUP($C77,Questions!$A$3:$N$174,9,FALSE)))</f>
        <v>Y</v>
      </c>
      <c r="F77" s="187" t="str">
        <f>IF($B77 = "Mutant",VLOOKUP($C77,Mutants!$A$2:$L$560,11,FALSE),IF($B77 = "Test",VLOOKUP($C77,Tests!$A$2:$L$841,11,FALSE),VLOOKUP($C77,Questions!$A$3:$N$174,13,FALSE)))</f>
        <v xml:space="preserve">add, get, toString
</v>
      </c>
      <c r="G77" s="187"/>
      <c r="H77" s="202"/>
    </row>
    <row r="78" spans="2:8" ht="12.75">
      <c r="B78" s="114" t="s">
        <v>4590</v>
      </c>
      <c r="C78" s="9">
        <v>726</v>
      </c>
      <c r="D78" s="9" t="s">
        <v>2481</v>
      </c>
      <c r="E78" s="9" t="str">
        <f>IF($B78 = "Mutant",VLOOKUP($C78,Mutants!$A$2:$L$560,12,FALSE),IF($B78 = "Test",VLOOKUP($C78,Tests!$A$2:$L$841,12,FALSE),VLOOKUP($C78,Questions!$A$3:$N$174,9,FALSE)))</f>
        <v>Y</v>
      </c>
      <c r="F78" s="187" t="str">
        <f>IF($B78 = "Mutant",VLOOKUP($C78,Mutants!$A$2:$L$560,11,FALSE),IF($B78 = "Test",VLOOKUP($C78,Tests!$A$2:$L$841,11,FALSE),VLOOKUP($C78,Questions!$A$3:$N$174,13,FALSE)))</f>
        <v xml:space="preserve">add, get, toString
</v>
      </c>
      <c r="G78" s="187"/>
      <c r="H78" s="202"/>
    </row>
    <row r="79" spans="2:8" ht="12.75">
      <c r="B79" s="114" t="s">
        <v>4590</v>
      </c>
      <c r="C79" s="9">
        <v>766</v>
      </c>
      <c r="D79" s="9" t="s">
        <v>2595</v>
      </c>
      <c r="E79" s="9" t="str">
        <f>IF($B79 = "Mutant",VLOOKUP($C79,Mutants!$A$2:$L$560,12,FALSE),IF($B79 = "Test",VLOOKUP($C79,Tests!$A$2:$L$841,12,FALSE),VLOOKUP($C79,Questions!$A$3:$N$174,9,FALSE)))</f>
        <v>Y</v>
      </c>
      <c r="F79" s="187" t="str">
        <f>IF($B79 = "Mutant",VLOOKUP($C79,Mutants!$A$2:$L$560,11,FALSE),IF($B79 = "Test",VLOOKUP($C79,Tests!$A$2:$L$841,11,FALSE),VLOOKUP($C79,Questions!$A$3:$N$174,13,FALSE)))</f>
        <v xml:space="preserve">add, getField, toString
</v>
      </c>
      <c r="G79" s="187"/>
      <c r="H79" s="202"/>
    </row>
    <row r="80" spans="2:8" ht="12.75">
      <c r="B80" s="114" t="s">
        <v>4590</v>
      </c>
      <c r="C80" s="9">
        <v>798</v>
      </c>
      <c r="D80" s="9" t="s">
        <v>2675</v>
      </c>
      <c r="E80" s="9" t="str">
        <f>IF($B80 = "Mutant",VLOOKUP($C80,Mutants!$A$2:$L$560,12,FALSE),IF($B80 = "Test",VLOOKUP($C80,Tests!$A$2:$L$841,12,FALSE),VLOOKUP($C80,Questions!$A$3:$N$174,9,FALSE)))</f>
        <v>Y</v>
      </c>
      <c r="F80" s="187" t="str">
        <f>IF($B80 = "Mutant",VLOOKUP($C80,Mutants!$A$2:$L$560,11,FALSE),IF($B80 = "Test",VLOOKUP($C80,Tests!$A$2:$L$841,11,FALSE),VLOOKUP($C80,Questions!$A$3:$N$174,13,FALSE)))</f>
        <v xml:space="preserve">add, getBinaryValues
</v>
      </c>
      <c r="G80" s="187"/>
      <c r="H80" s="202"/>
    </row>
    <row r="81" spans="2:8" ht="12.75">
      <c r="B81" s="114" t="s">
        <v>4590</v>
      </c>
      <c r="C81" s="9">
        <v>858</v>
      </c>
      <c r="D81" s="9" t="s">
        <v>2840</v>
      </c>
      <c r="E81" s="9" t="str">
        <f>IF($B81 = "Mutant",VLOOKUP($C81,Mutants!$A$2:$L$560,12,FALSE),IF($B81 = "Test",VLOOKUP($C81,Tests!$A$2:$L$841,12,FALSE),VLOOKUP($C81,Questions!$A$3:$N$174,9,FALSE)))</f>
        <v>Y</v>
      </c>
      <c r="F81" s="187" t="str">
        <f>IF($B81 = "Mutant",VLOOKUP($C81,Mutants!$A$2:$L$560,11,FALSE),IF($B81 = "Test",VLOOKUP($C81,Tests!$A$2:$L$841,11,FALSE),VLOOKUP($C81,Questions!$A$3:$N$174,13,FALSE)))</f>
        <v xml:space="preserve">add, removeFields, getFields_1
</v>
      </c>
      <c r="G81" s="187"/>
      <c r="H81" s="202"/>
    </row>
    <row r="82" spans="2:8" ht="12.75">
      <c r="B82" s="114" t="s">
        <v>4590</v>
      </c>
      <c r="C82" s="9">
        <v>879</v>
      </c>
      <c r="D82" s="9" t="s">
        <v>2911</v>
      </c>
      <c r="E82" s="9" t="str">
        <f>IF($B82 = "Mutant",VLOOKUP($C82,Mutants!$A$2:$L$560,12,FALSE),IF($B82 = "Test",VLOOKUP($C82,Tests!$A$2:$L$841,12,FALSE),VLOOKUP($C82,Questions!$A$3:$N$174,9,FALSE)))</f>
        <v>Y</v>
      </c>
      <c r="F82" s="187" t="str">
        <f>IF($B82 = "Mutant",VLOOKUP($C82,Mutants!$A$2:$L$560,11,FALSE),IF($B82 = "Test",VLOOKUP($C82,Tests!$A$2:$L$841,11,FALSE),VLOOKUP($C82,Questions!$A$3:$N$174,13,FALSE)))</f>
        <v xml:space="preserve">add, removeFields, toString
</v>
      </c>
      <c r="G82" s="187"/>
      <c r="H82" s="202"/>
    </row>
    <row r="83" spans="2:8" ht="12.75">
      <c r="B83" s="114" t="s">
        <v>4590</v>
      </c>
      <c r="C83" s="9">
        <v>898</v>
      </c>
      <c r="D83" s="9" t="s">
        <v>2958</v>
      </c>
      <c r="E83" s="9" t="str">
        <f>IF($B83 = "Mutant",VLOOKUP($C83,Mutants!$A$2:$L$560,12,FALSE),IF($B83 = "Test",VLOOKUP($C83,Tests!$A$2:$L$841,12,FALSE),VLOOKUP($C83,Questions!$A$3:$N$174,9,FALSE)))</f>
        <v>Y</v>
      </c>
      <c r="F83" s="187" t="str">
        <f>IF($B83 = "Mutant",VLOOKUP($C83,Mutants!$A$2:$L$560,11,FALSE),IF($B83 = "Test",VLOOKUP($C83,Tests!$A$2:$L$841,11,FALSE),VLOOKUP($C83,Questions!$A$3:$N$174,13,FALSE)))</f>
        <v xml:space="preserve">add, getBinaryValue
</v>
      </c>
      <c r="G83" s="187"/>
      <c r="H83" s="202"/>
    </row>
    <row r="84" spans="2:8" ht="12.75">
      <c r="B84" s="133" t="s">
        <v>4590</v>
      </c>
      <c r="C84" s="130">
        <v>921</v>
      </c>
      <c r="D84" s="130" t="s">
        <v>419</v>
      </c>
      <c r="E84" s="130" t="str">
        <f>IF($B84 = "Mutant",VLOOKUP($C84,Mutants!$A$2:$L$560,12,FALSE),IF($B84 = "Test",VLOOKUP($C84,Tests!$A$2:$L$841,12,FALSE),VLOOKUP($C84,Questions!$A$3:$N$174,9,FALSE)))</f>
        <v>Y</v>
      </c>
      <c r="F84" s="203" t="str">
        <f>IF($B84 = "Mutant",VLOOKUP($C84,Mutants!$A$2:$L$560,11,FALSE),IF($B84 = "Test",VLOOKUP($C84,Tests!$A$2:$L$841,11,FALSE),VLOOKUP($C84,Questions!$A$3:$N$174,13,FALSE)))</f>
        <v xml:space="preserve">add, getBinaryValue
</v>
      </c>
      <c r="G84" s="203"/>
      <c r="H84" s="204"/>
    </row>
    <row r="85" spans="2:8" ht="15.75" customHeight="1">
      <c r="E85" s="9"/>
      <c r="F85" s="187"/>
      <c r="G85" s="187"/>
      <c r="H85" s="187"/>
    </row>
    <row r="86" spans="2:8" ht="15.75" customHeight="1">
      <c r="E86" s="9"/>
      <c r="F86" s="187"/>
      <c r="G86" s="187"/>
      <c r="H86" s="187"/>
    </row>
    <row r="87" spans="2:8" ht="13.5" thickBot="1">
      <c r="B87" s="219" t="s">
        <v>4604</v>
      </c>
      <c r="C87" s="201"/>
      <c r="D87" s="45">
        <v>208</v>
      </c>
      <c r="E87" s="9"/>
      <c r="F87" s="187"/>
      <c r="G87" s="187"/>
      <c r="H87" s="187"/>
    </row>
    <row r="88" spans="2:8" ht="13.5" thickTop="1">
      <c r="B88" s="134" t="s">
        <v>4594</v>
      </c>
      <c r="C88" s="135" t="s">
        <v>44</v>
      </c>
      <c r="D88" s="135" t="s">
        <v>110</v>
      </c>
      <c r="E88" s="136" t="s">
        <v>2</v>
      </c>
      <c r="F88" s="229" t="s">
        <v>4612</v>
      </c>
      <c r="G88" s="229"/>
      <c r="H88" s="230"/>
    </row>
    <row r="89" spans="2:8" ht="12.75">
      <c r="B89" s="137" t="s">
        <v>4589</v>
      </c>
      <c r="C89" s="93">
        <v>368</v>
      </c>
      <c r="D89" s="93" t="s">
        <v>3831</v>
      </c>
      <c r="E89" s="93" t="str">
        <f>IF($B89 = "Mutant",VLOOKUP($C89,Mutants!$A$2:$L$560,12,FALSE),IF($B89 = "Test",VLOOKUP($C89,Tests!$A$2:$L$841,12,FALSE),VLOOKUP($C89,Questions!$A$3:$N$174,9,FALSE)))</f>
        <v>Y</v>
      </c>
      <c r="F89" s="205" t="str">
        <f>IF($B89 = "Mutant",VLOOKUP($C89,Mutants!$A$2:$L$560,11,FALSE),IF($B89 = "Test",VLOOKUP($C89,Tests!$A$2:$L$841,11,FALSE),VLOOKUP($C89,Questions!$A$3:$N$174,13,FALSE)))</f>
        <v xml:space="preserve">add
</v>
      </c>
      <c r="G89" s="205"/>
      <c r="H89" s="206"/>
    </row>
    <row r="90" spans="2:8" ht="12.75">
      <c r="B90" s="114" t="s">
        <v>4589</v>
      </c>
      <c r="C90" s="9">
        <v>377</v>
      </c>
      <c r="D90" s="9" t="s">
        <v>3857</v>
      </c>
      <c r="E90" s="9" t="str">
        <f>IF($B90 = "Mutant",VLOOKUP($C90,Mutants!$A$2:$L$560,12,FALSE),IF($B90 = "Test",VLOOKUP($C90,Tests!$A$2:$L$841,12,FALSE),VLOOKUP($C90,Questions!$A$3:$N$174,9,FALSE)))</f>
        <v>N</v>
      </c>
      <c r="F90" s="187" t="str">
        <f>IF($B90 = "Mutant",VLOOKUP($C90,Mutants!$A$2:$L$560,11,FALSE),IF($B90 = "Test",VLOOKUP($C90,Tests!$A$2:$L$841,11,FALSE),VLOOKUP($C90,Questions!$A$3:$N$174,13,FALSE)))</f>
        <v xml:space="preserve">
</v>
      </c>
      <c r="G90" s="187"/>
      <c r="H90" s="202"/>
    </row>
    <row r="91" spans="2:8" ht="12.75">
      <c r="B91" s="114" t="s">
        <v>4589</v>
      </c>
      <c r="C91" s="9">
        <v>412</v>
      </c>
      <c r="D91" s="9" t="s">
        <v>1752</v>
      </c>
      <c r="E91" s="9" t="str">
        <f>IF($B91 = "Mutant",VLOOKUP($C91,Mutants!$A$2:$L$560,12,FALSE),IF($B91 = "Test",VLOOKUP($C91,Tests!$A$2:$L$841,12,FALSE),VLOOKUP($C91,Questions!$A$3:$N$174,9,FALSE)))</f>
        <v>Y</v>
      </c>
      <c r="F91" s="187" t="str">
        <f>IF($B91 = "Mutant",VLOOKUP($C91,Mutants!$A$2:$L$560,11,FALSE),IF($B91 = "Test",VLOOKUP($C91,Tests!$A$2:$L$841,11,FALSE),VLOOKUP($C91,Questions!$A$3:$N$174,13,FALSE)))</f>
        <v xml:space="preserve">getBinaryValues
</v>
      </c>
      <c r="G91" s="187"/>
      <c r="H91" s="202"/>
    </row>
    <row r="92" spans="2:8" ht="12.75">
      <c r="B92" s="114" t="s">
        <v>4589</v>
      </c>
      <c r="C92" s="9">
        <v>420</v>
      </c>
      <c r="D92" s="9" t="s">
        <v>3972</v>
      </c>
      <c r="E92" s="9" t="str">
        <f>IF($B92 = "Mutant",VLOOKUP($C92,Mutants!$A$2:$L$560,12,FALSE),IF($B92 = "Test",VLOOKUP($C92,Tests!$A$2:$L$841,12,FALSE),VLOOKUP($C92,Questions!$A$3:$N$174,9,FALSE)))</f>
        <v>Y</v>
      </c>
      <c r="F92" s="187" t="str">
        <f>IF($B92 = "Mutant",VLOOKUP($C92,Mutants!$A$2:$L$560,11,FALSE),IF($B92 = "Test",VLOOKUP($C92,Tests!$A$2:$L$841,11,FALSE),VLOOKUP($C92,Questions!$A$3:$N$174,13,FALSE)))</f>
        <v xml:space="preserve">getBinaryValue
</v>
      </c>
      <c r="G92" s="187"/>
      <c r="H92" s="202"/>
    </row>
    <row r="93" spans="2:8" ht="12.75">
      <c r="B93" s="114" t="s">
        <v>4589</v>
      </c>
      <c r="C93" s="9">
        <v>431</v>
      </c>
      <c r="D93" s="9" t="s">
        <v>3995</v>
      </c>
      <c r="E93" s="9" t="str">
        <f>IF($B93 = "Mutant",VLOOKUP($C93,Mutants!$A$2:$L$560,12,FALSE),IF($B93 = "Test",VLOOKUP($C93,Tests!$A$2:$L$841,12,FALSE),VLOOKUP($C93,Questions!$A$3:$N$174,9,FALSE)))</f>
        <v>Y</v>
      </c>
      <c r="F93" s="187" t="str">
        <f>IF($B93 = "Mutant",VLOOKUP($C93,Mutants!$A$2:$L$560,11,FALSE),IF($B93 = "Test",VLOOKUP($C93,Tests!$A$2:$L$841,11,FALSE),VLOOKUP($C93,Questions!$A$3:$N$174,13,FALSE)))</f>
        <v xml:space="preserve">
</v>
      </c>
      <c r="G93" s="187"/>
      <c r="H93" s="202"/>
    </row>
    <row r="94" spans="2:8" ht="12.75">
      <c r="B94" s="114" t="s">
        <v>4589</v>
      </c>
      <c r="C94" s="9">
        <v>443</v>
      </c>
      <c r="D94" s="9" t="s">
        <v>4030</v>
      </c>
      <c r="E94" s="9" t="str">
        <f>IF($B94 = "Mutant",VLOOKUP($C94,Mutants!$A$2:$L$560,12,FALSE),IF($B94 = "Test",VLOOKUP($C94,Tests!$A$2:$L$841,12,FALSE),VLOOKUP($C94,Questions!$A$3:$N$174,9,FALSE)))</f>
        <v>Y</v>
      </c>
      <c r="F94" s="187" t="str">
        <f>IF($B94 = "Mutant",VLOOKUP($C94,Mutants!$A$2:$L$560,11,FALSE),IF($B94 = "Test",VLOOKUP($C94,Tests!$A$2:$L$841,11,FALSE),VLOOKUP($C94,Questions!$A$3:$N$174,13,FALSE)))</f>
        <v xml:space="preserve">
</v>
      </c>
      <c r="G94" s="187"/>
      <c r="H94" s="202"/>
    </row>
    <row r="95" spans="2:8" ht="12.75">
      <c r="B95" s="114" t="s">
        <v>4589</v>
      </c>
      <c r="C95" s="9">
        <v>456</v>
      </c>
      <c r="D95" s="9" t="s">
        <v>4066</v>
      </c>
      <c r="E95" s="9" t="str">
        <f>IF($B95 = "Mutant",VLOOKUP($C95,Mutants!$A$2:$L$560,12,FALSE),IF($B95 = "Test",VLOOKUP($C95,Tests!$A$2:$L$841,12,FALSE),VLOOKUP($C95,Questions!$A$3:$N$174,9,FALSE)))</f>
        <v>Y</v>
      </c>
      <c r="F95" s="187" t="str">
        <f>IF($B95 = "Mutant",VLOOKUP($C95,Mutants!$A$2:$L$560,11,FALSE),IF($B95 = "Test",VLOOKUP($C95,Tests!$A$2:$L$841,11,FALSE),VLOOKUP($C95,Questions!$A$3:$N$174,13,FALSE)))</f>
        <v xml:space="preserve">toString
</v>
      </c>
      <c r="G95" s="187"/>
      <c r="H95" s="202"/>
    </row>
    <row r="96" spans="2:8" ht="12.75">
      <c r="B96" s="114" t="s">
        <v>4589</v>
      </c>
      <c r="C96" s="9">
        <v>468</v>
      </c>
      <c r="D96" s="9" t="s">
        <v>4095</v>
      </c>
      <c r="E96" s="9" t="str">
        <f>IF($B96 = "Mutant",VLOOKUP($C96,Mutants!$A$2:$L$560,12,FALSE),IF($B96 = "Test",VLOOKUP($C96,Tests!$A$2:$L$841,12,FALSE),VLOOKUP($C96,Questions!$A$3:$N$174,9,FALSE)))</f>
        <v>Y</v>
      </c>
      <c r="F96" s="187" t="str">
        <f>IF($B96 = "Mutant",VLOOKUP($C96,Mutants!$A$2:$L$560,11,FALSE),IF($B96 = "Test",VLOOKUP($C96,Tests!$A$2:$L$841,11,FALSE),VLOOKUP($C96,Questions!$A$3:$N$174,13,FALSE)))</f>
        <v xml:space="preserve">toString
</v>
      </c>
      <c r="G96" s="187"/>
      <c r="H96" s="202"/>
    </row>
    <row r="97" spans="2:8" ht="12.75">
      <c r="B97" s="114" t="s">
        <v>4589</v>
      </c>
      <c r="C97" s="9">
        <v>475</v>
      </c>
      <c r="D97" s="9" t="s">
        <v>4113</v>
      </c>
      <c r="E97" s="9" t="str">
        <f>IF($B97 = "Mutant",VLOOKUP($C97,Mutants!$A$2:$L$560,12,FALSE),IF($B97 = "Test",VLOOKUP($C97,Tests!$A$2:$L$841,12,FALSE),VLOOKUP($C97,Questions!$A$3:$N$174,9,FALSE)))</f>
        <v>Y</v>
      </c>
      <c r="F97" s="187" t="str">
        <f>IF($B97 = "Mutant",VLOOKUP($C97,Mutants!$A$2:$L$560,11,FALSE),IF($B97 = "Test",VLOOKUP($C97,Tests!$A$2:$L$841,11,FALSE),VLOOKUP($C97,Questions!$A$3:$N$174,13,FALSE)))</f>
        <v xml:space="preserve">toString
</v>
      </c>
      <c r="G97" s="187"/>
      <c r="H97" s="202"/>
    </row>
    <row r="98" spans="2:8" ht="12.75">
      <c r="B98" s="114" t="s">
        <v>4589</v>
      </c>
      <c r="C98" s="9">
        <v>485</v>
      </c>
      <c r="D98" s="9" t="s">
        <v>4142</v>
      </c>
      <c r="E98" s="9" t="str">
        <f>IF($B98 = "Mutant",VLOOKUP($C98,Mutants!$A$2:$L$560,12,FALSE),IF($B98 = "Test",VLOOKUP($C98,Tests!$A$2:$L$841,12,FALSE),VLOOKUP($C98,Questions!$A$3:$N$174,9,FALSE)))</f>
        <v>Y</v>
      </c>
      <c r="F98" s="187" t="str">
        <f>IF($B98 = "Mutant",VLOOKUP($C98,Mutants!$A$2:$L$560,11,FALSE),IF($B98 = "Test",VLOOKUP($C98,Tests!$A$2:$L$841,11,FALSE),VLOOKUP($C98,Questions!$A$3:$N$174,13,FALSE)))</f>
        <v xml:space="preserve">removeFields
</v>
      </c>
      <c r="G98" s="187"/>
      <c r="H98" s="202"/>
    </row>
    <row r="99" spans="2:8" ht="12.75">
      <c r="B99" s="114" t="s">
        <v>4589</v>
      </c>
      <c r="C99" s="9">
        <v>493</v>
      </c>
      <c r="D99" s="9" t="s">
        <v>4162</v>
      </c>
      <c r="E99" s="9" t="str">
        <f>IF($B99 = "Mutant",VLOOKUP($C99,Mutants!$A$2:$L$560,12,FALSE),IF($B99 = "Test",VLOOKUP($C99,Tests!$A$2:$L$841,12,FALSE),VLOOKUP($C99,Questions!$A$3:$N$174,9,FALSE)))</f>
        <v>Y</v>
      </c>
      <c r="F99" s="187" t="str">
        <f>IF($B99 = "Mutant",VLOOKUP($C99,Mutants!$A$2:$L$560,11,FALSE),IF($B99 = "Test",VLOOKUP($C99,Tests!$A$2:$L$841,11,FALSE),VLOOKUP($C99,Questions!$A$3:$N$174,13,FALSE)))</f>
        <v xml:space="preserve">removeField
</v>
      </c>
      <c r="G99" s="187"/>
      <c r="H99" s="202"/>
    </row>
    <row r="100" spans="2:8" ht="12.75">
      <c r="B100" s="114" t="s">
        <v>4589</v>
      </c>
      <c r="C100" s="9">
        <v>518</v>
      </c>
      <c r="D100" s="9" t="s">
        <v>4227</v>
      </c>
      <c r="E100" s="9" t="str">
        <f>IF($B100 = "Mutant",VLOOKUP($C100,Mutants!$A$2:$L$560,12,FALSE),IF($B100 = "Test",VLOOKUP($C100,Tests!$A$2:$L$841,12,FALSE),VLOOKUP($C100,Questions!$A$3:$N$174,9,FALSE)))</f>
        <v>Y</v>
      </c>
      <c r="F100" s="187" t="str">
        <f>IF($B100 = "Mutant",VLOOKUP($C100,Mutants!$A$2:$L$560,11,FALSE),IF($B100 = "Test",VLOOKUP($C100,Tests!$A$2:$L$841,11,FALSE),VLOOKUP($C100,Questions!$A$3:$N$174,13,FALSE)))</f>
        <v xml:space="preserve">
</v>
      </c>
      <c r="G100" s="187"/>
      <c r="H100" s="202"/>
    </row>
    <row r="101" spans="2:8" ht="12.75">
      <c r="B101" s="114" t="s">
        <v>4589</v>
      </c>
      <c r="C101" s="9">
        <v>532</v>
      </c>
      <c r="D101" s="9" t="s">
        <v>4265</v>
      </c>
      <c r="E101" s="9" t="str">
        <f>IF($B101 = "Mutant",VLOOKUP($C101,Mutants!$A$2:$L$560,12,FALSE),IF($B101 = "Test",VLOOKUP($C101,Tests!$A$2:$L$841,12,FALSE),VLOOKUP($C101,Questions!$A$3:$N$174,9,FALSE)))</f>
        <v>Y</v>
      </c>
      <c r="F101" s="187" t="str">
        <f>IF($B101 = "Mutant",VLOOKUP($C101,Mutants!$A$2:$L$560,11,FALSE),IF($B101 = "Test",VLOOKUP($C101,Tests!$A$2:$L$841,11,FALSE),VLOOKUP($C101,Questions!$A$3:$N$174,13,FALSE)))</f>
        <v xml:space="preserve">getFields_1
</v>
      </c>
      <c r="G101" s="187"/>
      <c r="H101" s="202"/>
    </row>
    <row r="102" spans="2:8" ht="12.75">
      <c r="B102" s="114" t="s">
        <v>4589</v>
      </c>
      <c r="C102" s="9">
        <v>542</v>
      </c>
      <c r="D102" s="9" t="s">
        <v>4286</v>
      </c>
      <c r="E102" s="9" t="str">
        <f>IF($B102 = "Mutant",VLOOKUP($C102,Mutants!$A$2:$L$560,12,FALSE),IF($B102 = "Test",VLOOKUP($C102,Tests!$A$2:$L$841,12,FALSE),VLOOKUP($C102,Questions!$A$3:$N$174,9,FALSE)))</f>
        <v>Y</v>
      </c>
      <c r="F102" s="187" t="str">
        <f>IF($B102 = "Mutant",VLOOKUP($C102,Mutants!$A$2:$L$560,11,FALSE),IF($B102 = "Test",VLOOKUP($C102,Tests!$A$2:$L$841,11,FALSE),VLOOKUP($C102,Questions!$A$3:$N$174,13,FALSE)))</f>
        <v xml:space="preserve">toString
</v>
      </c>
      <c r="G102" s="187"/>
      <c r="H102" s="202"/>
    </row>
    <row r="103" spans="2:8" ht="12.75">
      <c r="B103" s="114" t="s">
        <v>4589</v>
      </c>
      <c r="C103" s="9">
        <v>547</v>
      </c>
      <c r="D103" s="9" t="s">
        <v>4300</v>
      </c>
      <c r="E103" s="9" t="str">
        <f>IF($B103 = "Mutant",VLOOKUP($C103,Mutants!$A$2:$L$560,12,FALSE),IF($B103 = "Test",VLOOKUP($C103,Tests!$A$2:$L$841,12,FALSE),VLOOKUP($C103,Questions!$A$3:$N$174,9,FALSE)))</f>
        <v>Y</v>
      </c>
      <c r="F103" s="187" t="str">
        <f>IF($B103 = "Mutant",VLOOKUP($C103,Mutants!$A$2:$L$560,11,FALSE),IF($B103 = "Test",VLOOKUP($C103,Tests!$A$2:$L$841,11,FALSE),VLOOKUP($C103,Questions!$A$3:$N$174,13,FALSE)))</f>
        <v xml:space="preserve">toString
</v>
      </c>
      <c r="G103" s="187"/>
      <c r="H103" s="202"/>
    </row>
    <row r="104" spans="2:8" ht="12.75">
      <c r="B104" s="114" t="s">
        <v>4589</v>
      </c>
      <c r="C104" s="9">
        <v>550</v>
      </c>
      <c r="D104" s="9" t="s">
        <v>4310</v>
      </c>
      <c r="E104" s="9" t="str">
        <f>IF($B104 = "Mutant",VLOOKUP($C104,Mutants!$A$2:$L$560,12,FALSE),IF($B104 = "Test",VLOOKUP($C104,Tests!$A$2:$L$841,12,FALSE),VLOOKUP($C104,Questions!$A$3:$N$174,9,FALSE)))</f>
        <v>Y</v>
      </c>
      <c r="F104" s="187" t="str">
        <f>IF($B104 = "Mutant",VLOOKUP($C104,Mutants!$A$2:$L$560,11,FALSE),IF($B104 = "Test",VLOOKUP($C104,Tests!$A$2:$L$841,11,FALSE),VLOOKUP($C104,Questions!$A$3:$N$174,13,FALSE)))</f>
        <v xml:space="preserve">clear
</v>
      </c>
      <c r="G104" s="187"/>
      <c r="H104" s="202"/>
    </row>
    <row r="105" spans="2:8" ht="12.75">
      <c r="B105" s="114" t="s">
        <v>4589</v>
      </c>
      <c r="C105" s="9">
        <v>563</v>
      </c>
      <c r="D105" s="9" t="s">
        <v>2046</v>
      </c>
      <c r="E105" s="9" t="str">
        <f>IF($B105 = "Mutant",VLOOKUP($C105,Mutants!$A$2:$L$560,12,FALSE),IF($B105 = "Test",VLOOKUP($C105,Tests!$A$2:$L$841,12,FALSE),VLOOKUP($C105,Questions!$A$3:$N$174,9,FALSE)))</f>
        <v>Y</v>
      </c>
      <c r="F105" s="187" t="str">
        <f>IF($B105 = "Mutant",VLOOKUP($C105,Mutants!$A$2:$L$560,11,FALSE),IF($B105 = "Test",VLOOKUP($C105,Tests!$A$2:$L$841,11,FALSE),VLOOKUP($C105,Questions!$A$3:$N$174,13,FALSE)))</f>
        <v xml:space="preserve">getField
</v>
      </c>
      <c r="G105" s="187"/>
      <c r="H105" s="202"/>
    </row>
    <row r="106" spans="2:8" ht="12.75">
      <c r="B106" s="114" t="s">
        <v>4590</v>
      </c>
      <c r="C106" s="9">
        <v>670</v>
      </c>
      <c r="D106" s="9" t="s">
        <v>2340</v>
      </c>
      <c r="E106" s="9" t="str">
        <f>IF($B106 = "Mutant",VLOOKUP($C106,Mutants!$A$2:$L$560,12,FALSE),IF($B106 = "Test",VLOOKUP($C106,Tests!$A$2:$L$841,12,FALSE),VLOOKUP($C106,Questions!$A$3:$N$174,9,FALSE)))</f>
        <v>N</v>
      </c>
      <c r="F106" s="187" t="str">
        <f>IF($B106 = "Mutant",VLOOKUP($C106,Mutants!$A$2:$L$560,11,FALSE),IF($B106 = "Test",VLOOKUP($C106,Tests!$A$2:$L$841,11,FALSE),VLOOKUP($C106,Questions!$A$3:$N$174,13,FALSE)))</f>
        <v xml:space="preserve">
</v>
      </c>
      <c r="G106" s="187"/>
      <c r="H106" s="202"/>
    </row>
    <row r="107" spans="2:8" ht="12.75">
      <c r="B107" s="114" t="s">
        <v>4590</v>
      </c>
      <c r="C107" s="9">
        <v>678</v>
      </c>
      <c r="D107" s="9" t="s">
        <v>2359</v>
      </c>
      <c r="E107" s="9" t="str">
        <f>IF($B107 = "Mutant",VLOOKUP($C107,Mutants!$A$2:$L$560,12,FALSE),IF($B107 = "Test",VLOOKUP($C107,Tests!$A$2:$L$841,12,FALSE),VLOOKUP($C107,Questions!$A$3:$N$174,9,FALSE)))</f>
        <v>N</v>
      </c>
      <c r="F107" s="187" t="str">
        <f>IF($B107 = "Mutant",VLOOKUP($C107,Mutants!$A$2:$L$560,11,FALSE),IF($B107 = "Test",VLOOKUP($C107,Tests!$A$2:$L$841,11,FALSE),VLOOKUP($C107,Questions!$A$3:$N$174,13,FALSE)))</f>
        <v xml:space="preserve">
</v>
      </c>
      <c r="G107" s="187"/>
      <c r="H107" s="202"/>
    </row>
    <row r="108" spans="2:8" ht="12.75">
      <c r="B108" s="114" t="s">
        <v>4590</v>
      </c>
      <c r="C108" s="9">
        <v>693</v>
      </c>
      <c r="D108" s="9" t="s">
        <v>2397</v>
      </c>
      <c r="E108" s="9" t="str">
        <f>IF($B108 = "Mutant",VLOOKUP($C108,Mutants!$A$2:$L$560,12,FALSE),IF($B108 = "Test",VLOOKUP($C108,Tests!$A$2:$L$841,12,FALSE),VLOOKUP($C108,Questions!$A$3:$N$174,9,FALSE)))</f>
        <v>N</v>
      </c>
      <c r="F108" s="187" t="str">
        <f>IF($B108 = "Mutant",VLOOKUP($C108,Mutants!$A$2:$L$560,11,FALSE),IF($B108 = "Test",VLOOKUP($C108,Tests!$A$2:$L$841,11,FALSE),VLOOKUP($C108,Questions!$A$3:$N$174,13,FALSE)))</f>
        <v xml:space="preserve">
</v>
      </c>
      <c r="G108" s="187"/>
      <c r="H108" s="202"/>
    </row>
    <row r="109" spans="2:8" ht="12.75">
      <c r="B109" s="114" t="s">
        <v>4590</v>
      </c>
      <c r="C109" s="9">
        <v>704</v>
      </c>
      <c r="D109" s="9" t="s">
        <v>677</v>
      </c>
      <c r="E109" s="9" t="str">
        <f>IF($B109 = "Mutant",VLOOKUP($C109,Mutants!$A$2:$L$560,12,FALSE),IF($B109 = "Test",VLOOKUP($C109,Tests!$A$2:$L$841,12,FALSE),VLOOKUP($C109,Questions!$A$3:$N$174,9,FALSE)))</f>
        <v>Y</v>
      </c>
      <c r="F109" s="187" t="str">
        <f>IF($B109 = "Mutant",VLOOKUP($C109,Mutants!$A$2:$L$560,11,FALSE),IF($B109 = "Test",VLOOKUP($C109,Tests!$A$2:$L$841,11,FALSE),VLOOKUP($C109,Questions!$A$3:$N$174,13,FALSE)))</f>
        <v xml:space="preserve">add, getField
</v>
      </c>
      <c r="G109" s="187"/>
      <c r="H109" s="202"/>
    </row>
    <row r="110" spans="2:8" ht="12.75">
      <c r="B110" s="114" t="s">
        <v>4590</v>
      </c>
      <c r="C110" s="9">
        <v>781</v>
      </c>
      <c r="D110" s="9" t="s">
        <v>2632</v>
      </c>
      <c r="E110" s="9" t="str">
        <f>IF($B110 = "Mutant",VLOOKUP($C110,Mutants!$A$2:$L$560,12,FALSE),IF($B110 = "Test",VLOOKUP($C110,Tests!$A$2:$L$841,12,FALSE),VLOOKUP($C110,Questions!$A$3:$N$174,9,FALSE)))</f>
        <v>Y</v>
      </c>
      <c r="F110" s="187" t="str">
        <f>IF($B110 = "Mutant",VLOOKUP($C110,Mutants!$A$2:$L$560,11,FALSE),IF($B110 = "Test",VLOOKUP($C110,Tests!$A$2:$L$841,11,FALSE),VLOOKUP($C110,Questions!$A$3:$N$174,13,FALSE)))</f>
        <v xml:space="preserve">add, getField
</v>
      </c>
      <c r="G110" s="187"/>
      <c r="H110" s="202"/>
    </row>
    <row r="111" spans="2:8" ht="12.75">
      <c r="B111" s="114" t="s">
        <v>4590</v>
      </c>
      <c r="C111" s="9">
        <v>797</v>
      </c>
      <c r="D111" s="9" t="s">
        <v>2675</v>
      </c>
      <c r="E111" s="9" t="str">
        <f>IF($B111 = "Mutant",VLOOKUP($C111,Mutants!$A$2:$L$560,12,FALSE),IF($B111 = "Test",VLOOKUP($C111,Tests!$A$2:$L$841,12,FALSE),VLOOKUP($C111,Questions!$A$3:$N$174,9,FALSE)))</f>
        <v>Y</v>
      </c>
      <c r="F111" s="187" t="str">
        <f>IF($B111 = "Mutant",VLOOKUP($C111,Mutants!$A$2:$L$560,11,FALSE),IF($B111 = "Test",VLOOKUP($C111,Tests!$A$2:$L$841,11,FALSE),VLOOKUP($C111,Questions!$A$3:$N$174,13,FALSE)))</f>
        <v xml:space="preserve">add, getField, clear
</v>
      </c>
      <c r="G111" s="187"/>
      <c r="H111" s="202"/>
    </row>
    <row r="112" spans="2:8" ht="12.75">
      <c r="B112" s="114" t="s">
        <v>4589</v>
      </c>
      <c r="C112" s="9">
        <v>627</v>
      </c>
      <c r="D112" s="9" t="s">
        <v>4506</v>
      </c>
      <c r="E112" s="9" t="str">
        <f>IF($B112 = "Mutant",VLOOKUP($C112,Mutants!$A$2:$L$560,12,FALSE),IF($B112 = "Test",VLOOKUP($C112,Tests!$A$2:$L$841,12,FALSE),VLOOKUP($C112,Questions!$A$3:$N$174,9,FALSE)))</f>
        <v>Y</v>
      </c>
      <c r="F112" s="187" t="str">
        <f>IF($B112 = "Mutant",VLOOKUP($C112,Mutants!$A$2:$L$560,11,FALSE),IF($B112 = "Test",VLOOKUP($C112,Tests!$A$2:$L$841,11,FALSE),VLOOKUP($C112,Questions!$A$3:$N$174,13,FALSE)))</f>
        <v xml:space="preserve">get
</v>
      </c>
      <c r="G112" s="187"/>
      <c r="H112" s="202"/>
    </row>
    <row r="113" spans="2:8" ht="12.75">
      <c r="B113" s="114" t="s">
        <v>4589</v>
      </c>
      <c r="C113" s="9">
        <v>633</v>
      </c>
      <c r="D113" s="9" t="s">
        <v>511</v>
      </c>
      <c r="E113" s="9" t="str">
        <f>IF($B113 = "Mutant",VLOOKUP($C113,Mutants!$A$2:$L$560,12,FALSE),IF($B113 = "Test",VLOOKUP($C113,Tests!$A$2:$L$841,12,FALSE),VLOOKUP($C113,Questions!$A$3:$N$174,9,FALSE)))</f>
        <v>Y</v>
      </c>
      <c r="F113" s="187" t="str">
        <f>IF($B113 = "Mutant",VLOOKUP($C113,Mutants!$A$2:$L$560,11,FALSE),IF($B113 = "Test",VLOOKUP($C113,Tests!$A$2:$L$841,11,FALSE),VLOOKUP($C113,Questions!$A$3:$N$174,13,FALSE)))</f>
        <v xml:space="preserve">toString
</v>
      </c>
      <c r="G113" s="187"/>
      <c r="H113" s="202"/>
    </row>
    <row r="114" spans="2:8" ht="12.75">
      <c r="B114" s="114" t="s">
        <v>4590</v>
      </c>
      <c r="C114" s="9">
        <v>907</v>
      </c>
      <c r="D114" s="9" t="s">
        <v>2993</v>
      </c>
      <c r="E114" s="9" t="str">
        <f>IF($B114 = "Mutant",VLOOKUP($C114,Mutants!$A$2:$L$560,12,FALSE),IF($B114 = "Test",VLOOKUP($C114,Tests!$A$2:$L$841,12,FALSE),VLOOKUP($C114,Questions!$A$3:$N$174,9,FALSE)))</f>
        <v>Y</v>
      </c>
      <c r="F114" s="187" t="str">
        <f>IF($B114 = "Mutant",VLOOKUP($C114,Mutants!$A$2:$L$560,11,FALSE),IF($B114 = "Test",VLOOKUP($C114,Tests!$A$2:$L$841,11,FALSE),VLOOKUP($C114,Questions!$A$3:$N$174,13,FALSE)))</f>
        <v xml:space="preserve">add, getBinaryValue
</v>
      </c>
      <c r="G114" s="187"/>
      <c r="H114" s="202"/>
    </row>
    <row r="115" spans="2:8" ht="12.75">
      <c r="B115" s="114" t="s">
        <v>4590</v>
      </c>
      <c r="C115" s="9">
        <v>928</v>
      </c>
      <c r="D115" s="9" t="s">
        <v>3047</v>
      </c>
      <c r="E115" s="9" t="str">
        <f>IF($B115 = "Mutant",VLOOKUP($C115,Mutants!$A$2:$L$560,12,FALSE),IF($B115 = "Test",VLOOKUP($C115,Tests!$A$2:$L$841,12,FALSE),VLOOKUP($C115,Questions!$A$3:$N$174,9,FALSE)))</f>
        <v>N</v>
      </c>
      <c r="F115" s="187" t="str">
        <f>IF($B115 = "Mutant",VLOOKUP($C115,Mutants!$A$2:$L$560,11,FALSE),IF($B115 = "Test",VLOOKUP($C115,Tests!$A$2:$L$841,11,FALSE),VLOOKUP($C115,Questions!$A$3:$N$174,13,FALSE)))</f>
        <v xml:space="preserve">
</v>
      </c>
      <c r="G115" s="187"/>
      <c r="H115" s="202"/>
    </row>
    <row r="116" spans="2:8" ht="12.75">
      <c r="B116" s="133" t="s">
        <v>4590</v>
      </c>
      <c r="C116" s="130">
        <v>935</v>
      </c>
      <c r="D116" s="130" t="s">
        <v>3066</v>
      </c>
      <c r="E116" s="130" t="str">
        <f>IF($B116 = "Mutant",VLOOKUP($C116,Mutants!$A$2:$L$560,12,FALSE),IF($B116 = "Test",VLOOKUP($C116,Tests!$A$2:$L$841,12,FALSE),VLOOKUP($C116,Questions!$A$3:$N$174,9,FALSE)))</f>
        <v>Y</v>
      </c>
      <c r="F116" s="203" t="str">
        <f>IF($B116 = "Mutant",VLOOKUP($C116,Mutants!$A$2:$L$560,11,FALSE),IF($B116 = "Test",VLOOKUP($C116,Tests!$A$2:$L$841,11,FALSE),VLOOKUP($C116,Questions!$A$3:$N$174,13,FALSE)))</f>
        <v xml:space="preserve">add, removeField, getField
</v>
      </c>
      <c r="G116" s="203"/>
      <c r="H116" s="204"/>
    </row>
    <row r="117" spans="2:8" ht="15.75" customHeight="1">
      <c r="E117" s="9"/>
      <c r="F117" s="187"/>
      <c r="G117" s="187"/>
      <c r="H117" s="187"/>
    </row>
    <row r="118" spans="2:8" ht="15.75" customHeight="1">
      <c r="E118" s="9"/>
      <c r="F118" s="187"/>
      <c r="G118" s="187"/>
      <c r="H118" s="187"/>
    </row>
    <row r="119" spans="2:8" ht="13.5" thickBot="1">
      <c r="B119" s="219" t="s">
        <v>4604</v>
      </c>
      <c r="C119" s="201"/>
      <c r="D119" s="138">
        <v>209</v>
      </c>
      <c r="E119" s="9"/>
      <c r="F119" s="187"/>
      <c r="G119" s="187"/>
      <c r="H119" s="187"/>
    </row>
    <row r="120" spans="2:8" ht="13.5" thickTop="1">
      <c r="B120" s="134" t="s">
        <v>4594</v>
      </c>
      <c r="C120" s="135" t="s">
        <v>44</v>
      </c>
      <c r="D120" s="135" t="s">
        <v>110</v>
      </c>
      <c r="E120" s="136" t="s">
        <v>2</v>
      </c>
      <c r="F120" s="229" t="s">
        <v>4612</v>
      </c>
      <c r="G120" s="229"/>
      <c r="H120" s="230"/>
    </row>
    <row r="121" spans="2:8" ht="12.75">
      <c r="B121" s="137" t="s">
        <v>4589</v>
      </c>
      <c r="C121" s="93">
        <v>370</v>
      </c>
      <c r="D121" s="93" t="s">
        <v>3838</v>
      </c>
      <c r="E121" s="93" t="str">
        <f>IF($B121 = "Mutant",VLOOKUP($C121,Mutants!$A$2:$L$560,12,FALSE),IF($B121 = "Test",VLOOKUP($C121,Tests!$A$2:$L$841,12,FALSE),VLOOKUP($C121,Questions!$A$3:$N$174,9,FALSE)))</f>
        <v>Y</v>
      </c>
      <c r="F121" s="205" t="str">
        <f>IF($B121 = "Mutant",VLOOKUP($C121,Mutants!$A$2:$L$560,11,FALSE),IF($B121 = "Test",VLOOKUP($C121,Tests!$A$2:$L$841,11,FALSE),VLOOKUP($C121,Questions!$A$3:$N$174,13,FALSE)))</f>
        <v xml:space="preserve">getBinaryValues
</v>
      </c>
      <c r="G121" s="205"/>
      <c r="H121" s="206"/>
    </row>
    <row r="122" spans="2:8" ht="12.75">
      <c r="B122" s="114" t="s">
        <v>4589</v>
      </c>
      <c r="C122" s="9">
        <v>395</v>
      </c>
      <c r="D122" s="9" t="s">
        <v>3905</v>
      </c>
      <c r="E122" s="9" t="str">
        <f>IF($B122 = "Mutant",VLOOKUP($C122,Mutants!$A$2:$L$560,12,FALSE),IF($B122 = "Test",VLOOKUP($C122,Tests!$A$2:$L$841,12,FALSE),VLOOKUP($C122,Questions!$A$3:$N$174,9,FALSE)))</f>
        <v>Y</v>
      </c>
      <c r="F122" s="187" t="str">
        <f>IF($B122 = "Mutant",VLOOKUP($C122,Mutants!$A$2:$L$560,11,FALSE),IF($B122 = "Test",VLOOKUP($C122,Tests!$A$2:$L$841,11,FALSE),VLOOKUP($C122,Questions!$A$3:$N$174,13,FALSE)))</f>
        <v xml:space="preserve">get
</v>
      </c>
      <c r="G122" s="187"/>
      <c r="H122" s="202"/>
    </row>
    <row r="123" spans="2:8" ht="12.75">
      <c r="B123" s="114" t="s">
        <v>4589</v>
      </c>
      <c r="C123" s="9">
        <v>405</v>
      </c>
      <c r="D123" s="9" t="s">
        <v>3933</v>
      </c>
      <c r="E123" s="9" t="str">
        <f>IF($B123 = "Mutant",VLOOKUP($C123,Mutants!$A$2:$L$560,12,FALSE),IF($B123 = "Test",VLOOKUP($C123,Tests!$A$2:$L$841,12,FALSE),VLOOKUP($C123,Questions!$A$3:$N$174,9,FALSE)))</f>
        <v>Y</v>
      </c>
      <c r="F123" s="187" t="str">
        <f>IF($B123 = "Mutant",VLOOKUP($C123,Mutants!$A$2:$L$560,11,FALSE),IF($B123 = "Test",VLOOKUP($C123,Tests!$A$2:$L$841,11,FALSE),VLOOKUP($C123,Questions!$A$3:$N$174,13,FALSE)))</f>
        <v xml:space="preserve">toString
</v>
      </c>
      <c r="G123" s="187"/>
      <c r="H123" s="202"/>
    </row>
    <row r="124" spans="2:8" ht="12.75">
      <c r="B124" s="114" t="s">
        <v>4590</v>
      </c>
      <c r="C124" s="9">
        <v>500</v>
      </c>
      <c r="D124" s="9" t="s">
        <v>1842</v>
      </c>
      <c r="E124" s="9" t="str">
        <f>IF($B124 = "Mutant",VLOOKUP($C124,Mutants!$A$2:$L$560,12,FALSE),IF($B124 = "Test",VLOOKUP($C124,Tests!$A$2:$L$841,12,FALSE),VLOOKUP($C124,Questions!$A$3:$N$174,9,FALSE)))</f>
        <v>N</v>
      </c>
      <c r="F124" s="187" t="str">
        <f>IF($B124 = "Mutant",VLOOKUP($C124,Mutants!$A$2:$L$560,11,FALSE),IF($B124 = "Test",VLOOKUP($C124,Tests!$A$2:$L$841,11,FALSE),VLOOKUP($C124,Questions!$A$3:$N$174,13,FALSE)))</f>
        <v xml:space="preserve">
</v>
      </c>
      <c r="G124" s="187"/>
      <c r="H124" s="202"/>
    </row>
    <row r="125" spans="2:8" ht="12.75">
      <c r="B125" s="114" t="s">
        <v>4590</v>
      </c>
      <c r="C125" s="9">
        <v>508</v>
      </c>
      <c r="D125" s="9" t="s">
        <v>561</v>
      </c>
      <c r="E125" s="9" t="str">
        <f>IF($B125 = "Mutant",VLOOKUP($C125,Mutants!$A$2:$L$560,12,FALSE),IF($B125 = "Test",VLOOKUP($C125,Tests!$A$2:$L$841,12,FALSE),VLOOKUP($C125,Questions!$A$3:$N$174,9,FALSE)))</f>
        <v>N</v>
      </c>
      <c r="F125" s="187" t="str">
        <f>IF($B125 = "Mutant",VLOOKUP($C125,Mutants!$A$2:$L$560,11,FALSE),IF($B125 = "Test",VLOOKUP($C125,Tests!$A$2:$L$841,11,FALSE),VLOOKUP($C125,Questions!$A$3:$N$174,13,FALSE)))</f>
        <v xml:space="preserve">
</v>
      </c>
      <c r="G125" s="187"/>
      <c r="H125" s="202"/>
    </row>
    <row r="126" spans="2:8" ht="12.75">
      <c r="B126" s="114" t="s">
        <v>4590</v>
      </c>
      <c r="C126" s="9">
        <v>548</v>
      </c>
      <c r="D126" s="9" t="s">
        <v>1988</v>
      </c>
      <c r="E126" s="9" t="str">
        <f>IF($B126 = "Mutant",VLOOKUP($C126,Mutants!$A$2:$L$560,12,FALSE),IF($B126 = "Test",VLOOKUP($C126,Tests!$A$2:$L$841,12,FALSE),VLOOKUP($C126,Questions!$A$3:$N$174,9,FALSE)))</f>
        <v>Y</v>
      </c>
      <c r="F126" s="187" t="str">
        <f>IF($B126 = "Mutant",VLOOKUP($C126,Mutants!$A$2:$L$560,11,FALSE),IF($B126 = "Test",VLOOKUP($C126,Tests!$A$2:$L$841,11,FALSE),VLOOKUP($C126,Questions!$A$3:$N$174,13,FALSE)))</f>
        <v xml:space="preserve">add, getBinaryValues
</v>
      </c>
      <c r="G126" s="187"/>
      <c r="H126" s="202"/>
    </row>
    <row r="127" spans="2:8" ht="12.75">
      <c r="B127" s="114" t="s">
        <v>4590</v>
      </c>
      <c r="C127" s="9">
        <v>558</v>
      </c>
      <c r="D127" s="9" t="s">
        <v>2019</v>
      </c>
      <c r="E127" s="9" t="str">
        <f>IF($B127 = "Mutant",VLOOKUP($C127,Mutants!$A$2:$L$560,12,FALSE),IF($B127 = "Test",VLOOKUP($C127,Tests!$A$2:$L$841,12,FALSE),VLOOKUP($C127,Questions!$A$3:$N$174,9,FALSE)))</f>
        <v>Y</v>
      </c>
      <c r="F127" s="187" t="str">
        <f>IF($B127 = "Mutant",VLOOKUP($C127,Mutants!$A$2:$L$560,11,FALSE),IF($B127 = "Test",VLOOKUP($C127,Tests!$A$2:$L$841,11,FALSE),VLOOKUP($C127,Questions!$A$3:$N$174,13,FALSE)))</f>
        <v xml:space="preserve">add, getBinaryValues
</v>
      </c>
      <c r="G127" s="187"/>
      <c r="H127" s="202"/>
    </row>
    <row r="128" spans="2:8" ht="12.75">
      <c r="B128" s="114" t="s">
        <v>4590</v>
      </c>
      <c r="C128" s="9">
        <v>565</v>
      </c>
      <c r="D128" s="9" t="s">
        <v>2041</v>
      </c>
      <c r="E128" s="9" t="str">
        <f>IF($B128 = "Mutant",VLOOKUP($C128,Mutants!$A$2:$L$560,12,FALSE),IF($B128 = "Test",VLOOKUP($C128,Tests!$A$2:$L$841,12,FALSE),VLOOKUP($C128,Questions!$A$3:$N$174,9,FALSE)))</f>
        <v>Y</v>
      </c>
      <c r="F128" s="187" t="str">
        <f>IF($B128 = "Mutant",VLOOKUP($C128,Mutants!$A$2:$L$560,11,FALSE),IF($B128 = "Test",VLOOKUP($C128,Tests!$A$2:$L$841,11,FALSE),VLOOKUP($C128,Questions!$A$3:$N$174,13,FALSE)))</f>
        <v xml:space="preserve">add, getBinaryValues
</v>
      </c>
      <c r="G128" s="187"/>
      <c r="H128" s="202"/>
    </row>
    <row r="129" spans="2:8" ht="12.75">
      <c r="B129" s="114" t="s">
        <v>4590</v>
      </c>
      <c r="C129" s="9">
        <v>605</v>
      </c>
      <c r="D129" s="9" t="s">
        <v>2153</v>
      </c>
      <c r="E129" s="9" t="str">
        <f>IF($B129 = "Mutant",VLOOKUP($C129,Mutants!$A$2:$L$560,12,FALSE),IF($B129 = "Test",VLOOKUP($C129,Tests!$A$2:$L$841,12,FALSE),VLOOKUP($C129,Questions!$A$3:$N$174,9,FALSE)))</f>
        <v>Y</v>
      </c>
      <c r="F129" s="187" t="str">
        <f>IF($B129 = "Mutant",VLOOKUP($C129,Mutants!$A$2:$L$560,11,FALSE),IF($B129 = "Test",VLOOKUP($C129,Tests!$A$2:$L$841,11,FALSE),VLOOKUP($C129,Questions!$A$3:$N$174,13,FALSE)))</f>
        <v xml:space="preserve">add, getBinaryValues
</v>
      </c>
      <c r="G129" s="187"/>
      <c r="H129" s="202"/>
    </row>
    <row r="130" spans="2:8" ht="12.75">
      <c r="B130" s="114" t="s">
        <v>4590</v>
      </c>
      <c r="C130" s="9">
        <v>616</v>
      </c>
      <c r="D130" s="9" t="s">
        <v>2184</v>
      </c>
      <c r="E130" s="9" t="str">
        <f>IF($B130 = "Mutant",VLOOKUP($C130,Mutants!$A$2:$L$560,12,FALSE),IF($B130 = "Test",VLOOKUP($C130,Tests!$A$2:$L$841,12,FALSE),VLOOKUP($C130,Questions!$A$3:$N$174,9,FALSE)))</f>
        <v>Y</v>
      </c>
      <c r="F130" s="187" t="str">
        <f>IF($B130 = "Mutant",VLOOKUP($C130,Mutants!$A$2:$L$560,11,FALSE),IF($B130 = "Test",VLOOKUP($C130,Tests!$A$2:$L$841,11,FALSE),VLOOKUP($C130,Questions!$A$3:$N$174,13,FALSE)))</f>
        <v xml:space="preserve">add, getBinaryValues
</v>
      </c>
      <c r="G130" s="187"/>
      <c r="H130" s="202"/>
    </row>
    <row r="131" spans="2:8" ht="12.75">
      <c r="B131" s="114" t="s">
        <v>4590</v>
      </c>
      <c r="C131" s="9">
        <v>622</v>
      </c>
      <c r="D131" s="9" t="s">
        <v>2199</v>
      </c>
      <c r="E131" s="9" t="str">
        <f>IF($B131 = "Mutant",VLOOKUP($C131,Mutants!$A$2:$L$560,12,FALSE),IF($B131 = "Test",VLOOKUP($C131,Tests!$A$2:$L$841,12,FALSE),VLOOKUP($C131,Questions!$A$3:$N$174,9,FALSE)))</f>
        <v>Y</v>
      </c>
      <c r="F131" s="187" t="str">
        <f>IF($B131 = "Mutant",VLOOKUP($C131,Mutants!$A$2:$L$560,11,FALSE),IF($B131 = "Test",VLOOKUP($C131,Tests!$A$2:$L$841,11,FALSE),VLOOKUP($C131,Questions!$A$3:$N$174,13,FALSE)))</f>
        <v xml:space="preserve">add, getBinaryValues
</v>
      </c>
      <c r="G131" s="187"/>
      <c r="H131" s="202"/>
    </row>
    <row r="132" spans="2:8" ht="12.75">
      <c r="B132" s="114" t="s">
        <v>4589</v>
      </c>
      <c r="C132" s="9">
        <v>584</v>
      </c>
      <c r="D132" s="9" t="s">
        <v>4395</v>
      </c>
      <c r="E132" s="9" t="str">
        <f>IF($B132 = "Mutant",VLOOKUP($C132,Mutants!$A$2:$L$560,12,FALSE),IF($B132 = "Test",VLOOKUP($C132,Tests!$A$2:$L$841,12,FALSE),VLOOKUP($C132,Questions!$A$3:$N$174,9,FALSE)))</f>
        <v>Y</v>
      </c>
      <c r="F132" s="187" t="str">
        <f>IF($B132 = "Mutant",VLOOKUP($C132,Mutants!$A$2:$L$560,11,FALSE),IF($B132 = "Test",VLOOKUP($C132,Tests!$A$2:$L$841,11,FALSE),VLOOKUP($C132,Questions!$A$3:$N$174,13,FALSE)))</f>
        <v xml:space="preserve">getFields_1
</v>
      </c>
      <c r="G132" s="187"/>
      <c r="H132" s="202"/>
    </row>
    <row r="133" spans="2:8" ht="12.75">
      <c r="B133" s="114" t="s">
        <v>4590</v>
      </c>
      <c r="C133" s="9">
        <v>703</v>
      </c>
      <c r="D133" s="9" t="s">
        <v>2419</v>
      </c>
      <c r="E133" s="9" t="str">
        <f>IF($B133 = "Mutant",VLOOKUP($C133,Mutants!$A$2:$L$560,12,FALSE),IF($B133 = "Test",VLOOKUP($C133,Tests!$A$2:$L$841,12,FALSE),VLOOKUP($C133,Questions!$A$3:$N$174,9,FALSE)))</f>
        <v>N</v>
      </c>
      <c r="F133" s="187" t="str">
        <f>IF($B133 = "Mutant",VLOOKUP($C133,Mutants!$A$2:$L$560,11,FALSE),IF($B133 = "Test",VLOOKUP($C133,Tests!$A$2:$L$841,11,FALSE),VLOOKUP($C133,Questions!$A$3:$N$174,13,FALSE)))</f>
        <v xml:space="preserve">
</v>
      </c>
      <c r="G133" s="187"/>
      <c r="H133" s="202"/>
    </row>
    <row r="134" spans="2:8" ht="12.75">
      <c r="B134" s="114" t="s">
        <v>4590</v>
      </c>
      <c r="C134" s="9">
        <v>707</v>
      </c>
      <c r="D134" s="9" t="s">
        <v>2427</v>
      </c>
      <c r="E134" s="9" t="str">
        <f>IF($B134 = "Mutant",VLOOKUP($C134,Mutants!$A$2:$L$560,12,FALSE),IF($B134 = "Test",VLOOKUP($C134,Tests!$A$2:$L$841,12,FALSE),VLOOKUP($C134,Questions!$A$3:$N$174,9,FALSE)))</f>
        <v>N</v>
      </c>
      <c r="F134" s="187" t="str">
        <f>IF($B134 = "Mutant",VLOOKUP($C134,Mutants!$A$2:$L$560,11,FALSE),IF($B134 = "Test",VLOOKUP($C134,Tests!$A$2:$L$841,11,FALSE),VLOOKUP($C134,Questions!$A$3:$N$174,13,FALSE)))</f>
        <v xml:space="preserve">
</v>
      </c>
      <c r="G134" s="187"/>
      <c r="H134" s="202"/>
    </row>
    <row r="135" spans="2:8" ht="12.75">
      <c r="B135" s="114" t="s">
        <v>4590</v>
      </c>
      <c r="C135" s="9">
        <v>731</v>
      </c>
      <c r="D135" s="9" t="s">
        <v>2500</v>
      </c>
      <c r="E135" s="9" t="str">
        <f>IF($B135 = "Mutant",VLOOKUP($C135,Mutants!$A$2:$L$560,12,FALSE),IF($B135 = "Test",VLOOKUP($C135,Tests!$A$2:$L$841,12,FALSE),VLOOKUP($C135,Questions!$A$3:$N$174,9,FALSE)))</f>
        <v>N</v>
      </c>
      <c r="F135" s="187" t="str">
        <f>IF($B135 = "Mutant",VLOOKUP($C135,Mutants!$A$2:$L$560,11,FALSE),IF($B135 = "Test",VLOOKUP($C135,Tests!$A$2:$L$841,11,FALSE),VLOOKUP($C135,Questions!$A$3:$N$174,13,FALSE)))</f>
        <v xml:space="preserve">
</v>
      </c>
      <c r="G135" s="187"/>
      <c r="H135" s="202"/>
    </row>
    <row r="136" spans="2:8" ht="12.75">
      <c r="B136" s="114" t="s">
        <v>4590</v>
      </c>
      <c r="C136" s="9">
        <v>732</v>
      </c>
      <c r="D136" s="9" t="s">
        <v>2502</v>
      </c>
      <c r="E136" s="9" t="str">
        <f>IF($B136 = "Mutant",VLOOKUP($C136,Mutants!$A$2:$L$560,12,FALSE),IF($B136 = "Test",VLOOKUP($C136,Tests!$A$2:$L$841,12,FALSE),VLOOKUP($C136,Questions!$A$3:$N$174,9,FALSE)))</f>
        <v>N</v>
      </c>
      <c r="F136" s="187" t="str">
        <f>IF($B136 = "Mutant",VLOOKUP($C136,Mutants!$A$2:$L$560,11,FALSE),IF($B136 = "Test",VLOOKUP($C136,Tests!$A$2:$L$841,11,FALSE),VLOOKUP($C136,Questions!$A$3:$N$174,13,FALSE)))</f>
        <v xml:space="preserve">
</v>
      </c>
      <c r="G136" s="187"/>
      <c r="H136" s="202"/>
    </row>
    <row r="137" spans="2:8" ht="12.75">
      <c r="B137" s="114" t="s">
        <v>4590</v>
      </c>
      <c r="C137" s="9">
        <v>741</v>
      </c>
      <c r="D137" s="9" t="s">
        <v>2524</v>
      </c>
      <c r="E137" s="9" t="str">
        <f>IF($B137 = "Mutant",VLOOKUP($C137,Mutants!$A$2:$L$560,12,FALSE),IF($B137 = "Test",VLOOKUP($C137,Tests!$A$2:$L$841,12,FALSE),VLOOKUP($C137,Questions!$A$3:$N$174,9,FALSE)))</f>
        <v>N</v>
      </c>
      <c r="F137" s="187" t="str">
        <f>IF($B137 = "Mutant",VLOOKUP($C137,Mutants!$A$2:$L$560,11,FALSE),IF($B137 = "Test",VLOOKUP($C137,Tests!$A$2:$L$841,11,FALSE),VLOOKUP($C137,Questions!$A$3:$N$174,13,FALSE)))</f>
        <v xml:space="preserve">
</v>
      </c>
      <c r="G137" s="187"/>
      <c r="H137" s="202"/>
    </row>
    <row r="138" spans="2:8" ht="12.75">
      <c r="B138" s="114" t="s">
        <v>4590</v>
      </c>
      <c r="C138" s="9">
        <v>744</v>
      </c>
      <c r="D138" s="9" t="s">
        <v>2533</v>
      </c>
      <c r="E138" s="9" t="str">
        <f>IF($B138 = "Mutant",VLOOKUP($C138,Mutants!$A$2:$L$560,12,FALSE),IF($B138 = "Test",VLOOKUP($C138,Tests!$A$2:$L$841,12,FALSE),VLOOKUP($C138,Questions!$A$3:$N$174,9,FALSE)))</f>
        <v>N</v>
      </c>
      <c r="F138" s="187" t="str">
        <f>IF($B138 = "Mutant",VLOOKUP($C138,Mutants!$A$2:$L$560,11,FALSE),IF($B138 = "Test",VLOOKUP($C138,Tests!$A$2:$L$841,11,FALSE),VLOOKUP($C138,Questions!$A$3:$N$174,13,FALSE)))</f>
        <v xml:space="preserve">
</v>
      </c>
      <c r="G138" s="187"/>
      <c r="H138" s="202"/>
    </row>
    <row r="139" spans="2:8" ht="12.75">
      <c r="B139" s="114" t="s">
        <v>4590</v>
      </c>
      <c r="C139" s="9">
        <v>754</v>
      </c>
      <c r="D139" s="9" t="s">
        <v>2557</v>
      </c>
      <c r="E139" s="9" t="str">
        <f>IF($B139 = "Mutant",VLOOKUP($C139,Mutants!$A$2:$L$560,12,FALSE),IF($B139 = "Test",VLOOKUP($C139,Tests!$A$2:$L$841,12,FALSE),VLOOKUP($C139,Questions!$A$3:$N$174,9,FALSE)))</f>
        <v>N</v>
      </c>
      <c r="F139" s="187" t="str">
        <f>IF($B139 = "Mutant",VLOOKUP($C139,Mutants!$A$2:$L$560,11,FALSE),IF($B139 = "Test",VLOOKUP($C139,Tests!$A$2:$L$841,11,FALSE),VLOOKUP($C139,Questions!$A$3:$N$174,13,FALSE)))</f>
        <v xml:space="preserve">
</v>
      </c>
      <c r="G139" s="187"/>
      <c r="H139" s="202"/>
    </row>
    <row r="140" spans="2:8" ht="12.75">
      <c r="B140" s="114" t="s">
        <v>4590</v>
      </c>
      <c r="C140" s="9">
        <v>759</v>
      </c>
      <c r="D140" s="9" t="s">
        <v>2574</v>
      </c>
      <c r="E140" s="9" t="str">
        <f>IF($B140 = "Mutant",VLOOKUP($C140,Mutants!$A$2:$L$560,12,FALSE),IF($B140 = "Test",VLOOKUP($C140,Tests!$A$2:$L$841,12,FALSE),VLOOKUP($C140,Questions!$A$3:$N$174,9,FALSE)))</f>
        <v>Y</v>
      </c>
      <c r="F140" s="187" t="str">
        <f>IF($B140 = "Mutant",VLOOKUP($C140,Mutants!$A$2:$L$560,11,FALSE),IF($B140 = "Test",VLOOKUP($C140,Tests!$A$2:$L$841,11,FALSE),VLOOKUP($C140,Questions!$A$3:$N$174,13,FALSE)))</f>
        <v xml:space="preserve">add, removeFields, getFields_1
</v>
      </c>
      <c r="G140" s="187"/>
      <c r="H140" s="202"/>
    </row>
    <row r="141" spans="2:8" ht="12.75">
      <c r="B141" s="114" t="s">
        <v>4590</v>
      </c>
      <c r="C141" s="9">
        <v>763</v>
      </c>
      <c r="D141" s="9" t="s">
        <v>2586</v>
      </c>
      <c r="E141" s="9" t="str">
        <f>IF($B141 = "Mutant",VLOOKUP($C141,Mutants!$A$2:$L$560,12,FALSE),IF($B141 = "Test",VLOOKUP($C141,Tests!$A$2:$L$841,12,FALSE),VLOOKUP($C141,Questions!$A$3:$N$174,9,FALSE)))</f>
        <v>Y</v>
      </c>
      <c r="F141" s="187" t="str">
        <f>IF($B141 = "Mutant",VLOOKUP($C141,Mutants!$A$2:$L$560,11,FALSE),IF($B141 = "Test",VLOOKUP($C141,Tests!$A$2:$L$841,11,FALSE),VLOOKUP($C141,Questions!$A$3:$N$174,13,FALSE)))</f>
        <v xml:space="preserve">add, removeFields, getFields_1
</v>
      </c>
      <c r="G141" s="187"/>
      <c r="H141" s="202"/>
    </row>
    <row r="142" spans="2:8" ht="12.75">
      <c r="B142" s="114" t="s">
        <v>4590</v>
      </c>
      <c r="C142" s="9">
        <v>776</v>
      </c>
      <c r="D142" s="9" t="s">
        <v>2620</v>
      </c>
      <c r="E142" s="9" t="str">
        <f>IF($B142 = "Mutant",VLOOKUP($C142,Mutants!$A$2:$L$560,12,FALSE),IF($B142 = "Test",VLOOKUP($C142,Tests!$A$2:$L$841,12,FALSE),VLOOKUP($C142,Questions!$A$3:$N$174,9,FALSE)))</f>
        <v>Y</v>
      </c>
      <c r="F142" s="187" t="str">
        <f>IF($B142 = "Mutant",VLOOKUP($C142,Mutants!$A$2:$L$560,11,FALSE),IF($B142 = "Test",VLOOKUP($C142,Tests!$A$2:$L$841,11,FALSE),VLOOKUP($C142,Questions!$A$3:$N$174,13,FALSE)))</f>
        <v xml:space="preserve">add, removeField, getFields_1
</v>
      </c>
      <c r="G142" s="187"/>
      <c r="H142" s="202"/>
    </row>
    <row r="143" spans="2:8" ht="12.75">
      <c r="B143" s="114" t="s">
        <v>4590</v>
      </c>
      <c r="C143" s="9">
        <v>779</v>
      </c>
      <c r="D143" s="9" t="s">
        <v>2627</v>
      </c>
      <c r="E143" s="9" t="str">
        <f>IF($B143 = "Mutant",VLOOKUP($C143,Mutants!$A$2:$L$560,12,FALSE),IF($B143 = "Test",VLOOKUP($C143,Tests!$A$2:$L$841,12,FALSE),VLOOKUP($C143,Questions!$A$3:$N$174,9,FALSE)))</f>
        <v>Y</v>
      </c>
      <c r="F143" s="187" t="str">
        <f>IF($B143 = "Mutant",VLOOKUP($C143,Mutants!$A$2:$L$560,11,FALSE),IF($B143 = "Test",VLOOKUP($C143,Tests!$A$2:$L$841,11,FALSE),VLOOKUP($C143,Questions!$A$3:$N$174,13,FALSE)))</f>
        <v xml:space="preserve">add, removeField, getFields_1
</v>
      </c>
      <c r="G143" s="187"/>
      <c r="H143" s="202"/>
    </row>
    <row r="144" spans="2:8" ht="12.75">
      <c r="B144" s="114" t="s">
        <v>4590</v>
      </c>
      <c r="C144" s="9">
        <v>831</v>
      </c>
      <c r="D144" s="9" t="s">
        <v>2765</v>
      </c>
      <c r="E144" s="9" t="str">
        <f>IF($B144 = "Mutant",VLOOKUP($C144,Mutants!$A$2:$L$560,12,FALSE),IF($B144 = "Test",VLOOKUP($C144,Tests!$A$2:$L$841,12,FALSE),VLOOKUP($C144,Questions!$A$3:$N$174,9,FALSE)))</f>
        <v>N</v>
      </c>
      <c r="F144" s="187" t="str">
        <f>IF($B144 = "Mutant",VLOOKUP($C144,Mutants!$A$2:$L$560,11,FALSE),IF($B144 = "Test",VLOOKUP($C144,Tests!$A$2:$L$841,11,FALSE),VLOOKUP($C144,Questions!$A$3:$N$174,13,FALSE)))</f>
        <v xml:space="preserve">
</v>
      </c>
      <c r="G144" s="187"/>
      <c r="H144" s="202"/>
    </row>
    <row r="145" spans="2:8" ht="12.75">
      <c r="B145" s="114" t="s">
        <v>4590</v>
      </c>
      <c r="C145" s="9">
        <v>838</v>
      </c>
      <c r="D145" s="9" t="s">
        <v>2783</v>
      </c>
      <c r="E145" s="9" t="str">
        <f>IF($B145 = "Mutant",VLOOKUP($C145,Mutants!$A$2:$L$560,12,FALSE),IF($B145 = "Test",VLOOKUP($C145,Tests!$A$2:$L$841,12,FALSE),VLOOKUP($C145,Questions!$A$3:$N$174,9,FALSE)))</f>
        <v>N</v>
      </c>
      <c r="F145" s="187" t="str">
        <f>IF($B145 = "Mutant",VLOOKUP($C145,Mutants!$A$2:$L$560,11,FALSE),IF($B145 = "Test",VLOOKUP($C145,Tests!$A$2:$L$841,11,FALSE),VLOOKUP($C145,Questions!$A$3:$N$174,13,FALSE)))</f>
        <v xml:space="preserve">
</v>
      </c>
      <c r="G145" s="187"/>
      <c r="H145" s="202"/>
    </row>
    <row r="146" spans="2:8" ht="12.75">
      <c r="B146" s="114" t="s">
        <v>4590</v>
      </c>
      <c r="C146" s="9">
        <v>851</v>
      </c>
      <c r="D146" s="9" t="s">
        <v>2820</v>
      </c>
      <c r="E146" s="9" t="str">
        <f>IF($B146 = "Mutant",VLOOKUP($C146,Mutants!$A$2:$L$560,12,FALSE),IF($B146 = "Test",VLOOKUP($C146,Tests!$A$2:$L$841,12,FALSE),VLOOKUP($C146,Questions!$A$3:$N$174,9,FALSE)))</f>
        <v>Y</v>
      </c>
      <c r="F146" s="187" t="str">
        <f>IF($B146 = "Mutant",VLOOKUP($C146,Mutants!$A$2:$L$560,11,FALSE),IF($B146 = "Test",VLOOKUP($C146,Tests!$A$2:$L$841,11,FALSE),VLOOKUP($C146,Questions!$A$3:$N$174,13,FALSE)))</f>
        <v xml:space="preserve">add, getFields_1
</v>
      </c>
      <c r="G146" s="187"/>
      <c r="H146" s="202"/>
    </row>
    <row r="147" spans="2:8" ht="12.75">
      <c r="B147" s="114" t="s">
        <v>4590</v>
      </c>
      <c r="C147" s="9">
        <v>859</v>
      </c>
      <c r="D147" s="9" t="s">
        <v>2843</v>
      </c>
      <c r="E147" s="9" t="str">
        <f>IF($B147 = "Mutant",VLOOKUP($C147,Mutants!$A$2:$L$560,12,FALSE),IF($B147 = "Test",VLOOKUP($C147,Tests!$A$2:$L$841,12,FALSE),VLOOKUP($C147,Questions!$A$3:$N$174,9,FALSE)))</f>
        <v>Y</v>
      </c>
      <c r="F147" s="187" t="str">
        <f>IF($B147 = "Mutant",VLOOKUP($C147,Mutants!$A$2:$L$560,11,FALSE),IF($B147 = "Test",VLOOKUP($C147,Tests!$A$2:$L$841,11,FALSE),VLOOKUP($C147,Questions!$A$3:$N$174,13,FALSE)))</f>
        <v xml:space="preserve">add, removeField, getField, getFields_1
</v>
      </c>
      <c r="G147" s="187"/>
      <c r="H147" s="202"/>
    </row>
    <row r="148" spans="2:8" ht="12.75">
      <c r="B148" s="114" t="s">
        <v>4590</v>
      </c>
      <c r="C148" s="9">
        <v>873</v>
      </c>
      <c r="D148" s="9" t="s">
        <v>438</v>
      </c>
      <c r="E148" s="9" t="str">
        <f>IF($B148 = "Mutant",VLOOKUP($C148,Mutants!$A$2:$L$560,12,FALSE),IF($B148 = "Test",VLOOKUP($C148,Tests!$A$2:$L$841,12,FALSE),VLOOKUP($C148,Questions!$A$3:$N$174,9,FALSE)))</f>
        <v>Y</v>
      </c>
      <c r="F148" s="187" t="str">
        <f>IF($B148 = "Mutant",VLOOKUP($C148,Mutants!$A$2:$L$560,11,FALSE),IF($B148 = "Test",VLOOKUP($C148,Tests!$A$2:$L$841,11,FALSE),VLOOKUP($C148,Questions!$A$3:$N$174,13,FALSE)))</f>
        <v xml:space="preserve">add, removeFields, getFields_1, toString
</v>
      </c>
      <c r="G148" s="187"/>
      <c r="H148" s="202"/>
    </row>
    <row r="149" spans="2:8" ht="12.75">
      <c r="B149" s="114" t="s">
        <v>4590</v>
      </c>
      <c r="C149" s="9">
        <v>877</v>
      </c>
      <c r="D149" s="9" t="s">
        <v>2903</v>
      </c>
      <c r="E149" s="9" t="str">
        <f>IF($B149 = "Mutant",VLOOKUP($C149,Mutants!$A$2:$L$560,12,FALSE),IF($B149 = "Test",VLOOKUP($C149,Tests!$A$2:$L$841,12,FALSE),VLOOKUP($C149,Questions!$A$3:$N$174,9,FALSE)))</f>
        <v>Y</v>
      </c>
      <c r="F149" s="187" t="str">
        <f>IF($B149 = "Mutant",VLOOKUP($C149,Mutants!$A$2:$L$560,11,FALSE),IF($B149 = "Test",VLOOKUP($C149,Tests!$A$2:$L$841,11,FALSE),VLOOKUP($C149,Questions!$A$3:$N$174,13,FALSE)))</f>
        <v xml:space="preserve">add, removeFields, getFields_1, toString
</v>
      </c>
      <c r="G149" s="187"/>
      <c r="H149" s="202"/>
    </row>
    <row r="150" spans="2:8" ht="12.75">
      <c r="B150" s="114" t="s">
        <v>4589</v>
      </c>
      <c r="C150" s="9">
        <v>646</v>
      </c>
      <c r="D150" s="9" t="s">
        <v>4552</v>
      </c>
      <c r="E150" s="9" t="str">
        <f>IF($B150 = "Mutant",VLOOKUP($C150,Mutants!$A$2:$L$560,12,FALSE),IF($B150 = "Test",VLOOKUP($C150,Tests!$A$2:$L$841,12,FALSE),VLOOKUP($C150,Questions!$A$3:$N$174,9,FALSE)))</f>
        <v>Y</v>
      </c>
      <c r="F150" s="187" t="str">
        <f>IF($B150 = "Mutant",VLOOKUP($C150,Mutants!$A$2:$L$560,11,FALSE),IF($B150 = "Test",VLOOKUP($C150,Tests!$A$2:$L$841,11,FALSE),VLOOKUP($C150,Questions!$A$3:$N$174,13,FALSE)))</f>
        <v xml:space="preserve">toString
</v>
      </c>
      <c r="G150" s="187"/>
      <c r="H150" s="202"/>
    </row>
    <row r="151" spans="2:8" ht="12.75">
      <c r="B151" s="114" t="s">
        <v>4590</v>
      </c>
      <c r="C151" s="9">
        <v>925</v>
      </c>
      <c r="D151" s="9" t="s">
        <v>3040</v>
      </c>
      <c r="E151" s="9" t="str">
        <f>IF($B151 = "Mutant",VLOOKUP($C151,Mutants!$A$2:$L$560,12,FALSE),IF($B151 = "Test",VLOOKUP($C151,Tests!$A$2:$L$841,12,FALSE),VLOOKUP($C151,Questions!$A$3:$N$174,9,FALSE)))</f>
        <v>N</v>
      </c>
      <c r="F151" s="187" t="str">
        <f>IF($B151 = "Mutant",VLOOKUP($C151,Mutants!$A$2:$L$560,11,FALSE),IF($B151 = "Test",VLOOKUP($C151,Tests!$A$2:$L$841,11,FALSE),VLOOKUP($C151,Questions!$A$3:$N$174,13,FALSE)))</f>
        <v xml:space="preserve">
</v>
      </c>
      <c r="G151" s="187"/>
      <c r="H151" s="202"/>
    </row>
    <row r="152" spans="2:8" ht="12.75">
      <c r="B152" s="114" t="s">
        <v>4590</v>
      </c>
      <c r="C152" s="9">
        <v>932</v>
      </c>
      <c r="D152" s="9" t="s">
        <v>3057</v>
      </c>
      <c r="E152" s="9" t="str">
        <f>IF($B152 = "Mutant",VLOOKUP($C152,Mutants!$A$2:$L$560,12,FALSE),IF($B152 = "Test",VLOOKUP($C152,Tests!$A$2:$L$841,12,FALSE),VLOOKUP($C152,Questions!$A$3:$N$174,9,FALSE)))</f>
        <v>Y</v>
      </c>
      <c r="F152" s="187" t="str">
        <f>IF($B152 = "Mutant",VLOOKUP($C152,Mutants!$A$2:$L$560,11,FALSE),IF($B152 = "Test",VLOOKUP($C152,Tests!$A$2:$L$841,11,FALSE),VLOOKUP($C152,Questions!$A$3:$N$174,13,FALSE)))</f>
        <v xml:space="preserve">add, removeFields, getFields_1, clear
</v>
      </c>
      <c r="G152" s="187"/>
      <c r="H152" s="202"/>
    </row>
    <row r="153" spans="2:8" ht="12.75">
      <c r="B153" s="133" t="s">
        <v>4590</v>
      </c>
      <c r="C153" s="130">
        <v>938</v>
      </c>
      <c r="D153" s="130" t="s">
        <v>3075</v>
      </c>
      <c r="E153" s="130" t="str">
        <f>IF($B153 = "Mutant",VLOOKUP($C153,Mutants!$A$2:$L$560,12,FALSE),IF($B153 = "Test",VLOOKUP($C153,Tests!$A$2:$L$841,12,FALSE),VLOOKUP($C153,Questions!$A$3:$N$174,9,FALSE)))</f>
        <v>Y</v>
      </c>
      <c r="F153" s="203" t="str">
        <f>IF($B153 = "Mutant",VLOOKUP($C153,Mutants!$A$2:$L$560,11,FALSE),IF($B153 = "Test",VLOOKUP($C153,Tests!$A$2:$L$841,11,FALSE),VLOOKUP($C153,Questions!$A$3:$N$174,13,FALSE)))</f>
        <v xml:space="preserve">add, removeFields, getFields_1, clear
</v>
      </c>
      <c r="G153" s="203"/>
      <c r="H153" s="204"/>
    </row>
    <row r="154" spans="2:8" ht="15.75" customHeight="1">
      <c r="E154" s="9"/>
      <c r="F154" s="187"/>
      <c r="G154" s="187"/>
      <c r="H154" s="187"/>
    </row>
    <row r="155" spans="2:8" ht="15.75" customHeight="1">
      <c r="E155" s="9"/>
      <c r="F155" s="187"/>
      <c r="G155" s="187"/>
      <c r="H155" s="187"/>
    </row>
    <row r="156" spans="2:8" ht="13.5" thickBot="1">
      <c r="B156" s="219" t="s">
        <v>4604</v>
      </c>
      <c r="C156" s="201"/>
      <c r="D156" s="45">
        <v>210</v>
      </c>
      <c r="E156" s="9"/>
      <c r="F156" s="187"/>
      <c r="G156" s="187"/>
      <c r="H156" s="187"/>
    </row>
    <row r="157" spans="2:8" ht="13.5" thickTop="1">
      <c r="B157" s="134" t="s">
        <v>4594</v>
      </c>
      <c r="C157" s="135" t="s">
        <v>44</v>
      </c>
      <c r="D157" s="135" t="s">
        <v>110</v>
      </c>
      <c r="E157" s="136" t="s">
        <v>2</v>
      </c>
      <c r="F157" s="229" t="s">
        <v>4612</v>
      </c>
      <c r="G157" s="229"/>
      <c r="H157" s="230"/>
    </row>
    <row r="158" spans="2:8" ht="12.75">
      <c r="B158" s="137" t="s">
        <v>4589</v>
      </c>
      <c r="C158" s="93">
        <v>525</v>
      </c>
      <c r="D158" s="93" t="s">
        <v>4246</v>
      </c>
      <c r="E158" s="93" t="str">
        <f>IF($B158 = "Mutant",VLOOKUP($C158,Mutants!$A$2:$L$560,12,FALSE),IF($B158 = "Test",VLOOKUP($C158,Tests!$A$2:$L$841,12,FALSE),VLOOKUP($C158,Questions!$A$3:$N$174,9,FALSE)))</f>
        <v>Y</v>
      </c>
      <c r="F158" s="205" t="str">
        <f>IF($B158 = "Mutant",VLOOKUP($C158,Mutants!$A$2:$L$560,11,FALSE),IF($B158 = "Test",VLOOKUP($C158,Tests!$A$2:$L$841,11,FALSE),VLOOKUP($C158,Questions!$A$3:$N$174,13,FALSE)))</f>
        <v xml:space="preserve">
</v>
      </c>
      <c r="G158" s="205"/>
      <c r="H158" s="206"/>
    </row>
    <row r="159" spans="2:8" ht="12.75">
      <c r="B159" s="114" t="s">
        <v>4589</v>
      </c>
      <c r="C159" s="9">
        <v>534</v>
      </c>
      <c r="D159" s="9" t="s">
        <v>1845</v>
      </c>
      <c r="E159" s="9" t="str">
        <f>IF($B159 = "Mutant",VLOOKUP($C159,Mutants!$A$2:$L$560,12,FALSE),IF($B159 = "Test",VLOOKUP($C159,Tests!$A$2:$L$841,12,FALSE),VLOOKUP($C159,Questions!$A$3:$N$174,9,FALSE)))</f>
        <v>Y</v>
      </c>
      <c r="F159" s="187" t="str">
        <f>IF($B159 = "Mutant",VLOOKUP($C159,Mutants!$A$2:$L$560,11,FALSE),IF($B159 = "Test",VLOOKUP($C159,Tests!$A$2:$L$841,11,FALSE),VLOOKUP($C159,Questions!$A$3:$N$174,13,FALSE)))</f>
        <v xml:space="preserve">getValues
</v>
      </c>
      <c r="G159" s="187"/>
      <c r="H159" s="202"/>
    </row>
    <row r="160" spans="2:8" ht="12.75">
      <c r="B160" s="114" t="s">
        <v>4589</v>
      </c>
      <c r="C160" s="9">
        <v>544</v>
      </c>
      <c r="D160" s="9" t="s">
        <v>4292</v>
      </c>
      <c r="E160" s="9" t="str">
        <f>IF($B160 = "Mutant",VLOOKUP($C160,Mutants!$A$2:$L$560,12,FALSE),IF($B160 = "Test",VLOOKUP($C160,Tests!$A$2:$L$841,12,FALSE),VLOOKUP($C160,Questions!$A$3:$N$174,9,FALSE)))</f>
        <v>Y</v>
      </c>
      <c r="F160" s="187" t="str">
        <f>IF($B160 = "Mutant",VLOOKUP($C160,Mutants!$A$2:$L$560,11,FALSE),IF($B160 = "Test",VLOOKUP($C160,Tests!$A$2:$L$841,11,FALSE),VLOOKUP($C160,Questions!$A$3:$N$174,13,FALSE)))</f>
        <v xml:space="preserve">getValues
</v>
      </c>
      <c r="G160" s="187"/>
      <c r="H160" s="202"/>
    </row>
    <row r="161" spans="2:8" ht="12.75">
      <c r="B161" s="114" t="s">
        <v>4589</v>
      </c>
      <c r="C161" s="9">
        <v>573</v>
      </c>
      <c r="D161" s="9" t="s">
        <v>4367</v>
      </c>
      <c r="E161" s="9" t="str">
        <f>IF($B161 = "Mutant",VLOOKUP($C161,Mutants!$A$2:$L$560,12,FALSE),IF($B161 = "Test",VLOOKUP($C161,Tests!$A$2:$L$841,12,FALSE),VLOOKUP($C161,Questions!$A$3:$N$174,9,FALSE)))</f>
        <v>Y</v>
      </c>
      <c r="F161" s="187" t="str">
        <f>IF($B161 = "Mutant",VLOOKUP($C161,Mutants!$A$2:$L$560,11,FALSE),IF($B161 = "Test",VLOOKUP($C161,Tests!$A$2:$L$841,11,FALSE),VLOOKUP($C161,Questions!$A$3:$N$174,13,FALSE)))</f>
        <v xml:space="preserve">get
</v>
      </c>
      <c r="G161" s="187"/>
      <c r="H161" s="202"/>
    </row>
    <row r="162" spans="2:8" ht="12.75">
      <c r="B162" s="114" t="s">
        <v>4590</v>
      </c>
      <c r="C162" s="9">
        <v>845</v>
      </c>
      <c r="D162" s="9" t="s">
        <v>2800</v>
      </c>
      <c r="E162" s="9" t="str">
        <f>IF($B162 = "Mutant",VLOOKUP($C162,Mutants!$A$2:$L$560,12,FALSE),IF($B162 = "Test",VLOOKUP($C162,Tests!$A$2:$L$841,12,FALSE),VLOOKUP($C162,Questions!$A$3:$N$174,9,FALSE)))</f>
        <v>N</v>
      </c>
      <c r="F162" s="187" t="str">
        <f>IF($B162 = "Mutant",VLOOKUP($C162,Mutants!$A$2:$L$560,11,FALSE),IF($B162 = "Test",VLOOKUP($C162,Tests!$A$2:$L$841,11,FALSE),VLOOKUP($C162,Questions!$A$3:$N$174,13,FALSE)))</f>
        <v xml:space="preserve">
</v>
      </c>
      <c r="G162" s="187"/>
      <c r="H162" s="202"/>
    </row>
    <row r="163" spans="2:8" ht="12.75">
      <c r="B163" s="114" t="s">
        <v>4590</v>
      </c>
      <c r="C163" s="9">
        <v>853</v>
      </c>
      <c r="D163" s="9" t="s">
        <v>2827</v>
      </c>
      <c r="E163" s="9" t="str">
        <f>IF($B163 = "Mutant",VLOOKUP($C163,Mutants!$A$2:$L$560,12,FALSE),IF($B163 = "Test",VLOOKUP($C163,Tests!$A$2:$L$841,12,FALSE),VLOOKUP($C163,Questions!$A$3:$N$174,9,FALSE)))</f>
        <v>N</v>
      </c>
      <c r="F163" s="187" t="str">
        <f>IF($B163 = "Mutant",VLOOKUP($C163,Mutants!$A$2:$L$560,11,FALSE),IF($B163 = "Test",VLOOKUP($C163,Tests!$A$2:$L$841,11,FALSE),VLOOKUP($C163,Questions!$A$3:$N$174,13,FALSE)))</f>
        <v xml:space="preserve">
</v>
      </c>
      <c r="G163" s="187"/>
      <c r="H163" s="202"/>
    </row>
    <row r="164" spans="2:8" ht="12.75">
      <c r="B164" s="114" t="s">
        <v>4590</v>
      </c>
      <c r="C164" s="9">
        <v>874</v>
      </c>
      <c r="D164" s="9" t="s">
        <v>2895</v>
      </c>
      <c r="E164" s="9" t="str">
        <f>IF($B164 = "Mutant",VLOOKUP($C164,Mutants!$A$2:$L$560,12,FALSE),IF($B164 = "Test",VLOOKUP($C164,Tests!$A$2:$L$841,12,FALSE),VLOOKUP($C164,Questions!$A$3:$N$174,9,FALSE)))</f>
        <v>Y</v>
      </c>
      <c r="F164" s="187" t="str">
        <f>IF($B164 = "Mutant",VLOOKUP($C164,Mutants!$A$2:$L$560,11,FALSE),IF($B164 = "Test",VLOOKUP($C164,Tests!$A$2:$L$841,11,FALSE),VLOOKUP($C164,Questions!$A$3:$N$174,13,FALSE)))</f>
        <v xml:space="preserve">add, removeField, toString
</v>
      </c>
      <c r="G164" s="187"/>
      <c r="H164" s="202"/>
    </row>
    <row r="165" spans="2:8" ht="12.75">
      <c r="B165" s="133" t="s">
        <v>4590</v>
      </c>
      <c r="C165" s="130">
        <v>937</v>
      </c>
      <c r="D165" s="130" t="s">
        <v>3072</v>
      </c>
      <c r="E165" s="130" t="str">
        <f>IF($B165 = "Mutant",VLOOKUP($C165,Mutants!$A$2:$L$560,12,FALSE),IF($B165 = "Test",VLOOKUP($C165,Tests!$A$2:$L$841,12,FALSE),VLOOKUP($C165,Questions!$A$3:$N$174,9,FALSE)))</f>
        <v>Y</v>
      </c>
      <c r="F165" s="203" t="str">
        <f>IF($B165 = "Mutant",VLOOKUP($C165,Mutants!$A$2:$L$560,11,FALSE),IF($B165 = "Test",VLOOKUP($C165,Tests!$A$2:$L$841,11,FALSE),VLOOKUP($C165,Questions!$A$3:$N$174,13,FALSE)))</f>
        <v xml:space="preserve">add, removeField, getField
</v>
      </c>
      <c r="G165" s="203"/>
      <c r="H165" s="204"/>
    </row>
    <row r="166" spans="2:8" ht="15.75" customHeight="1">
      <c r="E166" s="9"/>
      <c r="F166" s="187"/>
      <c r="G166" s="187"/>
      <c r="H166" s="187"/>
    </row>
    <row r="167" spans="2:8" ht="15.75" customHeight="1">
      <c r="E167" s="9"/>
      <c r="F167" s="187"/>
      <c r="G167" s="187"/>
      <c r="H167" s="187"/>
    </row>
    <row r="168" spans="2:8" ht="13.5" thickBot="1">
      <c r="B168" s="219" t="s">
        <v>4604</v>
      </c>
      <c r="C168" s="201"/>
      <c r="D168" s="45">
        <v>211</v>
      </c>
      <c r="E168" s="9"/>
      <c r="F168" s="187"/>
      <c r="G168" s="187"/>
      <c r="H168" s="187"/>
    </row>
    <row r="169" spans="2:8" ht="13.5" thickTop="1">
      <c r="B169" s="134" t="s">
        <v>4594</v>
      </c>
      <c r="C169" s="135" t="s">
        <v>44</v>
      </c>
      <c r="D169" s="135" t="s">
        <v>110</v>
      </c>
      <c r="E169" s="136" t="s">
        <v>2</v>
      </c>
      <c r="F169" s="229" t="s">
        <v>4612</v>
      </c>
      <c r="G169" s="229"/>
      <c r="H169" s="230"/>
    </row>
    <row r="170" spans="2:8" ht="12.75">
      <c r="B170" s="137" t="s">
        <v>4589</v>
      </c>
      <c r="C170" s="93">
        <v>480</v>
      </c>
      <c r="D170" s="93" t="s">
        <v>4128</v>
      </c>
      <c r="E170" s="93" t="str">
        <f>IF($B170 = "Mutant",VLOOKUP($C170,Mutants!$A$2:$L$560,12,FALSE),IF($B170 = "Test",VLOOKUP($C170,Tests!$A$2:$L$841,12,FALSE),VLOOKUP($C170,Questions!$A$3:$N$174,9,FALSE)))</f>
        <v>Y</v>
      </c>
      <c r="F170" s="205" t="str">
        <f>IF($B170 = "Mutant",VLOOKUP($C170,Mutants!$A$2:$L$560,11,FALSE),IF($B170 = "Test",VLOOKUP($C170,Tests!$A$2:$L$841,11,FALSE),VLOOKUP($C170,Questions!$A$3:$N$174,13,FALSE)))</f>
        <v xml:space="preserve">getField
</v>
      </c>
      <c r="G170" s="205"/>
      <c r="H170" s="206"/>
    </row>
    <row r="171" spans="2:8" ht="12.75">
      <c r="B171" s="114" t="s">
        <v>4590</v>
      </c>
      <c r="C171" s="9">
        <v>522</v>
      </c>
      <c r="D171" s="9" t="s">
        <v>1908</v>
      </c>
      <c r="E171" s="9" t="str">
        <f>IF($B171 = "Mutant",VLOOKUP($C171,Mutants!$A$2:$L$560,12,FALSE),IF($B171 = "Test",VLOOKUP($C171,Tests!$A$2:$L$841,12,FALSE),VLOOKUP($C171,Questions!$A$3:$N$174,9,FALSE)))</f>
        <v>Y</v>
      </c>
      <c r="F171" s="187" t="str">
        <f>IF($B171 = "Mutant",VLOOKUP($C171,Mutants!$A$2:$L$560,11,FALSE),IF($B171 = "Test",VLOOKUP($C171,Tests!$A$2:$L$841,11,FALSE),VLOOKUP($C171,Questions!$A$3:$N$174,13,FALSE)))</f>
        <v xml:space="preserve">add, getBinaryValue
</v>
      </c>
      <c r="G171" s="187"/>
      <c r="H171" s="202"/>
    </row>
    <row r="172" spans="2:8" ht="12.75">
      <c r="B172" s="114" t="s">
        <v>4590</v>
      </c>
      <c r="C172" s="9">
        <v>556</v>
      </c>
      <c r="D172" s="9" t="s">
        <v>2006</v>
      </c>
      <c r="E172" s="9" t="str">
        <f>IF($B172 = "Mutant",VLOOKUP($C172,Mutants!$A$2:$L$560,12,FALSE),IF($B172 = "Test",VLOOKUP($C172,Tests!$A$2:$L$841,12,FALSE),VLOOKUP($C172,Questions!$A$3:$N$174,9,FALSE)))</f>
        <v>Y</v>
      </c>
      <c r="F172" s="187" t="str">
        <f>IF($B172 = "Mutant",VLOOKUP($C172,Mutants!$A$2:$L$560,11,FALSE),IF($B172 = "Test",VLOOKUP($C172,Tests!$A$2:$L$841,11,FALSE),VLOOKUP($C172,Questions!$A$3:$N$174,13,FALSE)))</f>
        <v xml:space="preserve">add, getBinaryValue
</v>
      </c>
      <c r="G172" s="187"/>
      <c r="H172" s="202"/>
    </row>
    <row r="173" spans="2:8" ht="12.75">
      <c r="B173" s="114" t="s">
        <v>4590</v>
      </c>
      <c r="C173" s="9">
        <v>594</v>
      </c>
      <c r="D173" s="9" t="s">
        <v>2128</v>
      </c>
      <c r="E173" s="9" t="str">
        <f>IF($B173 = "Mutant",VLOOKUP($C173,Mutants!$A$2:$L$560,12,FALSE),IF($B173 = "Test",VLOOKUP($C173,Tests!$A$2:$L$841,12,FALSE),VLOOKUP($C173,Questions!$A$3:$N$174,9,FALSE)))</f>
        <v>Y</v>
      </c>
      <c r="F173" s="187" t="str">
        <f>IF($B173 = "Mutant",VLOOKUP($C173,Mutants!$A$2:$L$560,11,FALSE),IF($B173 = "Test",VLOOKUP($C173,Tests!$A$2:$L$841,11,FALSE),VLOOKUP($C173,Questions!$A$3:$N$174,13,FALSE)))</f>
        <v xml:space="preserve">getValues
</v>
      </c>
      <c r="G173" s="187"/>
      <c r="H173" s="202"/>
    </row>
    <row r="174" spans="2:8" ht="12.75">
      <c r="B174" s="114" t="s">
        <v>4590</v>
      </c>
      <c r="C174" s="9">
        <v>639</v>
      </c>
      <c r="D174" s="9" t="s">
        <v>2254</v>
      </c>
      <c r="E174" s="9" t="str">
        <f>IF($B174 = "Mutant",VLOOKUP($C174,Mutants!$A$2:$L$560,12,FALSE),IF($B174 = "Test",VLOOKUP($C174,Tests!$A$2:$L$841,12,FALSE),VLOOKUP($C174,Questions!$A$3:$N$174,9,FALSE)))</f>
        <v>Y</v>
      </c>
      <c r="F174" s="187" t="str">
        <f>IF($B174 = "Mutant",VLOOKUP($C174,Mutants!$A$2:$L$560,11,FALSE),IF($B174 = "Test",VLOOKUP($C174,Tests!$A$2:$L$841,11,FALSE),VLOOKUP($C174,Questions!$A$3:$N$174,13,FALSE)))</f>
        <v xml:space="preserve">add, getValues
</v>
      </c>
      <c r="G174" s="187"/>
      <c r="H174" s="202"/>
    </row>
    <row r="175" spans="2:8" ht="12.75">
      <c r="B175" s="114" t="s">
        <v>4590</v>
      </c>
      <c r="C175" s="9">
        <v>692</v>
      </c>
      <c r="D175" s="9" t="s">
        <v>2395</v>
      </c>
      <c r="E175" s="9" t="str">
        <f>IF($B175 = "Mutant",VLOOKUP($C175,Mutants!$A$2:$L$560,12,FALSE),IF($B175 = "Test",VLOOKUP($C175,Tests!$A$2:$L$841,12,FALSE),VLOOKUP($C175,Questions!$A$3:$N$174,9,FALSE)))</f>
        <v>Y</v>
      </c>
      <c r="F175" s="187" t="str">
        <f>IF($B175 = "Mutant",VLOOKUP($C175,Mutants!$A$2:$L$560,11,FALSE),IF($B175 = "Test",VLOOKUP($C175,Tests!$A$2:$L$841,11,FALSE),VLOOKUP($C175,Questions!$A$3:$N$174,13,FALSE)))</f>
        <v xml:space="preserve">add, getValues, clear
</v>
      </c>
      <c r="G175" s="187"/>
      <c r="H175" s="202"/>
    </row>
    <row r="176" spans="2:8" ht="12.75">
      <c r="B176" s="114" t="s">
        <v>4590</v>
      </c>
      <c r="C176" s="9">
        <v>729</v>
      </c>
      <c r="D176" s="9" t="s">
        <v>2494</v>
      </c>
      <c r="E176" s="9" t="str">
        <f>IF($B176 = "Mutant",VLOOKUP($C176,Mutants!$A$2:$L$560,12,FALSE),IF($B176 = "Test",VLOOKUP($C176,Tests!$A$2:$L$841,12,FALSE),VLOOKUP($C176,Questions!$A$3:$N$174,9,FALSE)))</f>
        <v>Y</v>
      </c>
      <c r="F176" s="187" t="str">
        <f>IF($B176 = "Mutant",VLOOKUP($C176,Mutants!$A$2:$L$560,11,FALSE),IF($B176 = "Test",VLOOKUP($C176,Tests!$A$2:$L$841,11,FALSE),VLOOKUP($C176,Questions!$A$3:$N$174,13,FALSE)))</f>
        <v xml:space="preserve">add, get
</v>
      </c>
      <c r="G176" s="187"/>
      <c r="H176" s="202"/>
    </row>
    <row r="177" spans="2:8" ht="12.75">
      <c r="B177" s="114" t="s">
        <v>4590</v>
      </c>
      <c r="C177" s="9">
        <v>769</v>
      </c>
      <c r="D177" s="9" t="s">
        <v>2605</v>
      </c>
      <c r="E177" s="9" t="str">
        <f>IF($B177 = "Mutant",VLOOKUP($C177,Mutants!$A$2:$L$560,12,FALSE),IF($B177 = "Test",VLOOKUP($C177,Tests!$A$2:$L$841,12,FALSE),VLOOKUP($C177,Questions!$A$3:$N$174,9,FALSE)))</f>
        <v>Y</v>
      </c>
      <c r="F177" s="187" t="str">
        <f>IF($B177 = "Mutant",VLOOKUP($C177,Mutants!$A$2:$L$560,11,FALSE),IF($B177 = "Test",VLOOKUP($C177,Tests!$A$2:$L$841,11,FALSE),VLOOKUP($C177,Questions!$A$3:$N$174,13,FALSE)))</f>
        <v xml:space="preserve">add, removeField, getField
</v>
      </c>
      <c r="G177" s="187"/>
      <c r="H177" s="202"/>
    </row>
    <row r="178" spans="2:8" ht="12.75">
      <c r="B178" s="114" t="s">
        <v>4590</v>
      </c>
      <c r="C178" s="9">
        <v>805</v>
      </c>
      <c r="D178" s="9" t="s">
        <v>2699</v>
      </c>
      <c r="E178" s="9" t="str">
        <f>IF($B178 = "Mutant",VLOOKUP($C178,Mutants!$A$2:$L$560,12,FALSE),IF($B178 = "Test",VLOOKUP($C178,Tests!$A$2:$L$841,12,FALSE),VLOOKUP($C178,Questions!$A$3:$N$174,9,FALSE)))</f>
        <v>Y</v>
      </c>
      <c r="F178" s="187" t="str">
        <f>IF($B178 = "Mutant",VLOOKUP($C178,Mutants!$A$2:$L$560,11,FALSE),IF($B178 = "Test",VLOOKUP($C178,Tests!$A$2:$L$841,11,FALSE),VLOOKUP($C178,Questions!$A$3:$N$174,13,FALSE)))</f>
        <v xml:space="preserve">add, getField
</v>
      </c>
      <c r="G178" s="187"/>
      <c r="H178" s="202"/>
    </row>
    <row r="179" spans="2:8" ht="12.75">
      <c r="B179" s="114" t="s">
        <v>4589</v>
      </c>
      <c r="C179" s="9">
        <v>632</v>
      </c>
      <c r="D179" s="9" t="s">
        <v>4519</v>
      </c>
      <c r="E179" s="9" t="str">
        <f>IF($B179 = "Mutant",VLOOKUP($C179,Mutants!$A$2:$L$560,12,FALSE),IF($B179 = "Test",VLOOKUP($C179,Tests!$A$2:$L$841,12,FALSE),VLOOKUP($C179,Questions!$A$3:$N$174,9,FALSE)))</f>
        <v>Y</v>
      </c>
      <c r="F179" s="187" t="str">
        <f>IF($B179 = "Mutant",VLOOKUP($C179,Mutants!$A$2:$L$560,11,FALSE),IF($B179 = "Test",VLOOKUP($C179,Tests!$A$2:$L$841,11,FALSE),VLOOKUP($C179,Questions!$A$3:$N$174,13,FALSE)))</f>
        <v xml:space="preserve">getBinaryValue
</v>
      </c>
      <c r="G179" s="187"/>
      <c r="H179" s="202"/>
    </row>
    <row r="180" spans="2:8" ht="12.75">
      <c r="B180" s="114" t="s">
        <v>4589</v>
      </c>
      <c r="C180" s="9">
        <v>637</v>
      </c>
      <c r="D180" s="9" t="s">
        <v>2866</v>
      </c>
      <c r="E180" s="9" t="str">
        <f>IF($B180 = "Mutant",VLOOKUP($C180,Mutants!$A$2:$L$560,12,FALSE),IF($B180 = "Test",VLOOKUP($C180,Tests!$A$2:$L$841,12,FALSE),VLOOKUP($C180,Questions!$A$3:$N$174,9,FALSE)))</f>
        <v>Y</v>
      </c>
      <c r="F180" s="187" t="str">
        <f>IF($B180 = "Mutant",VLOOKUP($C180,Mutants!$A$2:$L$560,11,FALSE),IF($B180 = "Test",VLOOKUP($C180,Tests!$A$2:$L$841,11,FALSE),VLOOKUP($C180,Questions!$A$3:$N$174,13,FALSE)))</f>
        <v xml:space="preserve">getField
</v>
      </c>
      <c r="G180" s="187"/>
      <c r="H180" s="202"/>
    </row>
    <row r="181" spans="2:8" ht="12.75">
      <c r="B181" s="114" t="s">
        <v>4589</v>
      </c>
      <c r="C181" s="9">
        <v>645</v>
      </c>
      <c r="D181" s="9" t="s">
        <v>415</v>
      </c>
      <c r="E181" s="9" t="str">
        <f>IF($B181 = "Mutant",VLOOKUP($C181,Mutants!$A$2:$L$560,12,FALSE),IF($B181 = "Test",VLOOKUP($C181,Tests!$A$2:$L$841,12,FALSE),VLOOKUP($C181,Questions!$A$3:$N$174,9,FALSE)))</f>
        <v>Y</v>
      </c>
      <c r="F181" s="187" t="str">
        <f>IF($B181 = "Mutant",VLOOKUP($C181,Mutants!$A$2:$L$560,11,FALSE),IF($B181 = "Test",VLOOKUP($C181,Tests!$A$2:$L$841,11,FALSE),VLOOKUP($C181,Questions!$A$3:$N$174,13,FALSE)))</f>
        <v xml:space="preserve">removeFields
</v>
      </c>
      <c r="G181" s="187"/>
      <c r="H181" s="202"/>
    </row>
    <row r="182" spans="2:8" ht="12.75">
      <c r="B182" s="133" t="s">
        <v>4589</v>
      </c>
      <c r="C182" s="130">
        <v>660</v>
      </c>
      <c r="D182" s="130" t="s">
        <v>4587</v>
      </c>
      <c r="E182" s="130" t="str">
        <f>IF($B182 = "Mutant",VLOOKUP($C182,Mutants!$A$2:$L$560,12,FALSE),IF($B182 = "Test",VLOOKUP($C182,Tests!$A$2:$L$841,12,FALSE),VLOOKUP($C182,Questions!$A$3:$N$174,9,FALSE)))</f>
        <v>Y</v>
      </c>
      <c r="F182" s="203" t="str">
        <f>IF($B182 = "Mutant",VLOOKUP($C182,Mutants!$A$2:$L$560,11,FALSE),IF($B182 = "Test",VLOOKUP($C182,Tests!$A$2:$L$841,11,FALSE),VLOOKUP($C182,Questions!$A$3:$N$174,13,FALSE)))</f>
        <v xml:space="preserve">getFields_2
</v>
      </c>
      <c r="G182" s="203"/>
      <c r="H182" s="204"/>
    </row>
  </sheetData>
  <mergeCells count="139">
    <mergeCell ref="F57:H57"/>
    <mergeCell ref="F58:H58"/>
    <mergeCell ref="F59:H59"/>
    <mergeCell ref="F60:H60"/>
    <mergeCell ref="F61:H61"/>
    <mergeCell ref="B13:C13"/>
    <mergeCell ref="B5:C5"/>
    <mergeCell ref="B6:C6"/>
    <mergeCell ref="B7:C7"/>
    <mergeCell ref="B8:C8"/>
    <mergeCell ref="B9:C9"/>
    <mergeCell ref="B10:C10"/>
    <mergeCell ref="F67:H67"/>
    <mergeCell ref="F68:H68"/>
    <mergeCell ref="F69:H69"/>
    <mergeCell ref="F70:H70"/>
    <mergeCell ref="F71:H71"/>
    <mergeCell ref="F62:H62"/>
    <mergeCell ref="F63:H63"/>
    <mergeCell ref="F64:H64"/>
    <mergeCell ref="F65:H65"/>
    <mergeCell ref="F66:H66"/>
    <mergeCell ref="F77:H77"/>
    <mergeCell ref="F78:H78"/>
    <mergeCell ref="F79:H79"/>
    <mergeCell ref="F80:H80"/>
    <mergeCell ref="F81:H81"/>
    <mergeCell ref="F72:H72"/>
    <mergeCell ref="F73:H73"/>
    <mergeCell ref="F74:H74"/>
    <mergeCell ref="F75:H75"/>
    <mergeCell ref="F76:H76"/>
    <mergeCell ref="F87:H87"/>
    <mergeCell ref="F88:H88"/>
    <mergeCell ref="F89:H89"/>
    <mergeCell ref="F90:H90"/>
    <mergeCell ref="F91:H91"/>
    <mergeCell ref="F82:H82"/>
    <mergeCell ref="F83:H83"/>
    <mergeCell ref="F84:H84"/>
    <mergeCell ref="F85:H85"/>
    <mergeCell ref="F86:H86"/>
    <mergeCell ref="F97:H97"/>
    <mergeCell ref="F98:H98"/>
    <mergeCell ref="F99:H99"/>
    <mergeCell ref="F100:H100"/>
    <mergeCell ref="F101:H101"/>
    <mergeCell ref="F92:H92"/>
    <mergeCell ref="F93:H93"/>
    <mergeCell ref="F94:H94"/>
    <mergeCell ref="F95:H95"/>
    <mergeCell ref="F96:H96"/>
    <mergeCell ref="F107:H107"/>
    <mergeCell ref="F108:H108"/>
    <mergeCell ref="F109:H109"/>
    <mergeCell ref="F110:H110"/>
    <mergeCell ref="F111:H111"/>
    <mergeCell ref="F102:H102"/>
    <mergeCell ref="F103:H103"/>
    <mergeCell ref="F104:H104"/>
    <mergeCell ref="F105:H105"/>
    <mergeCell ref="F106:H106"/>
    <mergeCell ref="F117:H117"/>
    <mergeCell ref="F118:H118"/>
    <mergeCell ref="F119:H119"/>
    <mergeCell ref="F120:H120"/>
    <mergeCell ref="F121:H121"/>
    <mergeCell ref="F112:H112"/>
    <mergeCell ref="F113:H113"/>
    <mergeCell ref="F114:H114"/>
    <mergeCell ref="F115:H115"/>
    <mergeCell ref="F116:H116"/>
    <mergeCell ref="F127:H127"/>
    <mergeCell ref="F128:H128"/>
    <mergeCell ref="F129:H129"/>
    <mergeCell ref="F130:H130"/>
    <mergeCell ref="F131:H131"/>
    <mergeCell ref="F122:H122"/>
    <mergeCell ref="F123:H123"/>
    <mergeCell ref="F124:H124"/>
    <mergeCell ref="F125:H125"/>
    <mergeCell ref="F126:H126"/>
    <mergeCell ref="F137:H137"/>
    <mergeCell ref="F138:H138"/>
    <mergeCell ref="F139:H139"/>
    <mergeCell ref="F140:H140"/>
    <mergeCell ref="F141:H141"/>
    <mergeCell ref="F132:H132"/>
    <mergeCell ref="F133:H133"/>
    <mergeCell ref="F134:H134"/>
    <mergeCell ref="F135:H135"/>
    <mergeCell ref="F136:H136"/>
    <mergeCell ref="F147:H147"/>
    <mergeCell ref="F148:H148"/>
    <mergeCell ref="F149:H149"/>
    <mergeCell ref="F150:H150"/>
    <mergeCell ref="F151:H151"/>
    <mergeCell ref="F142:H142"/>
    <mergeCell ref="F143:H143"/>
    <mergeCell ref="F144:H144"/>
    <mergeCell ref="F145:H145"/>
    <mergeCell ref="F146:H146"/>
    <mergeCell ref="F164:H164"/>
    <mergeCell ref="F165:H165"/>
    <mergeCell ref="F166:H166"/>
    <mergeCell ref="F157:H157"/>
    <mergeCell ref="F158:H158"/>
    <mergeCell ref="F159:H159"/>
    <mergeCell ref="F160:H160"/>
    <mergeCell ref="F161:H161"/>
    <mergeCell ref="F152:H152"/>
    <mergeCell ref="F153:H153"/>
    <mergeCell ref="F154:H154"/>
    <mergeCell ref="F155:H155"/>
    <mergeCell ref="F156:H156"/>
    <mergeCell ref="F182:H182"/>
    <mergeCell ref="B55:C55"/>
    <mergeCell ref="B87:C87"/>
    <mergeCell ref="B119:C119"/>
    <mergeCell ref="B156:C156"/>
    <mergeCell ref="B168:C168"/>
    <mergeCell ref="F56:H56"/>
    <mergeCell ref="F177:H177"/>
    <mergeCell ref="F178:H178"/>
    <mergeCell ref="F179:H179"/>
    <mergeCell ref="F180:H180"/>
    <mergeCell ref="F181:H181"/>
    <mergeCell ref="F172:H172"/>
    <mergeCell ref="F173:H173"/>
    <mergeCell ref="F174:H174"/>
    <mergeCell ref="F175:H175"/>
    <mergeCell ref="F176:H176"/>
    <mergeCell ref="F167:H167"/>
    <mergeCell ref="F168:H168"/>
    <mergeCell ref="F169:H169"/>
    <mergeCell ref="F170:H170"/>
    <mergeCell ref="F171:H171"/>
    <mergeCell ref="F162:H162"/>
    <mergeCell ref="F163:H163"/>
  </mergeCells>
  <conditionalFormatting sqref="A55:B55">
    <cfRule type="cellIs" dxfId="188" priority="40" operator="equal">
      <formula>"NO_KILL"</formula>
    </cfRule>
    <cfRule type="cellIs" dxfId="187" priority="41" operator="equal">
      <formula>"KILL"</formula>
    </cfRule>
    <cfRule type="cellIs" dxfId="186" priority="42" operator="equal">
      <formula>"ERROR"</formula>
    </cfRule>
  </conditionalFormatting>
  <conditionalFormatting sqref="A87:B87">
    <cfRule type="cellIs" dxfId="185" priority="34" operator="equal">
      <formula>"NO_KILL"</formula>
    </cfRule>
    <cfRule type="cellIs" dxfId="184" priority="35" operator="equal">
      <formula>"KILL"</formula>
    </cfRule>
    <cfRule type="cellIs" dxfId="183" priority="36" operator="equal">
      <formula>"ERROR"</formula>
    </cfRule>
  </conditionalFormatting>
  <conditionalFormatting sqref="A119:B119">
    <cfRule type="cellIs" dxfId="182" priority="28" operator="equal">
      <formula>"NO_KILL"</formula>
    </cfRule>
    <cfRule type="cellIs" dxfId="181" priority="29" operator="equal">
      <formula>"KILL"</formula>
    </cfRule>
    <cfRule type="cellIs" dxfId="180" priority="30" operator="equal">
      <formula>"ERROR"</formula>
    </cfRule>
  </conditionalFormatting>
  <conditionalFormatting sqref="A156:B156">
    <cfRule type="cellIs" dxfId="179" priority="23" operator="equal">
      <formula>"KILL"</formula>
    </cfRule>
    <cfRule type="cellIs" dxfId="178" priority="24" operator="equal">
      <formula>"ERROR"</formula>
    </cfRule>
    <cfRule type="cellIs" dxfId="177" priority="22" operator="equal">
      <formula>"NO_KILL"</formula>
    </cfRule>
  </conditionalFormatting>
  <conditionalFormatting sqref="A168:B168">
    <cfRule type="cellIs" dxfId="176" priority="16" operator="equal">
      <formula>"NO_KILL"</formula>
    </cfRule>
    <cfRule type="cellIs" dxfId="175" priority="17" operator="equal">
      <formula>"KILL"</formula>
    </cfRule>
    <cfRule type="cellIs" dxfId="174" priority="18" operator="equal">
      <formula>"ERROR"</formula>
    </cfRule>
  </conditionalFormatting>
  <conditionalFormatting sqref="A1:AI4 A5:B10 D5:AI10 A11:AI54 D55:AI55 A56:D86 I56:AI182 D87 A88:D118 D119 A120:D155 D156 A157:D167 D168 A169:D182 A183:AI1120">
    <cfRule type="cellIs" dxfId="173" priority="49" operator="equal">
      <formula>"NO_KILL"</formula>
    </cfRule>
    <cfRule type="cellIs" dxfId="172" priority="50" operator="equal">
      <formula>"KILL"</formula>
    </cfRule>
    <cfRule type="cellIs" dxfId="171" priority="51" operator="equal">
      <formula>"ERROR"</formula>
    </cfRule>
  </conditionalFormatting>
  <conditionalFormatting sqref="B53:B1120">
    <cfRule type="cellIs" dxfId="170" priority="19" operator="equal">
      <formula>"Test"</formula>
    </cfRule>
    <cfRule type="cellIs" dxfId="169" priority="20" operator="equal">
      <formula>"Mutant"</formula>
    </cfRule>
    <cfRule type="cellIs" dxfId="168" priority="21" operator="equal">
      <formula>"Question"</formula>
    </cfRule>
  </conditionalFormatting>
  <conditionalFormatting sqref="E56:F182">
    <cfRule type="cellIs" dxfId="167" priority="1" operator="equal">
      <formula>"NO_KILL"</formula>
    </cfRule>
    <cfRule type="cellIs" dxfId="166" priority="2" operator="equal">
      <formula>"KILL"</formula>
    </cfRule>
    <cfRule type="cellIs" dxfId="165" priority="3" operator="equal">
      <formula>"ERROR"</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B2:AC136"/>
  <sheetViews>
    <sheetView topLeftCell="A28" workbookViewId="0">
      <selection activeCell="E48" sqref="E48:H48"/>
    </sheetView>
  </sheetViews>
  <sheetFormatPr defaultColWidth="12.5703125" defaultRowHeight="15.75" customHeight="1"/>
  <cols>
    <col min="4" max="4" width="18.140625" bestFit="1" customWidth="1"/>
    <col min="6" max="6" width="13.42578125" customWidth="1"/>
    <col min="14" max="14" width="13.42578125" customWidth="1"/>
  </cols>
  <sheetData>
    <row r="2" spans="2:29" ht="12.75">
      <c r="B2" s="29" t="s">
        <v>4</v>
      </c>
      <c r="C2" s="29" t="s">
        <v>45</v>
      </c>
      <c r="D2" s="29" t="s">
        <v>46</v>
      </c>
    </row>
    <row r="3" spans="2:29" ht="12.75">
      <c r="B3" s="29">
        <v>121</v>
      </c>
      <c r="C3" s="29" t="s">
        <v>60</v>
      </c>
      <c r="D3" s="127" t="s">
        <v>19</v>
      </c>
    </row>
    <row r="5" spans="2:29" ht="12.75">
      <c r="B5" s="221" t="s">
        <v>3</v>
      </c>
      <c r="C5" s="222"/>
      <c r="D5" s="44" t="s">
        <v>5</v>
      </c>
      <c r="E5" s="43" t="s">
        <v>6</v>
      </c>
      <c r="F5" s="43" t="s">
        <v>7</v>
      </c>
      <c r="G5" s="43" t="s">
        <v>8</v>
      </c>
      <c r="H5" s="44" t="s">
        <v>9</v>
      </c>
      <c r="I5" s="43" t="s">
        <v>10</v>
      </c>
      <c r="J5" s="43" t="s">
        <v>11</v>
      </c>
      <c r="K5" s="44" t="s">
        <v>12</v>
      </c>
      <c r="L5" s="43" t="s">
        <v>13</v>
      </c>
      <c r="M5" s="43" t="s">
        <v>14</v>
      </c>
      <c r="N5" s="61" t="s">
        <v>15</v>
      </c>
    </row>
    <row r="6" spans="2:29" ht="12.75">
      <c r="B6" s="223">
        <v>214</v>
      </c>
      <c r="C6" s="224"/>
      <c r="D6" s="47">
        <f ca="1">COUNTIF(Valid_questions!F$1:F1078, B6)</f>
        <v>0</v>
      </c>
      <c r="E6" s="40">
        <v>4</v>
      </c>
      <c r="F6" s="40">
        <v>4</v>
      </c>
      <c r="G6" s="40">
        <v>0</v>
      </c>
      <c r="H6" s="47">
        <v>8</v>
      </c>
      <c r="I6" s="40">
        <f>COUNTIFS(Tests!E$1:E1078,B6,Tests!D$1:D1078,"&lt;&gt;\N")</f>
        <v>4</v>
      </c>
      <c r="J6" s="40">
        <f>COUNTIFS(Tests!E$1:E1078,B6,Tests!D$1:D1078,"=\N")</f>
        <v>0</v>
      </c>
      <c r="K6" s="47">
        <v>4</v>
      </c>
      <c r="L6" s="40">
        <f>COUNTIFS(Mutants!E$1:E1078,B6,Mutants!D$1:D1078,"&lt;&gt;\N")</f>
        <v>6</v>
      </c>
      <c r="M6" s="40">
        <f>COUNTIFS(Mutants!E$1:E1078,B6,Mutants!D$1:D1078,"=\N")</f>
        <v>0</v>
      </c>
      <c r="N6" s="45">
        <v>6</v>
      </c>
    </row>
    <row r="7" spans="2:29" ht="12.75">
      <c r="B7" s="225">
        <v>215</v>
      </c>
      <c r="C7" s="226"/>
      <c r="D7" s="10">
        <f ca="1">COUNTIF(Valid_questions!F$1:F1078, B7)</f>
        <v>0</v>
      </c>
      <c r="E7" s="9">
        <v>2</v>
      </c>
      <c r="F7" s="9">
        <v>20</v>
      </c>
      <c r="G7" s="9">
        <v>0</v>
      </c>
      <c r="H7" s="10">
        <v>22</v>
      </c>
      <c r="I7" s="9">
        <f>COUNTIFS(Tests!E$1:E1078,B7,Tests!D$1:D1078,"&lt;&gt;\N")</f>
        <v>17</v>
      </c>
      <c r="J7" s="9">
        <f>COUNTIFS(Tests!E$1:E1078,B7,Tests!D$1:D1078,"=\N")</f>
        <v>0</v>
      </c>
      <c r="K7" s="10">
        <v>0</v>
      </c>
      <c r="L7" s="9">
        <f>COUNTIFS(Mutants!E$1:E1078,B7,Mutants!D$1:D1078,"&lt;&gt;\N")</f>
        <v>6</v>
      </c>
      <c r="M7" s="9">
        <f>COUNTIFS(Mutants!E$1:E1078,B7,Mutants!D$1:D1078,"=\N")</f>
        <v>1</v>
      </c>
      <c r="N7" s="14">
        <v>5</v>
      </c>
    </row>
    <row r="8" spans="2:29" ht="12.75">
      <c r="B8" s="225">
        <v>216</v>
      </c>
      <c r="C8" s="226"/>
      <c r="D8" s="10">
        <f ca="1">COUNTIF(Valid_questions!F$1:F1078, B8)</f>
        <v>0</v>
      </c>
      <c r="E8" s="9">
        <v>8</v>
      </c>
      <c r="F8" s="9">
        <v>5</v>
      </c>
      <c r="G8" s="9">
        <v>0</v>
      </c>
      <c r="H8" s="10">
        <v>13</v>
      </c>
      <c r="I8" s="9">
        <f>COUNTIFS(Tests!E$1:E1078,B8,Tests!D$1:D1078,"&lt;&gt;\N")</f>
        <v>7</v>
      </c>
      <c r="J8" s="9">
        <f>COUNTIFS(Tests!E$1:E1078,B8,Tests!D$1:D1078,"=\N")</f>
        <v>10</v>
      </c>
      <c r="K8" s="10">
        <v>5</v>
      </c>
      <c r="L8" s="9">
        <f>COUNTIFS(Mutants!E$1:E1078,B8,Mutants!D$1:D1078,"&lt;&gt;\N")</f>
        <v>6</v>
      </c>
      <c r="M8" s="9">
        <f>COUNTIFS(Mutants!E$1:E1078,B8,Mutants!D$1:D1078,"=\N")</f>
        <v>4</v>
      </c>
      <c r="N8" s="14">
        <v>3</v>
      </c>
    </row>
    <row r="9" spans="2:29" ht="12.75">
      <c r="B9" s="227">
        <v>217</v>
      </c>
      <c r="C9" s="228"/>
      <c r="D9" s="22">
        <f ca="1">COUNTIF(Valid_questions!F$1:F1078, B9)</f>
        <v>0</v>
      </c>
      <c r="E9" s="21">
        <v>4</v>
      </c>
      <c r="F9" s="21">
        <v>0</v>
      </c>
      <c r="G9" s="21">
        <v>0</v>
      </c>
      <c r="H9" s="22">
        <v>4</v>
      </c>
      <c r="I9" s="21">
        <f>COUNTIFS(Tests!E$1:E1078,B9,Tests!D$1:D1078,"&lt;&gt;\N")</f>
        <v>3</v>
      </c>
      <c r="J9" s="21">
        <f>COUNTIFS(Tests!E$1:E1078,B9,Tests!D$1:D1078,"=\N")</f>
        <v>1</v>
      </c>
      <c r="K9" s="22">
        <v>1</v>
      </c>
      <c r="L9" s="21">
        <f>COUNTIFS(Mutants!E$1:E1078,B9,Mutants!D$1:D1078,"&lt;&gt;\N")</f>
        <v>11</v>
      </c>
      <c r="M9" s="21">
        <f>COUNTIFS(Mutants!E$1:E1078,B9,Mutants!D$1:D1078,"=\N")</f>
        <v>0</v>
      </c>
      <c r="N9" s="38">
        <v>6</v>
      </c>
    </row>
    <row r="12" spans="2:29" ht="27" customHeight="1">
      <c r="B12" s="220" t="s">
        <v>4588</v>
      </c>
      <c r="C12" s="173"/>
    </row>
    <row r="14" spans="2:29" ht="12.75">
      <c r="C14" s="29" t="s">
        <v>4589</v>
      </c>
    </row>
    <row r="15" spans="2:29" ht="12.75">
      <c r="B15" s="29" t="s">
        <v>4590</v>
      </c>
      <c r="C15" s="29"/>
      <c r="D15" s="43">
        <v>494</v>
      </c>
      <c r="E15" s="43">
        <v>511</v>
      </c>
      <c r="F15" s="43">
        <v>531</v>
      </c>
      <c r="G15" s="43">
        <v>536</v>
      </c>
      <c r="H15" s="43">
        <v>559</v>
      </c>
      <c r="I15" s="43">
        <v>580</v>
      </c>
      <c r="J15" s="43">
        <v>585</v>
      </c>
      <c r="K15" s="43">
        <v>619</v>
      </c>
      <c r="L15" s="43">
        <v>643</v>
      </c>
      <c r="M15" s="43">
        <v>651</v>
      </c>
      <c r="N15" s="43">
        <v>652</v>
      </c>
      <c r="O15" s="43">
        <v>689</v>
      </c>
      <c r="P15" s="43">
        <v>712</v>
      </c>
      <c r="Q15" s="43">
        <v>730</v>
      </c>
      <c r="R15" s="43">
        <v>751</v>
      </c>
      <c r="S15" s="43">
        <v>770</v>
      </c>
      <c r="T15" s="43">
        <v>784</v>
      </c>
      <c r="U15" s="43">
        <v>801</v>
      </c>
      <c r="V15" s="43">
        <v>804</v>
      </c>
      <c r="W15" s="43">
        <v>842</v>
      </c>
      <c r="X15" s="43">
        <v>855</v>
      </c>
      <c r="Y15" s="43">
        <v>868</v>
      </c>
      <c r="Z15" s="43">
        <v>881</v>
      </c>
      <c r="AA15" s="43">
        <v>902</v>
      </c>
      <c r="AB15" s="43">
        <v>917</v>
      </c>
      <c r="AC15" s="61">
        <v>919</v>
      </c>
    </row>
    <row r="16" spans="2:29" ht="12.75">
      <c r="B16" s="9"/>
      <c r="C16" s="81">
        <v>365</v>
      </c>
      <c r="D16" s="9" t="s">
        <v>4591</v>
      </c>
      <c r="E16" s="9" t="s">
        <v>4595</v>
      </c>
      <c r="F16" s="9" t="s">
        <v>4591</v>
      </c>
      <c r="G16" s="9" t="s">
        <v>4591</v>
      </c>
      <c r="H16" s="9" t="s">
        <v>4591</v>
      </c>
      <c r="I16" s="9" t="s">
        <v>4591</v>
      </c>
      <c r="J16" s="9" t="s">
        <v>4591</v>
      </c>
      <c r="K16" s="9" t="s">
        <v>4591</v>
      </c>
      <c r="L16" s="9" t="s">
        <v>4591</v>
      </c>
      <c r="M16" s="9" t="s">
        <v>4591</v>
      </c>
      <c r="N16" s="9" t="s">
        <v>4591</v>
      </c>
      <c r="O16" s="9" t="s">
        <v>4591</v>
      </c>
      <c r="P16" s="9" t="s">
        <v>4591</v>
      </c>
      <c r="Q16" s="9" t="s">
        <v>4591</v>
      </c>
      <c r="R16" s="9" t="s">
        <v>4591</v>
      </c>
      <c r="S16" s="9" t="s">
        <v>4591</v>
      </c>
      <c r="T16" s="9" t="s">
        <v>4591</v>
      </c>
      <c r="U16" s="9" t="s">
        <v>4595</v>
      </c>
      <c r="V16" s="9" t="s">
        <v>4591</v>
      </c>
      <c r="W16" s="9" t="s">
        <v>4591</v>
      </c>
      <c r="X16" s="9" t="s">
        <v>4591</v>
      </c>
      <c r="Y16" s="9" t="s">
        <v>4591</v>
      </c>
      <c r="Z16" s="9" t="s">
        <v>4591</v>
      </c>
      <c r="AA16" s="9" t="s">
        <v>4591</v>
      </c>
      <c r="AB16" s="9" t="s">
        <v>4591</v>
      </c>
      <c r="AC16" s="14" t="s">
        <v>4591</v>
      </c>
    </row>
    <row r="17" spans="2:29" ht="12.75">
      <c r="B17" s="9"/>
      <c r="C17" s="81">
        <v>372</v>
      </c>
      <c r="D17" s="9" t="s">
        <v>4591</v>
      </c>
      <c r="E17" s="9" t="s">
        <v>4595</v>
      </c>
      <c r="F17" s="9" t="s">
        <v>4591</v>
      </c>
      <c r="G17" s="9" t="s">
        <v>4591</v>
      </c>
      <c r="H17" s="9" t="s">
        <v>4592</v>
      </c>
      <c r="I17" s="9" t="s">
        <v>4592</v>
      </c>
      <c r="J17" s="9" t="s">
        <v>4591</v>
      </c>
      <c r="K17" s="9" t="s">
        <v>4591</v>
      </c>
      <c r="L17" s="9" t="s">
        <v>4591</v>
      </c>
      <c r="M17" s="9" t="s">
        <v>4591</v>
      </c>
      <c r="N17" s="9" t="s">
        <v>4591</v>
      </c>
      <c r="O17" s="9" t="s">
        <v>4591</v>
      </c>
      <c r="P17" s="9" t="s">
        <v>4591</v>
      </c>
      <c r="Q17" s="9" t="s">
        <v>4591</v>
      </c>
      <c r="R17" s="9" t="s">
        <v>4591</v>
      </c>
      <c r="S17" s="9" t="s">
        <v>4591</v>
      </c>
      <c r="T17" s="9" t="s">
        <v>4591</v>
      </c>
      <c r="U17" s="9" t="s">
        <v>4595</v>
      </c>
      <c r="V17" s="9" t="s">
        <v>4591</v>
      </c>
      <c r="W17" s="9" t="s">
        <v>4591</v>
      </c>
      <c r="X17" s="9" t="s">
        <v>4591</v>
      </c>
      <c r="Y17" s="9" t="s">
        <v>4591</v>
      </c>
      <c r="Z17" s="9" t="s">
        <v>4591</v>
      </c>
      <c r="AA17" s="9" t="s">
        <v>4591</v>
      </c>
      <c r="AB17" s="9" t="s">
        <v>4591</v>
      </c>
      <c r="AC17" s="14" t="s">
        <v>4591</v>
      </c>
    </row>
    <row r="18" spans="2:29" ht="12.75">
      <c r="B18" s="9"/>
      <c r="C18" s="81">
        <v>378</v>
      </c>
      <c r="D18" s="9" t="s">
        <v>4591</v>
      </c>
      <c r="E18" s="9" t="s">
        <v>4591</v>
      </c>
      <c r="F18" s="9" t="s">
        <v>4591</v>
      </c>
      <c r="G18" s="9" t="s">
        <v>4591</v>
      </c>
      <c r="H18" s="9" t="s">
        <v>4591</v>
      </c>
      <c r="I18" s="9" t="s">
        <v>4591</v>
      </c>
      <c r="J18" s="9" t="s">
        <v>4591</v>
      </c>
      <c r="K18" s="9" t="s">
        <v>4591</v>
      </c>
      <c r="L18" s="9" t="s">
        <v>4591</v>
      </c>
      <c r="M18" s="9" t="s">
        <v>4591</v>
      </c>
      <c r="N18" s="9" t="s">
        <v>4591</v>
      </c>
      <c r="O18" s="9" t="s">
        <v>4591</v>
      </c>
      <c r="P18" s="9" t="s">
        <v>4591</v>
      </c>
      <c r="Q18" s="9" t="s">
        <v>4591</v>
      </c>
      <c r="R18" s="9" t="s">
        <v>4591</v>
      </c>
      <c r="S18" s="9" t="s">
        <v>4591</v>
      </c>
      <c r="T18" s="9" t="s">
        <v>4591</v>
      </c>
      <c r="U18" s="9" t="s">
        <v>4591</v>
      </c>
      <c r="V18" s="9" t="s">
        <v>4591</v>
      </c>
      <c r="W18" s="9" t="s">
        <v>4591</v>
      </c>
      <c r="X18" s="9" t="s">
        <v>4591</v>
      </c>
      <c r="Y18" s="9" t="s">
        <v>4593</v>
      </c>
      <c r="Z18" s="9" t="s">
        <v>4595</v>
      </c>
      <c r="AA18" s="9" t="s">
        <v>4591</v>
      </c>
      <c r="AB18" s="9" t="s">
        <v>4591</v>
      </c>
      <c r="AC18" s="14" t="s">
        <v>4591</v>
      </c>
    </row>
    <row r="19" spans="2:29" ht="12.75">
      <c r="B19" s="9"/>
      <c r="C19" s="81">
        <v>397</v>
      </c>
      <c r="D19" s="9" t="s">
        <v>4595</v>
      </c>
      <c r="E19" s="9" t="s">
        <v>4595</v>
      </c>
      <c r="F19" s="9" t="s">
        <v>4591</v>
      </c>
      <c r="G19" s="9" t="s">
        <v>4595</v>
      </c>
      <c r="H19" s="9" t="s">
        <v>4591</v>
      </c>
      <c r="I19" s="9" t="s">
        <v>4592</v>
      </c>
      <c r="J19" s="9" t="s">
        <v>4593</v>
      </c>
      <c r="K19" s="9" t="s">
        <v>4591</v>
      </c>
      <c r="L19" s="9" t="s">
        <v>4592</v>
      </c>
      <c r="M19" s="9" t="s">
        <v>4595</v>
      </c>
      <c r="N19" s="9" t="s">
        <v>4591</v>
      </c>
      <c r="O19" s="9" t="s">
        <v>4595</v>
      </c>
      <c r="P19" s="9" t="s">
        <v>4591</v>
      </c>
      <c r="Q19" s="9" t="s">
        <v>4592</v>
      </c>
      <c r="R19" s="9" t="s">
        <v>4595</v>
      </c>
      <c r="S19" s="9" t="s">
        <v>4595</v>
      </c>
      <c r="T19" s="9" t="s">
        <v>4592</v>
      </c>
      <c r="U19" s="9" t="s">
        <v>4595</v>
      </c>
      <c r="V19" s="9" t="s">
        <v>4595</v>
      </c>
      <c r="W19" s="9" t="s">
        <v>4593</v>
      </c>
      <c r="X19" s="9" t="s">
        <v>4591</v>
      </c>
      <c r="Y19" s="9" t="s">
        <v>4593</v>
      </c>
      <c r="Z19" s="9" t="s">
        <v>4595</v>
      </c>
      <c r="AA19" s="9" t="s">
        <v>4595</v>
      </c>
      <c r="AB19" s="9" t="s">
        <v>4592</v>
      </c>
      <c r="AC19" s="14" t="s">
        <v>4592</v>
      </c>
    </row>
    <row r="20" spans="2:29" ht="12.75">
      <c r="B20" s="9"/>
      <c r="C20" s="81">
        <v>400</v>
      </c>
      <c r="D20" s="9" t="s">
        <v>4595</v>
      </c>
      <c r="E20" s="9" t="s">
        <v>4595</v>
      </c>
      <c r="F20" s="9" t="s">
        <v>4591</v>
      </c>
      <c r="G20" s="9" t="s">
        <v>4595</v>
      </c>
      <c r="H20" s="9" t="s">
        <v>4591</v>
      </c>
      <c r="I20" s="9" t="s">
        <v>4592</v>
      </c>
      <c r="J20" s="9" t="s">
        <v>4595</v>
      </c>
      <c r="K20" s="9" t="s">
        <v>4591</v>
      </c>
      <c r="L20" s="9" t="s">
        <v>4595</v>
      </c>
      <c r="M20" s="9" t="s">
        <v>4595</v>
      </c>
      <c r="N20" s="9" t="s">
        <v>4591</v>
      </c>
      <c r="O20" s="9" t="s">
        <v>4595</v>
      </c>
      <c r="P20" s="9" t="s">
        <v>4591</v>
      </c>
      <c r="Q20" s="9" t="s">
        <v>4595</v>
      </c>
      <c r="R20" s="9" t="s">
        <v>4595</v>
      </c>
      <c r="S20" s="9" t="s">
        <v>4595</v>
      </c>
      <c r="T20" s="9" t="s">
        <v>4595</v>
      </c>
      <c r="U20" s="9" t="s">
        <v>4595</v>
      </c>
      <c r="V20" s="9" t="s">
        <v>4595</v>
      </c>
      <c r="W20" s="9" t="s">
        <v>4595</v>
      </c>
      <c r="X20" s="9" t="s">
        <v>4591</v>
      </c>
      <c r="Y20" s="9" t="s">
        <v>4595</v>
      </c>
      <c r="Z20" s="9" t="s">
        <v>4595</v>
      </c>
      <c r="AA20" s="9" t="s">
        <v>4595</v>
      </c>
      <c r="AB20" s="9" t="s">
        <v>4595</v>
      </c>
      <c r="AC20" s="14" t="s">
        <v>4592</v>
      </c>
    </row>
    <row r="21" spans="2:29" ht="12.75">
      <c r="B21" s="9"/>
      <c r="C21" s="81">
        <v>422</v>
      </c>
      <c r="D21" s="9" t="s">
        <v>4591</v>
      </c>
      <c r="E21" s="9" t="s">
        <v>4591</v>
      </c>
      <c r="F21" s="9" t="s">
        <v>4591</v>
      </c>
      <c r="G21" s="9" t="s">
        <v>4591</v>
      </c>
      <c r="H21" s="9" t="s">
        <v>4591</v>
      </c>
      <c r="I21" s="9" t="s">
        <v>4591</v>
      </c>
      <c r="J21" s="9" t="s">
        <v>4591</v>
      </c>
      <c r="K21" s="9" t="s">
        <v>4591</v>
      </c>
      <c r="L21" s="9" t="s">
        <v>4592</v>
      </c>
      <c r="M21" s="9" t="s">
        <v>4591</v>
      </c>
      <c r="N21" s="9" t="s">
        <v>4591</v>
      </c>
      <c r="O21" s="9" t="s">
        <v>4591</v>
      </c>
      <c r="P21" s="9" t="s">
        <v>4591</v>
      </c>
      <c r="Q21" s="9" t="s">
        <v>4591</v>
      </c>
      <c r="R21" s="9" t="s">
        <v>4591</v>
      </c>
      <c r="S21" s="9" t="s">
        <v>4591</v>
      </c>
      <c r="T21" s="9" t="s">
        <v>4591</v>
      </c>
      <c r="U21" s="9" t="s">
        <v>4591</v>
      </c>
      <c r="V21" s="9" t="s">
        <v>4591</v>
      </c>
      <c r="W21" s="9" t="s">
        <v>4591</v>
      </c>
      <c r="X21" s="9" t="s">
        <v>4591</v>
      </c>
      <c r="Y21" s="9" t="s">
        <v>4591</v>
      </c>
      <c r="Z21" s="9" t="s">
        <v>4591</v>
      </c>
      <c r="AA21" s="9" t="s">
        <v>4591</v>
      </c>
      <c r="AB21" s="9" t="s">
        <v>4591</v>
      </c>
      <c r="AC21" s="14" t="s">
        <v>4591</v>
      </c>
    </row>
    <row r="22" spans="2:29" ht="12.75">
      <c r="B22" s="9"/>
      <c r="C22" s="81">
        <v>428</v>
      </c>
      <c r="D22" s="9" t="s">
        <v>4591</v>
      </c>
      <c r="E22" s="9" t="s">
        <v>4591</v>
      </c>
      <c r="F22" s="9" t="s">
        <v>4592</v>
      </c>
      <c r="G22" s="9" t="s">
        <v>4591</v>
      </c>
      <c r="H22" s="9" t="s">
        <v>4591</v>
      </c>
      <c r="I22" s="9" t="s">
        <v>4591</v>
      </c>
      <c r="J22" s="9" t="s">
        <v>4591</v>
      </c>
      <c r="K22" s="9" t="s">
        <v>4591</v>
      </c>
      <c r="L22" s="9" t="s">
        <v>4591</v>
      </c>
      <c r="M22" s="9" t="s">
        <v>4591</v>
      </c>
      <c r="N22" s="9" t="s">
        <v>4591</v>
      </c>
      <c r="O22" s="9" t="s">
        <v>4591</v>
      </c>
      <c r="P22" s="9" t="s">
        <v>4591</v>
      </c>
      <c r="Q22" s="9" t="s">
        <v>4591</v>
      </c>
      <c r="R22" s="9" t="s">
        <v>4591</v>
      </c>
      <c r="S22" s="9" t="s">
        <v>4591</v>
      </c>
      <c r="T22" s="9" t="s">
        <v>4591</v>
      </c>
      <c r="U22" s="9" t="s">
        <v>4591</v>
      </c>
      <c r="V22" s="9" t="s">
        <v>4591</v>
      </c>
      <c r="W22" s="9" t="s">
        <v>4593</v>
      </c>
      <c r="X22" s="9" t="s">
        <v>4592</v>
      </c>
      <c r="Y22" s="9" t="s">
        <v>4593</v>
      </c>
      <c r="Z22" s="9" t="s">
        <v>4595</v>
      </c>
      <c r="AA22" s="9" t="s">
        <v>4591</v>
      </c>
      <c r="AB22" s="9" t="s">
        <v>4591</v>
      </c>
      <c r="AC22" s="14" t="s">
        <v>4592</v>
      </c>
    </row>
    <row r="23" spans="2:29" ht="12.75">
      <c r="B23" s="9"/>
      <c r="C23" s="81">
        <v>465</v>
      </c>
      <c r="D23" s="9" t="s">
        <v>4595</v>
      </c>
      <c r="E23" s="9" t="s">
        <v>4591</v>
      </c>
      <c r="F23" s="9" t="s">
        <v>4591</v>
      </c>
      <c r="G23" s="9" t="s">
        <v>4591</v>
      </c>
      <c r="H23" s="9" t="s">
        <v>4591</v>
      </c>
      <c r="I23" s="9" t="s">
        <v>4591</v>
      </c>
      <c r="J23" s="9" t="s">
        <v>4591</v>
      </c>
      <c r="K23" s="9" t="s">
        <v>4591</v>
      </c>
      <c r="L23" s="9" t="s">
        <v>4591</v>
      </c>
      <c r="M23" s="9" t="s">
        <v>4591</v>
      </c>
      <c r="N23" s="9" t="s">
        <v>4591</v>
      </c>
      <c r="O23" s="9" t="s">
        <v>4591</v>
      </c>
      <c r="P23" s="9" t="s">
        <v>4591</v>
      </c>
      <c r="Q23" s="9" t="s">
        <v>4591</v>
      </c>
      <c r="R23" s="9" t="s">
        <v>4591</v>
      </c>
      <c r="S23" s="9" t="s">
        <v>4591</v>
      </c>
      <c r="T23" s="9" t="s">
        <v>4591</v>
      </c>
      <c r="U23" s="9" t="s">
        <v>4591</v>
      </c>
      <c r="V23" s="9" t="s">
        <v>4591</v>
      </c>
      <c r="W23" s="9" t="s">
        <v>4591</v>
      </c>
      <c r="X23" s="9" t="s">
        <v>4591</v>
      </c>
      <c r="Y23" s="9" t="s">
        <v>4591</v>
      </c>
      <c r="Z23" s="9" t="s">
        <v>4591</v>
      </c>
      <c r="AA23" s="9" t="s">
        <v>4595</v>
      </c>
      <c r="AB23" s="9" t="s">
        <v>4592</v>
      </c>
      <c r="AC23" s="14" t="s">
        <v>4591</v>
      </c>
    </row>
    <row r="24" spans="2:29" ht="12.75">
      <c r="B24" s="9"/>
      <c r="C24" s="81">
        <v>466</v>
      </c>
      <c r="D24" s="9" t="s">
        <v>4591</v>
      </c>
      <c r="E24" s="9" t="s">
        <v>4591</v>
      </c>
      <c r="F24" s="9" t="s">
        <v>4591</v>
      </c>
      <c r="G24" s="9" t="s">
        <v>4591</v>
      </c>
      <c r="H24" s="9" t="s">
        <v>4591</v>
      </c>
      <c r="I24" s="9" t="s">
        <v>4591</v>
      </c>
      <c r="J24" s="9" t="s">
        <v>4591</v>
      </c>
      <c r="K24" s="9" t="s">
        <v>4591</v>
      </c>
      <c r="L24" s="9" t="s">
        <v>4591</v>
      </c>
      <c r="M24" s="9" t="s">
        <v>4591</v>
      </c>
      <c r="N24" s="9" t="s">
        <v>4591</v>
      </c>
      <c r="O24" s="9" t="s">
        <v>4595</v>
      </c>
      <c r="P24" s="9" t="s">
        <v>4595</v>
      </c>
      <c r="Q24" s="9" t="s">
        <v>4595</v>
      </c>
      <c r="R24" s="9" t="s">
        <v>4591</v>
      </c>
      <c r="S24" s="9" t="s">
        <v>4591</v>
      </c>
      <c r="T24" s="9" t="s">
        <v>4591</v>
      </c>
      <c r="U24" s="9" t="s">
        <v>4591</v>
      </c>
      <c r="V24" s="9" t="s">
        <v>4591</v>
      </c>
      <c r="W24" s="9" t="s">
        <v>4591</v>
      </c>
      <c r="X24" s="9" t="s">
        <v>4591</v>
      </c>
      <c r="Y24" s="9" t="s">
        <v>4591</v>
      </c>
      <c r="Z24" s="9" t="s">
        <v>4591</v>
      </c>
      <c r="AA24" s="9" t="s">
        <v>4591</v>
      </c>
      <c r="AB24" s="9" t="s">
        <v>4591</v>
      </c>
      <c r="AC24" s="14" t="s">
        <v>4591</v>
      </c>
    </row>
    <row r="25" spans="2:29" ht="12.75">
      <c r="B25" s="9"/>
      <c r="C25" s="81">
        <v>478</v>
      </c>
      <c r="D25" s="9" t="s">
        <v>4591</v>
      </c>
      <c r="E25" s="9" t="s">
        <v>4591</v>
      </c>
      <c r="F25" s="9" t="s">
        <v>4591</v>
      </c>
      <c r="G25" s="9" t="s">
        <v>4591</v>
      </c>
      <c r="H25" s="9" t="s">
        <v>4591</v>
      </c>
      <c r="I25" s="9" t="s">
        <v>4591</v>
      </c>
      <c r="J25" s="9" t="s">
        <v>4591</v>
      </c>
      <c r="K25" s="9" t="s">
        <v>4591</v>
      </c>
      <c r="L25" s="9" t="s">
        <v>4591</v>
      </c>
      <c r="M25" s="9" t="s">
        <v>4591</v>
      </c>
      <c r="N25" s="9" t="s">
        <v>4591</v>
      </c>
      <c r="O25" s="9" t="s">
        <v>4595</v>
      </c>
      <c r="P25" s="9" t="s">
        <v>4591</v>
      </c>
      <c r="Q25" s="9" t="s">
        <v>4591</v>
      </c>
      <c r="R25" s="9" t="s">
        <v>4591</v>
      </c>
      <c r="S25" s="9" t="s">
        <v>4591</v>
      </c>
      <c r="T25" s="9" t="s">
        <v>4591</v>
      </c>
      <c r="U25" s="9" t="s">
        <v>4591</v>
      </c>
      <c r="V25" s="9" t="s">
        <v>4591</v>
      </c>
      <c r="W25" s="9" t="s">
        <v>4591</v>
      </c>
      <c r="X25" s="9" t="s">
        <v>4591</v>
      </c>
      <c r="Y25" s="9" t="s">
        <v>4591</v>
      </c>
      <c r="Z25" s="9" t="s">
        <v>4591</v>
      </c>
      <c r="AA25" s="9" t="s">
        <v>4591</v>
      </c>
      <c r="AB25" s="9" t="s">
        <v>4591</v>
      </c>
      <c r="AC25" s="14" t="s">
        <v>4591</v>
      </c>
    </row>
    <row r="26" spans="2:29" ht="12.75">
      <c r="B26" s="9"/>
      <c r="C26" s="81">
        <v>500</v>
      </c>
      <c r="D26" s="9" t="s">
        <v>4591</v>
      </c>
      <c r="E26" s="9" t="s">
        <v>4591</v>
      </c>
      <c r="F26" s="9" t="s">
        <v>4591</v>
      </c>
      <c r="G26" s="9" t="s">
        <v>4591</v>
      </c>
      <c r="H26" s="9" t="s">
        <v>4591</v>
      </c>
      <c r="I26" s="9" t="s">
        <v>4591</v>
      </c>
      <c r="J26" s="9" t="s">
        <v>4591</v>
      </c>
      <c r="K26" s="9" t="s">
        <v>4591</v>
      </c>
      <c r="L26" s="9" t="s">
        <v>4591</v>
      </c>
      <c r="M26" s="9" t="s">
        <v>4591</v>
      </c>
      <c r="N26" s="9" t="s">
        <v>4591</v>
      </c>
      <c r="O26" s="9" t="s">
        <v>4591</v>
      </c>
      <c r="P26" s="9" t="s">
        <v>4591</v>
      </c>
      <c r="Q26" s="9" t="s">
        <v>4591</v>
      </c>
      <c r="R26" s="9" t="s">
        <v>4591</v>
      </c>
      <c r="S26" s="9" t="s">
        <v>4592</v>
      </c>
      <c r="T26" s="9" t="s">
        <v>4595</v>
      </c>
      <c r="U26" s="9" t="s">
        <v>4591</v>
      </c>
      <c r="V26" s="9" t="s">
        <v>4592</v>
      </c>
      <c r="W26" s="9" t="s">
        <v>4591</v>
      </c>
      <c r="X26" s="9" t="s">
        <v>4591</v>
      </c>
      <c r="Y26" s="9" t="s">
        <v>4591</v>
      </c>
      <c r="Z26" s="9" t="s">
        <v>4591</v>
      </c>
      <c r="AA26" s="9" t="s">
        <v>4591</v>
      </c>
      <c r="AB26" s="9" t="s">
        <v>4591</v>
      </c>
      <c r="AC26" s="14" t="s">
        <v>4591</v>
      </c>
    </row>
    <row r="27" spans="2:29" ht="12.75">
      <c r="B27" s="9"/>
      <c r="C27" s="81">
        <v>508</v>
      </c>
      <c r="D27" s="9" t="s">
        <v>4591</v>
      </c>
      <c r="E27" s="9" t="s">
        <v>4595</v>
      </c>
      <c r="F27" s="9" t="s">
        <v>4591</v>
      </c>
      <c r="G27" s="9" t="s">
        <v>4591</v>
      </c>
      <c r="H27" s="9" t="s">
        <v>4591</v>
      </c>
      <c r="I27" s="9" t="s">
        <v>4591</v>
      </c>
      <c r="J27" s="9" t="s">
        <v>4591</v>
      </c>
      <c r="K27" s="9" t="s">
        <v>4591</v>
      </c>
      <c r="L27" s="9" t="s">
        <v>4591</v>
      </c>
      <c r="M27" s="9" t="s">
        <v>4591</v>
      </c>
      <c r="N27" s="9" t="s">
        <v>4591</v>
      </c>
      <c r="O27" s="9" t="s">
        <v>4591</v>
      </c>
      <c r="P27" s="9" t="s">
        <v>4591</v>
      </c>
      <c r="Q27" s="9" t="s">
        <v>4591</v>
      </c>
      <c r="R27" s="9" t="s">
        <v>4591</v>
      </c>
      <c r="S27" s="9" t="s">
        <v>4591</v>
      </c>
      <c r="T27" s="9" t="s">
        <v>4591</v>
      </c>
      <c r="U27" s="9" t="s">
        <v>4595</v>
      </c>
      <c r="V27" s="9" t="s">
        <v>4591</v>
      </c>
      <c r="W27" s="9" t="s">
        <v>4591</v>
      </c>
      <c r="X27" s="9" t="s">
        <v>4591</v>
      </c>
      <c r="Y27" s="9" t="s">
        <v>4591</v>
      </c>
      <c r="Z27" s="9" t="s">
        <v>4591</v>
      </c>
      <c r="AA27" s="9" t="s">
        <v>4591</v>
      </c>
      <c r="AB27" s="9" t="s">
        <v>4591</v>
      </c>
      <c r="AC27" s="14" t="s">
        <v>4591</v>
      </c>
    </row>
    <row r="28" spans="2:29" ht="12.75">
      <c r="B28" s="9"/>
      <c r="C28" s="81">
        <v>512</v>
      </c>
      <c r="D28" s="9" t="s">
        <v>4591</v>
      </c>
      <c r="E28" s="9" t="s">
        <v>4595</v>
      </c>
      <c r="F28" s="9" t="s">
        <v>4591</v>
      </c>
      <c r="G28" s="9" t="s">
        <v>4591</v>
      </c>
      <c r="H28" s="9" t="s">
        <v>4592</v>
      </c>
      <c r="I28" s="9" t="s">
        <v>4592</v>
      </c>
      <c r="J28" s="9" t="s">
        <v>4591</v>
      </c>
      <c r="K28" s="9" t="s">
        <v>4591</v>
      </c>
      <c r="L28" s="9" t="s">
        <v>4591</v>
      </c>
      <c r="M28" s="9" t="s">
        <v>4591</v>
      </c>
      <c r="N28" s="9" t="s">
        <v>4591</v>
      </c>
      <c r="O28" s="9" t="s">
        <v>4591</v>
      </c>
      <c r="P28" s="9" t="s">
        <v>4591</v>
      </c>
      <c r="Q28" s="9" t="s">
        <v>4591</v>
      </c>
      <c r="R28" s="9" t="s">
        <v>4591</v>
      </c>
      <c r="S28" s="9" t="s">
        <v>4591</v>
      </c>
      <c r="T28" s="9" t="s">
        <v>4591</v>
      </c>
      <c r="U28" s="9" t="s">
        <v>4595</v>
      </c>
      <c r="V28" s="9" t="s">
        <v>4591</v>
      </c>
      <c r="W28" s="9" t="s">
        <v>4591</v>
      </c>
      <c r="X28" s="9" t="s">
        <v>4591</v>
      </c>
      <c r="Y28" s="9" t="s">
        <v>4591</v>
      </c>
      <c r="Z28" s="9" t="s">
        <v>4591</v>
      </c>
      <c r="AA28" s="9" t="s">
        <v>4591</v>
      </c>
      <c r="AB28" s="9" t="s">
        <v>4591</v>
      </c>
      <c r="AC28" s="14" t="s">
        <v>4591</v>
      </c>
    </row>
    <row r="29" spans="2:29" ht="12.75">
      <c r="B29" s="9"/>
      <c r="C29" s="81">
        <v>523</v>
      </c>
      <c r="D29" s="9" t="s">
        <v>4591</v>
      </c>
      <c r="E29" s="9" t="s">
        <v>4591</v>
      </c>
      <c r="F29" s="9" t="s">
        <v>4591</v>
      </c>
      <c r="G29" s="9" t="s">
        <v>4591</v>
      </c>
      <c r="H29" s="9" t="s">
        <v>4591</v>
      </c>
      <c r="I29" s="9" t="s">
        <v>4591</v>
      </c>
      <c r="J29" s="9" t="s">
        <v>4591</v>
      </c>
      <c r="K29" s="9" t="s">
        <v>4591</v>
      </c>
      <c r="L29" s="9" t="s">
        <v>4591</v>
      </c>
      <c r="M29" s="9" t="s">
        <v>4591</v>
      </c>
      <c r="N29" s="9" t="s">
        <v>4591</v>
      </c>
      <c r="O29" s="9" t="s">
        <v>4592</v>
      </c>
      <c r="P29" s="9" t="s">
        <v>4591</v>
      </c>
      <c r="Q29" s="9" t="s">
        <v>4595</v>
      </c>
      <c r="R29" s="9" t="s">
        <v>4591</v>
      </c>
      <c r="S29" s="9" t="s">
        <v>4591</v>
      </c>
      <c r="T29" s="9" t="s">
        <v>4591</v>
      </c>
      <c r="U29" s="9" t="s">
        <v>4591</v>
      </c>
      <c r="V29" s="9" t="s">
        <v>4591</v>
      </c>
      <c r="W29" s="9" t="s">
        <v>4591</v>
      </c>
      <c r="X29" s="9" t="s">
        <v>4591</v>
      </c>
      <c r="Y29" s="9" t="s">
        <v>4591</v>
      </c>
      <c r="Z29" s="9" t="s">
        <v>4591</v>
      </c>
      <c r="AA29" s="9" t="s">
        <v>4591</v>
      </c>
      <c r="AB29" s="9" t="s">
        <v>4591</v>
      </c>
      <c r="AC29" s="14" t="s">
        <v>4591</v>
      </c>
    </row>
    <row r="30" spans="2:29" ht="12.75">
      <c r="B30" s="9"/>
      <c r="C30" s="81">
        <v>529</v>
      </c>
      <c r="D30" s="9" t="s">
        <v>4591</v>
      </c>
      <c r="E30" s="9" t="s">
        <v>4591</v>
      </c>
      <c r="F30" s="9" t="s">
        <v>4591</v>
      </c>
      <c r="G30" s="9" t="s">
        <v>4591</v>
      </c>
      <c r="H30" s="9" t="s">
        <v>4591</v>
      </c>
      <c r="I30" s="9" t="s">
        <v>4591</v>
      </c>
      <c r="J30" s="9" t="s">
        <v>4591</v>
      </c>
      <c r="K30" s="9" t="s">
        <v>4591</v>
      </c>
      <c r="L30" s="9" t="s">
        <v>4591</v>
      </c>
      <c r="M30" s="9" t="s">
        <v>4591</v>
      </c>
      <c r="N30" s="9" t="s">
        <v>4591</v>
      </c>
      <c r="O30" s="9" t="s">
        <v>4595</v>
      </c>
      <c r="P30" s="9" t="s">
        <v>4591</v>
      </c>
      <c r="Q30" s="9" t="s">
        <v>4595</v>
      </c>
      <c r="R30" s="9" t="s">
        <v>4591</v>
      </c>
      <c r="S30" s="9" t="s">
        <v>4591</v>
      </c>
      <c r="T30" s="9" t="s">
        <v>4591</v>
      </c>
      <c r="U30" s="9" t="s">
        <v>4591</v>
      </c>
      <c r="V30" s="9" t="s">
        <v>4591</v>
      </c>
      <c r="W30" s="9" t="s">
        <v>4591</v>
      </c>
      <c r="X30" s="9" t="s">
        <v>4591</v>
      </c>
      <c r="Y30" s="9" t="s">
        <v>4591</v>
      </c>
      <c r="Z30" s="9" t="s">
        <v>4591</v>
      </c>
      <c r="AA30" s="9" t="s">
        <v>4591</v>
      </c>
      <c r="AB30" s="9" t="s">
        <v>4591</v>
      </c>
      <c r="AC30" s="14" t="s">
        <v>4591</v>
      </c>
    </row>
    <row r="31" spans="2:29" ht="12.75">
      <c r="B31" s="9"/>
      <c r="C31" s="81">
        <v>531</v>
      </c>
      <c r="D31" s="9" t="s">
        <v>4591</v>
      </c>
      <c r="E31" s="9" t="s">
        <v>4591</v>
      </c>
      <c r="F31" s="9" t="s">
        <v>4591</v>
      </c>
      <c r="G31" s="9" t="s">
        <v>4591</v>
      </c>
      <c r="H31" s="9" t="s">
        <v>4591</v>
      </c>
      <c r="I31" s="9" t="s">
        <v>4595</v>
      </c>
      <c r="J31" s="9" t="s">
        <v>4591</v>
      </c>
      <c r="K31" s="9" t="s">
        <v>4591</v>
      </c>
      <c r="L31" s="9" t="s">
        <v>4591</v>
      </c>
      <c r="M31" s="9" t="s">
        <v>4591</v>
      </c>
      <c r="N31" s="9" t="s">
        <v>4591</v>
      </c>
      <c r="O31" s="9" t="s">
        <v>4591</v>
      </c>
      <c r="P31" s="9" t="s">
        <v>4591</v>
      </c>
      <c r="Q31" s="9" t="s">
        <v>4591</v>
      </c>
      <c r="R31" s="9" t="s">
        <v>4591</v>
      </c>
      <c r="S31" s="9" t="s">
        <v>4591</v>
      </c>
      <c r="T31" s="9" t="s">
        <v>4591</v>
      </c>
      <c r="U31" s="9" t="s">
        <v>4591</v>
      </c>
      <c r="V31" s="9" t="s">
        <v>4591</v>
      </c>
      <c r="W31" s="9" t="s">
        <v>4591</v>
      </c>
      <c r="X31" s="9" t="s">
        <v>4591</v>
      </c>
      <c r="Y31" s="9" t="s">
        <v>4591</v>
      </c>
      <c r="Z31" s="9" t="s">
        <v>4591</v>
      </c>
      <c r="AA31" s="9" t="s">
        <v>4591</v>
      </c>
      <c r="AB31" s="9" t="s">
        <v>4591</v>
      </c>
      <c r="AC31" s="14" t="s">
        <v>4593</v>
      </c>
    </row>
    <row r="32" spans="2:29" ht="12.75">
      <c r="B32" s="9"/>
      <c r="C32" s="81">
        <v>567</v>
      </c>
      <c r="D32" s="9" t="s">
        <v>4591</v>
      </c>
      <c r="E32" s="9" t="s">
        <v>4591</v>
      </c>
      <c r="F32" s="9" t="s">
        <v>4591</v>
      </c>
      <c r="G32" s="9" t="s">
        <v>4591</v>
      </c>
      <c r="H32" s="9" t="s">
        <v>4592</v>
      </c>
      <c r="I32" s="9" t="s">
        <v>4592</v>
      </c>
      <c r="J32" s="9" t="s">
        <v>4591</v>
      </c>
      <c r="K32" s="9" t="s">
        <v>4591</v>
      </c>
      <c r="L32" s="9" t="s">
        <v>4591</v>
      </c>
      <c r="M32" s="9" t="s">
        <v>4591</v>
      </c>
      <c r="N32" s="9" t="s">
        <v>4591</v>
      </c>
      <c r="O32" s="9" t="s">
        <v>4591</v>
      </c>
      <c r="P32" s="9" t="s">
        <v>4591</v>
      </c>
      <c r="Q32" s="9" t="s">
        <v>4591</v>
      </c>
      <c r="R32" s="9" t="s">
        <v>4591</v>
      </c>
      <c r="S32" s="9" t="s">
        <v>4591</v>
      </c>
      <c r="T32" s="9" t="s">
        <v>4591</v>
      </c>
      <c r="U32" s="9" t="s">
        <v>4592</v>
      </c>
      <c r="V32" s="9" t="s">
        <v>4591</v>
      </c>
      <c r="W32" s="9" t="s">
        <v>4591</v>
      </c>
      <c r="X32" s="9" t="s">
        <v>4591</v>
      </c>
      <c r="Y32" s="9" t="s">
        <v>4591</v>
      </c>
      <c r="Z32" s="9" t="s">
        <v>4591</v>
      </c>
      <c r="AA32" s="9" t="s">
        <v>4591</v>
      </c>
      <c r="AB32" s="9" t="s">
        <v>4591</v>
      </c>
      <c r="AC32" s="14" t="s">
        <v>4591</v>
      </c>
    </row>
    <row r="33" spans="2:29" ht="12.75">
      <c r="B33" s="9"/>
      <c r="C33" s="81">
        <v>571</v>
      </c>
      <c r="D33" s="9" t="s">
        <v>4591</v>
      </c>
      <c r="E33" s="9" t="s">
        <v>4591</v>
      </c>
      <c r="F33" s="9" t="s">
        <v>4591</v>
      </c>
      <c r="G33" s="9" t="s">
        <v>4591</v>
      </c>
      <c r="H33" s="9" t="s">
        <v>4591</v>
      </c>
      <c r="I33" s="9" t="s">
        <v>4591</v>
      </c>
      <c r="J33" s="9" t="s">
        <v>4591</v>
      </c>
      <c r="K33" s="9" t="s">
        <v>4591</v>
      </c>
      <c r="L33" s="9" t="s">
        <v>4591</v>
      </c>
      <c r="M33" s="9" t="s">
        <v>4591</v>
      </c>
      <c r="N33" s="9" t="s">
        <v>4591</v>
      </c>
      <c r="O33" s="9" t="s">
        <v>4591</v>
      </c>
      <c r="P33" s="9" t="s">
        <v>4591</v>
      </c>
      <c r="Q33" s="9" t="s">
        <v>4591</v>
      </c>
      <c r="R33" s="9" t="s">
        <v>4591</v>
      </c>
      <c r="S33" s="9" t="s">
        <v>4591</v>
      </c>
      <c r="T33" s="9" t="s">
        <v>4591</v>
      </c>
      <c r="U33" s="9" t="s">
        <v>4591</v>
      </c>
      <c r="V33" s="9" t="s">
        <v>4591</v>
      </c>
      <c r="W33" s="9" t="s">
        <v>4591</v>
      </c>
      <c r="X33" s="9" t="s">
        <v>4591</v>
      </c>
      <c r="Y33" s="9" t="s">
        <v>4591</v>
      </c>
      <c r="Z33" s="9" t="s">
        <v>4591</v>
      </c>
      <c r="AA33" s="9" t="s">
        <v>4591</v>
      </c>
      <c r="AB33" s="9" t="s">
        <v>4591</v>
      </c>
      <c r="AC33" s="14" t="s">
        <v>4591</v>
      </c>
    </row>
    <row r="34" spans="2:29" ht="12.75">
      <c r="B34" s="9"/>
      <c r="C34" s="81">
        <v>572</v>
      </c>
      <c r="D34" s="9" t="s">
        <v>4591</v>
      </c>
      <c r="E34" s="9" t="s">
        <v>4592</v>
      </c>
      <c r="F34" s="9" t="s">
        <v>4591</v>
      </c>
      <c r="G34" s="9" t="s">
        <v>4591</v>
      </c>
      <c r="H34" s="9" t="s">
        <v>4591</v>
      </c>
      <c r="I34" s="9" t="s">
        <v>4591</v>
      </c>
      <c r="J34" s="9" t="s">
        <v>4591</v>
      </c>
      <c r="K34" s="9" t="s">
        <v>4591</v>
      </c>
      <c r="L34" s="9" t="s">
        <v>4591</v>
      </c>
      <c r="M34" s="9" t="s">
        <v>4591</v>
      </c>
      <c r="N34" s="9" t="s">
        <v>4591</v>
      </c>
      <c r="O34" s="9" t="s">
        <v>4591</v>
      </c>
      <c r="P34" s="9" t="s">
        <v>4591</v>
      </c>
      <c r="Q34" s="9" t="s">
        <v>4591</v>
      </c>
      <c r="R34" s="9" t="s">
        <v>4591</v>
      </c>
      <c r="S34" s="9" t="s">
        <v>4591</v>
      </c>
      <c r="T34" s="9" t="s">
        <v>4591</v>
      </c>
      <c r="U34" s="9" t="s">
        <v>4592</v>
      </c>
      <c r="V34" s="9" t="s">
        <v>4591</v>
      </c>
      <c r="W34" s="9" t="s">
        <v>4591</v>
      </c>
      <c r="X34" s="9" t="s">
        <v>4591</v>
      </c>
      <c r="Y34" s="9" t="s">
        <v>4591</v>
      </c>
      <c r="Z34" s="9" t="s">
        <v>4591</v>
      </c>
      <c r="AA34" s="9" t="s">
        <v>4591</v>
      </c>
      <c r="AB34" s="9" t="s">
        <v>4591</v>
      </c>
      <c r="AC34" s="14" t="s">
        <v>4591</v>
      </c>
    </row>
    <row r="35" spans="2:29" ht="12.75">
      <c r="B35" s="9"/>
      <c r="C35" s="81">
        <v>590</v>
      </c>
      <c r="D35" s="9" t="s">
        <v>4591</v>
      </c>
      <c r="E35" s="9" t="s">
        <v>4591</v>
      </c>
      <c r="F35" s="9" t="s">
        <v>4591</v>
      </c>
      <c r="G35" s="9" t="s">
        <v>4591</v>
      </c>
      <c r="H35" s="9" t="s">
        <v>4591</v>
      </c>
      <c r="I35" s="9" t="s">
        <v>4591</v>
      </c>
      <c r="J35" s="9" t="s">
        <v>4591</v>
      </c>
      <c r="K35" s="9" t="s">
        <v>4591</v>
      </c>
      <c r="L35" s="9" t="s">
        <v>4591</v>
      </c>
      <c r="M35" s="9" t="s">
        <v>4591</v>
      </c>
      <c r="N35" s="9" t="s">
        <v>4591</v>
      </c>
      <c r="O35" s="9" t="s">
        <v>4591</v>
      </c>
      <c r="P35" s="9" t="s">
        <v>4591</v>
      </c>
      <c r="Q35" s="9" t="s">
        <v>4591</v>
      </c>
      <c r="R35" s="9" t="s">
        <v>4591</v>
      </c>
      <c r="S35" s="9" t="s">
        <v>4595</v>
      </c>
      <c r="T35" s="9" t="s">
        <v>4591</v>
      </c>
      <c r="U35" s="9" t="s">
        <v>4591</v>
      </c>
      <c r="V35" s="9" t="s">
        <v>4595</v>
      </c>
      <c r="W35" s="9" t="s">
        <v>4591</v>
      </c>
      <c r="X35" s="9" t="s">
        <v>4591</v>
      </c>
      <c r="Y35" s="9" t="s">
        <v>4591</v>
      </c>
      <c r="Z35" s="9" t="s">
        <v>4591</v>
      </c>
      <c r="AA35" s="9" t="s">
        <v>4591</v>
      </c>
      <c r="AB35" s="9" t="s">
        <v>4591</v>
      </c>
      <c r="AC35" s="14" t="s">
        <v>4591</v>
      </c>
    </row>
    <row r="36" spans="2:29" ht="12.75">
      <c r="B36" s="9"/>
      <c r="C36" s="81">
        <v>601</v>
      </c>
      <c r="D36" s="9" t="s">
        <v>4591</v>
      </c>
      <c r="E36" s="9" t="s">
        <v>4591</v>
      </c>
      <c r="F36" s="9" t="s">
        <v>4592</v>
      </c>
      <c r="G36" s="9" t="s">
        <v>4591</v>
      </c>
      <c r="H36" s="9" t="s">
        <v>4591</v>
      </c>
      <c r="I36" s="9" t="s">
        <v>4591</v>
      </c>
      <c r="J36" s="9" t="s">
        <v>4591</v>
      </c>
      <c r="K36" s="9" t="s">
        <v>4591</v>
      </c>
      <c r="L36" s="9" t="s">
        <v>4591</v>
      </c>
      <c r="M36" s="9" t="s">
        <v>4591</v>
      </c>
      <c r="N36" s="9" t="s">
        <v>4591</v>
      </c>
      <c r="O36" s="9" t="s">
        <v>4591</v>
      </c>
      <c r="P36" s="9" t="s">
        <v>4591</v>
      </c>
      <c r="Q36" s="9" t="s">
        <v>4591</v>
      </c>
      <c r="R36" s="9" t="s">
        <v>4591</v>
      </c>
      <c r="S36" s="9" t="s">
        <v>4591</v>
      </c>
      <c r="T36" s="9" t="s">
        <v>4591</v>
      </c>
      <c r="U36" s="9" t="s">
        <v>4591</v>
      </c>
      <c r="V36" s="9" t="s">
        <v>4591</v>
      </c>
      <c r="W36" s="9" t="s">
        <v>4593</v>
      </c>
      <c r="X36" s="9" t="s">
        <v>4592</v>
      </c>
      <c r="Y36" s="9" t="s">
        <v>4593</v>
      </c>
      <c r="Z36" s="9" t="s">
        <v>4595</v>
      </c>
      <c r="AA36" s="9" t="s">
        <v>4591</v>
      </c>
      <c r="AB36" s="9" t="s">
        <v>4591</v>
      </c>
      <c r="AC36" s="14" t="s">
        <v>4592</v>
      </c>
    </row>
    <row r="37" spans="2:29" ht="12.75">
      <c r="B37" s="9"/>
      <c r="C37" s="81">
        <v>603</v>
      </c>
      <c r="D37" s="9" t="s">
        <v>4591</v>
      </c>
      <c r="E37" s="9" t="s">
        <v>4595</v>
      </c>
      <c r="F37" s="9" t="s">
        <v>4591</v>
      </c>
      <c r="G37" s="9" t="s">
        <v>4591</v>
      </c>
      <c r="H37" s="9" t="s">
        <v>4591</v>
      </c>
      <c r="I37" s="9" t="s">
        <v>4591</v>
      </c>
      <c r="J37" s="9" t="s">
        <v>4591</v>
      </c>
      <c r="K37" s="9" t="s">
        <v>4591</v>
      </c>
      <c r="L37" s="9" t="s">
        <v>4591</v>
      </c>
      <c r="M37" s="9" t="s">
        <v>4591</v>
      </c>
      <c r="N37" s="9" t="s">
        <v>4591</v>
      </c>
      <c r="O37" s="9" t="s">
        <v>4592</v>
      </c>
      <c r="P37" s="9" t="s">
        <v>4591</v>
      </c>
      <c r="Q37" s="9" t="s">
        <v>4595</v>
      </c>
      <c r="R37" s="9" t="s">
        <v>4591</v>
      </c>
      <c r="S37" s="9" t="s">
        <v>4591</v>
      </c>
      <c r="T37" s="9" t="s">
        <v>4591</v>
      </c>
      <c r="U37" s="9" t="s">
        <v>4595</v>
      </c>
      <c r="V37" s="9" t="s">
        <v>4591</v>
      </c>
      <c r="W37" s="9" t="s">
        <v>4591</v>
      </c>
      <c r="X37" s="9" t="s">
        <v>4591</v>
      </c>
      <c r="Y37" s="9" t="s">
        <v>4591</v>
      </c>
      <c r="Z37" s="9" t="s">
        <v>4591</v>
      </c>
      <c r="AA37" s="9" t="s">
        <v>4591</v>
      </c>
      <c r="AB37" s="9" t="s">
        <v>4591</v>
      </c>
      <c r="AC37" s="14" t="s">
        <v>4591</v>
      </c>
    </row>
    <row r="38" spans="2:29" ht="12.75">
      <c r="B38" s="9"/>
      <c r="C38" s="81">
        <v>605</v>
      </c>
      <c r="D38" s="9" t="s">
        <v>4591</v>
      </c>
      <c r="E38" s="9" t="s">
        <v>4591</v>
      </c>
      <c r="F38" s="9" t="s">
        <v>4591</v>
      </c>
      <c r="G38" s="9" t="s">
        <v>4591</v>
      </c>
      <c r="H38" s="9" t="s">
        <v>4591</v>
      </c>
      <c r="I38" s="9" t="s">
        <v>4591</v>
      </c>
      <c r="J38" s="9" t="s">
        <v>4591</v>
      </c>
      <c r="K38" s="9" t="s">
        <v>4591</v>
      </c>
      <c r="L38" s="9" t="s">
        <v>4591</v>
      </c>
      <c r="M38" s="9" t="s">
        <v>4592</v>
      </c>
      <c r="N38" s="9" t="s">
        <v>4591</v>
      </c>
      <c r="O38" s="9" t="s">
        <v>4591</v>
      </c>
      <c r="P38" s="9" t="s">
        <v>4591</v>
      </c>
      <c r="Q38" s="9" t="s">
        <v>4591</v>
      </c>
      <c r="R38" s="9" t="s">
        <v>4591</v>
      </c>
      <c r="S38" s="9" t="s">
        <v>4591</v>
      </c>
      <c r="T38" s="9" t="s">
        <v>4591</v>
      </c>
      <c r="U38" s="9" t="s">
        <v>4591</v>
      </c>
      <c r="V38" s="9" t="s">
        <v>4591</v>
      </c>
      <c r="W38" s="9" t="s">
        <v>4591</v>
      </c>
      <c r="X38" s="9" t="s">
        <v>4591</v>
      </c>
      <c r="Y38" s="9" t="s">
        <v>4591</v>
      </c>
      <c r="Z38" s="9" t="s">
        <v>4591</v>
      </c>
      <c r="AA38" s="9" t="s">
        <v>4591</v>
      </c>
      <c r="AB38" s="9" t="s">
        <v>4591</v>
      </c>
      <c r="AC38" s="14" t="s">
        <v>4591</v>
      </c>
    </row>
    <row r="39" spans="2:29" ht="12.75">
      <c r="B39" s="9"/>
      <c r="C39" s="81">
        <v>609</v>
      </c>
      <c r="D39" s="9" t="s">
        <v>4592</v>
      </c>
      <c r="E39" s="9" t="s">
        <v>4591</v>
      </c>
      <c r="F39" s="9" t="s">
        <v>4591</v>
      </c>
      <c r="G39" s="9" t="s">
        <v>4591</v>
      </c>
      <c r="H39" s="9" t="s">
        <v>4591</v>
      </c>
      <c r="I39" s="9" t="s">
        <v>4591</v>
      </c>
      <c r="J39" s="9" t="s">
        <v>4591</v>
      </c>
      <c r="K39" s="9" t="s">
        <v>4591</v>
      </c>
      <c r="L39" s="9" t="s">
        <v>4591</v>
      </c>
      <c r="M39" s="9" t="s">
        <v>4591</v>
      </c>
      <c r="N39" s="9" t="s">
        <v>4591</v>
      </c>
      <c r="O39" s="9" t="s">
        <v>4591</v>
      </c>
      <c r="P39" s="9" t="s">
        <v>4591</v>
      </c>
      <c r="Q39" s="9" t="s">
        <v>4591</v>
      </c>
      <c r="R39" s="9" t="s">
        <v>4591</v>
      </c>
      <c r="S39" s="9" t="s">
        <v>4591</v>
      </c>
      <c r="T39" s="9" t="s">
        <v>4591</v>
      </c>
      <c r="U39" s="9" t="s">
        <v>4591</v>
      </c>
      <c r="V39" s="9" t="s">
        <v>4591</v>
      </c>
      <c r="W39" s="9" t="s">
        <v>4591</v>
      </c>
      <c r="X39" s="9" t="s">
        <v>4591</v>
      </c>
      <c r="Y39" s="9" t="s">
        <v>4591</v>
      </c>
      <c r="Z39" s="9" t="s">
        <v>4591</v>
      </c>
      <c r="AA39" s="9" t="s">
        <v>4592</v>
      </c>
      <c r="AB39" s="9" t="s">
        <v>4592</v>
      </c>
      <c r="AC39" s="14" t="s">
        <v>4591</v>
      </c>
    </row>
    <row r="40" spans="2:29" ht="12.75">
      <c r="B40" s="9"/>
      <c r="C40" s="81">
        <v>625</v>
      </c>
      <c r="D40" s="9" t="s">
        <v>4591</v>
      </c>
      <c r="E40" s="9" t="s">
        <v>4595</v>
      </c>
      <c r="F40" s="9" t="s">
        <v>4591</v>
      </c>
      <c r="G40" s="9" t="s">
        <v>4591</v>
      </c>
      <c r="H40" s="9" t="s">
        <v>4591</v>
      </c>
      <c r="I40" s="9" t="s">
        <v>4591</v>
      </c>
      <c r="J40" s="9" t="s">
        <v>4591</v>
      </c>
      <c r="K40" s="9" t="s">
        <v>4591</v>
      </c>
      <c r="L40" s="9" t="s">
        <v>4591</v>
      </c>
      <c r="M40" s="9" t="s">
        <v>4591</v>
      </c>
      <c r="N40" s="9" t="s">
        <v>4591</v>
      </c>
      <c r="O40" s="9" t="s">
        <v>4591</v>
      </c>
      <c r="P40" s="9" t="s">
        <v>4591</v>
      </c>
      <c r="Q40" s="9" t="s">
        <v>4591</v>
      </c>
      <c r="R40" s="9" t="s">
        <v>4591</v>
      </c>
      <c r="S40" s="9" t="s">
        <v>4591</v>
      </c>
      <c r="T40" s="9" t="s">
        <v>4591</v>
      </c>
      <c r="U40" s="9" t="s">
        <v>4592</v>
      </c>
      <c r="V40" s="9" t="s">
        <v>4591</v>
      </c>
      <c r="W40" s="9" t="s">
        <v>4591</v>
      </c>
      <c r="X40" s="9" t="s">
        <v>4591</v>
      </c>
      <c r="Y40" s="9" t="s">
        <v>4591</v>
      </c>
      <c r="Z40" s="9" t="s">
        <v>4591</v>
      </c>
      <c r="AA40" s="9" t="s">
        <v>4591</v>
      </c>
      <c r="AB40" s="9" t="s">
        <v>4591</v>
      </c>
      <c r="AC40" s="14" t="s">
        <v>4591</v>
      </c>
    </row>
    <row r="41" spans="2:29" ht="12.75">
      <c r="B41" s="9"/>
      <c r="C41" s="81">
        <v>628</v>
      </c>
      <c r="D41" s="9" t="s">
        <v>4591</v>
      </c>
      <c r="E41" s="9" t="s">
        <v>4591</v>
      </c>
      <c r="F41" s="9" t="s">
        <v>4591</v>
      </c>
      <c r="G41" s="9" t="s">
        <v>4591</v>
      </c>
      <c r="H41" s="9" t="s">
        <v>4591</v>
      </c>
      <c r="I41" s="9" t="s">
        <v>4591</v>
      </c>
      <c r="J41" s="9" t="s">
        <v>4591</v>
      </c>
      <c r="K41" s="9" t="s">
        <v>4593</v>
      </c>
      <c r="L41" s="9" t="s">
        <v>4591</v>
      </c>
      <c r="M41" s="9" t="s">
        <v>4591</v>
      </c>
      <c r="N41" s="9" t="s">
        <v>4591</v>
      </c>
      <c r="O41" s="9" t="s">
        <v>4591</v>
      </c>
      <c r="P41" s="9" t="s">
        <v>4591</v>
      </c>
      <c r="Q41" s="9" t="s">
        <v>4591</v>
      </c>
      <c r="R41" s="9" t="s">
        <v>4591</v>
      </c>
      <c r="S41" s="9" t="s">
        <v>4591</v>
      </c>
      <c r="T41" s="9" t="s">
        <v>4591</v>
      </c>
      <c r="U41" s="9" t="s">
        <v>4591</v>
      </c>
      <c r="V41" s="9" t="s">
        <v>4591</v>
      </c>
      <c r="W41" s="9" t="s">
        <v>4591</v>
      </c>
      <c r="X41" s="9" t="s">
        <v>4591</v>
      </c>
      <c r="Y41" s="9" t="s">
        <v>4591</v>
      </c>
      <c r="Z41" s="9" t="s">
        <v>4591</v>
      </c>
      <c r="AA41" s="9" t="s">
        <v>4595</v>
      </c>
      <c r="AB41" s="9" t="s">
        <v>4595</v>
      </c>
      <c r="AC41" s="14" t="s">
        <v>4591</v>
      </c>
    </row>
    <row r="42" spans="2:29" ht="12.75">
      <c r="B42" s="9"/>
      <c r="C42" s="81">
        <v>629</v>
      </c>
      <c r="D42" s="9" t="s">
        <v>4591</v>
      </c>
      <c r="E42" s="9" t="s">
        <v>4591</v>
      </c>
      <c r="F42" s="9" t="s">
        <v>4592</v>
      </c>
      <c r="G42" s="9" t="s">
        <v>4591</v>
      </c>
      <c r="H42" s="9" t="s">
        <v>4591</v>
      </c>
      <c r="I42" s="9" t="s">
        <v>4591</v>
      </c>
      <c r="J42" s="9" t="s">
        <v>4591</v>
      </c>
      <c r="K42" s="9" t="s">
        <v>4591</v>
      </c>
      <c r="L42" s="9" t="s">
        <v>4591</v>
      </c>
      <c r="M42" s="9" t="s">
        <v>4591</v>
      </c>
      <c r="N42" s="9" t="s">
        <v>4591</v>
      </c>
      <c r="O42" s="9" t="s">
        <v>4591</v>
      </c>
      <c r="P42" s="9" t="s">
        <v>4591</v>
      </c>
      <c r="Q42" s="9" t="s">
        <v>4591</v>
      </c>
      <c r="R42" s="9" t="s">
        <v>4591</v>
      </c>
      <c r="S42" s="9" t="s">
        <v>4591</v>
      </c>
      <c r="T42" s="9" t="s">
        <v>4591</v>
      </c>
      <c r="U42" s="9" t="s">
        <v>4591</v>
      </c>
      <c r="V42" s="9" t="s">
        <v>4591</v>
      </c>
      <c r="W42" s="9" t="s">
        <v>4592</v>
      </c>
      <c r="X42" s="9" t="s">
        <v>4592</v>
      </c>
      <c r="Y42" s="9" t="s">
        <v>4593</v>
      </c>
      <c r="Z42" s="9" t="s">
        <v>4595</v>
      </c>
      <c r="AA42" s="9" t="s">
        <v>4591</v>
      </c>
      <c r="AB42" s="9" t="s">
        <v>4591</v>
      </c>
      <c r="AC42" s="14" t="s">
        <v>4592</v>
      </c>
    </row>
    <row r="43" spans="2:29" ht="12.75">
      <c r="B43" s="9"/>
      <c r="C43" s="81">
        <v>638</v>
      </c>
      <c r="D43" s="9" t="s">
        <v>4591</v>
      </c>
      <c r="E43" s="9" t="s">
        <v>4591</v>
      </c>
      <c r="F43" s="9" t="s">
        <v>4591</v>
      </c>
      <c r="G43" s="9" t="s">
        <v>4591</v>
      </c>
      <c r="H43" s="9" t="s">
        <v>4591</v>
      </c>
      <c r="I43" s="9" t="s">
        <v>4591</v>
      </c>
      <c r="J43" s="9" t="s">
        <v>4592</v>
      </c>
      <c r="K43" s="9" t="s">
        <v>4591</v>
      </c>
      <c r="L43" s="9" t="s">
        <v>4593</v>
      </c>
      <c r="M43" s="9" t="s">
        <v>4591</v>
      </c>
      <c r="N43" s="9" t="s">
        <v>4591</v>
      </c>
      <c r="O43" s="9" t="s">
        <v>4591</v>
      </c>
      <c r="P43" s="9" t="s">
        <v>4591</v>
      </c>
      <c r="Q43" s="9" t="s">
        <v>4591</v>
      </c>
      <c r="R43" s="9" t="s">
        <v>4591</v>
      </c>
      <c r="S43" s="9" t="s">
        <v>4591</v>
      </c>
      <c r="T43" s="9" t="s">
        <v>4591</v>
      </c>
      <c r="U43" s="9" t="s">
        <v>4591</v>
      </c>
      <c r="V43" s="9" t="s">
        <v>4591</v>
      </c>
      <c r="W43" s="9" t="s">
        <v>4591</v>
      </c>
      <c r="X43" s="9" t="s">
        <v>4591</v>
      </c>
      <c r="Y43" s="9" t="s">
        <v>4591</v>
      </c>
      <c r="Z43" s="9" t="s">
        <v>4591</v>
      </c>
      <c r="AA43" s="9" t="s">
        <v>4591</v>
      </c>
      <c r="AB43" s="9" t="s">
        <v>4591</v>
      </c>
      <c r="AC43" s="14" t="s">
        <v>4591</v>
      </c>
    </row>
    <row r="44" spans="2:29" ht="12.75">
      <c r="B44" s="9"/>
      <c r="C44" s="82">
        <v>642</v>
      </c>
      <c r="D44" s="21" t="s">
        <v>4595</v>
      </c>
      <c r="E44" s="21" t="s">
        <v>4591</v>
      </c>
      <c r="F44" s="21" t="s">
        <v>4591</v>
      </c>
      <c r="G44" s="21" t="s">
        <v>4591</v>
      </c>
      <c r="H44" s="21" t="s">
        <v>4591</v>
      </c>
      <c r="I44" s="21" t="s">
        <v>4591</v>
      </c>
      <c r="J44" s="21" t="s">
        <v>4591</v>
      </c>
      <c r="K44" s="21" t="s">
        <v>4591</v>
      </c>
      <c r="L44" s="21" t="s">
        <v>4591</v>
      </c>
      <c r="M44" s="21" t="s">
        <v>4591</v>
      </c>
      <c r="N44" s="21" t="s">
        <v>4591</v>
      </c>
      <c r="O44" s="21" t="s">
        <v>4591</v>
      </c>
      <c r="P44" s="21" t="s">
        <v>4591</v>
      </c>
      <c r="Q44" s="21" t="s">
        <v>4591</v>
      </c>
      <c r="R44" s="21" t="s">
        <v>4591</v>
      </c>
      <c r="S44" s="21" t="s">
        <v>4591</v>
      </c>
      <c r="T44" s="21" t="s">
        <v>4591</v>
      </c>
      <c r="U44" s="21" t="s">
        <v>4591</v>
      </c>
      <c r="V44" s="21" t="s">
        <v>4591</v>
      </c>
      <c r="W44" s="21" t="s">
        <v>4591</v>
      </c>
      <c r="X44" s="21" t="s">
        <v>4591</v>
      </c>
      <c r="Y44" s="21" t="s">
        <v>4591</v>
      </c>
      <c r="Z44" s="21" t="s">
        <v>4591</v>
      </c>
      <c r="AA44" s="21" t="s">
        <v>4595</v>
      </c>
      <c r="AB44" s="21" t="s">
        <v>4591</v>
      </c>
      <c r="AC44" s="38" t="s">
        <v>4591</v>
      </c>
    </row>
    <row r="47" spans="2:29" ht="13.5" thickBot="1">
      <c r="B47" s="219" t="s">
        <v>4604</v>
      </c>
      <c r="C47" s="201"/>
      <c r="D47" s="45">
        <v>214</v>
      </c>
    </row>
    <row r="48" spans="2:29" ht="13.5" thickTop="1">
      <c r="B48" s="134" t="s">
        <v>4594</v>
      </c>
      <c r="C48" s="135" t="s">
        <v>44</v>
      </c>
      <c r="D48" s="135" t="s">
        <v>110</v>
      </c>
      <c r="E48" s="136" t="s">
        <v>2</v>
      </c>
      <c r="F48" s="229" t="s">
        <v>4612</v>
      </c>
      <c r="G48" s="229"/>
      <c r="H48" s="230"/>
    </row>
    <row r="49" spans="2:8" ht="12.75">
      <c r="B49" s="137" t="s">
        <v>4589</v>
      </c>
      <c r="C49" s="93">
        <v>529</v>
      </c>
      <c r="D49" s="93" t="s">
        <v>4258</v>
      </c>
      <c r="E49" s="93" t="str">
        <f>IF($B49 = "Mutant",VLOOKUP($C49,Mutants!$A$2:$L$560,12,FALSE),IF($B49 = "Test",VLOOKUP($C49,Tests!$A$2:$L$841,12,FALSE),VLOOKUP($C49,Questions!$A$3:$N$174,9,FALSE)))</f>
        <v>Y</v>
      </c>
      <c r="F49" s="205" t="str">
        <f>IF($B49 = "Mutant",VLOOKUP($C49,Mutants!$A$2:$L$560,11,FALSE),IF($B49 = "Test",VLOOKUP($C49,Tests!$A$2:$L$841,11,FALSE),VLOOKUP($C49,Questions!$A$3:$N$174,13,FALSE)))</f>
        <v xml:space="preserve">getBinaryValues
</v>
      </c>
      <c r="G49" s="205"/>
      <c r="H49" s="206"/>
    </row>
    <row r="50" spans="2:8" ht="12.75">
      <c r="B50" s="114" t="s">
        <v>4590</v>
      </c>
      <c r="C50" s="9">
        <v>585</v>
      </c>
      <c r="D50" s="9" t="s">
        <v>2102</v>
      </c>
      <c r="E50" s="9" t="str">
        <f>IF($B50 = "Mutant",VLOOKUP($C50,Mutants!$A$2:$L$560,12,FALSE),IF($B50 = "Test",VLOOKUP($C50,Tests!$A$2:$L$841,12,FALSE),VLOOKUP($C50,Questions!$A$3:$N$174,9,FALSE)))</f>
        <v>Y</v>
      </c>
      <c r="F50" s="187" t="str">
        <f>IF($B50 = "Mutant",VLOOKUP($C50,Mutants!$A$2:$L$560,11,FALSE),IF($B50 = "Test",VLOOKUP($C50,Tests!$A$2:$L$841,11,FALSE),VLOOKUP($C50,Questions!$A$3:$N$174,13,FALSE)))</f>
        <v xml:space="preserve">add, getField
</v>
      </c>
      <c r="G50" s="187"/>
      <c r="H50" s="202"/>
    </row>
    <row r="51" spans="2:8" ht="12.75">
      <c r="B51" s="114" t="s">
        <v>4589</v>
      </c>
      <c r="C51" s="9">
        <v>571</v>
      </c>
      <c r="D51" s="9" t="s">
        <v>2112</v>
      </c>
      <c r="E51" s="9" t="str">
        <f>IF($B51 = "Mutant",VLOOKUP($C51,Mutants!$A$2:$L$560,12,FALSE),IF($B51 = "Test",VLOOKUP($C51,Tests!$A$2:$L$841,12,FALSE),VLOOKUP($C51,Questions!$A$3:$N$174,9,FALSE)))</f>
        <v>Y</v>
      </c>
      <c r="F51" s="187" t="str">
        <f>IF($B51 = "Mutant",VLOOKUP($C51,Mutants!$A$2:$L$560,11,FALSE),IF($B51 = "Test",VLOOKUP($C51,Tests!$A$2:$L$841,11,FALSE),VLOOKUP($C51,Questions!$A$3:$N$174,13,FALSE)))</f>
        <v xml:space="preserve">removeField
</v>
      </c>
      <c r="G51" s="187"/>
      <c r="H51" s="202"/>
    </row>
    <row r="52" spans="2:8" ht="12.75">
      <c r="B52" s="114" t="s">
        <v>4590</v>
      </c>
      <c r="C52" s="9">
        <v>643</v>
      </c>
      <c r="D52" s="9" t="s">
        <v>2265</v>
      </c>
      <c r="E52" s="9" t="str">
        <f>IF($B52 = "Mutant",VLOOKUP($C52,Mutants!$A$2:$L$560,12,FALSE),IF($B52 = "Test",VLOOKUP($C52,Tests!$A$2:$L$841,12,FALSE),VLOOKUP($C52,Questions!$A$3:$N$174,9,FALSE)))</f>
        <v>Y</v>
      </c>
      <c r="F52" s="187" t="str">
        <f>IF($B52 = "Mutant",VLOOKUP($C52,Mutants!$A$2:$L$560,11,FALSE),IF($B52 = "Test",VLOOKUP($C52,Tests!$A$2:$L$841,11,FALSE),VLOOKUP($C52,Questions!$A$3:$N$174,13,FALSE)))</f>
        <v xml:space="preserve">add, removeFields, getField
</v>
      </c>
      <c r="G52" s="187"/>
      <c r="H52" s="202"/>
    </row>
    <row r="53" spans="2:8" ht="12.75">
      <c r="B53" s="114" t="s">
        <v>4589</v>
      </c>
      <c r="C53" s="9">
        <v>590</v>
      </c>
      <c r="D53" s="9" t="s">
        <v>2359</v>
      </c>
      <c r="E53" s="9" t="str">
        <f>IF($B53 = "Mutant",VLOOKUP($C53,Mutants!$A$2:$L$560,12,FALSE),IF($B53 = "Test",VLOOKUP($C53,Tests!$A$2:$L$841,12,FALSE),VLOOKUP($C53,Questions!$A$3:$N$174,9,FALSE)))</f>
        <v>Y</v>
      </c>
      <c r="F53" s="187" t="str">
        <f>IF($B53 = "Mutant",VLOOKUP($C53,Mutants!$A$2:$L$560,11,FALSE),IF($B53 = "Test",VLOOKUP($C53,Tests!$A$2:$L$841,11,FALSE),VLOOKUP($C53,Questions!$A$3:$N$174,13,FALSE)))</f>
        <v xml:space="preserve">getFields_1
</v>
      </c>
      <c r="G53" s="187"/>
      <c r="H53" s="202"/>
    </row>
    <row r="54" spans="2:8" ht="12.75">
      <c r="B54" s="114" t="s">
        <v>4589</v>
      </c>
      <c r="C54" s="9">
        <v>601</v>
      </c>
      <c r="D54" s="9" t="s">
        <v>4439</v>
      </c>
      <c r="E54" s="9" t="str">
        <f>IF($B54 = "Mutant",VLOOKUP($C54,Mutants!$A$2:$L$560,12,FALSE),IF($B54 = "Test",VLOOKUP($C54,Tests!$A$2:$L$841,12,FALSE),VLOOKUP($C54,Questions!$A$3:$N$174,9,FALSE)))</f>
        <v>Y</v>
      </c>
      <c r="F54" s="187" t="str">
        <f>IF($B54 = "Mutant",VLOOKUP($C54,Mutants!$A$2:$L$560,11,FALSE),IF($B54 = "Test",VLOOKUP($C54,Tests!$A$2:$L$841,11,FALSE),VLOOKUP($C54,Questions!$A$3:$N$174,13,FALSE)))</f>
        <v xml:space="preserve">toString
</v>
      </c>
      <c r="G54" s="187"/>
      <c r="H54" s="202"/>
    </row>
    <row r="55" spans="2:8" ht="12.75">
      <c r="B55" s="114" t="s">
        <v>4590</v>
      </c>
      <c r="C55" s="9">
        <v>804</v>
      </c>
      <c r="D55" s="9" t="s">
        <v>2696</v>
      </c>
      <c r="E55" s="9" t="str">
        <f>IF($B55 = "Mutant",VLOOKUP($C55,Mutants!$A$2:$L$560,12,FALSE),IF($B55 = "Test",VLOOKUP($C55,Tests!$A$2:$L$841,12,FALSE),VLOOKUP($C55,Questions!$A$3:$N$174,9,FALSE)))</f>
        <v>Y</v>
      </c>
      <c r="F55" s="187" t="str">
        <f>IF($B55 = "Mutant",VLOOKUP($C55,Mutants!$A$2:$L$560,11,FALSE),IF($B55 = "Test",VLOOKUP($C55,Tests!$A$2:$L$841,11,FALSE),VLOOKUP($C55,Questions!$A$3:$N$174,13,FALSE)))</f>
        <v xml:space="preserve">add, getFields_1
</v>
      </c>
      <c r="G55" s="187"/>
      <c r="H55" s="202"/>
    </row>
    <row r="56" spans="2:8" ht="12.75">
      <c r="B56" s="114" t="s">
        <v>4589</v>
      </c>
      <c r="C56" s="9">
        <v>629</v>
      </c>
      <c r="D56" s="9" t="s">
        <v>4511</v>
      </c>
      <c r="E56" s="9" t="str">
        <f>IF($B56 = "Mutant",VLOOKUP($C56,Mutants!$A$2:$L$560,12,FALSE),IF($B56 = "Test",VLOOKUP($C56,Tests!$A$2:$L$841,12,FALSE),VLOOKUP($C56,Questions!$A$3:$N$174,9,FALSE)))</f>
        <v>Y</v>
      </c>
      <c r="F56" s="187" t="str">
        <f>IF($B56 = "Mutant",VLOOKUP($C56,Mutants!$A$2:$L$560,11,FALSE),IF($B56 = "Test",VLOOKUP($C56,Tests!$A$2:$L$841,11,FALSE),VLOOKUP($C56,Questions!$A$3:$N$174,13,FALSE)))</f>
        <v xml:space="preserve">toString
</v>
      </c>
      <c r="G56" s="187"/>
      <c r="H56" s="202"/>
    </row>
    <row r="57" spans="2:8" ht="12.75">
      <c r="B57" s="114" t="s">
        <v>4590</v>
      </c>
      <c r="C57" s="9">
        <v>868</v>
      </c>
      <c r="D57" s="9" t="s">
        <v>2877</v>
      </c>
      <c r="E57" s="9" t="str">
        <f>IF($B57 = "Mutant",VLOOKUP($C57,Mutants!$A$2:$L$560,12,FALSE),IF($B57 = "Test",VLOOKUP($C57,Tests!$A$2:$L$841,12,FALSE),VLOOKUP($C57,Questions!$A$3:$N$174,9,FALSE)))</f>
        <v>Y</v>
      </c>
      <c r="F57" s="187" t="str">
        <f>IF($B57 = "Mutant",VLOOKUP($C57,Mutants!$A$2:$L$560,11,FALSE),IF($B57 = "Test",VLOOKUP($C57,Tests!$A$2:$L$841,11,FALSE),VLOOKUP($C57,Questions!$A$3:$N$174,13,FALSE)))</f>
        <v xml:space="preserve">add, toString
</v>
      </c>
      <c r="G57" s="187"/>
      <c r="H57" s="202"/>
    </row>
    <row r="58" spans="2:8" ht="12.75">
      <c r="B58" s="133" t="s">
        <v>4589</v>
      </c>
      <c r="C58" s="130">
        <v>642</v>
      </c>
      <c r="D58" s="130" t="s">
        <v>4541</v>
      </c>
      <c r="E58" s="130" t="str">
        <f>IF($B58 = "Mutant",VLOOKUP($C58,Mutants!$A$2:$L$560,12,FALSE),IF($B58 = "Test",VLOOKUP($C58,Tests!$A$2:$L$841,12,FALSE),VLOOKUP($C58,Questions!$A$3:$N$174,9,FALSE)))</f>
        <v>Y</v>
      </c>
      <c r="F58" s="203" t="str">
        <f>IF($B58 = "Mutant",VLOOKUP($C58,Mutants!$A$2:$L$560,11,FALSE),IF($B58 = "Test",VLOOKUP($C58,Tests!$A$2:$L$841,11,FALSE),VLOOKUP($C58,Questions!$A$3:$N$174,13,FALSE)))</f>
        <v xml:space="preserve">get
</v>
      </c>
      <c r="G58" s="203"/>
      <c r="H58" s="204"/>
    </row>
    <row r="59" spans="2:8" ht="15.75" customHeight="1">
      <c r="E59" s="9"/>
      <c r="F59" s="187"/>
      <c r="G59" s="187"/>
      <c r="H59" s="187"/>
    </row>
    <row r="60" spans="2:8" ht="15.75" customHeight="1">
      <c r="E60" s="9"/>
      <c r="F60" s="187"/>
      <c r="G60" s="187"/>
      <c r="H60" s="187"/>
    </row>
    <row r="61" spans="2:8" ht="13.5" thickBot="1">
      <c r="B61" s="219" t="s">
        <v>4604</v>
      </c>
      <c r="C61" s="201"/>
      <c r="D61" s="45">
        <v>215</v>
      </c>
      <c r="E61" s="9"/>
      <c r="F61" s="187"/>
      <c r="G61" s="187"/>
      <c r="H61" s="187"/>
    </row>
    <row r="62" spans="2:8" ht="13.5" thickTop="1">
      <c r="B62" s="134" t="s">
        <v>4594</v>
      </c>
      <c r="C62" s="135" t="s">
        <v>44</v>
      </c>
      <c r="D62" s="135" t="s">
        <v>110</v>
      </c>
      <c r="E62" s="136" t="s">
        <v>2</v>
      </c>
      <c r="F62" s="229" t="s">
        <v>4612</v>
      </c>
      <c r="G62" s="229"/>
      <c r="H62" s="230"/>
    </row>
    <row r="63" spans="2:8" ht="12.75">
      <c r="B63" s="137" t="s">
        <v>4589</v>
      </c>
      <c r="C63" s="93">
        <v>365</v>
      </c>
      <c r="D63" s="93" t="s">
        <v>3822</v>
      </c>
      <c r="E63" s="93" t="str">
        <f>IF($B63 = "Mutant",VLOOKUP($C63,Mutants!$A$2:$L$560,12,FALSE),IF($B63 = "Test",VLOOKUP($C63,Tests!$A$2:$L$841,12,FALSE),VLOOKUP($C63,Questions!$A$3:$N$174,9,FALSE)))</f>
        <v>Y</v>
      </c>
      <c r="F63" s="205" t="str">
        <f>IF($B63 = "Mutant",VLOOKUP($C63,Mutants!$A$2:$L$560,11,FALSE),IF($B63 = "Test",VLOOKUP($C63,Tests!$A$2:$L$841,11,FALSE),VLOOKUP($C63,Questions!$A$3:$N$174,13,FALSE)))</f>
        <v xml:space="preserve">getValues
</v>
      </c>
      <c r="G63" s="205"/>
      <c r="H63" s="206"/>
    </row>
    <row r="64" spans="2:8" ht="12.75">
      <c r="B64" s="114" t="s">
        <v>4589</v>
      </c>
      <c r="C64" s="9">
        <v>372</v>
      </c>
      <c r="D64" s="9" t="s">
        <v>3843</v>
      </c>
      <c r="E64" s="9" t="str">
        <f>IF($B64 = "Mutant",VLOOKUP($C64,Mutants!$A$2:$L$560,12,FALSE),IF($B64 = "Test",VLOOKUP($C64,Tests!$A$2:$L$841,12,FALSE),VLOOKUP($C64,Questions!$A$3:$N$174,9,FALSE)))</f>
        <v>Y</v>
      </c>
      <c r="F64" s="187" t="str">
        <f>IF($B64 = "Mutant",VLOOKUP($C64,Mutants!$A$2:$L$560,11,FALSE),IF($B64 = "Test",VLOOKUP($C64,Tests!$A$2:$L$841,11,FALSE),VLOOKUP($C64,Questions!$A$3:$N$174,13,FALSE)))</f>
        <v xml:space="preserve">getValues
</v>
      </c>
      <c r="G64" s="187"/>
      <c r="H64" s="202"/>
    </row>
    <row r="65" spans="2:8" ht="12.75">
      <c r="B65" s="114" t="s">
        <v>4589</v>
      </c>
      <c r="C65" s="9">
        <v>378</v>
      </c>
      <c r="D65" s="9" t="s">
        <v>3857</v>
      </c>
      <c r="E65" s="9" t="str">
        <f>IF($B65 = "Mutant",VLOOKUP($C65,Mutants!$A$2:$L$560,12,FALSE),IF($B65 = "Test",VLOOKUP($C65,Tests!$A$2:$L$841,12,FALSE),VLOOKUP($C65,Questions!$A$3:$N$174,9,FALSE)))</f>
        <v>Y</v>
      </c>
      <c r="F65" s="187" t="str">
        <f>IF($B65 = "Mutant",VLOOKUP($C65,Mutants!$A$2:$L$560,11,FALSE),IF($B65 = "Test",VLOOKUP($C65,Tests!$A$2:$L$841,11,FALSE),VLOOKUP($C65,Questions!$A$3:$N$174,13,FALSE)))</f>
        <v xml:space="preserve">toString
</v>
      </c>
      <c r="G65" s="187"/>
      <c r="H65" s="202"/>
    </row>
    <row r="66" spans="2:8" ht="12.75">
      <c r="B66" s="114" t="s">
        <v>4589</v>
      </c>
      <c r="C66" s="9">
        <v>397</v>
      </c>
      <c r="D66" s="9" t="s">
        <v>3908</v>
      </c>
      <c r="E66" s="9" t="str">
        <f>IF($B66 = "Mutant",VLOOKUP($C66,Mutants!$A$2:$L$560,12,FALSE),IF($B66 = "Test",VLOOKUP($C66,Tests!$A$2:$L$841,12,FALSE),VLOOKUP($C66,Questions!$A$3:$N$174,9,FALSE)))</f>
        <v>Y</v>
      </c>
      <c r="F66" s="187" t="str">
        <f>IF($B66 = "Mutant",VLOOKUP($C66,Mutants!$A$2:$L$560,11,FALSE),IF($B66 = "Test",VLOOKUP($C66,Tests!$A$2:$L$841,11,FALSE),VLOOKUP($C66,Questions!$A$3:$N$174,13,FALSE)))</f>
        <v xml:space="preserve">add
</v>
      </c>
      <c r="G66" s="187"/>
      <c r="H66" s="202"/>
    </row>
    <row r="67" spans="2:8" ht="12.75">
      <c r="B67" s="114" t="s">
        <v>4589</v>
      </c>
      <c r="C67" s="9">
        <v>404</v>
      </c>
      <c r="D67" s="9" t="s">
        <v>3929</v>
      </c>
      <c r="E67" s="9" t="str">
        <f>IF($B67 = "Mutant",VLOOKUP($C67,Mutants!$A$2:$L$560,12,FALSE),IF($B67 = "Test",VLOOKUP($C67,Tests!$A$2:$L$841,12,FALSE),VLOOKUP($C67,Questions!$A$3:$N$174,9,FALSE)))</f>
        <v>N</v>
      </c>
      <c r="F67" s="187" t="str">
        <f>IF($B67 = "Mutant",VLOOKUP($C67,Mutants!$A$2:$L$560,11,FALSE),IF($B67 = "Test",VLOOKUP($C67,Tests!$A$2:$L$841,11,FALSE),VLOOKUP($C67,Questions!$A$3:$N$174,13,FALSE)))</f>
        <v xml:space="preserve">
</v>
      </c>
      <c r="G67" s="187"/>
      <c r="H67" s="202"/>
    </row>
    <row r="68" spans="2:8" ht="12.75">
      <c r="B68" s="114" t="s">
        <v>4589</v>
      </c>
      <c r="C68" s="9">
        <v>422</v>
      </c>
      <c r="D68" s="9" t="s">
        <v>3977</v>
      </c>
      <c r="E68" s="9" t="str">
        <f>IF($B68 = "Mutant",VLOOKUP($C68,Mutants!$A$2:$L$560,12,FALSE),IF($B68 = "Test",VLOOKUP($C68,Tests!$A$2:$L$841,12,FALSE),VLOOKUP($C68,Questions!$A$3:$N$174,9,FALSE)))</f>
        <v>Y</v>
      </c>
      <c r="F68" s="187" t="str">
        <f>IF($B68 = "Mutant",VLOOKUP($C68,Mutants!$A$2:$L$560,11,FALSE),IF($B68 = "Test",VLOOKUP($C68,Tests!$A$2:$L$841,11,FALSE),VLOOKUP($C68,Questions!$A$3:$N$174,13,FALSE)))</f>
        <v xml:space="preserve">removeFields
</v>
      </c>
      <c r="G68" s="187"/>
      <c r="H68" s="202"/>
    </row>
    <row r="69" spans="2:8" ht="12.75">
      <c r="B69" s="114" t="s">
        <v>4589</v>
      </c>
      <c r="C69" s="9">
        <v>428</v>
      </c>
      <c r="D69" s="9" t="s">
        <v>3990</v>
      </c>
      <c r="E69" s="9" t="str">
        <f>IF($B69 = "Mutant",VLOOKUP($C69,Mutants!$A$2:$L$560,12,FALSE),IF($B69 = "Test",VLOOKUP($C69,Tests!$A$2:$L$841,12,FALSE),VLOOKUP($C69,Questions!$A$3:$N$174,9,FALSE)))</f>
        <v>Y</v>
      </c>
      <c r="F69" s="187" t="str">
        <f>IF($B69 = "Mutant",VLOOKUP($C69,Mutants!$A$2:$L$560,11,FALSE),IF($B69 = "Test",VLOOKUP($C69,Tests!$A$2:$L$841,11,FALSE),VLOOKUP($C69,Questions!$A$3:$N$174,13,FALSE)))</f>
        <v xml:space="preserve">toString
</v>
      </c>
      <c r="G69" s="187"/>
      <c r="H69" s="202"/>
    </row>
    <row r="70" spans="2:8" ht="12.75">
      <c r="B70" s="114" t="s">
        <v>4590</v>
      </c>
      <c r="C70" s="9">
        <v>494</v>
      </c>
      <c r="D70" s="9" t="s">
        <v>1817</v>
      </c>
      <c r="E70" s="9" t="str">
        <f>IF($B70 = "Mutant",VLOOKUP($C70,Mutants!$A$2:$L$560,12,FALSE),IF($B70 = "Test",VLOOKUP($C70,Tests!$A$2:$L$841,12,FALSE),VLOOKUP($C70,Questions!$A$3:$N$174,9,FALSE)))</f>
        <v>Y</v>
      </c>
      <c r="F70" s="187" t="str">
        <f>IF($B70 = "Mutant",VLOOKUP($C70,Mutants!$A$2:$L$560,11,FALSE),IF($B70 = "Test",VLOOKUP($C70,Tests!$A$2:$L$841,11,FALSE),VLOOKUP($C70,Questions!$A$3:$N$174,13,FALSE)))</f>
        <v xml:space="preserve">add, get
</v>
      </c>
      <c r="G70" s="187"/>
      <c r="H70" s="202"/>
    </row>
    <row r="71" spans="2:8" ht="12.75">
      <c r="B71" s="114" t="s">
        <v>4590</v>
      </c>
      <c r="C71" s="9">
        <v>511</v>
      </c>
      <c r="D71" s="9" t="s">
        <v>1871</v>
      </c>
      <c r="E71" s="9" t="str">
        <f>IF($B71 = "Mutant",VLOOKUP($C71,Mutants!$A$2:$L$560,12,FALSE),IF($B71 = "Test",VLOOKUP($C71,Tests!$A$2:$L$841,12,FALSE),VLOOKUP($C71,Questions!$A$3:$N$174,9,FALSE)))</f>
        <v>Y</v>
      </c>
      <c r="F71" s="187" t="str">
        <f>IF($B71 = "Mutant",VLOOKUP($C71,Mutants!$A$2:$L$560,11,FALSE),IF($B71 = "Test",VLOOKUP($C71,Tests!$A$2:$L$841,11,FALSE),VLOOKUP($C71,Questions!$A$3:$N$174,13,FALSE)))</f>
        <v xml:space="preserve">add, getValues
</v>
      </c>
      <c r="G71" s="187"/>
      <c r="H71" s="202"/>
    </row>
    <row r="72" spans="2:8" ht="12.75">
      <c r="B72" s="114" t="s">
        <v>4590</v>
      </c>
      <c r="C72" s="9">
        <v>536</v>
      </c>
      <c r="D72" s="9" t="s">
        <v>1955</v>
      </c>
      <c r="E72" s="9" t="str">
        <f>IF($B72 = "Mutant",VLOOKUP($C72,Mutants!$A$2:$L$560,12,FALSE),IF($B72 = "Test",VLOOKUP($C72,Tests!$A$2:$L$841,12,FALSE),VLOOKUP($C72,Questions!$A$3:$N$174,9,FALSE)))</f>
        <v>Y</v>
      </c>
      <c r="F72" s="187" t="str">
        <f>IF($B72 = "Mutant",VLOOKUP($C72,Mutants!$A$2:$L$560,11,FALSE),IF($B72 = "Test",VLOOKUP($C72,Tests!$A$2:$L$841,11,FALSE),VLOOKUP($C72,Questions!$A$3:$N$174,13,FALSE)))</f>
        <v xml:space="preserve">add, getFields_2
</v>
      </c>
      <c r="G72" s="187"/>
      <c r="H72" s="202"/>
    </row>
    <row r="73" spans="2:8" ht="12.75">
      <c r="B73" s="114" t="s">
        <v>4590</v>
      </c>
      <c r="C73" s="9">
        <v>559</v>
      </c>
      <c r="D73" s="9" t="s">
        <v>2022</v>
      </c>
      <c r="E73" s="9" t="str">
        <f>IF($B73 = "Mutant",VLOOKUP($C73,Mutants!$A$2:$L$560,12,FALSE),IF($B73 = "Test",VLOOKUP($C73,Tests!$A$2:$L$841,12,FALSE),VLOOKUP($C73,Questions!$A$3:$N$174,9,FALSE)))</f>
        <v>Y</v>
      </c>
      <c r="F73" s="187" t="str">
        <f>IF($B73 = "Mutant",VLOOKUP($C73,Mutants!$A$2:$L$560,11,FALSE),IF($B73 = "Test",VLOOKUP($C73,Tests!$A$2:$L$841,11,FALSE),VLOOKUP($C73,Questions!$A$3:$N$174,13,FALSE)))</f>
        <v xml:space="preserve">getValues
</v>
      </c>
      <c r="G73" s="187"/>
      <c r="H73" s="202"/>
    </row>
    <row r="74" spans="2:8" ht="12.75">
      <c r="B74" s="114" t="s">
        <v>4590</v>
      </c>
      <c r="C74" s="9">
        <v>580</v>
      </c>
      <c r="D74" s="9" t="s">
        <v>2087</v>
      </c>
      <c r="E74" s="9" t="str">
        <f>IF($B74 = "Mutant",VLOOKUP($C74,Mutants!$A$2:$L$560,12,FALSE),IF($B74 = "Test",VLOOKUP($C74,Tests!$A$2:$L$841,12,FALSE),VLOOKUP($C74,Questions!$A$3:$N$174,9,FALSE)))</f>
        <v>Y</v>
      </c>
      <c r="F74" s="187" t="str">
        <f>IF($B74 = "Mutant",VLOOKUP($C74,Mutants!$A$2:$L$560,11,FALSE),IF($B74 = "Test",VLOOKUP($C74,Tests!$A$2:$L$841,11,FALSE),VLOOKUP($C74,Questions!$A$3:$N$174,13,FALSE)))</f>
        <v xml:space="preserve">add, getValues, clear
</v>
      </c>
      <c r="G74" s="187"/>
      <c r="H74" s="202"/>
    </row>
    <row r="75" spans="2:8" ht="12.75">
      <c r="B75" s="114" t="s">
        <v>4590</v>
      </c>
      <c r="C75" s="9">
        <v>651</v>
      </c>
      <c r="D75" s="9" t="s">
        <v>2287</v>
      </c>
      <c r="E75" s="9" t="str">
        <f>IF($B75 = "Mutant",VLOOKUP($C75,Mutants!$A$2:$L$560,12,FALSE),IF($B75 = "Test",VLOOKUP($C75,Tests!$A$2:$L$841,12,FALSE),VLOOKUP($C75,Questions!$A$3:$N$174,9,FALSE)))</f>
        <v>Y</v>
      </c>
      <c r="F75" s="187" t="str">
        <f>IF($B75 = "Mutant",VLOOKUP($C75,Mutants!$A$2:$L$560,11,FALSE),IF($B75 = "Test",VLOOKUP($C75,Tests!$A$2:$L$841,11,FALSE),VLOOKUP($C75,Questions!$A$3:$N$174,13,FALSE)))</f>
        <v xml:space="preserve">add, getBinaryValue
</v>
      </c>
      <c r="G75" s="187"/>
      <c r="H75" s="202"/>
    </row>
    <row r="76" spans="2:8" ht="12.75">
      <c r="B76" s="114" t="s">
        <v>4590</v>
      </c>
      <c r="C76" s="9">
        <v>689</v>
      </c>
      <c r="D76" s="9" t="s">
        <v>2387</v>
      </c>
      <c r="E76" s="9" t="str">
        <f>IF($B76 = "Mutant",VLOOKUP($C76,Mutants!$A$2:$L$560,12,FALSE),IF($B76 = "Test",VLOOKUP($C76,Tests!$A$2:$L$841,12,FALSE),VLOOKUP($C76,Questions!$A$3:$N$174,9,FALSE)))</f>
        <v>Y</v>
      </c>
      <c r="F76" s="187" t="str">
        <f>IF($B76 = "Mutant",VLOOKUP($C76,Mutants!$A$2:$L$560,11,FALSE),IF($B76 = "Test",VLOOKUP($C76,Tests!$A$2:$L$841,11,FALSE),VLOOKUP($C76,Questions!$A$3:$N$174,13,FALSE)))</f>
        <v xml:space="preserve">add, getBinaryValues
</v>
      </c>
      <c r="G76" s="187"/>
      <c r="H76" s="202"/>
    </row>
    <row r="77" spans="2:8" ht="12.75">
      <c r="B77" s="114" t="s">
        <v>4590</v>
      </c>
      <c r="C77" s="9">
        <v>702</v>
      </c>
      <c r="D77" s="9" t="s">
        <v>459</v>
      </c>
      <c r="E77" s="9" t="str">
        <f>IF($B77 = "Mutant",VLOOKUP($C77,Mutants!$A$2:$L$560,12,FALSE),IF($B77 = "Test",VLOOKUP($C77,Tests!$A$2:$L$841,12,FALSE),VLOOKUP($C77,Questions!$A$3:$N$174,9,FALSE)))</f>
        <v>Y</v>
      </c>
      <c r="F77" s="187" t="str">
        <f>IF($B77 = "Mutant",VLOOKUP($C77,Mutants!$A$2:$L$560,11,FALSE),IF($B77 = "Test",VLOOKUP($C77,Tests!$A$2:$L$841,11,FALSE),VLOOKUP($C77,Questions!$A$3:$N$174,13,FALSE)))</f>
        <v xml:space="preserve">getBinaryValues
</v>
      </c>
      <c r="G77" s="187"/>
      <c r="H77" s="202"/>
    </row>
    <row r="78" spans="2:8" ht="12.75">
      <c r="B78" s="114" t="s">
        <v>4590</v>
      </c>
      <c r="C78" s="9">
        <v>712</v>
      </c>
      <c r="D78" s="9" t="s">
        <v>2438</v>
      </c>
      <c r="E78" s="9" t="str">
        <f>IF($B78 = "Mutant",VLOOKUP($C78,Mutants!$A$2:$L$560,12,FALSE),IF($B78 = "Test",VLOOKUP($C78,Tests!$A$2:$L$841,12,FALSE),VLOOKUP($C78,Questions!$A$3:$N$174,9,FALSE)))</f>
        <v>Y</v>
      </c>
      <c r="F78" s="187" t="str">
        <f>IF($B78 = "Mutant",VLOOKUP($C78,Mutants!$A$2:$L$560,11,FALSE),IF($B78 = "Test",VLOOKUP($C78,Tests!$A$2:$L$841,11,FALSE),VLOOKUP($C78,Questions!$A$3:$N$174,13,FALSE)))</f>
        <v xml:space="preserve">getBinaryValues
</v>
      </c>
      <c r="G78" s="187"/>
      <c r="H78" s="202"/>
    </row>
    <row r="79" spans="2:8" ht="12.75">
      <c r="B79" s="114" t="s">
        <v>4590</v>
      </c>
      <c r="C79" s="9">
        <v>730</v>
      </c>
      <c r="D79" s="9" t="s">
        <v>2494</v>
      </c>
      <c r="E79" s="9" t="str">
        <f>IF($B79 = "Mutant",VLOOKUP($C79,Mutants!$A$2:$L$560,12,FALSE),IF($B79 = "Test",VLOOKUP($C79,Tests!$A$2:$L$841,12,FALSE),VLOOKUP($C79,Questions!$A$3:$N$174,9,FALSE)))</f>
        <v>Y</v>
      </c>
      <c r="F79" s="187" t="str">
        <f>IF($B79 = "Mutant",VLOOKUP($C79,Mutants!$A$2:$L$560,11,FALSE),IF($B79 = "Test",VLOOKUP($C79,Tests!$A$2:$L$841,11,FALSE),VLOOKUP($C79,Questions!$A$3:$N$174,13,FALSE)))</f>
        <v xml:space="preserve">add, getBinaryValues
</v>
      </c>
      <c r="G79" s="187"/>
      <c r="H79" s="202"/>
    </row>
    <row r="80" spans="2:8" ht="12.75">
      <c r="B80" s="114" t="s">
        <v>4590</v>
      </c>
      <c r="C80" s="9">
        <v>751</v>
      </c>
      <c r="D80" s="9" t="s">
        <v>2547</v>
      </c>
      <c r="E80" s="9" t="str">
        <f>IF($B80 = "Mutant",VLOOKUP($C80,Mutants!$A$2:$L$560,12,FALSE),IF($B80 = "Test",VLOOKUP($C80,Tests!$A$2:$L$841,12,FALSE),VLOOKUP($C80,Questions!$A$3:$N$174,9,FALSE)))</f>
        <v>Y</v>
      </c>
      <c r="F80" s="187" t="str">
        <f>IF($B80 = "Mutant",VLOOKUP($C80,Mutants!$A$2:$L$560,11,FALSE),IF($B80 = "Test",VLOOKUP($C80,Tests!$A$2:$L$841,11,FALSE),VLOOKUP($C80,Questions!$A$3:$N$174,13,FALSE)))</f>
        <v xml:space="preserve">add, getFields_2
</v>
      </c>
      <c r="G80" s="187"/>
      <c r="H80" s="202"/>
    </row>
    <row r="81" spans="2:8" ht="12.75">
      <c r="B81" s="114" t="s">
        <v>4590</v>
      </c>
      <c r="C81" s="9">
        <v>770</v>
      </c>
      <c r="D81" s="9" t="s">
        <v>2608</v>
      </c>
      <c r="E81" s="9" t="str">
        <f>IF($B81 = "Mutant",VLOOKUP($C81,Mutants!$A$2:$L$560,12,FALSE),IF($B81 = "Test",VLOOKUP($C81,Tests!$A$2:$L$841,12,FALSE),VLOOKUP($C81,Questions!$A$3:$N$174,9,FALSE)))</f>
        <v>Y</v>
      </c>
      <c r="F81" s="187" t="str">
        <f>IF($B81 = "Mutant",VLOOKUP($C81,Mutants!$A$2:$L$560,11,FALSE),IF($B81 = "Test",VLOOKUP($C81,Tests!$A$2:$L$841,11,FALSE),VLOOKUP($C81,Questions!$A$3:$N$174,13,FALSE)))</f>
        <v xml:space="preserve">add, getFields_1
</v>
      </c>
      <c r="G81" s="187"/>
      <c r="H81" s="202"/>
    </row>
    <row r="82" spans="2:8" ht="12.75">
      <c r="B82" s="114" t="s">
        <v>4590</v>
      </c>
      <c r="C82" s="9">
        <v>784</v>
      </c>
      <c r="D82" s="9" t="s">
        <v>2640</v>
      </c>
      <c r="E82" s="9" t="str">
        <f>IF($B82 = "Mutant",VLOOKUP($C82,Mutants!$A$2:$L$560,12,FALSE),IF($B82 = "Test",VLOOKUP($C82,Tests!$A$2:$L$841,12,FALSE),VLOOKUP($C82,Questions!$A$3:$N$174,9,FALSE)))</f>
        <v>Y</v>
      </c>
      <c r="F82" s="187" t="str">
        <f>IF($B82 = "Mutant",VLOOKUP($C82,Mutants!$A$2:$L$560,11,FALSE),IF($B82 = "Test",VLOOKUP($C82,Tests!$A$2:$L$841,11,FALSE),VLOOKUP($C82,Questions!$A$3:$N$174,13,FALSE)))</f>
        <v xml:space="preserve">add, getFields_1
</v>
      </c>
      <c r="G82" s="187"/>
      <c r="H82" s="202"/>
    </row>
    <row r="83" spans="2:8" ht="12.75">
      <c r="B83" s="114" t="s">
        <v>4590</v>
      </c>
      <c r="C83" s="9">
        <v>801</v>
      </c>
      <c r="D83" s="9" t="s">
        <v>2686</v>
      </c>
      <c r="E83" s="9" t="str">
        <f>IF($B83 = "Mutant",VLOOKUP($C83,Mutants!$A$2:$L$560,12,FALSE),IF($B83 = "Test",VLOOKUP($C83,Tests!$A$2:$L$841,12,FALSE),VLOOKUP($C83,Questions!$A$3:$N$174,9,FALSE)))</f>
        <v>Y</v>
      </c>
      <c r="F83" s="187" t="str">
        <f>IF($B83 = "Mutant",VLOOKUP($C83,Mutants!$A$2:$L$560,11,FALSE),IF($B83 = "Test",VLOOKUP($C83,Tests!$A$2:$L$841,11,FALSE),VLOOKUP($C83,Questions!$A$3:$N$174,13,FALSE)))</f>
        <v xml:space="preserve">add, getValues
</v>
      </c>
      <c r="G83" s="187"/>
      <c r="H83" s="202"/>
    </row>
    <row r="84" spans="2:8" ht="12.75">
      <c r="B84" s="114" t="s">
        <v>4590</v>
      </c>
      <c r="C84" s="9">
        <v>881</v>
      </c>
      <c r="D84" s="9" t="s">
        <v>2918</v>
      </c>
      <c r="E84" s="9" t="str">
        <f>IF($B84 = "Mutant",VLOOKUP($C84,Mutants!$A$2:$L$560,12,FALSE),IF($B84 = "Test",VLOOKUP($C84,Tests!$A$2:$L$841,12,FALSE),VLOOKUP($C84,Questions!$A$3:$N$174,9,FALSE)))</f>
        <v>Y</v>
      </c>
      <c r="F84" s="187" t="str">
        <f>IF($B84 = "Mutant",VLOOKUP($C84,Mutants!$A$2:$L$560,11,FALSE),IF($B84 = "Test",VLOOKUP($C84,Tests!$A$2:$L$841,11,FALSE),VLOOKUP($C84,Questions!$A$3:$N$174,13,FALSE)))</f>
        <v xml:space="preserve">add, toString
</v>
      </c>
      <c r="G84" s="187"/>
      <c r="H84" s="202"/>
    </row>
    <row r="85" spans="2:8" ht="12.75">
      <c r="B85" s="114" t="s">
        <v>4590</v>
      </c>
      <c r="C85" s="9">
        <v>902</v>
      </c>
      <c r="D85" s="9" t="s">
        <v>2976</v>
      </c>
      <c r="E85" s="9" t="str">
        <f>IF($B85 = "Mutant",VLOOKUP($C85,Mutants!$A$2:$L$560,12,FALSE),IF($B85 = "Test",VLOOKUP($C85,Tests!$A$2:$L$841,12,FALSE),VLOOKUP($C85,Questions!$A$3:$N$174,9,FALSE)))</f>
        <v>Y</v>
      </c>
      <c r="F85" s="187" t="str">
        <f>IF($B85 = "Mutant",VLOOKUP($C85,Mutants!$A$2:$L$560,11,FALSE),IF($B85 = "Test",VLOOKUP($C85,Tests!$A$2:$L$841,11,FALSE),VLOOKUP($C85,Questions!$A$3:$N$174,13,FALSE)))</f>
        <v xml:space="preserve">add, get
</v>
      </c>
      <c r="G85" s="187"/>
      <c r="H85" s="202"/>
    </row>
    <row r="86" spans="2:8" ht="12.75">
      <c r="B86" s="133" t="s">
        <v>4590</v>
      </c>
      <c r="C86" s="130">
        <v>917</v>
      </c>
      <c r="D86" s="130" t="s">
        <v>3020</v>
      </c>
      <c r="E86" s="130" t="str">
        <f>IF($B86 = "Mutant",VLOOKUP($C86,Mutants!$A$2:$L$560,12,FALSE),IF($B86 = "Test",VLOOKUP($C86,Tests!$A$2:$L$841,12,FALSE),VLOOKUP($C86,Questions!$A$3:$N$174,9,FALSE)))</f>
        <v>Y</v>
      </c>
      <c r="F86" s="203" t="str">
        <f>IF($B86 = "Mutant",VLOOKUP($C86,Mutants!$A$2:$L$560,11,FALSE),IF($B86 = "Test",VLOOKUP($C86,Tests!$A$2:$L$841,11,FALSE),VLOOKUP($C86,Questions!$A$3:$N$174,13,FALSE)))</f>
        <v xml:space="preserve">add, get
</v>
      </c>
      <c r="G86" s="203"/>
      <c r="H86" s="204"/>
    </row>
    <row r="87" spans="2:8" ht="15.75" customHeight="1">
      <c r="E87" s="9"/>
      <c r="F87" s="187"/>
      <c r="G87" s="187"/>
      <c r="H87" s="187"/>
    </row>
    <row r="88" spans="2:8" ht="15.75" customHeight="1">
      <c r="E88" s="9"/>
      <c r="F88" s="187"/>
      <c r="G88" s="187"/>
      <c r="H88" s="187"/>
    </row>
    <row r="89" spans="2:8" ht="13.5" thickBot="1">
      <c r="B89" s="219" t="s">
        <v>4604</v>
      </c>
      <c r="C89" s="201"/>
      <c r="D89" s="45">
        <v>216</v>
      </c>
      <c r="E89" s="9"/>
      <c r="F89" s="187"/>
      <c r="G89" s="187"/>
      <c r="H89" s="187"/>
    </row>
    <row r="90" spans="2:8" ht="13.5" thickTop="1">
      <c r="B90" s="134" t="s">
        <v>4594</v>
      </c>
      <c r="C90" s="135" t="s">
        <v>44</v>
      </c>
      <c r="D90" s="135" t="s">
        <v>110</v>
      </c>
      <c r="E90" s="136" t="s">
        <v>2</v>
      </c>
      <c r="F90" s="229" t="s">
        <v>4612</v>
      </c>
      <c r="G90" s="229"/>
      <c r="H90" s="230"/>
    </row>
    <row r="91" spans="2:8" ht="12.75">
      <c r="B91" s="137" t="s">
        <v>4589</v>
      </c>
      <c r="C91" s="93">
        <v>426</v>
      </c>
      <c r="D91" s="93" t="s">
        <v>3985</v>
      </c>
      <c r="E91" s="93" t="str">
        <f>IF($B91 = "Mutant",VLOOKUP($C91,Mutants!$A$2:$L$560,12,FALSE),IF($B91 = "Test",VLOOKUP($C91,Tests!$A$2:$L$841,12,FALSE),VLOOKUP($C91,Questions!$A$3:$N$174,9,FALSE)))</f>
        <v>N</v>
      </c>
      <c r="F91" s="205" t="str">
        <f>IF($B91 = "Mutant",VLOOKUP($C91,Mutants!$A$2:$L$560,11,FALSE),IF($B91 = "Test",VLOOKUP($C91,Tests!$A$2:$L$841,11,FALSE),VLOOKUP($C91,Questions!$A$3:$N$174,13,FALSE)))</f>
        <v xml:space="preserve">
</v>
      </c>
      <c r="G91" s="205"/>
      <c r="H91" s="206"/>
    </row>
    <row r="92" spans="2:8" ht="12.75">
      <c r="B92" s="114" t="s">
        <v>4589</v>
      </c>
      <c r="C92" s="9">
        <v>455</v>
      </c>
      <c r="D92" s="9" t="s">
        <v>4063</v>
      </c>
      <c r="E92" s="9" t="str">
        <f>IF($B92 = "Mutant",VLOOKUP($C92,Mutants!$A$2:$L$560,12,FALSE),IF($B92 = "Test",VLOOKUP($C92,Tests!$A$2:$L$841,12,FALSE),VLOOKUP($C92,Questions!$A$3:$N$174,9,FALSE)))</f>
        <v>N</v>
      </c>
      <c r="F92" s="187" t="str">
        <f>IF($B92 = "Mutant",VLOOKUP($C92,Mutants!$A$2:$L$560,11,FALSE),IF($B92 = "Test",VLOOKUP($C92,Tests!$A$2:$L$841,11,FALSE),VLOOKUP($C92,Questions!$A$3:$N$174,13,FALSE)))</f>
        <v xml:space="preserve">
</v>
      </c>
      <c r="G92" s="187"/>
      <c r="H92" s="202"/>
    </row>
    <row r="93" spans="2:8" ht="12.75">
      <c r="B93" s="114" t="s">
        <v>4589</v>
      </c>
      <c r="C93" s="9">
        <v>465</v>
      </c>
      <c r="D93" s="9" t="s">
        <v>4090</v>
      </c>
      <c r="E93" s="9" t="str">
        <f>IF($B93 = "Mutant",VLOOKUP($C93,Mutants!$A$2:$L$560,12,FALSE),IF($B93 = "Test",VLOOKUP($C93,Tests!$A$2:$L$841,12,FALSE),VLOOKUP($C93,Questions!$A$3:$N$174,9,FALSE)))</f>
        <v>Y</v>
      </c>
      <c r="F93" s="187" t="str">
        <f>IF($B93 = "Mutant",VLOOKUP($C93,Mutants!$A$2:$L$560,11,FALSE),IF($B93 = "Test",VLOOKUP($C93,Tests!$A$2:$L$841,11,FALSE),VLOOKUP($C93,Questions!$A$3:$N$174,13,FALSE)))</f>
        <v xml:space="preserve">get
</v>
      </c>
      <c r="G93" s="187"/>
      <c r="H93" s="202"/>
    </row>
    <row r="94" spans="2:8" ht="12.75">
      <c r="B94" s="114" t="s">
        <v>4589</v>
      </c>
      <c r="C94" s="9">
        <v>495</v>
      </c>
      <c r="D94" s="9" t="s">
        <v>1787</v>
      </c>
      <c r="E94" s="9" t="str">
        <f>IF($B94 = "Mutant",VLOOKUP($C94,Mutants!$A$2:$L$560,12,FALSE),IF($B94 = "Test",VLOOKUP($C94,Tests!$A$2:$L$841,12,FALSE),VLOOKUP($C94,Questions!$A$3:$N$174,9,FALSE)))</f>
        <v>N</v>
      </c>
      <c r="F94" s="187" t="str">
        <f>IF($B94 = "Mutant",VLOOKUP($C94,Mutants!$A$2:$L$560,11,FALSE),IF($B94 = "Test",VLOOKUP($C94,Tests!$A$2:$L$841,11,FALSE),VLOOKUP($C94,Questions!$A$3:$N$174,13,FALSE)))</f>
        <v xml:space="preserve">
</v>
      </c>
      <c r="G94" s="187"/>
      <c r="H94" s="202"/>
    </row>
    <row r="95" spans="2:8" ht="12.75">
      <c r="B95" s="114" t="s">
        <v>4589</v>
      </c>
      <c r="C95" s="9">
        <v>500</v>
      </c>
      <c r="D95" s="9" t="s">
        <v>4180</v>
      </c>
      <c r="E95" s="9" t="str">
        <f>IF($B95 = "Mutant",VLOOKUP($C95,Mutants!$A$2:$L$560,12,FALSE),IF($B95 = "Test",VLOOKUP($C95,Tests!$A$2:$L$841,12,FALSE),VLOOKUP($C95,Questions!$A$3:$N$174,9,FALSE)))</f>
        <v>Y</v>
      </c>
      <c r="F95" s="187" t="str">
        <f>IF($B95 = "Mutant",VLOOKUP($C95,Mutants!$A$2:$L$560,11,FALSE),IF($B95 = "Test",VLOOKUP($C95,Tests!$A$2:$L$841,11,FALSE),VLOOKUP($C95,Questions!$A$3:$N$174,13,FALSE)))</f>
        <v xml:space="preserve">getFields_1
</v>
      </c>
      <c r="G95" s="187"/>
      <c r="H95" s="202"/>
    </row>
    <row r="96" spans="2:8" ht="12.75">
      <c r="B96" s="114" t="s">
        <v>4589</v>
      </c>
      <c r="C96" s="9">
        <v>523</v>
      </c>
      <c r="D96" s="9" t="s">
        <v>4238</v>
      </c>
      <c r="E96" s="9" t="str">
        <f>IF($B96 = "Mutant",VLOOKUP($C96,Mutants!$A$2:$L$560,12,FALSE),IF($B96 = "Test",VLOOKUP($C96,Tests!$A$2:$L$841,12,FALSE),VLOOKUP($C96,Questions!$A$3:$N$174,9,FALSE)))</f>
        <v>Y</v>
      </c>
      <c r="F96" s="187" t="str">
        <f>IF($B96 = "Mutant",VLOOKUP($C96,Mutants!$A$2:$L$560,11,FALSE),IF($B96 = "Test",VLOOKUP($C96,Tests!$A$2:$L$841,11,FALSE),VLOOKUP($C96,Questions!$A$3:$N$174,13,FALSE)))</f>
        <v xml:space="preserve">getBinaryValues
</v>
      </c>
      <c r="G96" s="187"/>
      <c r="H96" s="202"/>
    </row>
    <row r="97" spans="2:8" ht="12.75">
      <c r="B97" s="114" t="s">
        <v>4590</v>
      </c>
      <c r="C97" s="9">
        <v>518</v>
      </c>
      <c r="D97" s="9" t="s">
        <v>1898</v>
      </c>
      <c r="E97" s="9" t="str">
        <f>IF($B97 = "Mutant",VLOOKUP($C97,Mutants!$A$2:$L$560,12,FALSE),IF($B97 = "Test",VLOOKUP($C97,Tests!$A$2:$L$841,12,FALSE),VLOOKUP($C97,Questions!$A$3:$N$174,9,FALSE)))</f>
        <v>N</v>
      </c>
      <c r="F97" s="187" t="str">
        <f>IF($B97 = "Mutant",VLOOKUP($C97,Mutants!$A$2:$L$560,11,FALSE),IF($B97 = "Test",VLOOKUP($C97,Tests!$A$2:$L$841,11,FALSE),VLOOKUP($C97,Questions!$A$3:$N$174,13,FALSE)))</f>
        <v xml:space="preserve">
</v>
      </c>
      <c r="G97" s="187"/>
      <c r="H97" s="202"/>
    </row>
    <row r="98" spans="2:8" ht="12.75">
      <c r="B98" s="114" t="s">
        <v>4590</v>
      </c>
      <c r="C98" s="9">
        <v>521</v>
      </c>
      <c r="D98" s="9" t="s">
        <v>1905</v>
      </c>
      <c r="E98" s="9" t="str">
        <f>IF($B98 = "Mutant",VLOOKUP($C98,Mutants!$A$2:$L$560,12,FALSE),IF($B98 = "Test",VLOOKUP($C98,Tests!$A$2:$L$841,12,FALSE),VLOOKUP($C98,Questions!$A$3:$N$174,9,FALSE)))</f>
        <v>N</v>
      </c>
      <c r="F98" s="187" t="str">
        <f>IF($B98 = "Mutant",VLOOKUP($C98,Mutants!$A$2:$L$560,11,FALSE),IF($B98 = "Test",VLOOKUP($C98,Tests!$A$2:$L$841,11,FALSE),VLOOKUP($C98,Questions!$A$3:$N$174,13,FALSE)))</f>
        <v xml:space="preserve">
</v>
      </c>
      <c r="G98" s="187"/>
      <c r="H98" s="202"/>
    </row>
    <row r="99" spans="2:8" ht="12.75">
      <c r="B99" s="114" t="s">
        <v>4590</v>
      </c>
      <c r="C99" s="9">
        <v>531</v>
      </c>
      <c r="D99" s="9" t="s">
        <v>1945</v>
      </c>
      <c r="E99" s="9" t="str">
        <f>IF($B99 = "Mutant",VLOOKUP($C99,Mutants!$A$2:$L$560,12,FALSE),IF($B99 = "Test",VLOOKUP($C99,Tests!$A$2:$L$841,12,FALSE),VLOOKUP($C99,Questions!$A$3:$N$174,9,FALSE)))</f>
        <v>Y</v>
      </c>
      <c r="F99" s="187" t="str">
        <f>IF($B99 = "Mutant",VLOOKUP($C99,Mutants!$A$2:$L$560,11,FALSE),IF($B99 = "Test",VLOOKUP($C99,Tests!$A$2:$L$841,11,FALSE),VLOOKUP($C99,Questions!$A$3:$N$174,13,FALSE)))</f>
        <v xml:space="preserve">toString
</v>
      </c>
      <c r="G99" s="187"/>
      <c r="H99" s="202"/>
    </row>
    <row r="100" spans="2:8" ht="12.75">
      <c r="B100" s="114" t="s">
        <v>4589</v>
      </c>
      <c r="C100" s="9">
        <v>565</v>
      </c>
      <c r="D100" s="9" t="s">
        <v>4346</v>
      </c>
      <c r="E100" s="9" t="str">
        <f>IF($B100 = "Mutant",VLOOKUP($C100,Mutants!$A$2:$L$560,12,FALSE),IF($B100 = "Test",VLOOKUP($C100,Tests!$A$2:$L$841,12,FALSE),VLOOKUP($C100,Questions!$A$3:$N$174,9,FALSE)))</f>
        <v>N</v>
      </c>
      <c r="F100" s="187" t="str">
        <f>IF($B100 = "Mutant",VLOOKUP($C100,Mutants!$A$2:$L$560,11,FALSE),IF($B100 = "Test",VLOOKUP($C100,Tests!$A$2:$L$841,11,FALSE),VLOOKUP($C100,Questions!$A$3:$N$174,13,FALSE)))</f>
        <v xml:space="preserve">
</v>
      </c>
      <c r="G100" s="187"/>
      <c r="H100" s="202"/>
    </row>
    <row r="101" spans="2:8" ht="12.75">
      <c r="B101" s="114" t="s">
        <v>4589</v>
      </c>
      <c r="C101" s="9">
        <v>567</v>
      </c>
      <c r="D101" s="9" t="s">
        <v>4352</v>
      </c>
      <c r="E101" s="9" t="str">
        <f>IF($B101 = "Mutant",VLOOKUP($C101,Mutants!$A$2:$L$560,12,FALSE),IF($B101 = "Test",VLOOKUP($C101,Tests!$A$2:$L$841,12,FALSE),VLOOKUP($C101,Questions!$A$3:$N$174,9,FALSE)))</f>
        <v>Y</v>
      </c>
      <c r="F101" s="187" t="str">
        <f>IF($B101 = "Mutant",VLOOKUP($C101,Mutants!$A$2:$L$560,11,FALSE),IF($B101 = "Test",VLOOKUP($C101,Tests!$A$2:$L$841,11,FALSE),VLOOKUP($C101,Questions!$A$3:$N$174,13,FALSE)))</f>
        <v xml:space="preserve">getValues
</v>
      </c>
      <c r="G101" s="187"/>
      <c r="H101" s="202"/>
    </row>
    <row r="102" spans="2:8" ht="12.75">
      <c r="B102" s="114" t="s">
        <v>4589</v>
      </c>
      <c r="C102" s="9">
        <v>572</v>
      </c>
      <c r="D102" s="9" t="s">
        <v>2115</v>
      </c>
      <c r="E102" s="9" t="str">
        <f>IF($B102 = "Mutant",VLOOKUP($C102,Mutants!$A$2:$L$560,12,FALSE),IF($B102 = "Test",VLOOKUP($C102,Tests!$A$2:$L$841,12,FALSE),VLOOKUP($C102,Questions!$A$3:$N$174,9,FALSE)))</f>
        <v>Y</v>
      </c>
      <c r="F102" s="187" t="str">
        <f>IF($B102 = "Mutant",VLOOKUP($C102,Mutants!$A$2:$L$560,11,FALSE),IF($B102 = "Test",VLOOKUP($C102,Tests!$A$2:$L$841,11,FALSE),VLOOKUP($C102,Questions!$A$3:$N$174,13,FALSE)))</f>
        <v xml:space="preserve">getValues
</v>
      </c>
      <c r="G102" s="187"/>
      <c r="H102" s="202"/>
    </row>
    <row r="103" spans="2:8" ht="12.75">
      <c r="B103" s="114" t="s">
        <v>4590</v>
      </c>
      <c r="C103" s="9">
        <v>619</v>
      </c>
      <c r="D103" s="9" t="s">
        <v>2192</v>
      </c>
      <c r="E103" s="9" t="str">
        <f>IF($B103 = "Mutant",VLOOKUP($C103,Mutants!$A$2:$L$560,12,FALSE),IF($B103 = "Test",VLOOKUP($C103,Tests!$A$2:$L$841,12,FALSE),VLOOKUP($C103,Questions!$A$3:$N$174,9,FALSE)))</f>
        <v>Y</v>
      </c>
      <c r="F103" s="187" t="str">
        <f>IF($B103 = "Mutant",VLOOKUP($C103,Mutants!$A$2:$L$560,11,FALSE),IF($B103 = "Test",VLOOKUP($C103,Tests!$A$2:$L$841,11,FALSE),VLOOKUP($C103,Questions!$A$3:$N$174,13,FALSE)))</f>
        <v xml:space="preserve">get
</v>
      </c>
      <c r="G103" s="187"/>
      <c r="H103" s="202"/>
    </row>
    <row r="104" spans="2:8" ht="12.75">
      <c r="B104" s="114" t="s">
        <v>4590</v>
      </c>
      <c r="C104" s="9">
        <v>652</v>
      </c>
      <c r="D104" s="9" t="s">
        <v>2287</v>
      </c>
      <c r="E104" s="9" t="str">
        <f>IF($B104 = "Mutant",VLOOKUP($C104,Mutants!$A$2:$L$560,12,FALSE),IF($B104 = "Test",VLOOKUP($C104,Tests!$A$2:$L$841,12,FALSE),VLOOKUP($C104,Questions!$A$3:$N$174,9,FALSE)))</f>
        <v>Y</v>
      </c>
      <c r="F104" s="187" t="str">
        <f>IF($B104 = "Mutant",VLOOKUP($C104,Mutants!$A$2:$L$560,11,FALSE),IF($B104 = "Test",VLOOKUP($C104,Tests!$A$2:$L$841,11,FALSE),VLOOKUP($C104,Questions!$A$3:$N$174,13,FALSE)))</f>
        <v xml:space="preserve">getFields_2
</v>
      </c>
      <c r="G104" s="187"/>
      <c r="H104" s="202"/>
    </row>
    <row r="105" spans="2:8" ht="12.75">
      <c r="B105" s="114" t="s">
        <v>4590</v>
      </c>
      <c r="C105" s="9">
        <v>733</v>
      </c>
      <c r="D105" s="9" t="s">
        <v>2504</v>
      </c>
      <c r="E105" s="9" t="str">
        <f>IF($B105 = "Mutant",VLOOKUP($C105,Mutants!$A$2:$L$560,12,FALSE),IF($B105 = "Test",VLOOKUP($C105,Tests!$A$2:$L$841,12,FALSE),VLOOKUP($C105,Questions!$A$3:$N$174,9,FALSE)))</f>
        <v>N</v>
      </c>
      <c r="F105" s="187" t="str">
        <f>IF($B105 = "Mutant",VLOOKUP($C105,Mutants!$A$2:$L$560,11,FALSE),IF($B105 = "Test",VLOOKUP($C105,Tests!$A$2:$L$841,11,FALSE),VLOOKUP($C105,Questions!$A$3:$N$174,13,FALSE)))</f>
        <v xml:space="preserve">
</v>
      </c>
      <c r="G105" s="187"/>
      <c r="H105" s="202"/>
    </row>
    <row r="106" spans="2:8" ht="12.75">
      <c r="B106" s="114" t="s">
        <v>4590</v>
      </c>
      <c r="C106" s="9">
        <v>735</v>
      </c>
      <c r="D106" s="9" t="s">
        <v>2508</v>
      </c>
      <c r="E106" s="9" t="str">
        <f>IF($B106 = "Mutant",VLOOKUP($C106,Mutants!$A$2:$L$560,12,FALSE),IF($B106 = "Test",VLOOKUP($C106,Tests!$A$2:$L$841,12,FALSE),VLOOKUP($C106,Questions!$A$3:$N$174,9,FALSE)))</f>
        <v>N</v>
      </c>
      <c r="F106" s="187" t="str">
        <f>IF($B106 = "Mutant",VLOOKUP($C106,Mutants!$A$2:$L$560,11,FALSE),IF($B106 = "Test",VLOOKUP($C106,Tests!$A$2:$L$841,11,FALSE),VLOOKUP($C106,Questions!$A$3:$N$174,13,FALSE)))</f>
        <v xml:space="preserve">
</v>
      </c>
      <c r="G106" s="187"/>
      <c r="H106" s="202"/>
    </row>
    <row r="107" spans="2:8" ht="12.75">
      <c r="B107" s="114" t="s">
        <v>4590</v>
      </c>
      <c r="C107" s="9">
        <v>767</v>
      </c>
      <c r="D107" s="9" t="s">
        <v>2600</v>
      </c>
      <c r="E107" s="9" t="str">
        <f>IF($B107 = "Mutant",VLOOKUP($C107,Mutants!$A$2:$L$560,12,FALSE),IF($B107 = "Test",VLOOKUP($C107,Tests!$A$2:$L$841,12,FALSE),VLOOKUP($C107,Questions!$A$3:$N$174,9,FALSE)))</f>
        <v>N</v>
      </c>
      <c r="F107" s="187" t="str">
        <f>IF($B107 = "Mutant",VLOOKUP($C107,Mutants!$A$2:$L$560,11,FALSE),IF($B107 = "Test",VLOOKUP($C107,Tests!$A$2:$L$841,11,FALSE),VLOOKUP($C107,Questions!$A$3:$N$174,13,FALSE)))</f>
        <v xml:space="preserve">
</v>
      </c>
      <c r="G107" s="187"/>
      <c r="H107" s="202"/>
    </row>
    <row r="108" spans="2:8" ht="12.75">
      <c r="B108" s="114" t="s">
        <v>4590</v>
      </c>
      <c r="C108" s="9">
        <v>768</v>
      </c>
      <c r="D108" s="9" t="s">
        <v>2602</v>
      </c>
      <c r="E108" s="9" t="str">
        <f>IF($B108 = "Mutant",VLOOKUP($C108,Mutants!$A$2:$L$560,12,FALSE),IF($B108 = "Test",VLOOKUP($C108,Tests!$A$2:$L$841,12,FALSE),VLOOKUP($C108,Questions!$A$3:$N$174,9,FALSE)))</f>
        <v>N</v>
      </c>
      <c r="F108" s="187" t="str">
        <f>IF($B108 = "Mutant",VLOOKUP($C108,Mutants!$A$2:$L$560,11,FALSE),IF($B108 = "Test",VLOOKUP($C108,Tests!$A$2:$L$841,11,FALSE),VLOOKUP($C108,Questions!$A$3:$N$174,13,FALSE)))</f>
        <v xml:space="preserve">
</v>
      </c>
      <c r="G108" s="187"/>
      <c r="H108" s="202"/>
    </row>
    <row r="109" spans="2:8" ht="12.75">
      <c r="B109" s="114" t="s">
        <v>4590</v>
      </c>
      <c r="C109" s="9">
        <v>772</v>
      </c>
      <c r="D109" s="9" t="s">
        <v>2610</v>
      </c>
      <c r="E109" s="9" t="str">
        <f>IF($B109 = "Mutant",VLOOKUP($C109,Mutants!$A$2:$L$560,12,FALSE),IF($B109 = "Test",VLOOKUP($C109,Tests!$A$2:$L$841,12,FALSE),VLOOKUP($C109,Questions!$A$3:$N$174,9,FALSE)))</f>
        <v>N</v>
      </c>
      <c r="F109" s="187" t="str">
        <f>IF($B109 = "Mutant",VLOOKUP($C109,Mutants!$A$2:$L$560,11,FALSE),IF($B109 = "Test",VLOOKUP($C109,Tests!$A$2:$L$841,11,FALSE),VLOOKUP($C109,Questions!$A$3:$N$174,13,FALSE)))</f>
        <v xml:space="preserve">
</v>
      </c>
      <c r="G109" s="187"/>
      <c r="H109" s="202"/>
    </row>
    <row r="110" spans="2:8" ht="12.75">
      <c r="B110" s="114" t="s">
        <v>4590</v>
      </c>
      <c r="C110" s="9">
        <v>790</v>
      </c>
      <c r="D110" s="9" t="s">
        <v>2659</v>
      </c>
      <c r="E110" s="9" t="str">
        <f>IF($B110 = "Mutant",VLOOKUP($C110,Mutants!$A$2:$L$560,12,FALSE),IF($B110 = "Test",VLOOKUP($C110,Tests!$A$2:$L$841,12,FALSE),VLOOKUP($C110,Questions!$A$3:$N$174,9,FALSE)))</f>
        <v>N</v>
      </c>
      <c r="F110" s="187" t="str">
        <f>IF($B110 = "Mutant",VLOOKUP($C110,Mutants!$A$2:$L$560,11,FALSE),IF($B110 = "Test",VLOOKUP($C110,Tests!$A$2:$L$841,11,FALSE),VLOOKUP($C110,Questions!$A$3:$N$174,13,FALSE)))</f>
        <v xml:space="preserve">
</v>
      </c>
      <c r="G110" s="187"/>
      <c r="H110" s="202"/>
    </row>
    <row r="111" spans="2:8" ht="12.75">
      <c r="B111" s="114" t="s">
        <v>4590</v>
      </c>
      <c r="C111" s="9">
        <v>832</v>
      </c>
      <c r="D111" s="9" t="s">
        <v>2767</v>
      </c>
      <c r="E111" s="9" t="str">
        <f>IF($B111 = "Mutant",VLOOKUP($C111,Mutants!$A$2:$L$560,12,FALSE),IF($B111 = "Test",VLOOKUP($C111,Tests!$A$2:$L$841,12,FALSE),VLOOKUP($C111,Questions!$A$3:$N$174,9,FALSE)))</f>
        <v>N</v>
      </c>
      <c r="F111" s="187" t="str">
        <f>IF($B111 = "Mutant",VLOOKUP($C111,Mutants!$A$2:$L$560,11,FALSE),IF($B111 = "Test",VLOOKUP($C111,Tests!$A$2:$L$841,11,FALSE),VLOOKUP($C111,Questions!$A$3:$N$174,13,FALSE)))</f>
        <v xml:space="preserve">
</v>
      </c>
      <c r="G111" s="187"/>
      <c r="H111" s="202"/>
    </row>
    <row r="112" spans="2:8" ht="12.75">
      <c r="B112" s="114" t="s">
        <v>4590</v>
      </c>
      <c r="C112" s="9">
        <v>839</v>
      </c>
      <c r="D112" s="9" t="s">
        <v>2785</v>
      </c>
      <c r="E112" s="9" t="str">
        <f>IF($B112 = "Mutant",VLOOKUP($C112,Mutants!$A$2:$L$560,12,FALSE),IF($B112 = "Test",VLOOKUP($C112,Tests!$A$2:$L$841,12,FALSE),VLOOKUP($C112,Questions!$A$3:$N$174,9,FALSE)))</f>
        <v>N</v>
      </c>
      <c r="F112" s="187" t="str">
        <f>IF($B112 = "Mutant",VLOOKUP($C112,Mutants!$A$2:$L$560,11,FALSE),IF($B112 = "Test",VLOOKUP($C112,Tests!$A$2:$L$841,11,FALSE),VLOOKUP($C112,Questions!$A$3:$N$174,13,FALSE)))</f>
        <v xml:space="preserve">
</v>
      </c>
      <c r="G112" s="187"/>
      <c r="H112" s="202"/>
    </row>
    <row r="113" spans="2:8" ht="12.75">
      <c r="B113" s="114" t="s">
        <v>4590</v>
      </c>
      <c r="C113" s="9">
        <v>842</v>
      </c>
      <c r="D113" s="9" t="s">
        <v>2793</v>
      </c>
      <c r="E113" s="9" t="str">
        <f>IF($B113 = "Mutant",VLOOKUP($C113,Mutants!$A$2:$L$560,12,FALSE),IF($B113 = "Test",VLOOKUP($C113,Tests!$A$2:$L$841,12,FALSE),VLOOKUP($C113,Questions!$A$3:$N$174,9,FALSE)))</f>
        <v>Y</v>
      </c>
      <c r="F113" s="187" t="str">
        <f>IF($B113 = "Mutant",VLOOKUP($C113,Mutants!$A$2:$L$560,11,FALSE),IF($B113 = "Test",VLOOKUP($C113,Tests!$A$2:$L$841,11,FALSE),VLOOKUP($C113,Questions!$A$3:$N$174,13,FALSE)))</f>
        <v xml:space="preserve">add, toString
</v>
      </c>
      <c r="G113" s="187"/>
      <c r="H113" s="202"/>
    </row>
    <row r="114" spans="2:8" ht="12.75">
      <c r="B114" s="114" t="s">
        <v>4589</v>
      </c>
      <c r="C114" s="9">
        <v>638</v>
      </c>
      <c r="D114" s="9" t="s">
        <v>4533</v>
      </c>
      <c r="E114" s="9" t="str">
        <f>IF($B114 = "Mutant",VLOOKUP($C114,Mutants!$A$2:$L$560,12,FALSE),IF($B114 = "Test",VLOOKUP($C114,Tests!$A$2:$L$841,12,FALSE),VLOOKUP($C114,Questions!$A$3:$N$174,9,FALSE)))</f>
        <v>Y</v>
      </c>
      <c r="F114" s="187" t="str">
        <f>IF($B114 = "Mutant",VLOOKUP($C114,Mutants!$A$2:$L$560,11,FALSE),IF($B114 = "Test",VLOOKUP($C114,Tests!$A$2:$L$841,11,FALSE),VLOOKUP($C114,Questions!$A$3:$N$174,13,FALSE)))</f>
        <v xml:space="preserve">getField
</v>
      </c>
      <c r="G114" s="187"/>
      <c r="H114" s="202"/>
    </row>
    <row r="115" spans="2:8" ht="12.75">
      <c r="B115" s="114" t="s">
        <v>4590</v>
      </c>
      <c r="C115" s="9">
        <v>905</v>
      </c>
      <c r="D115" s="9" t="s">
        <v>2985</v>
      </c>
      <c r="E115" s="9" t="str">
        <f>IF($B115 = "Mutant",VLOOKUP($C115,Mutants!$A$2:$L$560,12,FALSE),IF($B115 = "Test",VLOOKUP($C115,Tests!$A$2:$L$841,12,FALSE),VLOOKUP($C115,Questions!$A$3:$N$174,9,FALSE)))</f>
        <v>Y</v>
      </c>
      <c r="F115" s="187" t="str">
        <f>IF($B115 = "Mutant",VLOOKUP($C115,Mutants!$A$2:$L$560,11,FALSE),IF($B115 = "Test",VLOOKUP($C115,Tests!$A$2:$L$841,11,FALSE),VLOOKUP($C115,Questions!$A$3:$N$174,13,FALSE)))</f>
        <v xml:space="preserve">add, removeFields
</v>
      </c>
      <c r="G115" s="187"/>
      <c r="H115" s="202"/>
    </row>
    <row r="116" spans="2:8" ht="12.75">
      <c r="B116" s="114" t="s">
        <v>4590</v>
      </c>
      <c r="C116" s="9">
        <v>919</v>
      </c>
      <c r="D116" s="9" t="s">
        <v>3025</v>
      </c>
      <c r="E116" s="9" t="str">
        <f>IF($B116 = "Mutant",VLOOKUP($C116,Mutants!$A$2:$L$560,12,FALSE),IF($B116 = "Test",VLOOKUP($C116,Tests!$A$2:$L$841,12,FALSE),VLOOKUP($C116,Questions!$A$3:$N$174,9,FALSE)))</f>
        <v>Y</v>
      </c>
      <c r="F116" s="187" t="str">
        <f>IF($B116 = "Mutant",VLOOKUP($C116,Mutants!$A$2:$L$560,11,FALSE),IF($B116 = "Test",VLOOKUP($C116,Tests!$A$2:$L$841,11,FALSE),VLOOKUP($C116,Questions!$A$3:$N$174,13,FALSE)))</f>
        <v xml:space="preserve">add, toString, clear
</v>
      </c>
      <c r="G116" s="187"/>
      <c r="H116" s="202"/>
    </row>
    <row r="117" spans="2:8" ht="12.75">
      <c r="B117" s="133" t="s">
        <v>4590</v>
      </c>
      <c r="C117" s="130">
        <v>927</v>
      </c>
      <c r="D117" s="130" t="s">
        <v>3045</v>
      </c>
      <c r="E117" s="130" t="str">
        <f>IF($B117 = "Mutant",VLOOKUP($C117,Mutants!$A$2:$L$560,12,FALSE),IF($B117 = "Test",VLOOKUP($C117,Tests!$A$2:$L$841,12,FALSE),VLOOKUP($C117,Questions!$A$3:$N$174,9,FALSE)))</f>
        <v>Y</v>
      </c>
      <c r="F117" s="203" t="str">
        <f>IF($B117 = "Mutant",VLOOKUP($C117,Mutants!$A$2:$L$560,11,FALSE),IF($B117 = "Test",VLOOKUP($C117,Tests!$A$2:$L$841,11,FALSE),VLOOKUP($C117,Questions!$A$3:$N$174,13,FALSE)))</f>
        <v xml:space="preserve">add, removeFields
</v>
      </c>
      <c r="G117" s="203"/>
      <c r="H117" s="204"/>
    </row>
    <row r="118" spans="2:8" ht="15.75" customHeight="1">
      <c r="E118" s="9"/>
      <c r="F118" s="187"/>
      <c r="G118" s="187"/>
      <c r="H118" s="187"/>
    </row>
    <row r="119" spans="2:8" ht="15.75" customHeight="1">
      <c r="E119" s="9"/>
      <c r="F119" s="187"/>
      <c r="G119" s="187"/>
      <c r="H119" s="187"/>
    </row>
    <row r="120" spans="2:8" ht="13.5" thickBot="1">
      <c r="B120" s="219" t="s">
        <v>4604</v>
      </c>
      <c r="C120" s="201"/>
      <c r="D120" s="45">
        <v>217</v>
      </c>
      <c r="E120" s="9"/>
      <c r="F120" s="187"/>
      <c r="G120" s="187"/>
      <c r="H120" s="187"/>
    </row>
    <row r="121" spans="2:8" ht="13.5" thickTop="1">
      <c r="B121" s="134" t="s">
        <v>4594</v>
      </c>
      <c r="C121" s="135" t="s">
        <v>44</v>
      </c>
      <c r="D121" s="135" t="s">
        <v>110</v>
      </c>
      <c r="E121" s="136" t="s">
        <v>2</v>
      </c>
      <c r="F121" s="229" t="s">
        <v>4612</v>
      </c>
      <c r="G121" s="229"/>
      <c r="H121" s="230"/>
    </row>
    <row r="122" spans="2:8" ht="12.75">
      <c r="B122" s="137" t="s">
        <v>4589</v>
      </c>
      <c r="C122" s="93">
        <v>400</v>
      </c>
      <c r="D122" s="93" t="s">
        <v>3920</v>
      </c>
      <c r="E122" s="93" t="str">
        <f>IF($B122 = "Mutant",VLOOKUP($C122,Mutants!$A$2:$L$560,12,FALSE),IF($B122 = "Test",VLOOKUP($C122,Tests!$A$2:$L$841,12,FALSE),VLOOKUP($C122,Questions!$A$3:$N$174,9,FALSE)))</f>
        <v>Y</v>
      </c>
      <c r="F122" s="205" t="str">
        <f>IF($B122 = "Mutant",VLOOKUP($C122,Mutants!$A$2:$L$560,11,FALSE),IF($B122 = "Test",VLOOKUP($C122,Tests!$A$2:$L$841,11,FALSE),VLOOKUP($C122,Questions!$A$3:$N$174,13,FALSE)))</f>
        <v xml:space="preserve">add
</v>
      </c>
      <c r="G122" s="205"/>
      <c r="H122" s="206"/>
    </row>
    <row r="123" spans="2:8" ht="12.75">
      <c r="B123" s="114" t="s">
        <v>4589</v>
      </c>
      <c r="C123" s="9">
        <v>466</v>
      </c>
      <c r="D123" s="9" t="s">
        <v>4090</v>
      </c>
      <c r="E123" s="9" t="str">
        <f>IF($B123 = "Mutant",VLOOKUP($C123,Mutants!$A$2:$L$560,12,FALSE),IF($B123 = "Test",VLOOKUP($C123,Tests!$A$2:$L$841,12,FALSE),VLOOKUP($C123,Questions!$A$3:$N$174,9,FALSE)))</f>
        <v>Y</v>
      </c>
      <c r="F123" s="187" t="str">
        <f>IF($B123 = "Mutant",VLOOKUP($C123,Mutants!$A$2:$L$560,11,FALSE),IF($B123 = "Test",VLOOKUP($C123,Tests!$A$2:$L$841,11,FALSE),VLOOKUP($C123,Questions!$A$3:$N$174,13,FALSE)))</f>
        <v xml:space="preserve">getBinaryValues
</v>
      </c>
      <c r="G123" s="187"/>
      <c r="H123" s="202"/>
    </row>
    <row r="124" spans="2:8" ht="12.75">
      <c r="B124" s="114" t="s">
        <v>4589</v>
      </c>
      <c r="C124" s="9">
        <v>478</v>
      </c>
      <c r="D124" s="9" t="s">
        <v>4123</v>
      </c>
      <c r="E124" s="9" t="str">
        <f>IF($B124 = "Mutant",VLOOKUP($C124,Mutants!$A$2:$L$560,12,FALSE),IF($B124 = "Test",VLOOKUP($C124,Tests!$A$2:$L$841,12,FALSE),VLOOKUP($C124,Questions!$A$3:$N$174,9,FALSE)))</f>
        <v>Y</v>
      </c>
      <c r="F124" s="187" t="str">
        <f>IF($B124 = "Mutant",VLOOKUP($C124,Mutants!$A$2:$L$560,11,FALSE),IF($B124 = "Test",VLOOKUP($C124,Tests!$A$2:$L$841,11,FALSE),VLOOKUP($C124,Questions!$A$3:$N$174,13,FALSE)))</f>
        <v xml:space="preserve">getBinaryValues
</v>
      </c>
      <c r="G124" s="187"/>
      <c r="H124" s="202"/>
    </row>
    <row r="125" spans="2:8" ht="12.75">
      <c r="B125" s="114" t="s">
        <v>4589</v>
      </c>
      <c r="C125" s="9">
        <v>508</v>
      </c>
      <c r="D125" s="9" t="s">
        <v>664</v>
      </c>
      <c r="E125" s="9" t="str">
        <f>IF($B125 = "Mutant",VLOOKUP($C125,Mutants!$A$2:$L$560,12,FALSE),IF($B125 = "Test",VLOOKUP($C125,Tests!$A$2:$L$841,12,FALSE),VLOOKUP($C125,Questions!$A$3:$N$174,9,FALSE)))</f>
        <v>Y</v>
      </c>
      <c r="F125" s="187" t="str">
        <f>IF($B125 = "Mutant",VLOOKUP($C125,Mutants!$A$2:$L$560,11,FALSE),IF($B125 = "Test",VLOOKUP($C125,Tests!$A$2:$L$841,11,FALSE),VLOOKUP($C125,Questions!$A$3:$N$174,13,FALSE)))</f>
        <v xml:space="preserve">getValues
</v>
      </c>
      <c r="G125" s="187"/>
      <c r="H125" s="202"/>
    </row>
    <row r="126" spans="2:8" ht="12.75">
      <c r="B126" s="114" t="s">
        <v>4589</v>
      </c>
      <c r="C126" s="9">
        <v>512</v>
      </c>
      <c r="D126" s="9" t="s">
        <v>4212</v>
      </c>
      <c r="E126" s="9" t="str">
        <f>IF($B126 = "Mutant",VLOOKUP($C126,Mutants!$A$2:$L$560,12,FALSE),IF($B126 = "Test",VLOOKUP($C126,Tests!$A$2:$L$841,12,FALSE),VLOOKUP($C126,Questions!$A$3:$N$174,9,FALSE)))</f>
        <v>Y</v>
      </c>
      <c r="F126" s="187" t="str">
        <f>IF($B126 = "Mutant",VLOOKUP($C126,Mutants!$A$2:$L$560,11,FALSE),IF($B126 = "Test",VLOOKUP($C126,Tests!$A$2:$L$841,11,FALSE),VLOOKUP($C126,Questions!$A$3:$N$174,13,FALSE)))</f>
        <v xml:space="preserve">getValues
</v>
      </c>
      <c r="G126" s="187"/>
      <c r="H126" s="202"/>
    </row>
    <row r="127" spans="2:8" ht="12.75">
      <c r="B127" s="114" t="s">
        <v>4589</v>
      </c>
      <c r="C127" s="9">
        <v>531</v>
      </c>
      <c r="D127" s="9" t="s">
        <v>1829</v>
      </c>
      <c r="E127" s="9" t="str">
        <f>IF($B127 = "Mutant",VLOOKUP($C127,Mutants!$A$2:$L$560,12,FALSE),IF($B127 = "Test",VLOOKUP($C127,Tests!$A$2:$L$841,12,FALSE),VLOOKUP($C127,Questions!$A$3:$N$174,9,FALSE)))</f>
        <v>Y</v>
      </c>
      <c r="F127" s="187" t="str">
        <f>IF($B127 = "Mutant",VLOOKUP($C127,Mutants!$A$2:$L$560,11,FALSE),IF($B127 = "Test",VLOOKUP($C127,Tests!$A$2:$L$841,11,FALSE),VLOOKUP($C127,Questions!$A$3:$N$174,13,FALSE)))</f>
        <v xml:space="preserve">clear
</v>
      </c>
      <c r="G127" s="187"/>
      <c r="H127" s="202"/>
    </row>
    <row r="128" spans="2:8" ht="12.75">
      <c r="B128" s="114" t="s">
        <v>4589</v>
      </c>
      <c r="C128" s="9">
        <v>603</v>
      </c>
      <c r="D128" s="9" t="s">
        <v>680</v>
      </c>
      <c r="E128" s="9" t="str">
        <f>IF($B128 = "Mutant",VLOOKUP($C128,Mutants!$A$2:$L$560,12,FALSE),IF($B128 = "Test",VLOOKUP($C128,Tests!$A$2:$L$841,12,FALSE),VLOOKUP($C128,Questions!$A$3:$N$174,9,FALSE)))</f>
        <v>Y</v>
      </c>
      <c r="F128" s="187" t="str">
        <f>IF($B128 = "Mutant",VLOOKUP($C128,Mutants!$A$2:$L$560,11,FALSE),IF($B128 = "Test",VLOOKUP($C128,Tests!$A$2:$L$841,11,FALSE),VLOOKUP($C128,Questions!$A$3:$N$174,13,FALSE)))</f>
        <v xml:space="preserve">getBinaryValues, getValues
</v>
      </c>
      <c r="G128" s="187"/>
      <c r="H128" s="202"/>
    </row>
    <row r="129" spans="2:8" ht="12.75">
      <c r="B129" s="114" t="s">
        <v>4589</v>
      </c>
      <c r="C129" s="9">
        <v>605</v>
      </c>
      <c r="D129" s="9" t="s">
        <v>4450</v>
      </c>
      <c r="E129" s="9" t="str">
        <f>IF($B129 = "Mutant",VLOOKUP($C129,Mutants!$A$2:$L$560,12,FALSE),IF($B129 = "Test",VLOOKUP($C129,Tests!$A$2:$L$841,12,FALSE),VLOOKUP($C129,Questions!$A$3:$N$174,9,FALSE)))</f>
        <v>Y</v>
      </c>
      <c r="F129" s="187" t="str">
        <f>IF($B129 = "Mutant",VLOOKUP($C129,Mutants!$A$2:$L$560,11,FALSE),IF($B129 = "Test",VLOOKUP($C129,Tests!$A$2:$L$841,11,FALSE),VLOOKUP($C129,Questions!$A$3:$N$174,13,FALSE)))</f>
        <v xml:space="preserve">getBinaryValue
</v>
      </c>
      <c r="G129" s="187"/>
      <c r="H129" s="202"/>
    </row>
    <row r="130" spans="2:8" ht="12.75">
      <c r="B130" s="114" t="s">
        <v>4589</v>
      </c>
      <c r="C130" s="9">
        <v>609</v>
      </c>
      <c r="D130" s="9" t="s">
        <v>2581</v>
      </c>
      <c r="E130" s="9" t="str">
        <f>IF($B130 = "Mutant",VLOOKUP($C130,Mutants!$A$2:$L$560,12,FALSE),IF($B130 = "Test",VLOOKUP($C130,Tests!$A$2:$L$841,12,FALSE),VLOOKUP($C130,Questions!$A$3:$N$174,9,FALSE)))</f>
        <v>Y</v>
      </c>
      <c r="F130" s="187" t="str">
        <f>IF($B130 = "Mutant",VLOOKUP($C130,Mutants!$A$2:$L$560,11,FALSE),IF($B130 = "Test",VLOOKUP($C130,Tests!$A$2:$L$841,11,FALSE),VLOOKUP($C130,Questions!$A$3:$N$174,13,FALSE)))</f>
        <v xml:space="preserve">get
</v>
      </c>
      <c r="G130" s="187"/>
      <c r="H130" s="202"/>
    </row>
    <row r="131" spans="2:8" ht="12.75">
      <c r="B131" s="114" t="s">
        <v>4589</v>
      </c>
      <c r="C131" s="9">
        <v>625</v>
      </c>
      <c r="D131" s="9" t="s">
        <v>4500</v>
      </c>
      <c r="E131" s="9" t="str">
        <f>IF($B131 = "Mutant",VLOOKUP($C131,Mutants!$A$2:$L$560,12,FALSE),IF($B131 = "Test",VLOOKUP($C131,Tests!$A$2:$L$841,12,FALSE),VLOOKUP($C131,Questions!$A$3:$N$174,9,FALSE)))</f>
        <v>Y</v>
      </c>
      <c r="F131" s="187" t="str">
        <f>IF($B131 = "Mutant",VLOOKUP($C131,Mutants!$A$2:$L$560,11,FALSE),IF($B131 = "Test",VLOOKUP($C131,Tests!$A$2:$L$841,11,FALSE),VLOOKUP($C131,Questions!$A$3:$N$174,13,FALSE)))</f>
        <v xml:space="preserve">getValues
</v>
      </c>
      <c r="G131" s="187"/>
      <c r="H131" s="202"/>
    </row>
    <row r="132" spans="2:8" ht="12.75">
      <c r="B132" s="114" t="s">
        <v>4589</v>
      </c>
      <c r="C132" s="9">
        <v>628</v>
      </c>
      <c r="D132" s="9" t="s">
        <v>2735</v>
      </c>
      <c r="E132" s="9" t="str">
        <f>IF($B132 = "Mutant",VLOOKUP($C132,Mutants!$A$2:$L$560,12,FALSE),IF($B132 = "Test",VLOOKUP($C132,Tests!$A$2:$L$841,12,FALSE),VLOOKUP($C132,Questions!$A$3:$N$174,9,FALSE)))</f>
        <v>Y</v>
      </c>
      <c r="F132" s="187" t="str">
        <f>IF($B132 = "Mutant",VLOOKUP($C132,Mutants!$A$2:$L$560,11,FALSE),IF($B132 = "Test",VLOOKUP($C132,Tests!$A$2:$L$841,11,FALSE),VLOOKUP($C132,Questions!$A$3:$N$174,13,FALSE)))</f>
        <v xml:space="preserve">get
</v>
      </c>
      <c r="G132" s="187"/>
      <c r="H132" s="202"/>
    </row>
    <row r="133" spans="2:8" ht="12.75">
      <c r="B133" s="114" t="s">
        <v>4590</v>
      </c>
      <c r="C133" s="9">
        <v>852</v>
      </c>
      <c r="D133" s="9" t="s">
        <v>2825</v>
      </c>
      <c r="E133" s="9" t="str">
        <f>IF($B133 = "Mutant",VLOOKUP($C133,Mutants!$A$2:$L$560,12,FALSE),IF($B133 = "Test",VLOOKUP($C133,Tests!$A$2:$L$841,12,FALSE),VLOOKUP($C133,Questions!$A$3:$N$174,9,FALSE)))</f>
        <v>Y</v>
      </c>
      <c r="F133" s="187" t="str">
        <f>IF($B133 = "Mutant",VLOOKUP($C133,Mutants!$A$2:$L$560,11,FALSE),IF($B133 = "Test",VLOOKUP($C133,Tests!$A$2:$L$841,11,FALSE),VLOOKUP($C133,Questions!$A$3:$N$174,13,FALSE)))</f>
        <v xml:space="preserve">toString
</v>
      </c>
      <c r="G133" s="187"/>
      <c r="H133" s="202"/>
    </row>
    <row r="134" spans="2:8" ht="12.75">
      <c r="B134" s="114" t="s">
        <v>4590</v>
      </c>
      <c r="C134" s="9">
        <v>855</v>
      </c>
      <c r="D134" s="9" t="s">
        <v>2832</v>
      </c>
      <c r="E134" s="9" t="str">
        <f>IF($B134 = "Mutant",VLOOKUP($C134,Mutants!$A$2:$L$560,12,FALSE),IF($B134 = "Test",VLOOKUP($C134,Tests!$A$2:$L$841,12,FALSE),VLOOKUP($C134,Questions!$A$3:$N$174,9,FALSE)))</f>
        <v>Y</v>
      </c>
      <c r="F134" s="187" t="str">
        <f>IF($B134 = "Mutant",VLOOKUP($C134,Mutants!$A$2:$L$560,11,FALSE),IF($B134 = "Test",VLOOKUP($C134,Tests!$A$2:$L$841,11,FALSE),VLOOKUP($C134,Questions!$A$3:$N$174,13,FALSE)))</f>
        <v xml:space="preserve">toString
</v>
      </c>
      <c r="G134" s="187"/>
      <c r="H134" s="202"/>
    </row>
    <row r="135" spans="2:8" ht="12.75">
      <c r="B135" s="114" t="s">
        <v>4590</v>
      </c>
      <c r="C135" s="9">
        <v>885</v>
      </c>
      <c r="D135" s="9" t="s">
        <v>2925</v>
      </c>
      <c r="E135" s="9" t="str">
        <f>IF($B135 = "Mutant",VLOOKUP($C135,Mutants!$A$2:$L$560,12,FALSE),IF($B135 = "Test",VLOOKUP($C135,Tests!$A$2:$L$841,12,FALSE),VLOOKUP($C135,Questions!$A$3:$N$174,9,FALSE)))</f>
        <v>N</v>
      </c>
      <c r="F135" s="187" t="str">
        <f>IF($B135 = "Mutant",VLOOKUP($C135,Mutants!$A$2:$L$560,11,FALSE),IF($B135 = "Test",VLOOKUP($C135,Tests!$A$2:$L$841,11,FALSE),VLOOKUP($C135,Questions!$A$3:$N$174,13,FALSE)))</f>
        <v xml:space="preserve">
</v>
      </c>
      <c r="G135" s="187"/>
      <c r="H135" s="202"/>
    </row>
    <row r="136" spans="2:8" ht="12.75">
      <c r="B136" s="133" t="s">
        <v>4590</v>
      </c>
      <c r="C136" s="130">
        <v>886</v>
      </c>
      <c r="D136" s="130" t="s">
        <v>441</v>
      </c>
      <c r="E136" s="130" t="str">
        <f>IF($B136 = "Mutant",VLOOKUP($C136,Mutants!$A$2:$L$560,12,FALSE),IF($B136 = "Test",VLOOKUP($C136,Tests!$A$2:$L$841,12,FALSE),VLOOKUP($C136,Questions!$A$3:$N$174,9,FALSE)))</f>
        <v>Y</v>
      </c>
      <c r="F136" s="203" t="str">
        <f>IF($B136 = "Mutant",VLOOKUP($C136,Mutants!$A$2:$L$560,11,FALSE),IF($B136 = "Test",VLOOKUP($C136,Tests!$A$2:$L$841,11,FALSE),VLOOKUP($C136,Questions!$A$3:$N$174,13,FALSE)))</f>
        <v xml:space="preserve">getValues
</v>
      </c>
      <c r="G136" s="203"/>
      <c r="H136" s="204"/>
    </row>
  </sheetData>
  <mergeCells count="99">
    <mergeCell ref="B12:C12"/>
    <mergeCell ref="B5:C5"/>
    <mergeCell ref="B6:C6"/>
    <mergeCell ref="B7:C7"/>
    <mergeCell ref="B8:C8"/>
    <mergeCell ref="B9:C9"/>
    <mergeCell ref="F49:H49"/>
    <mergeCell ref="F50:H50"/>
    <mergeCell ref="F51:H51"/>
    <mergeCell ref="F52:H52"/>
    <mergeCell ref="F53:H53"/>
    <mergeCell ref="F54:H54"/>
    <mergeCell ref="F55:H55"/>
    <mergeCell ref="F56:H56"/>
    <mergeCell ref="F57:H57"/>
    <mergeCell ref="F58:H58"/>
    <mergeCell ref="F59:H59"/>
    <mergeCell ref="F60:H60"/>
    <mergeCell ref="F61:H61"/>
    <mergeCell ref="F62:H62"/>
    <mergeCell ref="F63:H63"/>
    <mergeCell ref="F64:H64"/>
    <mergeCell ref="F65:H65"/>
    <mergeCell ref="F66:H66"/>
    <mergeCell ref="F67:H67"/>
    <mergeCell ref="F68:H68"/>
    <mergeCell ref="F69:H69"/>
    <mergeCell ref="F70:H70"/>
    <mergeCell ref="F71:H71"/>
    <mergeCell ref="F72:H72"/>
    <mergeCell ref="F73:H73"/>
    <mergeCell ref="F74:H74"/>
    <mergeCell ref="F75:H75"/>
    <mergeCell ref="F76:H76"/>
    <mergeCell ref="F77:H77"/>
    <mergeCell ref="F78:H78"/>
    <mergeCell ref="F79:H79"/>
    <mergeCell ref="F80:H80"/>
    <mergeCell ref="F81:H81"/>
    <mergeCell ref="F82:H82"/>
    <mergeCell ref="F83:H83"/>
    <mergeCell ref="F84:H84"/>
    <mergeCell ref="F85:H85"/>
    <mergeCell ref="F86:H86"/>
    <mergeCell ref="F87:H87"/>
    <mergeCell ref="F88:H88"/>
    <mergeCell ref="F89:H89"/>
    <mergeCell ref="F90:H90"/>
    <mergeCell ref="F91:H91"/>
    <mergeCell ref="F92:H92"/>
    <mergeCell ref="F93:H93"/>
    <mergeCell ref="F94:H94"/>
    <mergeCell ref="F95:H95"/>
    <mergeCell ref="F96:H96"/>
    <mergeCell ref="F97:H97"/>
    <mergeCell ref="F98:H98"/>
    <mergeCell ref="F99:H99"/>
    <mergeCell ref="F100:H100"/>
    <mergeCell ref="F101:H101"/>
    <mergeCell ref="F102:H102"/>
    <mergeCell ref="F103:H103"/>
    <mergeCell ref="F104:H104"/>
    <mergeCell ref="F105:H105"/>
    <mergeCell ref="F106:H106"/>
    <mergeCell ref="F107:H107"/>
    <mergeCell ref="F108:H108"/>
    <mergeCell ref="F109:H109"/>
    <mergeCell ref="F110:H110"/>
    <mergeCell ref="F111:H111"/>
    <mergeCell ref="F112:H112"/>
    <mergeCell ref="F113:H113"/>
    <mergeCell ref="F114:H114"/>
    <mergeCell ref="F115:H115"/>
    <mergeCell ref="F116:H116"/>
    <mergeCell ref="F117:H117"/>
    <mergeCell ref="F118:H118"/>
    <mergeCell ref="F127:H127"/>
    <mergeCell ref="F128:H128"/>
    <mergeCell ref="F119:H119"/>
    <mergeCell ref="F120:H120"/>
    <mergeCell ref="F121:H121"/>
    <mergeCell ref="F122:H122"/>
    <mergeCell ref="F123:H123"/>
    <mergeCell ref="F134:H134"/>
    <mergeCell ref="F135:H135"/>
    <mergeCell ref="F136:H136"/>
    <mergeCell ref="B47:C47"/>
    <mergeCell ref="B61:C61"/>
    <mergeCell ref="B89:C89"/>
    <mergeCell ref="B120:C120"/>
    <mergeCell ref="F48:H48"/>
    <mergeCell ref="F129:H129"/>
    <mergeCell ref="F130:H130"/>
    <mergeCell ref="F131:H131"/>
    <mergeCell ref="F132:H132"/>
    <mergeCell ref="F133:H133"/>
    <mergeCell ref="F124:H124"/>
    <mergeCell ref="F125:H125"/>
    <mergeCell ref="F126:H126"/>
  </mergeCells>
  <conditionalFormatting sqref="A47:B47">
    <cfRule type="cellIs" dxfId="164" priority="31" operator="equal">
      <formula>"NO_KILL"</formula>
    </cfRule>
    <cfRule type="cellIs" dxfId="163" priority="32" operator="equal">
      <formula>"KILL"</formula>
    </cfRule>
    <cfRule type="cellIs" dxfId="162" priority="33" operator="equal">
      <formula>"ERROR"</formula>
    </cfRule>
  </conditionalFormatting>
  <conditionalFormatting sqref="A61:B61">
    <cfRule type="cellIs" dxfId="161" priority="25" operator="equal">
      <formula>"NO_KILL"</formula>
    </cfRule>
    <cfRule type="cellIs" dxfId="160" priority="26" operator="equal">
      <formula>"KILL"</formula>
    </cfRule>
    <cfRule type="cellIs" dxfId="159" priority="27" operator="equal">
      <formula>"ERROR"</formula>
    </cfRule>
  </conditionalFormatting>
  <conditionalFormatting sqref="A89:B89">
    <cfRule type="cellIs" dxfId="158" priority="19" operator="equal">
      <formula>"NO_KILL"</formula>
    </cfRule>
    <cfRule type="cellIs" dxfId="157" priority="20" operator="equal">
      <formula>"KILL"</formula>
    </cfRule>
    <cfRule type="cellIs" dxfId="156" priority="21" operator="equal">
      <formula>"ERROR"</formula>
    </cfRule>
  </conditionalFormatting>
  <conditionalFormatting sqref="A120:B120">
    <cfRule type="cellIs" dxfId="155" priority="13" operator="equal">
      <formula>"NO_KILL"</formula>
    </cfRule>
    <cfRule type="cellIs" dxfId="154" priority="14" operator="equal">
      <formula>"KILL"</formula>
    </cfRule>
    <cfRule type="cellIs" dxfId="153" priority="15" operator="equal">
      <formula>"ERROR"</formula>
    </cfRule>
  </conditionalFormatting>
  <conditionalFormatting sqref="A1:AC4 A5:B9 D5:AC9 A10:AC46 D47:AC47 A48:D60 I48:AC136 D61 A62:D88 D89 A90:D119 D120 A121:D136 A137:AC1078">
    <cfRule type="cellIs" dxfId="152" priority="40" operator="equal">
      <formula>"NO_KILL"</formula>
    </cfRule>
    <cfRule type="cellIs" dxfId="151" priority="41" operator="equal">
      <formula>"KILL"</formula>
    </cfRule>
    <cfRule type="cellIs" dxfId="150" priority="42" operator="equal">
      <formula>"ERROR"</formula>
    </cfRule>
  </conditionalFormatting>
  <conditionalFormatting sqref="B45:B1078">
    <cfRule type="cellIs" dxfId="149" priority="16" operator="equal">
      <formula>"Test"</formula>
    </cfRule>
    <cfRule type="cellIs" dxfId="148" priority="17" operator="equal">
      <formula>"Mutant"</formula>
    </cfRule>
    <cfRule type="cellIs" dxfId="147" priority="18" operator="equal">
      <formula>"Question"</formula>
    </cfRule>
  </conditionalFormatting>
  <conditionalFormatting sqref="E48:F136">
    <cfRule type="cellIs" dxfId="146" priority="1" operator="equal">
      <formula>"NO_KILL"</formula>
    </cfRule>
    <cfRule type="cellIs" dxfId="145" priority="2" operator="equal">
      <formula>"KILL"</formula>
    </cfRule>
    <cfRule type="cellIs" dxfId="144" priority="3" operator="equal">
      <formula>"ERROR"</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B2:P154"/>
  <sheetViews>
    <sheetView topLeftCell="A37" workbookViewId="0">
      <selection activeCell="K60" sqref="K60"/>
    </sheetView>
  </sheetViews>
  <sheetFormatPr defaultColWidth="12.5703125" defaultRowHeight="15.75" customHeight="1"/>
  <cols>
    <col min="4" max="4" width="18.140625" bestFit="1" customWidth="1"/>
    <col min="6" max="6" width="15.85546875" customWidth="1"/>
    <col min="14" max="14" width="13.42578125" customWidth="1"/>
  </cols>
  <sheetData>
    <row r="2" spans="2:14" ht="12.75">
      <c r="B2" s="29" t="s">
        <v>4</v>
      </c>
      <c r="C2" s="29" t="s">
        <v>45</v>
      </c>
      <c r="D2" s="29" t="s">
        <v>46</v>
      </c>
    </row>
    <row r="3" spans="2:14" ht="12.75">
      <c r="B3" s="29">
        <v>122</v>
      </c>
      <c r="C3" s="29" t="s">
        <v>60</v>
      </c>
      <c r="D3" s="127" t="s">
        <v>18</v>
      </c>
    </row>
    <row r="5" spans="2:14" ht="12.75">
      <c r="B5" s="221" t="s">
        <v>3</v>
      </c>
      <c r="C5" s="222"/>
      <c r="D5" s="44" t="s">
        <v>5</v>
      </c>
      <c r="E5" s="43" t="s">
        <v>6</v>
      </c>
      <c r="F5" s="43" t="s">
        <v>7</v>
      </c>
      <c r="G5" s="43" t="s">
        <v>8</v>
      </c>
      <c r="H5" s="44" t="s">
        <v>9</v>
      </c>
      <c r="I5" s="43" t="s">
        <v>10</v>
      </c>
      <c r="J5" s="43" t="s">
        <v>11</v>
      </c>
      <c r="K5" s="44" t="s">
        <v>12</v>
      </c>
      <c r="L5" s="43" t="s">
        <v>13</v>
      </c>
      <c r="M5" s="43" t="s">
        <v>14</v>
      </c>
      <c r="N5" s="61" t="s">
        <v>15</v>
      </c>
    </row>
    <row r="6" spans="2:14" ht="12.75">
      <c r="B6" s="223">
        <v>220</v>
      </c>
      <c r="C6" s="224"/>
      <c r="D6" s="47">
        <f ca="1">COUNTIF(Valid_questions!F$1:F1096, B6)</f>
        <v>2</v>
      </c>
      <c r="E6" s="40">
        <v>0</v>
      </c>
      <c r="F6" s="40">
        <v>1</v>
      </c>
      <c r="G6" s="40">
        <v>0</v>
      </c>
      <c r="H6" s="47">
        <v>1</v>
      </c>
      <c r="I6" s="40">
        <f>COUNTIFS(Tests!E$1:E1096,B6,Tests!D$1:D1096,"&lt;&gt;\N")</f>
        <v>2</v>
      </c>
      <c r="J6" s="40">
        <f>COUNTIFS(Tests!E$1:E1096,B6,Tests!D$1:D1096,"=\N")</f>
        <v>3</v>
      </c>
      <c r="K6" s="47">
        <v>1</v>
      </c>
      <c r="L6" s="40">
        <f>COUNTIFS(Mutants!E$1:E1096,B6,Mutants!D$1:D1096,"&lt;&gt;\N")</f>
        <v>6</v>
      </c>
      <c r="M6" s="40">
        <f>COUNTIFS(Mutants!E$1:E1096,B6,Mutants!D$1:D1096,"=\N")</f>
        <v>1</v>
      </c>
      <c r="N6" s="45">
        <v>5</v>
      </c>
    </row>
    <row r="7" spans="2:14" ht="12.75">
      <c r="B7" s="225">
        <v>221</v>
      </c>
      <c r="C7" s="226"/>
      <c r="D7" s="10">
        <f ca="1">COUNTIF(Valid_questions!F$1:F1096, B7)</f>
        <v>1</v>
      </c>
      <c r="E7" s="9">
        <v>7</v>
      </c>
      <c r="F7" s="9">
        <v>0</v>
      </c>
      <c r="G7" s="9">
        <v>0</v>
      </c>
      <c r="H7" s="10">
        <v>7</v>
      </c>
      <c r="I7" s="9">
        <f>COUNTIFS(Tests!E$1:E1096,B7,Tests!D$1:D1096,"&lt;&gt;\N")</f>
        <v>7</v>
      </c>
      <c r="J7" s="9">
        <f>COUNTIFS(Tests!E$1:E1096,B7,Tests!D$1:D1096,"=\N")</f>
        <v>1</v>
      </c>
      <c r="K7" s="10">
        <v>0</v>
      </c>
      <c r="L7" s="9">
        <f>COUNTIFS(Mutants!E$1:E1096,B7,Mutants!D$1:D1096,"&lt;&gt;\N")</f>
        <v>8</v>
      </c>
      <c r="M7" s="9">
        <f>COUNTIFS(Mutants!E$1:E1096,B7,Mutants!D$1:D1096,"=\N")</f>
        <v>0</v>
      </c>
      <c r="N7" s="14">
        <v>7</v>
      </c>
    </row>
    <row r="8" spans="2:14" ht="12.75">
      <c r="B8" s="225">
        <v>222</v>
      </c>
      <c r="C8" s="226"/>
      <c r="D8" s="10">
        <f ca="1">COUNTIF(Valid_questions!F$1:F1096, B8)</f>
        <v>12</v>
      </c>
      <c r="E8" s="9">
        <v>3</v>
      </c>
      <c r="F8" s="9">
        <v>10</v>
      </c>
      <c r="G8" s="9">
        <v>0</v>
      </c>
      <c r="H8" s="10">
        <v>13</v>
      </c>
      <c r="I8" s="9">
        <f>COUNTIFS(Tests!E$1:E1096,B8,Tests!D$1:D1096,"&lt;&gt;\N")</f>
        <v>4</v>
      </c>
      <c r="J8" s="9">
        <f>COUNTIFS(Tests!E$1:E1096,B8,Tests!D$1:D1096,"=\N")</f>
        <v>6</v>
      </c>
      <c r="K8" s="10">
        <v>4</v>
      </c>
      <c r="L8" s="9">
        <f>COUNTIFS(Mutants!E$1:E1096,B8,Mutants!D$1:D1096,"&lt;&gt;\N")</f>
        <v>6</v>
      </c>
      <c r="M8" s="9">
        <f>COUNTIFS(Mutants!E$1:E1096,B8,Mutants!D$1:D1096,"=\N")</f>
        <v>1</v>
      </c>
      <c r="N8" s="14">
        <v>5</v>
      </c>
    </row>
    <row r="9" spans="2:14" ht="12.75">
      <c r="B9" s="227">
        <v>223</v>
      </c>
      <c r="C9" s="228"/>
      <c r="D9" s="22">
        <f ca="1">COUNTIF(Valid_questions!F$1:F1096, B9)</f>
        <v>8</v>
      </c>
      <c r="E9" s="21">
        <v>3</v>
      </c>
      <c r="F9" s="21">
        <v>0</v>
      </c>
      <c r="G9" s="21">
        <v>0</v>
      </c>
      <c r="H9" s="22">
        <v>3</v>
      </c>
      <c r="I9" s="21">
        <f>COUNTIFS(Tests!E$1:E1096,B9,Tests!D$1:D1096,"&lt;&gt;\N")</f>
        <v>1</v>
      </c>
      <c r="J9" s="21">
        <f>COUNTIFS(Tests!E$1:E1096,B9,Tests!D$1:D1096,"=\N")</f>
        <v>5</v>
      </c>
      <c r="K9" s="22">
        <v>1</v>
      </c>
      <c r="L9" s="21">
        <f>COUNTIFS(Mutants!E$1:E1096,B9,Mutants!D$1:D1096,"&lt;&gt;\N")</f>
        <v>12</v>
      </c>
      <c r="M9" s="21">
        <f>COUNTIFS(Mutants!E$1:E1096,B9,Mutants!D$1:D1096,"=\N")</f>
        <v>0</v>
      </c>
      <c r="N9" s="38">
        <v>9</v>
      </c>
    </row>
    <row r="12" spans="2:14" ht="27" customHeight="1">
      <c r="B12" s="220" t="s">
        <v>4588</v>
      </c>
      <c r="C12" s="173"/>
    </row>
    <row r="14" spans="2:14" ht="12.75">
      <c r="C14" s="29" t="s">
        <v>4589</v>
      </c>
    </row>
    <row r="15" spans="2:14" ht="12.75">
      <c r="B15" s="29" t="s">
        <v>4590</v>
      </c>
      <c r="C15" s="29"/>
      <c r="D15" s="43">
        <v>626</v>
      </c>
      <c r="E15" s="43">
        <v>695</v>
      </c>
      <c r="F15" s="43">
        <v>743</v>
      </c>
      <c r="G15" s="43">
        <v>764</v>
      </c>
      <c r="H15" s="43">
        <v>834</v>
      </c>
      <c r="I15" s="43">
        <v>866</v>
      </c>
      <c r="J15" s="43">
        <v>876</v>
      </c>
      <c r="K15" s="61">
        <v>896</v>
      </c>
    </row>
    <row r="16" spans="2:14" ht="12.75">
      <c r="B16" s="9"/>
      <c r="C16" s="81">
        <v>367</v>
      </c>
      <c r="D16" s="9" t="s">
        <v>4591</v>
      </c>
      <c r="E16" s="9" t="s">
        <v>4591</v>
      </c>
      <c r="F16" s="9" t="s">
        <v>4593</v>
      </c>
      <c r="G16" s="9" t="s">
        <v>4591</v>
      </c>
      <c r="H16" s="9" t="s">
        <v>4591</v>
      </c>
      <c r="I16" s="9" t="s">
        <v>4591</v>
      </c>
      <c r="J16" s="9" t="s">
        <v>4593</v>
      </c>
      <c r="K16" s="14" t="s">
        <v>4593</v>
      </c>
    </row>
    <row r="17" spans="2:11" ht="12.75">
      <c r="B17" s="9"/>
      <c r="C17" s="81">
        <v>398</v>
      </c>
      <c r="D17" s="9" t="s">
        <v>4591</v>
      </c>
      <c r="E17" s="9" t="s">
        <v>4591</v>
      </c>
      <c r="F17" s="9" t="s">
        <v>4591</v>
      </c>
      <c r="G17" s="9" t="s">
        <v>4591</v>
      </c>
      <c r="H17" s="9" t="s">
        <v>4591</v>
      </c>
      <c r="I17" s="9" t="s">
        <v>4591</v>
      </c>
      <c r="J17" s="9" t="s">
        <v>4591</v>
      </c>
      <c r="K17" s="14" t="s">
        <v>4591</v>
      </c>
    </row>
    <row r="18" spans="2:11" ht="12.75">
      <c r="B18" s="9"/>
      <c r="C18" s="81">
        <v>399</v>
      </c>
      <c r="D18" s="9" t="s">
        <v>4591</v>
      </c>
      <c r="E18" s="9" t="s">
        <v>4591</v>
      </c>
      <c r="F18" s="9" t="s">
        <v>4592</v>
      </c>
      <c r="G18" s="9" t="s">
        <v>4591</v>
      </c>
      <c r="H18" s="9" t="s">
        <v>4591</v>
      </c>
      <c r="I18" s="9" t="s">
        <v>4591</v>
      </c>
      <c r="J18" s="9" t="s">
        <v>4593</v>
      </c>
      <c r="K18" s="14" t="s">
        <v>4593</v>
      </c>
    </row>
    <row r="19" spans="2:11" ht="12.75">
      <c r="B19" s="9"/>
      <c r="C19" s="81">
        <v>407</v>
      </c>
      <c r="D19" s="9" t="s">
        <v>4591</v>
      </c>
      <c r="E19" s="9" t="s">
        <v>4591</v>
      </c>
      <c r="F19" s="9" t="s">
        <v>4591</v>
      </c>
      <c r="G19" s="9" t="s">
        <v>4591</v>
      </c>
      <c r="H19" s="9" t="s">
        <v>4591</v>
      </c>
      <c r="I19" s="9" t="s">
        <v>4591</v>
      </c>
      <c r="J19" s="9" t="s">
        <v>4591</v>
      </c>
      <c r="K19" s="14" t="s">
        <v>4591</v>
      </c>
    </row>
    <row r="20" spans="2:11" ht="12.75">
      <c r="B20" s="9"/>
      <c r="C20" s="81">
        <v>417</v>
      </c>
      <c r="D20" s="9" t="s">
        <v>4591</v>
      </c>
      <c r="E20" s="9" t="s">
        <v>4591</v>
      </c>
      <c r="F20" s="9" t="s">
        <v>4592</v>
      </c>
      <c r="G20" s="9" t="s">
        <v>4591</v>
      </c>
      <c r="H20" s="9" t="s">
        <v>4591</v>
      </c>
      <c r="I20" s="9" t="s">
        <v>4591</v>
      </c>
      <c r="J20" s="9" t="s">
        <v>4593</v>
      </c>
      <c r="K20" s="14" t="s">
        <v>4593</v>
      </c>
    </row>
    <row r="21" spans="2:11" ht="12.75">
      <c r="B21" s="9"/>
      <c r="C21" s="81">
        <v>432</v>
      </c>
      <c r="D21" s="9" t="s">
        <v>4591</v>
      </c>
      <c r="E21" s="9" t="s">
        <v>4591</v>
      </c>
      <c r="F21" s="9" t="s">
        <v>4591</v>
      </c>
      <c r="G21" s="9" t="s">
        <v>4591</v>
      </c>
      <c r="H21" s="9" t="s">
        <v>4591</v>
      </c>
      <c r="I21" s="9" t="s">
        <v>4591</v>
      </c>
      <c r="J21" s="9" t="s">
        <v>4591</v>
      </c>
      <c r="K21" s="14" t="s">
        <v>4591</v>
      </c>
    </row>
    <row r="22" spans="2:11" ht="12.75">
      <c r="B22" s="9"/>
      <c r="C22" s="81">
        <v>449</v>
      </c>
      <c r="D22" s="9" t="s">
        <v>4591</v>
      </c>
      <c r="E22" s="9" t="s">
        <v>4591</v>
      </c>
      <c r="F22" s="9" t="s">
        <v>4591</v>
      </c>
      <c r="G22" s="9" t="s">
        <v>4591</v>
      </c>
      <c r="H22" s="9" t="s">
        <v>4591</v>
      </c>
      <c r="I22" s="9" t="s">
        <v>4591</v>
      </c>
      <c r="J22" s="9" t="s">
        <v>4591</v>
      </c>
      <c r="K22" s="14" t="s">
        <v>4591</v>
      </c>
    </row>
    <row r="23" spans="2:11" ht="12.75">
      <c r="B23" s="9"/>
      <c r="C23" s="81">
        <v>460</v>
      </c>
      <c r="D23" s="9" t="s">
        <v>4591</v>
      </c>
      <c r="E23" s="9" t="s">
        <v>4593</v>
      </c>
      <c r="F23" s="9" t="s">
        <v>4591</v>
      </c>
      <c r="G23" s="9" t="s">
        <v>4591</v>
      </c>
      <c r="H23" s="9" t="s">
        <v>4591</v>
      </c>
      <c r="I23" s="9" t="s">
        <v>4591</v>
      </c>
      <c r="J23" s="9" t="s">
        <v>4591</v>
      </c>
      <c r="K23" s="14" t="s">
        <v>4591</v>
      </c>
    </row>
    <row r="24" spans="2:11" ht="12.75">
      <c r="B24" s="9"/>
      <c r="C24" s="81">
        <v>461</v>
      </c>
      <c r="D24" s="9" t="s">
        <v>4591</v>
      </c>
      <c r="E24" s="9" t="s">
        <v>4595</v>
      </c>
      <c r="F24" s="9" t="s">
        <v>4591</v>
      </c>
      <c r="G24" s="9" t="s">
        <v>4591</v>
      </c>
      <c r="H24" s="9" t="s">
        <v>4591</v>
      </c>
      <c r="I24" s="9" t="s">
        <v>4591</v>
      </c>
      <c r="J24" s="9" t="s">
        <v>4591</v>
      </c>
      <c r="K24" s="14" t="s">
        <v>4591</v>
      </c>
    </row>
    <row r="25" spans="2:11" ht="12.75">
      <c r="B25" s="9"/>
      <c r="C25" s="81">
        <v>469</v>
      </c>
      <c r="D25" s="9" t="s">
        <v>4591</v>
      </c>
      <c r="E25" s="9" t="s">
        <v>4591</v>
      </c>
      <c r="F25" s="9" t="s">
        <v>4591</v>
      </c>
      <c r="G25" s="9" t="s">
        <v>4591</v>
      </c>
      <c r="H25" s="9" t="s">
        <v>4591</v>
      </c>
      <c r="I25" s="9" t="s">
        <v>4591</v>
      </c>
      <c r="J25" s="9" t="s">
        <v>4591</v>
      </c>
      <c r="K25" s="14" t="s">
        <v>4591</v>
      </c>
    </row>
    <row r="26" spans="2:11" ht="12.75">
      <c r="B26" s="9"/>
      <c r="C26" s="81">
        <v>479</v>
      </c>
      <c r="D26" s="9" t="s">
        <v>4591</v>
      </c>
      <c r="E26" s="9" t="s">
        <v>4591</v>
      </c>
      <c r="F26" s="9" t="s">
        <v>4591</v>
      </c>
      <c r="G26" s="9" t="s">
        <v>4591</v>
      </c>
      <c r="H26" s="9" t="s">
        <v>4593</v>
      </c>
      <c r="I26" s="9" t="s">
        <v>4591</v>
      </c>
      <c r="J26" s="9" t="s">
        <v>4591</v>
      </c>
      <c r="K26" s="14" t="s">
        <v>4591</v>
      </c>
    </row>
    <row r="27" spans="2:11" ht="12.75">
      <c r="B27" s="9"/>
      <c r="C27" s="81">
        <v>492</v>
      </c>
      <c r="D27" s="9" t="s">
        <v>4591</v>
      </c>
      <c r="E27" s="9" t="s">
        <v>4591</v>
      </c>
      <c r="F27" s="9" t="s">
        <v>4591</v>
      </c>
      <c r="G27" s="9" t="s">
        <v>4591</v>
      </c>
      <c r="H27" s="9" t="s">
        <v>4591</v>
      </c>
      <c r="I27" s="9" t="s">
        <v>4591</v>
      </c>
      <c r="J27" s="9" t="s">
        <v>4593</v>
      </c>
      <c r="K27" s="14" t="s">
        <v>4593</v>
      </c>
    </row>
    <row r="28" spans="2:11" ht="12.75">
      <c r="B28" s="9"/>
      <c r="C28" s="81">
        <v>497</v>
      </c>
      <c r="D28" s="9" t="s">
        <v>4591</v>
      </c>
      <c r="E28" s="9" t="s">
        <v>4591</v>
      </c>
      <c r="F28" s="9" t="s">
        <v>4591</v>
      </c>
      <c r="G28" s="9" t="s">
        <v>4591</v>
      </c>
      <c r="H28" s="9" t="s">
        <v>4591</v>
      </c>
      <c r="I28" s="9" t="s">
        <v>4591</v>
      </c>
      <c r="J28" s="9" t="s">
        <v>4591</v>
      </c>
      <c r="K28" s="14" t="s">
        <v>4591</v>
      </c>
    </row>
    <row r="29" spans="2:11" ht="12.75">
      <c r="B29" s="9"/>
      <c r="C29" s="81">
        <v>504</v>
      </c>
      <c r="D29" s="9" t="s">
        <v>4591</v>
      </c>
      <c r="E29" s="9" t="s">
        <v>4591</v>
      </c>
      <c r="F29" s="9" t="s">
        <v>4591</v>
      </c>
      <c r="G29" s="9" t="s">
        <v>4591</v>
      </c>
      <c r="H29" s="9" t="s">
        <v>4591</v>
      </c>
      <c r="I29" s="9" t="s">
        <v>4591</v>
      </c>
      <c r="J29" s="9" t="s">
        <v>4591</v>
      </c>
      <c r="K29" s="14" t="s">
        <v>4591</v>
      </c>
    </row>
    <row r="30" spans="2:11" ht="12.75">
      <c r="B30" s="9"/>
      <c r="C30" s="81">
        <v>510</v>
      </c>
      <c r="D30" s="9" t="s">
        <v>4591</v>
      </c>
      <c r="E30" s="9" t="s">
        <v>4591</v>
      </c>
      <c r="F30" s="9" t="s">
        <v>4591</v>
      </c>
      <c r="G30" s="9" t="s">
        <v>4591</v>
      </c>
      <c r="H30" s="9" t="s">
        <v>4593</v>
      </c>
      <c r="I30" s="9" t="s">
        <v>4591</v>
      </c>
      <c r="J30" s="9" t="s">
        <v>4591</v>
      </c>
      <c r="K30" s="14" t="s">
        <v>4591</v>
      </c>
    </row>
    <row r="31" spans="2:11" ht="12.75">
      <c r="B31" s="9"/>
      <c r="C31" s="81">
        <v>517</v>
      </c>
      <c r="D31" s="9" t="s">
        <v>4592</v>
      </c>
      <c r="E31" s="9" t="s">
        <v>4592</v>
      </c>
      <c r="F31" s="9" t="s">
        <v>4592</v>
      </c>
      <c r="G31" s="9" t="s">
        <v>4592</v>
      </c>
      <c r="H31" s="9" t="s">
        <v>4592</v>
      </c>
      <c r="I31" s="9" t="s">
        <v>4592</v>
      </c>
      <c r="J31" s="9" t="s">
        <v>4592</v>
      </c>
      <c r="K31" s="14" t="s">
        <v>4592</v>
      </c>
    </row>
    <row r="32" spans="2:11" ht="12.75">
      <c r="B32" s="9"/>
      <c r="C32" s="81">
        <v>535</v>
      </c>
      <c r="D32" s="9" t="s">
        <v>4591</v>
      </c>
      <c r="E32" s="9" t="s">
        <v>4591</v>
      </c>
      <c r="F32" s="9" t="s">
        <v>4591</v>
      </c>
      <c r="G32" s="9" t="s">
        <v>4591</v>
      </c>
      <c r="H32" s="9" t="s">
        <v>4591</v>
      </c>
      <c r="I32" s="9" t="s">
        <v>4591</v>
      </c>
      <c r="J32" s="9" t="s">
        <v>4591</v>
      </c>
      <c r="K32" s="14" t="s">
        <v>4591</v>
      </c>
    </row>
    <row r="33" spans="2:11" ht="12.75">
      <c r="B33" s="9"/>
      <c r="C33" s="81">
        <v>543</v>
      </c>
      <c r="D33" s="9" t="s">
        <v>4591</v>
      </c>
      <c r="E33" s="9" t="s">
        <v>4591</v>
      </c>
      <c r="F33" s="9" t="s">
        <v>4591</v>
      </c>
      <c r="G33" s="9" t="s">
        <v>4591</v>
      </c>
      <c r="H33" s="9" t="s">
        <v>4591</v>
      </c>
      <c r="I33" s="9" t="s">
        <v>4592</v>
      </c>
      <c r="J33" s="9" t="s">
        <v>4591</v>
      </c>
      <c r="K33" s="14" t="s">
        <v>4591</v>
      </c>
    </row>
    <row r="34" spans="2:11" ht="12.75">
      <c r="B34" s="9"/>
      <c r="C34" s="81">
        <v>559</v>
      </c>
      <c r="D34" s="9" t="s">
        <v>4591</v>
      </c>
      <c r="E34" s="9" t="s">
        <v>4591</v>
      </c>
      <c r="F34" s="9" t="s">
        <v>4591</v>
      </c>
      <c r="G34" s="9" t="s">
        <v>4593</v>
      </c>
      <c r="H34" s="9" t="s">
        <v>4591</v>
      </c>
      <c r="I34" s="9" t="s">
        <v>4591</v>
      </c>
      <c r="J34" s="9" t="s">
        <v>4591</v>
      </c>
      <c r="K34" s="14" t="s">
        <v>4591</v>
      </c>
    </row>
    <row r="35" spans="2:11" ht="12.75">
      <c r="B35" s="9"/>
      <c r="C35" s="81">
        <v>560</v>
      </c>
      <c r="D35" s="9" t="s">
        <v>4591</v>
      </c>
      <c r="E35" s="9" t="s">
        <v>4592</v>
      </c>
      <c r="F35" s="9" t="s">
        <v>4591</v>
      </c>
      <c r="G35" s="9" t="s">
        <v>4591</v>
      </c>
      <c r="H35" s="9" t="s">
        <v>4593</v>
      </c>
      <c r="I35" s="9" t="s">
        <v>4591</v>
      </c>
      <c r="J35" s="9" t="s">
        <v>4593</v>
      </c>
      <c r="K35" s="14" t="s">
        <v>4593</v>
      </c>
    </row>
    <row r="36" spans="2:11" ht="12.75">
      <c r="B36" s="9"/>
      <c r="C36" s="81">
        <v>564</v>
      </c>
      <c r="D36" s="9" t="s">
        <v>4591</v>
      </c>
      <c r="E36" s="9" t="s">
        <v>4592</v>
      </c>
      <c r="F36" s="9" t="s">
        <v>4591</v>
      </c>
      <c r="G36" s="9" t="s">
        <v>4591</v>
      </c>
      <c r="H36" s="9" t="s">
        <v>4591</v>
      </c>
      <c r="I36" s="9" t="s">
        <v>4591</v>
      </c>
      <c r="J36" s="9" t="s">
        <v>4591</v>
      </c>
      <c r="K36" s="14" t="s">
        <v>4591</v>
      </c>
    </row>
    <row r="37" spans="2:11" ht="12.75">
      <c r="B37" s="9"/>
      <c r="C37" s="81">
        <v>566</v>
      </c>
      <c r="D37" s="9" t="s">
        <v>4591</v>
      </c>
      <c r="E37" s="9" t="s">
        <v>4593</v>
      </c>
      <c r="F37" s="9" t="s">
        <v>4591</v>
      </c>
      <c r="G37" s="9" t="s">
        <v>4591</v>
      </c>
      <c r="H37" s="9" t="s">
        <v>4591</v>
      </c>
      <c r="I37" s="9" t="s">
        <v>4591</v>
      </c>
      <c r="J37" s="9" t="s">
        <v>4591</v>
      </c>
      <c r="K37" s="14" t="s">
        <v>4591</v>
      </c>
    </row>
    <row r="38" spans="2:11" ht="12.75">
      <c r="B38" s="9"/>
      <c r="C38" s="81">
        <v>568</v>
      </c>
      <c r="D38" s="9" t="s">
        <v>4591</v>
      </c>
      <c r="E38" s="9" t="s">
        <v>4591</v>
      </c>
      <c r="F38" s="9" t="s">
        <v>4591</v>
      </c>
      <c r="G38" s="9" t="s">
        <v>4591</v>
      </c>
      <c r="H38" s="9" t="s">
        <v>4591</v>
      </c>
      <c r="I38" s="9" t="s">
        <v>4591</v>
      </c>
      <c r="J38" s="9" t="s">
        <v>4591</v>
      </c>
      <c r="K38" s="14" t="s">
        <v>4591</v>
      </c>
    </row>
    <row r="39" spans="2:11" ht="12.75">
      <c r="B39" s="9"/>
      <c r="C39" s="81">
        <v>570</v>
      </c>
      <c r="D39" s="9" t="s">
        <v>4591</v>
      </c>
      <c r="E39" s="9" t="s">
        <v>4591</v>
      </c>
      <c r="F39" s="9" t="s">
        <v>4591</v>
      </c>
      <c r="G39" s="9" t="s">
        <v>4591</v>
      </c>
      <c r="H39" s="9" t="s">
        <v>4591</v>
      </c>
      <c r="I39" s="9" t="s">
        <v>4591</v>
      </c>
      <c r="J39" s="9" t="s">
        <v>4591</v>
      </c>
      <c r="K39" s="14" t="s">
        <v>4591</v>
      </c>
    </row>
    <row r="40" spans="2:11" ht="12.75">
      <c r="B40" s="9"/>
      <c r="C40" s="81">
        <v>580</v>
      </c>
      <c r="D40" s="9" t="s">
        <v>4591</v>
      </c>
      <c r="E40" s="9" t="s">
        <v>4591</v>
      </c>
      <c r="F40" s="9" t="s">
        <v>4591</v>
      </c>
      <c r="G40" s="9" t="s">
        <v>4591</v>
      </c>
      <c r="H40" s="9" t="s">
        <v>4591</v>
      </c>
      <c r="I40" s="9" t="s">
        <v>4592</v>
      </c>
      <c r="J40" s="9" t="s">
        <v>4591</v>
      </c>
      <c r="K40" s="14" t="s">
        <v>4591</v>
      </c>
    </row>
    <row r="41" spans="2:11" ht="12.75">
      <c r="B41" s="9"/>
      <c r="C41" s="81">
        <v>583</v>
      </c>
      <c r="D41" s="9" t="s">
        <v>4591</v>
      </c>
      <c r="E41" s="9" t="s">
        <v>4591</v>
      </c>
      <c r="F41" s="9" t="s">
        <v>4591</v>
      </c>
      <c r="G41" s="9" t="s">
        <v>4591</v>
      </c>
      <c r="H41" s="9" t="s">
        <v>4591</v>
      </c>
      <c r="I41" s="9" t="s">
        <v>4591</v>
      </c>
      <c r="J41" s="9" t="s">
        <v>4591</v>
      </c>
      <c r="K41" s="14" t="s">
        <v>4591</v>
      </c>
    </row>
    <row r="42" spans="2:11" ht="12.75">
      <c r="B42" s="9"/>
      <c r="C42" s="81">
        <v>588</v>
      </c>
      <c r="D42" s="9" t="s">
        <v>4591</v>
      </c>
      <c r="E42" s="9" t="s">
        <v>4591</v>
      </c>
      <c r="F42" s="9" t="s">
        <v>4591</v>
      </c>
      <c r="G42" s="9" t="s">
        <v>4591</v>
      </c>
      <c r="H42" s="9" t="s">
        <v>4591</v>
      </c>
      <c r="I42" s="9" t="s">
        <v>4591</v>
      </c>
      <c r="J42" s="9" t="s">
        <v>4591</v>
      </c>
      <c r="K42" s="14" t="s">
        <v>4591</v>
      </c>
    </row>
    <row r="43" spans="2:11" ht="12.75">
      <c r="B43" s="9"/>
      <c r="C43" s="81">
        <v>589</v>
      </c>
      <c r="D43" s="9" t="s">
        <v>4591</v>
      </c>
      <c r="E43" s="9" t="s">
        <v>4591</v>
      </c>
      <c r="F43" s="9" t="s">
        <v>4591</v>
      </c>
      <c r="G43" s="9" t="s">
        <v>4591</v>
      </c>
      <c r="H43" s="9" t="s">
        <v>4591</v>
      </c>
      <c r="I43" s="9" t="s">
        <v>4591</v>
      </c>
      <c r="J43" s="9" t="s">
        <v>4595</v>
      </c>
      <c r="K43" s="14" t="s">
        <v>4595</v>
      </c>
    </row>
    <row r="44" spans="2:11" ht="12.75">
      <c r="B44" s="9"/>
      <c r="C44" s="81">
        <v>592</v>
      </c>
      <c r="D44" s="9" t="s">
        <v>4591</v>
      </c>
      <c r="E44" s="9" t="s">
        <v>4591</v>
      </c>
      <c r="F44" s="9" t="s">
        <v>4591</v>
      </c>
      <c r="G44" s="9" t="s">
        <v>4591</v>
      </c>
      <c r="H44" s="9" t="s">
        <v>4591</v>
      </c>
      <c r="I44" s="9" t="s">
        <v>4591</v>
      </c>
      <c r="J44" s="9" t="s">
        <v>4591</v>
      </c>
      <c r="K44" s="14" t="s">
        <v>4591</v>
      </c>
    </row>
    <row r="45" spans="2:11" ht="12.75">
      <c r="B45" s="9"/>
      <c r="C45" s="81">
        <v>593</v>
      </c>
      <c r="D45" s="9" t="s">
        <v>4591</v>
      </c>
      <c r="E45" s="9" t="s">
        <v>4591</v>
      </c>
      <c r="F45" s="9" t="s">
        <v>4593</v>
      </c>
      <c r="G45" s="9" t="s">
        <v>4591</v>
      </c>
      <c r="H45" s="9" t="s">
        <v>4591</v>
      </c>
      <c r="I45" s="9" t="s">
        <v>4591</v>
      </c>
      <c r="J45" s="9" t="s">
        <v>4595</v>
      </c>
      <c r="K45" s="14" t="s">
        <v>4595</v>
      </c>
    </row>
    <row r="46" spans="2:11" ht="12.75">
      <c r="B46" s="9"/>
      <c r="C46" s="81">
        <v>595</v>
      </c>
      <c r="D46" s="9" t="s">
        <v>4591</v>
      </c>
      <c r="E46" s="9" t="s">
        <v>4591</v>
      </c>
      <c r="F46" s="9" t="s">
        <v>4591</v>
      </c>
      <c r="G46" s="9" t="s">
        <v>4591</v>
      </c>
      <c r="H46" s="9" t="s">
        <v>4593</v>
      </c>
      <c r="I46" s="9" t="s">
        <v>4591</v>
      </c>
      <c r="J46" s="9" t="s">
        <v>4591</v>
      </c>
      <c r="K46" s="14" t="s">
        <v>4591</v>
      </c>
    </row>
    <row r="47" spans="2:11" ht="12.75">
      <c r="B47" s="9"/>
      <c r="C47" s="82">
        <v>596</v>
      </c>
      <c r="D47" s="21" t="s">
        <v>4591</v>
      </c>
      <c r="E47" s="21" t="s">
        <v>4591</v>
      </c>
      <c r="F47" s="21" t="s">
        <v>4591</v>
      </c>
      <c r="G47" s="21" t="s">
        <v>4591</v>
      </c>
      <c r="H47" s="21" t="s">
        <v>4591</v>
      </c>
      <c r="I47" s="21" t="s">
        <v>4591</v>
      </c>
      <c r="J47" s="21" t="s">
        <v>4591</v>
      </c>
      <c r="K47" s="38" t="s">
        <v>4591</v>
      </c>
    </row>
    <row r="50" spans="2:16" ht="13.5" thickBot="1">
      <c r="B50" s="219" t="s">
        <v>4604</v>
      </c>
      <c r="C50" s="201"/>
      <c r="D50" s="45">
        <v>220</v>
      </c>
    </row>
    <row r="51" spans="2:16" ht="15.75" customHeight="1" thickTop="1">
      <c r="B51" s="134" t="s">
        <v>4594</v>
      </c>
      <c r="C51" s="135" t="s">
        <v>44</v>
      </c>
      <c r="D51" s="135" t="s">
        <v>110</v>
      </c>
      <c r="E51" s="136" t="s">
        <v>2</v>
      </c>
      <c r="F51" s="229" t="s">
        <v>4612</v>
      </c>
      <c r="G51" s="229"/>
      <c r="H51" s="230"/>
      <c r="I51" s="9"/>
      <c r="J51" s="9"/>
      <c r="K51" s="9"/>
      <c r="L51" s="9"/>
      <c r="M51" s="9"/>
      <c r="O51" s="9"/>
      <c r="P51" s="9"/>
    </row>
    <row r="52" spans="2:16" ht="15.75" customHeight="1">
      <c r="B52" s="137" t="s">
        <v>4589</v>
      </c>
      <c r="C52" s="93">
        <v>407</v>
      </c>
      <c r="D52" s="93" t="s">
        <v>600</v>
      </c>
      <c r="E52" s="93" t="str">
        <f>IF($B52 = "Mutant",VLOOKUP($C52,Mutants!$A$2:$L$560,12,FALSE),IF($B52 = "Test",VLOOKUP($C52,Tests!$A$2:$L$841,12,FALSE),VLOOKUP($C52,Questions!$A$3:$N$201,9,FALSE)))</f>
        <v>Y</v>
      </c>
      <c r="F52" s="205" t="str">
        <f>IF($B52 = "Mutant",VLOOKUP($C52,Mutants!$A$2:$L$560,11,FALSE),IF($B52 = "Test",VLOOKUP($C52,Tests!$A$2:$L$841,11,FALSE),VLOOKUP($C52,Questions!$A$3:$N$201,13,FALSE)))</f>
        <v xml:space="preserve">removeFields
</v>
      </c>
      <c r="G52" s="205"/>
      <c r="H52" s="206"/>
      <c r="I52" s="9"/>
      <c r="J52" s="9"/>
      <c r="K52" s="9"/>
      <c r="L52" s="9"/>
      <c r="M52" s="9"/>
    </row>
    <row r="53" spans="2:16" ht="15.75" customHeight="1">
      <c r="B53" s="114" t="s">
        <v>4589</v>
      </c>
      <c r="C53" s="9">
        <v>425</v>
      </c>
      <c r="D53" s="9" t="s">
        <v>3980</v>
      </c>
      <c r="E53" s="9" t="str">
        <f>IF($B53 = "Mutant",VLOOKUP($C53,Mutants!$A$2:$L$560,12,FALSE),IF($B53 = "Test",VLOOKUP($C53,Tests!$A$2:$L$841,12,FALSE),VLOOKUP($C53,Questions!$A$3:$N$201,9,FALSE)))</f>
        <v>N</v>
      </c>
      <c r="F53" s="187" t="str">
        <f>IF($B53 = "Mutant",VLOOKUP($C53,Mutants!$A$2:$L$560,11,FALSE),IF($B53 = "Test",VLOOKUP($C53,Tests!$A$2:$L$841,11,FALSE),VLOOKUP($C53,Questions!$A$3:$N$201,13,FALSE)))</f>
        <v xml:space="preserve">
</v>
      </c>
      <c r="G53" s="187"/>
      <c r="H53" s="202"/>
      <c r="I53" s="9"/>
      <c r="J53" s="9"/>
      <c r="K53" s="9"/>
      <c r="L53" s="9"/>
      <c r="M53" s="9"/>
    </row>
    <row r="54" spans="2:16" ht="15.75" customHeight="1">
      <c r="B54" s="114" t="s">
        <v>4589</v>
      </c>
      <c r="C54" s="9">
        <v>449</v>
      </c>
      <c r="D54" s="9" t="s">
        <v>4044</v>
      </c>
      <c r="E54" s="9" t="str">
        <f>IF($B54 = "Mutant",VLOOKUP($C54,Mutants!$A$2:$L$560,12,FALSE),IF($B54 = "Test",VLOOKUP($C54,Tests!$A$2:$L$841,12,FALSE),VLOOKUP($C54,Questions!$A$3:$N$201,9,FALSE)))</f>
        <v>Y</v>
      </c>
      <c r="F54" s="187" t="str">
        <f>IF($B54 = "Mutant",VLOOKUP($C54,Mutants!$A$2:$L$560,11,FALSE),IF($B54 = "Test",VLOOKUP($C54,Tests!$A$2:$L$841,11,FALSE),VLOOKUP($C54,Questions!$A$3:$N$201,13,FALSE)))</f>
        <v xml:space="preserve">getBinaryValue
</v>
      </c>
      <c r="G54" s="187"/>
      <c r="H54" s="202"/>
      <c r="I54" s="9"/>
      <c r="J54" s="9"/>
      <c r="K54" s="9"/>
      <c r="L54" s="9"/>
      <c r="M54" s="9"/>
    </row>
    <row r="55" spans="2:16" ht="15.75" customHeight="1">
      <c r="B55" s="114" t="s">
        <v>4589</v>
      </c>
      <c r="C55" s="9">
        <v>469</v>
      </c>
      <c r="D55" s="9" t="s">
        <v>4100</v>
      </c>
      <c r="E55" s="9" t="str">
        <f>IF($B55 = "Mutant",VLOOKUP($C55,Mutants!$A$2:$L$560,12,FALSE),IF($B55 = "Test",VLOOKUP($C55,Tests!$A$2:$L$841,12,FALSE),VLOOKUP($C55,Questions!$A$3:$N$201,9,FALSE)))</f>
        <v>Y</v>
      </c>
      <c r="F55" s="187" t="str">
        <f>IF($B55 = "Mutant",VLOOKUP($C55,Mutants!$A$2:$L$560,11,FALSE),IF($B55 = "Test",VLOOKUP($C55,Tests!$A$2:$L$841,11,FALSE),VLOOKUP($C55,Questions!$A$3:$N$201,13,FALSE)))</f>
        <v xml:space="preserve">getFields_1
</v>
      </c>
      <c r="G55" s="187"/>
      <c r="H55" s="202"/>
      <c r="I55" s="9"/>
      <c r="J55" s="9"/>
      <c r="K55" s="9"/>
      <c r="L55" s="9"/>
      <c r="M55" s="9"/>
    </row>
    <row r="56" spans="2:16" ht="15.75" customHeight="1">
      <c r="B56" s="114" t="s">
        <v>4589</v>
      </c>
      <c r="C56" s="9">
        <v>479</v>
      </c>
      <c r="D56" s="9" t="s">
        <v>1784</v>
      </c>
      <c r="E56" s="9" t="str">
        <f>IF($B56 = "Mutant",VLOOKUP($C56,Mutants!$A$2:$L$560,12,FALSE),IF($B56 = "Test",VLOOKUP($C56,Tests!$A$2:$L$841,12,FALSE),VLOOKUP($C56,Questions!$A$3:$N$201,9,FALSE)))</f>
        <v>Y</v>
      </c>
      <c r="F56" s="187" t="str">
        <f>IF($B56 = "Mutant",VLOOKUP($C56,Mutants!$A$2:$L$560,11,FALSE),IF($B56 = "Test",VLOOKUP($C56,Tests!$A$2:$L$841,11,FALSE),VLOOKUP($C56,Questions!$A$3:$N$201,13,FALSE)))</f>
        <v xml:space="preserve">getValues
</v>
      </c>
      <c r="G56" s="187"/>
      <c r="H56" s="202"/>
      <c r="I56" s="9"/>
      <c r="J56" s="9"/>
      <c r="K56" s="9"/>
      <c r="L56" s="9"/>
      <c r="M56" s="9"/>
    </row>
    <row r="57" spans="2:16" ht="15.75" customHeight="1">
      <c r="B57" s="114" t="s">
        <v>4589</v>
      </c>
      <c r="C57" s="9">
        <v>492</v>
      </c>
      <c r="D57" s="9" t="s">
        <v>4162</v>
      </c>
      <c r="E57" s="9" t="str">
        <f>IF($B57 = "Mutant",VLOOKUP($C57,Mutants!$A$2:$L$560,12,FALSE),IF($B57 = "Test",VLOOKUP($C57,Tests!$A$2:$L$841,12,FALSE),VLOOKUP($C57,Questions!$A$3:$N$201,9,FALSE)))</f>
        <v>Y</v>
      </c>
      <c r="F57" s="187" t="str">
        <f>IF($B57 = "Mutant",VLOOKUP($C57,Mutants!$A$2:$L$560,11,FALSE),IF($B57 = "Test",VLOOKUP($C57,Tests!$A$2:$L$841,11,FALSE),VLOOKUP($C57,Questions!$A$3:$N$201,13,FALSE)))</f>
        <v xml:space="preserve">toString
</v>
      </c>
      <c r="G57" s="187"/>
      <c r="H57" s="202"/>
      <c r="I57" s="9"/>
      <c r="J57" s="9"/>
      <c r="K57" s="9"/>
      <c r="L57" s="9"/>
      <c r="M57" s="9"/>
    </row>
    <row r="58" spans="2:16" ht="15.75" customHeight="1">
      <c r="B58" s="114" t="s">
        <v>107</v>
      </c>
      <c r="C58" s="9">
        <v>106</v>
      </c>
      <c r="D58" s="9" t="s">
        <v>374</v>
      </c>
      <c r="E58" s="9" t="str">
        <f>IF($B58 = "Mutant",VLOOKUP($C58,Mutants!$A$2:$L$560,12,FALSE),IF($B58 = "Test",VLOOKUP($C58,Tests!$A$2:$L$841,12,FALSE),VLOOKUP($C58,Questions!$A$3:$N$201,9,FALSE)))</f>
        <v>Y</v>
      </c>
      <c r="F58" s="187" t="str">
        <f>IF($B58 = "Mutant",VLOOKUP($C58,Mutants!$A$2:$L$560,11,FALSE),IF($B58 = "Test",VLOOKUP($C58,Tests!$A$2:$L$841,11,FALSE),VLOOKUP($C58,Questions!$A$3:$N$201,13,FALSE)))</f>
        <v>removeField</v>
      </c>
      <c r="G58" s="187"/>
      <c r="H58" s="202"/>
      <c r="I58" s="9"/>
      <c r="J58" s="9"/>
      <c r="K58" s="9"/>
      <c r="L58" s="9"/>
      <c r="M58" s="9"/>
      <c r="N58" s="9"/>
    </row>
    <row r="59" spans="2:16" ht="15.75" customHeight="1">
      <c r="B59" s="114" t="s">
        <v>4590</v>
      </c>
      <c r="C59" s="9">
        <v>492</v>
      </c>
      <c r="D59" s="9" t="s">
        <v>1812</v>
      </c>
      <c r="E59" s="9" t="str">
        <f>IF($B59 = "Mutant",VLOOKUP($C59,Mutants!$A$2:$L$560,12,FALSE),IF($B59 = "Test",VLOOKUP($C59,Tests!$A$2:$L$841,12,FALSE),VLOOKUP($C59,Questions!$A$3:$N$201,9,FALSE)))</f>
        <v>N</v>
      </c>
      <c r="F59" s="187" t="str">
        <f>IF($B59 = "Mutant",VLOOKUP($C59,Mutants!$A$2:$L$560,11,FALSE),IF($B59 = "Test",VLOOKUP($C59,Tests!$A$2:$L$841,11,FALSE),VLOOKUP($C59,Questions!$A$3:$N$201,13,FALSE)))</f>
        <v xml:space="preserve">
</v>
      </c>
      <c r="G59" s="187"/>
      <c r="H59" s="202"/>
      <c r="I59" s="9"/>
      <c r="J59" s="9"/>
      <c r="K59" s="9"/>
      <c r="L59" s="9"/>
      <c r="M59" s="9"/>
    </row>
    <row r="60" spans="2:16" ht="15.75" customHeight="1">
      <c r="B60" s="114" t="s">
        <v>107</v>
      </c>
      <c r="C60" s="9">
        <v>137</v>
      </c>
      <c r="D60" s="9" t="s">
        <v>378</v>
      </c>
      <c r="E60" s="9" t="str">
        <f>IF($B60 = "Mutant",VLOOKUP($C60,Mutants!$A$2:$L$560,12,FALSE),IF($B60 = "Test",VLOOKUP($C60,Tests!$A$2:$L$841,12,FALSE),VLOOKUP($C60,Questions!$A$3:$N$201,9,FALSE)))</f>
        <v>Y</v>
      </c>
      <c r="F60" s="187" t="str">
        <f>IF($B60 = "Mutant",VLOOKUP($C60,Mutants!$A$2:$L$560,11,FALSE),IF($B60 = "Test",VLOOKUP($C60,Tests!$A$2:$L$841,11,FALSE),VLOOKUP($C60,Questions!$A$3:$N$201,13,FALSE)))</f>
        <v xml:space="preserve"> </v>
      </c>
      <c r="G60" s="187"/>
      <c r="H60" s="202"/>
      <c r="I60" s="9"/>
      <c r="J60" s="9"/>
      <c r="K60" s="9"/>
      <c r="L60" s="9"/>
      <c r="M60" s="9"/>
    </row>
    <row r="61" spans="2:16" ht="15.75" customHeight="1">
      <c r="B61" s="114" t="s">
        <v>4590</v>
      </c>
      <c r="C61" s="9">
        <v>662</v>
      </c>
      <c r="D61" s="9" t="s">
        <v>2318</v>
      </c>
      <c r="E61" s="9" t="str">
        <f>IF($B61 = "Mutant",VLOOKUP($C61,Mutants!$A$2:$L$560,12,FALSE),IF($B61 = "Test",VLOOKUP($C61,Tests!$A$2:$L$841,12,FALSE),VLOOKUP($C61,Questions!$A$3:$N$201,9,FALSE)))</f>
        <v>N</v>
      </c>
      <c r="F61" s="187" t="str">
        <f>IF($B61 = "Mutant",VLOOKUP($C61,Mutants!$A$2:$L$560,11,FALSE),IF($B61 = "Test",VLOOKUP($C61,Tests!$A$2:$L$841,11,FALSE),VLOOKUP($C61,Questions!$A$3:$N$201,13,FALSE)))</f>
        <v xml:space="preserve">
</v>
      </c>
      <c r="G61" s="187"/>
      <c r="H61" s="202"/>
      <c r="I61" s="9"/>
      <c r="J61" s="9"/>
      <c r="K61" s="9"/>
      <c r="L61" s="9"/>
      <c r="M61" s="9"/>
    </row>
    <row r="62" spans="2:16" ht="15.75" customHeight="1">
      <c r="B62" s="114" t="s">
        <v>4589</v>
      </c>
      <c r="C62" s="9">
        <v>593</v>
      </c>
      <c r="D62" s="9" t="s">
        <v>4418</v>
      </c>
      <c r="E62" s="9" t="str">
        <f>IF($B62 = "Mutant",VLOOKUP($C62,Mutants!$A$2:$L$560,12,FALSE),IF($B62 = "Test",VLOOKUP($C62,Tests!$A$2:$L$841,12,FALSE),VLOOKUP($C62,Questions!$A$3:$N$201,9,FALSE)))</f>
        <v>Y</v>
      </c>
      <c r="F62" s="187" t="str">
        <f>IF($B62 = "Mutant",VLOOKUP($C62,Mutants!$A$2:$L$560,11,FALSE),IF($B62 = "Test",VLOOKUP($C62,Tests!$A$2:$L$841,11,FALSE),VLOOKUP($C62,Questions!$A$3:$N$201,13,FALSE)))</f>
        <v xml:space="preserve">toString
</v>
      </c>
      <c r="G62" s="187"/>
      <c r="H62" s="202"/>
      <c r="I62" s="9"/>
      <c r="J62" s="9"/>
      <c r="K62" s="9"/>
      <c r="L62" s="9"/>
      <c r="M62" s="9"/>
    </row>
    <row r="63" spans="2:16" ht="15.75" customHeight="1">
      <c r="B63" s="114" t="s">
        <v>4590</v>
      </c>
      <c r="C63" s="9">
        <v>740</v>
      </c>
      <c r="D63" s="9" t="s">
        <v>2522</v>
      </c>
      <c r="E63" s="9" t="str">
        <f>IF($B63 = "Mutant",VLOOKUP($C63,Mutants!$A$2:$L$560,12,FALSE),IF($B63 = "Test",VLOOKUP($C63,Tests!$A$2:$L$841,12,FALSE),VLOOKUP($C63,Questions!$A$3:$N$201,9,FALSE)))</f>
        <v>N</v>
      </c>
      <c r="F63" s="187" t="str">
        <f>IF($B63 = "Mutant",VLOOKUP($C63,Mutants!$A$2:$L$560,11,FALSE),IF($B63 = "Test",VLOOKUP($C63,Tests!$A$2:$L$841,11,FALSE),VLOOKUP($C63,Questions!$A$3:$N$201,13,FALSE)))</f>
        <v xml:space="preserve">
</v>
      </c>
      <c r="G63" s="187"/>
      <c r="H63" s="202"/>
      <c r="I63" s="9"/>
      <c r="J63" s="9"/>
      <c r="K63" s="9"/>
      <c r="L63" s="9"/>
      <c r="M63" s="9"/>
    </row>
    <row r="64" spans="2:16" ht="15.75" customHeight="1">
      <c r="B64" s="114" t="s">
        <v>4590</v>
      </c>
      <c r="C64" s="9">
        <v>743</v>
      </c>
      <c r="D64" s="9" t="s">
        <v>2531</v>
      </c>
      <c r="E64" s="9" t="str">
        <f>IF($B64 = "Mutant",VLOOKUP($C64,Mutants!$A$2:$L$560,12,FALSE),IF($B64 = "Test",VLOOKUP($C64,Tests!$A$2:$L$841,12,FALSE),VLOOKUP($C64,Questions!$A$3:$N$201,9,FALSE)))</f>
        <v>Y</v>
      </c>
      <c r="F64" s="187" t="str">
        <f>IF($B64 = "Mutant",VLOOKUP($C64,Mutants!$A$2:$L$560,11,FALSE),IF($B64 = "Test",VLOOKUP($C64,Tests!$A$2:$L$841,11,FALSE),VLOOKUP($C64,Questions!$A$3:$N$201,13,FALSE)))</f>
        <v xml:space="preserve">toString
</v>
      </c>
      <c r="G64" s="187"/>
      <c r="H64" s="202"/>
      <c r="I64" s="9"/>
      <c r="J64" s="9"/>
      <c r="K64" s="9"/>
      <c r="L64" s="9"/>
      <c r="M64" s="9"/>
    </row>
    <row r="65" spans="2:13" ht="15.75" customHeight="1">
      <c r="B65" s="133" t="s">
        <v>4590</v>
      </c>
      <c r="C65" s="130">
        <v>866</v>
      </c>
      <c r="D65" s="130" t="s">
        <v>2866</v>
      </c>
      <c r="E65" s="130" t="str">
        <f>IF($B65 = "Mutant",VLOOKUP($C65,Mutants!$A$2:$L$560,12,FALSE),IF($B65 = "Test",VLOOKUP($C65,Tests!$A$2:$L$841,12,FALSE),VLOOKUP($C65,Questions!$A$3:$N$201,9,FALSE)))</f>
        <v>Y</v>
      </c>
      <c r="F65" s="203" t="str">
        <f>IF($B65 = "Mutant",VLOOKUP($C65,Mutants!$A$2:$L$560,11,FALSE),IF($B65 = "Test",VLOOKUP($C65,Tests!$A$2:$L$841,11,FALSE),VLOOKUP($C65,Questions!$A$3:$N$201,13,FALSE)))</f>
        <v xml:space="preserve">getFields_2, clear
</v>
      </c>
      <c r="G65" s="203"/>
      <c r="H65" s="204"/>
      <c r="I65" s="9"/>
      <c r="J65" s="9"/>
      <c r="K65" s="9"/>
      <c r="L65" s="9"/>
      <c r="M65" s="9"/>
    </row>
    <row r="66" spans="2:13" ht="15.75" customHeight="1">
      <c r="F66" s="188"/>
      <c r="G66" s="188"/>
      <c r="H66" s="188"/>
    </row>
    <row r="67" spans="2:13" ht="15.75" customHeight="1">
      <c r="F67" s="188"/>
      <c r="G67" s="188"/>
      <c r="H67" s="188"/>
    </row>
    <row r="68" spans="2:13" ht="15.75" customHeight="1" thickBot="1">
      <c r="B68" s="219" t="s">
        <v>4604</v>
      </c>
      <c r="C68" s="201"/>
      <c r="D68" s="45">
        <v>221</v>
      </c>
      <c r="F68" s="207"/>
      <c r="G68" s="207"/>
      <c r="H68" s="207"/>
    </row>
    <row r="69" spans="2:13" ht="15.75" customHeight="1" thickTop="1">
      <c r="B69" s="134" t="s">
        <v>4594</v>
      </c>
      <c r="C69" s="135" t="s">
        <v>44</v>
      </c>
      <c r="D69" s="135" t="s">
        <v>110</v>
      </c>
      <c r="E69" s="136" t="s">
        <v>2</v>
      </c>
      <c r="F69" s="229" t="s">
        <v>4612</v>
      </c>
      <c r="G69" s="229"/>
      <c r="H69" s="230"/>
      <c r="I69" s="9"/>
      <c r="J69" s="9"/>
      <c r="K69" s="9"/>
      <c r="L69" s="9"/>
      <c r="M69" s="9"/>
    </row>
    <row r="70" spans="2:13" ht="15.75" customHeight="1">
      <c r="B70" s="137" t="s">
        <v>4589</v>
      </c>
      <c r="C70" s="93">
        <v>367</v>
      </c>
      <c r="D70" s="93" t="s">
        <v>3828</v>
      </c>
      <c r="E70" s="93" t="str">
        <f>IF($B70 = "Mutant",VLOOKUP($C70,Mutants!$A$2:$L$560,12,FALSE),IF($B70 = "Test",VLOOKUP($C70,Tests!$A$2:$L$841,12,FALSE),VLOOKUP($C70,Questions!$A$3:$N$201,9,FALSE)))</f>
        <v>Y</v>
      </c>
      <c r="F70" s="205" t="str">
        <f>IF($B70 = "Mutant",VLOOKUP($C70,Mutants!$A$2:$L$560,11,FALSE),IF($B70 = "Test",VLOOKUP($C70,Tests!$A$2:$L$841,11,FALSE),VLOOKUP($C70,Questions!$A$3:$N$201,13,FALSE)))</f>
        <v xml:space="preserve">toString
</v>
      </c>
      <c r="G70" s="205"/>
      <c r="H70" s="206"/>
      <c r="I70" s="9"/>
      <c r="J70" s="9"/>
      <c r="K70" s="9"/>
      <c r="L70" s="9"/>
      <c r="M70" s="9"/>
    </row>
    <row r="71" spans="2:13" ht="15.75" customHeight="1">
      <c r="B71" s="114" t="s">
        <v>4589</v>
      </c>
      <c r="C71" s="9">
        <v>398</v>
      </c>
      <c r="D71" s="9" t="s">
        <v>3914</v>
      </c>
      <c r="E71" s="9" t="str">
        <f>IF($B71 = "Mutant",VLOOKUP($C71,Mutants!$A$2:$L$560,12,FALSE),IF($B71 = "Test",VLOOKUP($C71,Tests!$A$2:$L$841,12,FALSE),VLOOKUP($C71,Questions!$A$3:$N$201,9,FALSE)))</f>
        <v>Y</v>
      </c>
      <c r="F71" s="187" t="str">
        <f>IF($B71 = "Mutant",VLOOKUP($C71,Mutants!$A$2:$L$560,11,FALSE),IF($B71 = "Test",VLOOKUP($C71,Tests!$A$2:$L$841,11,FALSE),VLOOKUP($C71,Questions!$A$3:$N$201,13,FALSE)))</f>
        <v xml:space="preserve">get
</v>
      </c>
      <c r="G71" s="187"/>
      <c r="H71" s="202"/>
      <c r="I71" s="9"/>
      <c r="J71" s="9"/>
      <c r="K71" s="9"/>
      <c r="L71" s="9"/>
      <c r="M71" s="9"/>
    </row>
    <row r="72" spans="2:13" ht="15.75" customHeight="1">
      <c r="B72" s="114" t="s">
        <v>4589</v>
      </c>
      <c r="C72" s="9">
        <v>432</v>
      </c>
      <c r="D72" s="9" t="s">
        <v>4000</v>
      </c>
      <c r="E72" s="9" t="str">
        <f>IF($B72 = "Mutant",VLOOKUP($C72,Mutants!$A$2:$L$560,12,FALSE),IF($B72 = "Test",VLOOKUP($C72,Tests!$A$2:$L$841,12,FALSE),VLOOKUP($C72,Questions!$A$3:$N$201,9,FALSE)))</f>
        <v>Y</v>
      </c>
      <c r="F72" s="187" t="str">
        <f>IF($B72 = "Mutant",VLOOKUP($C72,Mutants!$A$2:$L$560,11,FALSE),IF($B72 = "Test",VLOOKUP($C72,Tests!$A$2:$L$841,11,FALSE),VLOOKUP($C72,Questions!$A$3:$N$201,13,FALSE)))</f>
        <v xml:space="preserve">getBinaryValues
</v>
      </c>
      <c r="G72" s="187"/>
      <c r="H72" s="202"/>
      <c r="I72" s="9"/>
      <c r="J72" s="9"/>
      <c r="K72" s="9"/>
      <c r="L72" s="9"/>
      <c r="M72" s="9"/>
    </row>
    <row r="73" spans="2:13" ht="15.75" customHeight="1">
      <c r="B73" s="114" t="s">
        <v>4589</v>
      </c>
      <c r="C73" s="9">
        <v>460</v>
      </c>
      <c r="D73" s="9" t="s">
        <v>1769</v>
      </c>
      <c r="E73" s="9" t="str">
        <f>IF($B73 = "Mutant",VLOOKUP($C73,Mutants!$A$2:$L$560,12,FALSE),IF($B73 = "Test",VLOOKUP($C73,Tests!$A$2:$L$841,12,FALSE),VLOOKUP($C73,Questions!$A$3:$N$201,9,FALSE)))</f>
        <v>Y</v>
      </c>
      <c r="F73" s="187" t="str">
        <f>IF($B73 = "Mutant",VLOOKUP($C73,Mutants!$A$2:$L$560,11,FALSE),IF($B73 = "Test",VLOOKUP($C73,Tests!$A$2:$L$841,11,FALSE),VLOOKUP($C73,Questions!$A$3:$N$201,13,FALSE)))</f>
        <v xml:space="preserve">removeField
</v>
      </c>
      <c r="G73" s="187"/>
      <c r="H73" s="202"/>
      <c r="I73" s="9"/>
      <c r="J73" s="9"/>
      <c r="K73" s="9"/>
      <c r="L73" s="9"/>
      <c r="M73" s="9"/>
    </row>
    <row r="74" spans="2:13" ht="15.75" customHeight="1">
      <c r="B74" s="114" t="s">
        <v>107</v>
      </c>
      <c r="C74" s="9">
        <v>101</v>
      </c>
      <c r="D74" s="9" t="s">
        <v>381</v>
      </c>
      <c r="E74" s="9" t="str">
        <f>IF($B74 = "Mutant",VLOOKUP($C74,Mutants!$A$2:$L$560,12,FALSE),IF($B74 = "Test",VLOOKUP($C74,Tests!$A$2:$L$841,12,FALSE),VLOOKUP($C74,Questions!$A$3:$N$201,9,FALSE)))</f>
        <v>Y</v>
      </c>
      <c r="F74" s="187" t="str">
        <f>IF($B74 = "Mutant",VLOOKUP($C74,Mutants!$A$2:$L$560,11,FALSE),IF($B74 = "Test",VLOOKUP($C74,Tests!$A$2:$L$841,11,FALSE),VLOOKUP($C74,Questions!$A$3:$N$201,13,FALSE)))</f>
        <v xml:space="preserve"> </v>
      </c>
      <c r="G74" s="187"/>
      <c r="H74" s="202"/>
      <c r="I74" s="9"/>
      <c r="J74" s="9"/>
      <c r="K74" s="9"/>
      <c r="L74" s="9"/>
      <c r="M74" s="9"/>
    </row>
    <row r="75" spans="2:13" ht="15.75" customHeight="1">
      <c r="B75" s="114" t="s">
        <v>4589</v>
      </c>
      <c r="C75" s="9">
        <v>504</v>
      </c>
      <c r="D75" s="9" t="s">
        <v>4193</v>
      </c>
      <c r="E75" s="9" t="str">
        <f>IF($B75 = "Mutant",VLOOKUP($C75,Mutants!$A$2:$L$560,12,FALSE),IF($B75 = "Test",VLOOKUP($C75,Tests!$A$2:$L$841,12,FALSE),VLOOKUP($C75,Questions!$A$3:$N$201,9,FALSE)))</f>
        <v>Y</v>
      </c>
      <c r="F75" s="187" t="str">
        <f>IF($B75 = "Mutant",VLOOKUP($C75,Mutants!$A$2:$L$560,11,FALSE),IF($B75 = "Test",VLOOKUP($C75,Tests!$A$2:$L$841,11,FALSE),VLOOKUP($C75,Questions!$A$3:$N$201,13,FALSE)))</f>
        <v xml:space="preserve">getFields_1
</v>
      </c>
      <c r="G75" s="187"/>
      <c r="H75" s="202"/>
      <c r="I75" s="9"/>
      <c r="J75" s="9"/>
      <c r="K75" s="9"/>
      <c r="L75" s="9"/>
      <c r="M75" s="9"/>
    </row>
    <row r="76" spans="2:13" ht="15.75" customHeight="1">
      <c r="B76" s="114" t="s">
        <v>4589</v>
      </c>
      <c r="C76" s="9">
        <v>510</v>
      </c>
      <c r="D76" s="9" t="s">
        <v>4207</v>
      </c>
      <c r="E76" s="9" t="str">
        <f>IF($B76 = "Mutant",VLOOKUP($C76,Mutants!$A$2:$L$560,12,FALSE),IF($B76 = "Test",VLOOKUP($C76,Tests!$A$2:$L$841,12,FALSE),VLOOKUP($C76,Questions!$A$3:$N$201,9,FALSE)))</f>
        <v>Y</v>
      </c>
      <c r="F76" s="187" t="str">
        <f>IF($B76 = "Mutant",VLOOKUP($C76,Mutants!$A$2:$L$560,11,FALSE),IF($B76 = "Test",VLOOKUP($C76,Tests!$A$2:$L$841,11,FALSE),VLOOKUP($C76,Questions!$A$3:$N$201,13,FALSE)))</f>
        <v xml:space="preserve">getValues
</v>
      </c>
      <c r="G76" s="187"/>
      <c r="H76" s="202"/>
      <c r="I76" s="9"/>
      <c r="J76" s="9"/>
      <c r="K76" s="9"/>
      <c r="L76" s="9"/>
      <c r="M76" s="9"/>
    </row>
    <row r="77" spans="2:13" ht="15.75" customHeight="1">
      <c r="B77" s="114" t="s">
        <v>4589</v>
      </c>
      <c r="C77" s="9">
        <v>517</v>
      </c>
      <c r="D77" s="9" t="s">
        <v>1814</v>
      </c>
      <c r="E77" s="9" t="str">
        <f>IF($B77 = "Mutant",VLOOKUP($C77,Mutants!$A$2:$L$560,12,FALSE),IF($B77 = "Test",VLOOKUP($C77,Tests!$A$2:$L$841,12,FALSE),VLOOKUP($C77,Questions!$A$3:$N$201,9,FALSE)))</f>
        <v>Y</v>
      </c>
      <c r="F77" s="187" t="str">
        <f>IF($B77 = "Mutant",VLOOKUP($C77,Mutants!$A$2:$L$560,11,FALSE),IF($B77 = "Test",VLOOKUP($C77,Tests!$A$2:$L$841,11,FALSE),VLOOKUP($C77,Questions!$A$3:$N$201,13,FALSE)))</f>
        <v xml:space="preserve">
</v>
      </c>
      <c r="G77" s="187"/>
      <c r="H77" s="202"/>
      <c r="I77" s="9"/>
      <c r="J77" s="9"/>
      <c r="K77" s="9"/>
      <c r="L77" s="9"/>
      <c r="M77" s="9"/>
    </row>
    <row r="78" spans="2:13" ht="15.75" customHeight="1">
      <c r="B78" s="114" t="s">
        <v>4590</v>
      </c>
      <c r="C78" s="9">
        <v>516</v>
      </c>
      <c r="D78" s="9" t="s">
        <v>1890</v>
      </c>
      <c r="E78" s="9" t="str">
        <f>IF($B78 = "Mutant",VLOOKUP($C78,Mutants!$A$2:$L$560,12,FALSE),IF($B78 = "Test",VLOOKUP($C78,Tests!$A$2:$L$841,12,FALSE),VLOOKUP($C78,Questions!$A$3:$N$201,9,FALSE)))</f>
        <v>Y</v>
      </c>
      <c r="F78" s="187" t="str">
        <f>IF($B78 = "Mutant",VLOOKUP($C78,Mutants!$A$2:$L$560,11,FALSE),IF($B78 = "Test",VLOOKUP($C78,Tests!$A$2:$L$841,11,FALSE),VLOOKUP($C78,Questions!$A$3:$N$201,13,FALSE)))</f>
        <v xml:space="preserve">getFields_1
</v>
      </c>
      <c r="G78" s="187"/>
      <c r="H78" s="202"/>
      <c r="I78" s="9"/>
      <c r="J78" s="9"/>
      <c r="K78" s="9"/>
      <c r="L78" s="9"/>
      <c r="M78" s="9"/>
    </row>
    <row r="79" spans="2:13" ht="15.75" customHeight="1">
      <c r="B79" s="114" t="s">
        <v>4590</v>
      </c>
      <c r="C79" s="9">
        <v>523</v>
      </c>
      <c r="D79" s="9" t="s">
        <v>1914</v>
      </c>
      <c r="E79" s="9" t="str">
        <f>IF($B79 = "Mutant",VLOOKUP($C79,Mutants!$A$2:$L$560,12,FALSE),IF($B79 = "Test",VLOOKUP($C79,Tests!$A$2:$L$841,12,FALSE),VLOOKUP($C79,Questions!$A$3:$N$201,9,FALSE)))</f>
        <v>Y</v>
      </c>
      <c r="F79" s="187" t="str">
        <f>IF($B79 = "Mutant",VLOOKUP($C79,Mutants!$A$2:$L$560,11,FALSE),IF($B79 = "Test",VLOOKUP($C79,Tests!$A$2:$L$841,11,FALSE),VLOOKUP($C79,Questions!$A$3:$N$201,13,FALSE)))</f>
        <v xml:space="preserve">getFields_1
</v>
      </c>
      <c r="G79" s="187"/>
      <c r="H79" s="202"/>
      <c r="I79" s="9"/>
      <c r="J79" s="9"/>
      <c r="K79" s="9"/>
      <c r="L79" s="9"/>
      <c r="M79" s="9"/>
    </row>
    <row r="80" spans="2:13" ht="15.75" customHeight="1">
      <c r="B80" s="114" t="s">
        <v>4590</v>
      </c>
      <c r="C80" s="9">
        <v>533</v>
      </c>
      <c r="D80" s="9" t="s">
        <v>1948</v>
      </c>
      <c r="E80" s="9" t="str">
        <f>IF($B80 = "Mutant",VLOOKUP($C80,Mutants!$A$2:$L$560,12,FALSE),IF($B80 = "Test",VLOOKUP($C80,Tests!$A$2:$L$841,12,FALSE),VLOOKUP($C80,Questions!$A$3:$N$201,9,FALSE)))</f>
        <v>N</v>
      </c>
      <c r="F80" s="187" t="str">
        <f>IF($B80 = "Mutant",VLOOKUP($C80,Mutants!$A$2:$L$560,11,FALSE),IF($B80 = "Test",VLOOKUP($C80,Tests!$A$2:$L$841,11,FALSE),VLOOKUP($C80,Questions!$A$3:$N$201,13,FALSE)))</f>
        <v xml:space="preserve">
</v>
      </c>
      <c r="G80" s="187"/>
      <c r="H80" s="202"/>
      <c r="I80" s="9"/>
      <c r="J80" s="9"/>
      <c r="K80" s="9"/>
      <c r="L80" s="9"/>
      <c r="M80" s="9"/>
    </row>
    <row r="81" spans="2:13" ht="15.75" customHeight="1">
      <c r="B81" s="114" t="s">
        <v>4590</v>
      </c>
      <c r="C81" s="9">
        <v>534</v>
      </c>
      <c r="D81" s="9" t="s">
        <v>626</v>
      </c>
      <c r="E81" s="9" t="str">
        <f>IF($B81 = "Mutant",VLOOKUP($C81,Mutants!$A$2:$L$560,12,FALSE),IF($B81 = "Test",VLOOKUP($C81,Tests!$A$2:$L$841,12,FALSE),VLOOKUP($C81,Questions!$A$3:$N$201,9,FALSE)))</f>
        <v>Y</v>
      </c>
      <c r="F81" s="187" t="str">
        <f>IF($B81 = "Mutant",VLOOKUP($C81,Mutants!$A$2:$L$560,11,FALSE),IF($B81 = "Test",VLOOKUP($C81,Tests!$A$2:$L$841,11,FALSE),VLOOKUP($C81,Questions!$A$3:$N$201,13,FALSE)))</f>
        <v xml:space="preserve">getFields_1
</v>
      </c>
      <c r="G81" s="187"/>
      <c r="H81" s="202"/>
      <c r="I81" s="9"/>
      <c r="J81" s="9"/>
      <c r="K81" s="9"/>
      <c r="L81" s="9"/>
      <c r="M81" s="9"/>
    </row>
    <row r="82" spans="2:13" ht="15.75" customHeight="1">
      <c r="B82" s="114" t="s">
        <v>4590</v>
      </c>
      <c r="C82" s="9">
        <v>545</v>
      </c>
      <c r="D82" s="9" t="s">
        <v>1980</v>
      </c>
      <c r="E82" s="9" t="str">
        <f>IF($B82 = "Mutant",VLOOKUP($C82,Mutants!$A$2:$L$560,12,FALSE),IF($B82 = "Test",VLOOKUP($C82,Tests!$A$2:$L$841,12,FALSE),VLOOKUP($C82,Questions!$A$3:$N$201,9,FALSE)))</f>
        <v>Y</v>
      </c>
      <c r="F82" s="187" t="str">
        <f>IF($B82 = "Mutant",VLOOKUP($C82,Mutants!$A$2:$L$560,11,FALSE),IF($B82 = "Test",VLOOKUP($C82,Tests!$A$2:$L$841,11,FALSE),VLOOKUP($C82,Questions!$A$3:$N$201,13,FALSE)))</f>
        <v xml:space="preserve">getFields_1
</v>
      </c>
      <c r="G82" s="187"/>
      <c r="H82" s="202"/>
      <c r="I82" s="9"/>
      <c r="J82" s="9"/>
      <c r="K82" s="9"/>
      <c r="L82" s="9"/>
      <c r="M82" s="9"/>
    </row>
    <row r="83" spans="2:13" ht="15.75" customHeight="1">
      <c r="B83" s="114" t="s">
        <v>4590</v>
      </c>
      <c r="C83" s="9">
        <v>552</v>
      </c>
      <c r="D83" s="9" t="s">
        <v>2000</v>
      </c>
      <c r="E83" s="9" t="str">
        <f>IF($B83 = "Mutant",VLOOKUP($C83,Mutants!$A$2:$L$560,12,FALSE),IF($B83 = "Test",VLOOKUP($C83,Tests!$A$2:$L$841,12,FALSE),VLOOKUP($C83,Questions!$A$3:$N$201,9,FALSE)))</f>
        <v>Y</v>
      </c>
      <c r="F83" s="187" t="str">
        <f>IF($B83 = "Mutant",VLOOKUP($C83,Mutants!$A$2:$L$560,11,FALSE),IF($B83 = "Test",VLOOKUP($C83,Tests!$A$2:$L$841,11,FALSE),VLOOKUP($C83,Questions!$A$3:$N$201,13,FALSE)))</f>
        <v xml:space="preserve">getFields_1
</v>
      </c>
      <c r="G83" s="187"/>
      <c r="H83" s="202"/>
      <c r="I83" s="9"/>
      <c r="J83" s="9"/>
      <c r="K83" s="9"/>
      <c r="L83" s="9"/>
      <c r="M83" s="9"/>
    </row>
    <row r="84" spans="2:13" ht="15.75" customHeight="1">
      <c r="B84" s="114" t="s">
        <v>4590</v>
      </c>
      <c r="C84" s="9">
        <v>562</v>
      </c>
      <c r="D84" s="9" t="s">
        <v>2030</v>
      </c>
      <c r="E84" s="9" t="str">
        <f>IF($B84 = "Mutant",VLOOKUP($C84,Mutants!$A$2:$L$560,12,FALSE),IF($B84 = "Test",VLOOKUP($C84,Tests!$A$2:$L$841,12,FALSE),VLOOKUP($C84,Questions!$A$3:$N$201,9,FALSE)))</f>
        <v>Y</v>
      </c>
      <c r="F84" s="187" t="str">
        <f>IF($B84 = "Mutant",VLOOKUP($C84,Mutants!$A$2:$L$560,11,FALSE),IF($B84 = "Test",VLOOKUP($C84,Tests!$A$2:$L$841,11,FALSE),VLOOKUP($C84,Questions!$A$3:$N$201,13,FALSE)))</f>
        <v xml:space="preserve">getFields_1
</v>
      </c>
      <c r="G84" s="187"/>
      <c r="H84" s="202"/>
      <c r="I84" s="9"/>
      <c r="J84" s="9"/>
      <c r="K84" s="9"/>
      <c r="L84" s="9"/>
      <c r="M84" s="9"/>
    </row>
    <row r="85" spans="2:13" ht="15.75" customHeight="1">
      <c r="B85" s="114" t="s">
        <v>4590</v>
      </c>
      <c r="C85" s="9">
        <v>626</v>
      </c>
      <c r="D85" s="9" t="s">
        <v>2207</v>
      </c>
      <c r="E85" s="9" t="str">
        <f>IF($B85 = "Mutant",VLOOKUP($C85,Mutants!$A$2:$L$560,12,FALSE),IF($B85 = "Test",VLOOKUP($C85,Tests!$A$2:$L$841,12,FALSE),VLOOKUP($C85,Questions!$A$3:$N$201,9,FALSE)))</f>
        <v>Y</v>
      </c>
      <c r="F85" s="187" t="str">
        <f>IF($B85 = "Mutant",VLOOKUP($C85,Mutants!$A$2:$L$560,11,FALSE),IF($B85 = "Test",VLOOKUP($C85,Tests!$A$2:$L$841,11,FALSE),VLOOKUP($C85,Questions!$A$3:$N$201,13,FALSE)))</f>
        <v xml:space="preserve">getField
</v>
      </c>
      <c r="G85" s="187"/>
      <c r="H85" s="202"/>
      <c r="I85" s="9"/>
      <c r="J85" s="9"/>
      <c r="K85" s="9"/>
      <c r="L85" s="9"/>
      <c r="M85" s="9"/>
    </row>
    <row r="86" spans="2:13" ht="15.75" customHeight="1">
      <c r="B86" s="133" t="s">
        <v>4589</v>
      </c>
      <c r="C86" s="130">
        <v>589</v>
      </c>
      <c r="D86" s="130" t="s">
        <v>4407</v>
      </c>
      <c r="E86" s="130" t="str">
        <f>IF($B86 = "Mutant",VLOOKUP($C86,Mutants!$A$2:$L$560,12,FALSE),IF($B86 = "Test",VLOOKUP($C86,Tests!$A$2:$L$841,12,FALSE),VLOOKUP($C86,Questions!$A$3:$N$201,9,FALSE)))</f>
        <v>Y</v>
      </c>
      <c r="F86" s="203" t="str">
        <f>IF($B86 = "Mutant",VLOOKUP($C86,Mutants!$A$2:$L$560,11,FALSE),IF($B86 = "Test",VLOOKUP($C86,Tests!$A$2:$L$841,11,FALSE),VLOOKUP($C86,Questions!$A$3:$N$201,13,FALSE)))</f>
        <v xml:space="preserve">toString
</v>
      </c>
      <c r="G86" s="203"/>
      <c r="H86" s="204"/>
      <c r="I86" s="9"/>
      <c r="J86" s="9"/>
      <c r="K86" s="9"/>
      <c r="L86" s="9"/>
      <c r="M86" s="9"/>
    </row>
    <row r="87" spans="2:13" ht="15.75" customHeight="1">
      <c r="F87" s="188"/>
      <c r="G87" s="188"/>
      <c r="H87" s="188"/>
    </row>
    <row r="88" spans="2:13" ht="15.75" customHeight="1">
      <c r="F88" s="188"/>
      <c r="G88" s="188"/>
      <c r="H88" s="188"/>
    </row>
    <row r="89" spans="2:13" ht="15.75" customHeight="1" thickBot="1">
      <c r="B89" s="219" t="s">
        <v>4604</v>
      </c>
      <c r="C89" s="201"/>
      <c r="D89" s="45">
        <v>222</v>
      </c>
      <c r="F89" s="207"/>
      <c r="G89" s="207"/>
      <c r="H89" s="207"/>
    </row>
    <row r="90" spans="2:13" ht="15.75" customHeight="1" thickTop="1">
      <c r="B90" s="134" t="s">
        <v>4594</v>
      </c>
      <c r="C90" s="135" t="s">
        <v>44</v>
      </c>
      <c r="D90" s="135" t="s">
        <v>110</v>
      </c>
      <c r="E90" s="136" t="s">
        <v>2</v>
      </c>
      <c r="F90" s="229" t="s">
        <v>4612</v>
      </c>
      <c r="G90" s="229"/>
      <c r="H90" s="230"/>
      <c r="I90" s="9"/>
      <c r="J90" s="9"/>
      <c r="K90" s="9"/>
      <c r="L90" s="9"/>
      <c r="M90" s="9"/>
    </row>
    <row r="91" spans="2:13" ht="15.75" customHeight="1">
      <c r="B91" s="137" t="s">
        <v>4589</v>
      </c>
      <c r="C91" s="93">
        <v>399</v>
      </c>
      <c r="D91" s="93" t="s">
        <v>3917</v>
      </c>
      <c r="E91" s="93" t="str">
        <f>IF($B91 = "Mutant",VLOOKUP($C91,Mutants!$A$2:$L$560,12,FALSE),IF($B91 = "Test",VLOOKUP($C91,Tests!$A$2:$L$841,12,FALSE),VLOOKUP($C91,Questions!$A$3:$N$201,9,FALSE)))</f>
        <v>Y</v>
      </c>
      <c r="F91" s="205" t="str">
        <f>IF($B91 = "Mutant",VLOOKUP($C91,Mutants!$A$2:$L$560,11,FALSE),IF($B91 = "Test",VLOOKUP($C91,Tests!$A$2:$L$841,11,FALSE),VLOOKUP($C91,Questions!$A$3:$N$201,13,FALSE)))</f>
        <v xml:space="preserve">toString
</v>
      </c>
      <c r="G91" s="205"/>
      <c r="H91" s="206"/>
      <c r="I91" s="9"/>
      <c r="J91" s="9"/>
      <c r="K91" s="9"/>
      <c r="L91" s="9"/>
      <c r="M91" s="9"/>
    </row>
    <row r="92" spans="2:13" ht="15.75" customHeight="1">
      <c r="B92" s="114" t="s">
        <v>4589</v>
      </c>
      <c r="C92" s="9">
        <v>417</v>
      </c>
      <c r="D92" s="9" t="s">
        <v>3965</v>
      </c>
      <c r="E92" s="9" t="str">
        <f>IF($B92 = "Mutant",VLOOKUP($C92,Mutants!$A$2:$L$560,12,FALSE),IF($B92 = "Test",VLOOKUP($C92,Tests!$A$2:$L$841,12,FALSE),VLOOKUP($C92,Questions!$A$3:$N$201,9,FALSE)))</f>
        <v>Y</v>
      </c>
      <c r="F92" s="187" t="str">
        <f>IF($B92 = "Mutant",VLOOKUP($C92,Mutants!$A$2:$L$560,11,FALSE),IF($B92 = "Test",VLOOKUP($C92,Tests!$A$2:$L$841,11,FALSE),VLOOKUP($C92,Questions!$A$3:$N$201,13,FALSE)))</f>
        <v xml:space="preserve">toString
</v>
      </c>
      <c r="G92" s="187"/>
      <c r="H92" s="202"/>
      <c r="I92" s="9"/>
      <c r="J92" s="9"/>
      <c r="K92" s="9"/>
      <c r="L92" s="9"/>
      <c r="M92" s="9"/>
    </row>
    <row r="93" spans="2:13" ht="15.75" customHeight="1">
      <c r="B93" s="114" t="s">
        <v>4589</v>
      </c>
      <c r="C93" s="9">
        <v>461</v>
      </c>
      <c r="D93" s="9" t="s">
        <v>483</v>
      </c>
      <c r="E93" s="9" t="str">
        <f>IF($B93 = "Mutant",VLOOKUP($C93,Mutants!$A$2:$L$560,12,FALSE),IF($B93 = "Test",VLOOKUP($C93,Tests!$A$2:$L$841,12,FALSE),VLOOKUP($C93,Questions!$A$3:$N$201,9,FALSE)))</f>
        <v>Y</v>
      </c>
      <c r="F93" s="187" t="str">
        <f>IF($B93 = "Mutant",VLOOKUP($C93,Mutants!$A$2:$L$560,11,FALSE),IF($B93 = "Test",VLOOKUP($C93,Tests!$A$2:$L$841,11,FALSE),VLOOKUP($C93,Questions!$A$3:$N$201,13,FALSE)))</f>
        <v xml:space="preserve">removeField
</v>
      </c>
      <c r="G93" s="187"/>
      <c r="H93" s="202"/>
      <c r="I93" s="9"/>
      <c r="J93" s="9"/>
      <c r="K93" s="9"/>
      <c r="L93" s="9"/>
      <c r="M93" s="9"/>
    </row>
    <row r="94" spans="2:13" ht="15.75" customHeight="1">
      <c r="B94" s="114" t="s">
        <v>4589</v>
      </c>
      <c r="C94" s="9">
        <v>489</v>
      </c>
      <c r="D94" s="9" t="s">
        <v>4153</v>
      </c>
      <c r="E94" s="9" t="str">
        <f>IF($B94 = "Mutant",VLOOKUP($C94,Mutants!$A$2:$L$560,12,FALSE),IF($B94 = "Test",VLOOKUP($C94,Tests!$A$2:$L$841,12,FALSE),VLOOKUP($C94,Questions!$A$3:$N$201,9,FALSE)))</f>
        <v>N</v>
      </c>
      <c r="F94" s="187" t="str">
        <f>IF($B94 = "Mutant",VLOOKUP($C94,Mutants!$A$2:$L$560,11,FALSE),IF($B94 = "Test",VLOOKUP($C94,Tests!$A$2:$L$841,11,FALSE),VLOOKUP($C94,Questions!$A$3:$N$201,13,FALSE)))</f>
        <v xml:space="preserve">
</v>
      </c>
      <c r="G94" s="187"/>
      <c r="H94" s="202"/>
      <c r="I94" s="9"/>
      <c r="J94" s="9"/>
      <c r="K94" s="9"/>
      <c r="L94" s="9"/>
      <c r="M94" s="9"/>
    </row>
    <row r="95" spans="2:13" ht="15.75" customHeight="1">
      <c r="B95" s="114" t="s">
        <v>4589</v>
      </c>
      <c r="C95" s="9">
        <v>497</v>
      </c>
      <c r="D95" s="9" t="s">
        <v>4174</v>
      </c>
      <c r="E95" s="9" t="str">
        <f>IF($B95 = "Mutant",VLOOKUP($C95,Mutants!$A$2:$L$560,12,FALSE),IF($B95 = "Test",VLOOKUP($C95,Tests!$A$2:$L$841,12,FALSE),VLOOKUP($C95,Questions!$A$3:$N$201,9,FALSE)))</f>
        <v>Y</v>
      </c>
      <c r="F95" s="187" t="str">
        <f>IF($B95 = "Mutant",VLOOKUP($C95,Mutants!$A$2:$L$560,11,FALSE),IF($B95 = "Test",VLOOKUP($C95,Tests!$A$2:$L$841,11,FALSE),VLOOKUP($C95,Questions!$A$3:$N$201,13,FALSE)))</f>
        <v xml:space="preserve">getValues
</v>
      </c>
      <c r="G95" s="187"/>
      <c r="H95" s="202"/>
      <c r="I95" s="9"/>
      <c r="J95" s="9"/>
      <c r="K95" s="9"/>
      <c r="L95" s="9"/>
      <c r="M95" s="9"/>
    </row>
    <row r="96" spans="2:13" ht="15.75" customHeight="1">
      <c r="B96" s="114" t="s">
        <v>4589</v>
      </c>
      <c r="C96" s="9">
        <v>535</v>
      </c>
      <c r="D96" s="9" t="s">
        <v>1847</v>
      </c>
      <c r="E96" s="9" t="str">
        <f>IF($B96 = "Mutant",VLOOKUP($C96,Mutants!$A$2:$L$560,12,FALSE),IF($B96 = "Test",VLOOKUP($C96,Tests!$A$2:$L$841,12,FALSE),VLOOKUP($C96,Questions!$A$3:$N$201,9,FALSE)))</f>
        <v>Y</v>
      </c>
      <c r="F96" s="187" t="str">
        <f>IF($B96 = "Mutant",VLOOKUP($C96,Mutants!$A$2:$L$560,11,FALSE),IF($B96 = "Test",VLOOKUP($C96,Tests!$A$2:$L$841,11,FALSE),VLOOKUP($C96,Questions!$A$3:$N$201,13,FALSE)))</f>
        <v xml:space="preserve">getField
</v>
      </c>
      <c r="G96" s="187"/>
      <c r="H96" s="202"/>
      <c r="I96" s="9"/>
      <c r="J96" s="9"/>
      <c r="K96" s="9"/>
      <c r="L96" s="9"/>
      <c r="M96" s="9"/>
    </row>
    <row r="97" spans="2:14" ht="15.75" customHeight="1">
      <c r="B97" s="114" t="s">
        <v>4589</v>
      </c>
      <c r="C97" s="9">
        <v>543</v>
      </c>
      <c r="D97" s="9" t="s">
        <v>4289</v>
      </c>
      <c r="E97" s="9" t="str">
        <f>IF($B97 = "Mutant",VLOOKUP($C97,Mutants!$A$2:$L$560,12,FALSE),IF($B97 = "Test",VLOOKUP($C97,Tests!$A$2:$L$841,12,FALSE),VLOOKUP($C97,Questions!$A$3:$N$201,9,FALSE)))</f>
        <v>Y</v>
      </c>
      <c r="F97" s="187" t="str">
        <f>IF($B97 = "Mutant",VLOOKUP($C97,Mutants!$A$2:$L$560,11,FALSE),IF($B97 = "Test",VLOOKUP($C97,Tests!$A$2:$L$841,11,FALSE),VLOOKUP($C97,Questions!$A$3:$N$201,13,FALSE)))</f>
        <v xml:space="preserve">getFields_2
</v>
      </c>
      <c r="G97" s="187"/>
      <c r="H97" s="202"/>
      <c r="I97" s="9"/>
      <c r="J97" s="9"/>
      <c r="K97" s="9"/>
      <c r="L97" s="9"/>
      <c r="M97" s="9"/>
    </row>
    <row r="98" spans="2:14" ht="15.75" customHeight="1">
      <c r="B98" s="114" t="s">
        <v>107</v>
      </c>
      <c r="C98" s="9">
        <v>116</v>
      </c>
      <c r="D98" s="9" t="s">
        <v>384</v>
      </c>
      <c r="E98" s="9" t="str">
        <f>IF($B98 = "Mutant",VLOOKUP($C98,Mutants!$A$2:$L$560,12,FALSE),IF($B98 = "Test",VLOOKUP($C98,Tests!$A$2:$L$841,12,FALSE),VLOOKUP($C98,Questions!$A$3:$N$201,9,FALSE)))</f>
        <v>N</v>
      </c>
      <c r="F98" s="187" t="str">
        <f>IF($B98 = "Mutant",VLOOKUP($C98,Mutants!$A$2:$L$560,11,FALSE),IF($B98 = "Test",VLOOKUP($C98,Tests!$A$2:$L$841,11,FALSE),VLOOKUP($C98,Questions!$A$3:$N$201,13,FALSE)))</f>
        <v xml:space="preserve"> </v>
      </c>
      <c r="G98" s="187"/>
      <c r="H98" s="202"/>
      <c r="I98" s="9"/>
      <c r="J98" s="9"/>
      <c r="K98" s="9"/>
      <c r="L98" s="9"/>
      <c r="M98" s="9"/>
    </row>
    <row r="99" spans="2:14" ht="15.75" customHeight="1">
      <c r="B99" s="114" t="s">
        <v>107</v>
      </c>
      <c r="C99" s="9">
        <v>120</v>
      </c>
      <c r="D99" s="9" t="s">
        <v>385</v>
      </c>
      <c r="E99" s="9" t="str">
        <f>IF($B99 = "Mutant",VLOOKUP($C99,Mutants!$A$2:$L$560,12,FALSE),IF($B99 = "Test",VLOOKUP($C99,Tests!$A$2:$L$841,12,FALSE),VLOOKUP($C99,Questions!$A$3:$N$201,9,FALSE)))</f>
        <v>Y</v>
      </c>
      <c r="F99" s="187" t="str">
        <f>IF($B99 = "Mutant",VLOOKUP($C99,Mutants!$A$2:$L$560,11,FALSE),IF($B99 = "Test",VLOOKUP($C99,Tests!$A$2:$L$841,11,FALSE),VLOOKUP($C99,Questions!$A$3:$N$201,13,FALSE)))</f>
        <v xml:space="preserve">removeField
</v>
      </c>
      <c r="G99" s="187"/>
      <c r="H99" s="202"/>
      <c r="I99" s="9"/>
      <c r="J99" s="9"/>
      <c r="K99" s="9"/>
      <c r="L99" s="9"/>
      <c r="M99" s="9"/>
      <c r="N99" s="9"/>
    </row>
    <row r="100" spans="2:14" ht="15.75" customHeight="1">
      <c r="B100" s="114" t="s">
        <v>4590</v>
      </c>
      <c r="C100" s="9">
        <v>554</v>
      </c>
      <c r="D100" s="9" t="s">
        <v>2004</v>
      </c>
      <c r="E100" s="9" t="str">
        <f>IF($B100 = "Mutant",VLOOKUP($C100,Mutants!$A$2:$L$560,12,FALSE),IF($B100 = "Test",VLOOKUP($C100,Tests!$A$2:$L$841,12,FALSE),VLOOKUP($C100,Questions!$A$3:$N$201,9,FALSE)))</f>
        <v>N</v>
      </c>
      <c r="F100" s="187" t="str">
        <f>IF($B100 = "Mutant",VLOOKUP($C100,Mutants!$A$2:$L$560,11,FALSE),IF($B100 = "Test",VLOOKUP($C100,Tests!$A$2:$L$841,11,FALSE),VLOOKUP($C100,Questions!$A$3:$N$201,13,FALSE)))</f>
        <v xml:space="preserve">
</v>
      </c>
      <c r="G100" s="187"/>
      <c r="H100" s="202"/>
      <c r="I100" s="9"/>
      <c r="J100" s="9"/>
      <c r="K100" s="9"/>
      <c r="L100" s="9"/>
      <c r="M100" s="9"/>
    </row>
    <row r="101" spans="2:14" ht="15.75" customHeight="1">
      <c r="B101" s="114" t="s">
        <v>107</v>
      </c>
      <c r="C101" s="9">
        <v>136</v>
      </c>
      <c r="D101" s="9" t="s">
        <v>388</v>
      </c>
      <c r="E101" s="9" t="str">
        <f>IF($B101 = "Mutant",VLOOKUP($C101,Mutants!$A$2:$L$560,12,FALSE),IF($B101 = "Test",VLOOKUP($C101,Tests!$A$2:$L$841,12,FALSE),VLOOKUP($C101,Questions!$A$3:$N$201,9,FALSE)))</f>
        <v>Y</v>
      </c>
      <c r="F101" s="187" t="str">
        <f>IF($B101 = "Mutant",VLOOKUP($C101,Mutants!$A$2:$L$560,11,FALSE),IF($B101 = "Test",VLOOKUP($C101,Tests!$A$2:$L$841,11,FALSE),VLOOKUP($C101,Questions!$A$3:$N$201,13,FALSE)))</f>
        <v xml:space="preserve">removeField
</v>
      </c>
      <c r="G101" s="187"/>
      <c r="H101" s="202"/>
      <c r="I101" s="9"/>
      <c r="J101" s="9"/>
      <c r="K101" s="9"/>
      <c r="L101" s="9"/>
      <c r="M101" s="9"/>
      <c r="N101" s="9"/>
    </row>
    <row r="102" spans="2:14" ht="15.75" customHeight="1">
      <c r="B102" s="114" t="s">
        <v>4590</v>
      </c>
      <c r="C102" s="9">
        <v>644</v>
      </c>
      <c r="D102" s="9" t="s">
        <v>2269</v>
      </c>
      <c r="E102" s="9" t="str">
        <f>IF($B102 = "Mutant",VLOOKUP($C102,Mutants!$A$2:$L$560,12,FALSE),IF($B102 = "Test",VLOOKUP($C102,Tests!$A$2:$L$841,12,FALSE),VLOOKUP($C102,Questions!$A$3:$N$201,9,FALSE)))</f>
        <v>N</v>
      </c>
      <c r="F102" s="187" t="str">
        <f>IF($B102 = "Mutant",VLOOKUP($C102,Mutants!$A$2:$L$560,11,FALSE),IF($B102 = "Test",VLOOKUP($C102,Tests!$A$2:$L$841,11,FALSE),VLOOKUP($C102,Questions!$A$3:$N$201,13,FALSE)))</f>
        <v xml:space="preserve">
</v>
      </c>
      <c r="G102" s="187"/>
      <c r="H102" s="202"/>
      <c r="I102" s="9"/>
      <c r="J102" s="9"/>
      <c r="K102" s="9"/>
      <c r="L102" s="9"/>
      <c r="M102" s="9"/>
    </row>
    <row r="103" spans="2:14" ht="15.75" customHeight="1">
      <c r="B103" s="114" t="s">
        <v>107</v>
      </c>
      <c r="C103" s="9">
        <v>140</v>
      </c>
      <c r="D103" s="9" t="s">
        <v>391</v>
      </c>
      <c r="E103" s="9" t="str">
        <f>IF($B103 = "Mutant",VLOOKUP($C103,Mutants!$A$2:$L$560,12,FALSE),IF($B103 = "Test",VLOOKUP($C103,Tests!$A$2:$L$841,12,FALSE),VLOOKUP($C103,Questions!$A$3:$N$201,9,FALSE)))</f>
        <v>N</v>
      </c>
      <c r="F103" s="187" t="str">
        <f>IF($B103 = "Mutant",VLOOKUP($C103,Mutants!$A$2:$L$560,11,FALSE),IF($B103 = "Test",VLOOKUP($C103,Tests!$A$2:$L$841,11,FALSE),VLOOKUP($C103,Questions!$A$3:$N$201,13,FALSE)))</f>
        <v xml:space="preserve"> </v>
      </c>
      <c r="G103" s="187"/>
      <c r="H103" s="202"/>
      <c r="I103" s="9"/>
      <c r="J103" s="9"/>
      <c r="K103" s="9"/>
      <c r="L103" s="9"/>
      <c r="M103" s="9"/>
    </row>
    <row r="104" spans="2:14" ht="15.75" customHeight="1">
      <c r="B104" s="114" t="s">
        <v>107</v>
      </c>
      <c r="C104" s="9">
        <v>143</v>
      </c>
      <c r="D104" s="9" t="s">
        <v>393</v>
      </c>
      <c r="E104" s="9" t="str">
        <f>IF($B104 = "Mutant",VLOOKUP($C104,Mutants!$A$2:$L$560,12,FALSE),IF($B104 = "Test",VLOOKUP($C104,Tests!$A$2:$L$841,12,FALSE),VLOOKUP($C104,Questions!$A$3:$N$201,9,FALSE)))</f>
        <v>Y</v>
      </c>
      <c r="F104" s="187" t="str">
        <f>IF($B104 = "Mutant",VLOOKUP($C104,Mutants!$A$2:$L$560,11,FALSE),IF($B104 = "Test",VLOOKUP($C104,Tests!$A$2:$L$841,11,FALSE),VLOOKUP($C104,Questions!$A$3:$N$201,13,FALSE)))</f>
        <v xml:space="preserve">removeField
</v>
      </c>
      <c r="G104" s="187"/>
      <c r="H104" s="202"/>
      <c r="I104" s="9"/>
      <c r="J104" s="9"/>
      <c r="K104" s="9"/>
      <c r="L104" s="9"/>
      <c r="M104" s="9"/>
      <c r="N104" s="9"/>
    </row>
    <row r="105" spans="2:14" ht="15.75" customHeight="1">
      <c r="B105" s="114" t="s">
        <v>4590</v>
      </c>
      <c r="C105" s="9">
        <v>686</v>
      </c>
      <c r="D105" s="9" t="s">
        <v>2378</v>
      </c>
      <c r="E105" s="9" t="str">
        <f>IF($B105 = "Mutant",VLOOKUP($C105,Mutants!$A$2:$L$560,12,FALSE),IF($B105 = "Test",VLOOKUP($C105,Tests!$A$2:$L$841,12,FALSE),VLOOKUP($C105,Questions!$A$3:$N$201,9,FALSE)))</f>
        <v>N</v>
      </c>
      <c r="F105" s="187" t="str">
        <f>IF($B105 = "Mutant",VLOOKUP($C105,Mutants!$A$2:$L$560,11,FALSE),IF($B105 = "Test",VLOOKUP($C105,Tests!$A$2:$L$841,11,FALSE),VLOOKUP($C105,Questions!$A$3:$N$201,13,FALSE)))</f>
        <v xml:space="preserve">
</v>
      </c>
      <c r="G105" s="187"/>
      <c r="H105" s="202"/>
      <c r="I105" s="9"/>
      <c r="J105" s="9"/>
      <c r="K105" s="9"/>
      <c r="L105" s="9"/>
      <c r="M105" s="9"/>
    </row>
    <row r="106" spans="2:14" ht="15.75" customHeight="1">
      <c r="B106" s="114" t="s">
        <v>4590</v>
      </c>
      <c r="C106" s="9">
        <v>695</v>
      </c>
      <c r="D106" s="9" t="s">
        <v>2400</v>
      </c>
      <c r="E106" s="9" t="str">
        <f>IF($B106 = "Mutant",VLOOKUP($C106,Mutants!$A$2:$L$560,12,FALSE),IF($B106 = "Test",VLOOKUP($C106,Tests!$A$2:$L$841,12,FALSE),VLOOKUP($C106,Questions!$A$3:$N$201,9,FALSE)))</f>
        <v>Y</v>
      </c>
      <c r="F106" s="187" t="str">
        <f>IF($B106 = "Mutant",VLOOKUP($C106,Mutants!$A$2:$L$560,11,FALSE),IF($B106 = "Test",VLOOKUP($C106,Tests!$A$2:$L$841,11,FALSE),VLOOKUP($C106,Questions!$A$3:$N$201,13,FALSE)))</f>
        <v xml:space="preserve">add, removeField, getField
</v>
      </c>
      <c r="G106" s="187"/>
      <c r="H106" s="202"/>
      <c r="I106" s="9"/>
      <c r="J106" s="9"/>
      <c r="K106" s="9"/>
      <c r="L106" s="9"/>
      <c r="M106" s="9"/>
    </row>
    <row r="107" spans="2:14" ht="15.75" customHeight="1">
      <c r="B107" s="114" t="s">
        <v>107</v>
      </c>
      <c r="C107" s="9">
        <v>156</v>
      </c>
      <c r="D107" s="9" t="s">
        <v>396</v>
      </c>
      <c r="E107" s="9" t="str">
        <f>IF($B107 = "Mutant",VLOOKUP($C107,Mutants!$A$2:$L$560,12,FALSE),IF($B107 = "Test",VLOOKUP($C107,Tests!$A$2:$L$841,12,FALSE),VLOOKUP($C107,Questions!$A$3:$N$201,9,FALSE)))</f>
        <v>Y</v>
      </c>
      <c r="F107" s="187" t="str">
        <f>IF($B107 = "Mutant",VLOOKUP($C107,Mutants!$A$2:$L$560,11,FALSE),IF($B107 = "Test",VLOOKUP($C107,Tests!$A$2:$L$841,11,FALSE),VLOOKUP($C107,Questions!$A$3:$N$201,13,FALSE)))</f>
        <v xml:space="preserve">getFields_1
</v>
      </c>
      <c r="G107" s="187"/>
      <c r="H107" s="202"/>
      <c r="I107" s="9"/>
      <c r="J107" s="9"/>
      <c r="K107" s="9"/>
      <c r="L107" s="9"/>
      <c r="M107" s="9"/>
      <c r="N107" s="9"/>
    </row>
    <row r="108" spans="2:14" ht="15.75" customHeight="1">
      <c r="B108" s="114" t="s">
        <v>107</v>
      </c>
      <c r="C108" s="9">
        <v>160</v>
      </c>
      <c r="D108" s="9" t="s">
        <v>399</v>
      </c>
      <c r="E108" s="9" t="str">
        <f>IF($B108 = "Mutant",VLOOKUP($C108,Mutants!$A$2:$L$560,12,FALSE),IF($B108 = "Test",VLOOKUP($C108,Tests!$A$2:$L$841,12,FALSE),VLOOKUP($C108,Questions!$A$3:$N$201,9,FALSE)))</f>
        <v>Y</v>
      </c>
      <c r="F108" s="187" t="str">
        <f>IF($B108 = "Mutant",VLOOKUP($C108,Mutants!$A$2:$L$560,11,FALSE),IF($B108 = "Test",VLOOKUP($C108,Tests!$A$2:$L$841,11,FALSE),VLOOKUP($C108,Questions!$A$3:$N$201,13,FALSE)))</f>
        <v xml:space="preserve">getFields_1
</v>
      </c>
      <c r="G108" s="187"/>
      <c r="H108" s="202"/>
      <c r="I108" s="9"/>
      <c r="J108" s="9"/>
      <c r="K108" s="9"/>
      <c r="L108" s="9"/>
      <c r="M108" s="9"/>
      <c r="N108" s="9"/>
    </row>
    <row r="109" spans="2:14" ht="15.75" customHeight="1">
      <c r="B109" s="114" t="s">
        <v>107</v>
      </c>
      <c r="C109" s="9">
        <v>161</v>
      </c>
      <c r="D109" s="9" t="s">
        <v>400</v>
      </c>
      <c r="E109" s="9" t="str">
        <f>IF($B109 = "Mutant",VLOOKUP($C109,Mutants!$A$2:$L$560,12,FALSE),IF($B109 = "Test",VLOOKUP($C109,Tests!$A$2:$L$841,12,FALSE),VLOOKUP($C109,Questions!$A$3:$N$201,9,FALSE)))</f>
        <v>Y</v>
      </c>
      <c r="F109" s="187" t="str">
        <f>IF($B109 = "Mutant",VLOOKUP($C109,Mutants!$A$2:$L$560,11,FALSE),IF($B109 = "Test",VLOOKUP($C109,Tests!$A$2:$L$841,11,FALSE),VLOOKUP($C109,Questions!$A$3:$N$201,13,FALSE)))</f>
        <v xml:space="preserve">removeField
</v>
      </c>
      <c r="G109" s="187"/>
      <c r="H109" s="202"/>
      <c r="I109" s="9"/>
      <c r="J109" s="9"/>
      <c r="K109" s="9"/>
      <c r="L109" s="9"/>
      <c r="M109" s="9"/>
      <c r="N109" s="9"/>
    </row>
    <row r="110" spans="2:14" ht="15.75" customHeight="1">
      <c r="B110" s="114" t="s">
        <v>107</v>
      </c>
      <c r="C110" s="9">
        <v>171</v>
      </c>
      <c r="D110" s="9" t="s">
        <v>403</v>
      </c>
      <c r="E110" s="9" t="str">
        <f>IF($B110 = "Mutant",VLOOKUP($C110,Mutants!$A$2:$L$560,12,FALSE),IF($B110 = "Test",VLOOKUP($C110,Tests!$A$2:$L$841,12,FALSE),VLOOKUP($C110,Questions!$A$3:$N$201,9,FALSE)))</f>
        <v>N</v>
      </c>
      <c r="F110" s="187" t="str">
        <f>IF($B110 = "Mutant",VLOOKUP($C110,Mutants!$A$2:$L$560,11,FALSE),IF($B110 = "Test",VLOOKUP($C110,Tests!$A$2:$L$841,11,FALSE),VLOOKUP($C110,Questions!$A$3:$N$201,13,FALSE)))</f>
        <v xml:space="preserve"> </v>
      </c>
      <c r="G110" s="187"/>
      <c r="H110" s="202"/>
      <c r="I110" s="9"/>
      <c r="J110" s="9"/>
      <c r="K110" s="9"/>
      <c r="L110" s="9"/>
      <c r="M110" s="9"/>
    </row>
    <row r="111" spans="2:14" ht="15.75" customHeight="1">
      <c r="B111" s="114" t="s">
        <v>107</v>
      </c>
      <c r="C111" s="9">
        <v>172</v>
      </c>
      <c r="D111" s="9" t="s">
        <v>405</v>
      </c>
      <c r="E111" s="9" t="str">
        <f>IF($B111 = "Mutant",VLOOKUP($C111,Mutants!$A$2:$L$560,12,FALSE),IF($B111 = "Test",VLOOKUP($C111,Tests!$A$2:$L$841,12,FALSE),VLOOKUP($C111,Questions!$A$3:$N$201,9,FALSE)))</f>
        <v>Y</v>
      </c>
      <c r="F111" s="187" t="str">
        <f>IF($B111 = "Mutant",VLOOKUP($C111,Mutants!$A$2:$L$560,11,FALSE),IF($B111 = "Test",VLOOKUP($C111,Tests!$A$2:$L$841,11,FALSE),VLOOKUP($C111,Questions!$A$3:$N$201,13,FALSE)))</f>
        <v xml:space="preserve">removeField
</v>
      </c>
      <c r="G111" s="187"/>
      <c r="H111" s="202"/>
      <c r="I111" s="9"/>
      <c r="J111" s="9"/>
      <c r="K111" s="9"/>
      <c r="L111" s="9"/>
      <c r="M111" s="9"/>
      <c r="N111" s="9"/>
    </row>
    <row r="112" spans="2:14" ht="15.75" customHeight="1">
      <c r="B112" s="114" t="s">
        <v>4590</v>
      </c>
      <c r="C112" s="9">
        <v>816</v>
      </c>
      <c r="D112" s="9" t="s">
        <v>2728</v>
      </c>
      <c r="E112" s="9" t="str">
        <f>IF($B112 = "Mutant",VLOOKUP($C112,Mutants!$A$2:$L$560,12,FALSE),IF($B112 = "Test",VLOOKUP($C112,Tests!$A$2:$L$841,12,FALSE),VLOOKUP($C112,Questions!$A$3:$N$201,9,FALSE)))</f>
        <v>N</v>
      </c>
      <c r="F112" s="187" t="str">
        <f>IF($B112 = "Mutant",VLOOKUP($C112,Mutants!$A$2:$L$560,11,FALSE),IF($B112 = "Test",VLOOKUP($C112,Tests!$A$2:$L$841,11,FALSE),VLOOKUP($C112,Questions!$A$3:$N$201,13,FALSE)))</f>
        <v xml:space="preserve">
</v>
      </c>
      <c r="G112" s="187"/>
      <c r="H112" s="202"/>
      <c r="I112" s="9"/>
      <c r="J112" s="9"/>
      <c r="K112" s="9"/>
      <c r="L112" s="9"/>
      <c r="M112" s="9"/>
    </row>
    <row r="113" spans="2:14" ht="15.75" customHeight="1">
      <c r="B113" s="114" t="s">
        <v>4590</v>
      </c>
      <c r="C113" s="9">
        <v>834</v>
      </c>
      <c r="D113" s="9" t="s">
        <v>2770</v>
      </c>
      <c r="E113" s="9" t="str">
        <f>IF($B113 = "Mutant",VLOOKUP($C113,Mutants!$A$2:$L$560,12,FALSE),IF($B113 = "Test",VLOOKUP($C113,Tests!$A$2:$L$841,12,FALSE),VLOOKUP($C113,Questions!$A$3:$N$201,9,FALSE)))</f>
        <v>Y</v>
      </c>
      <c r="F113" s="187" t="str">
        <f>IF($B113 = "Mutant",VLOOKUP($C113,Mutants!$A$2:$L$560,11,FALSE),IF($B113 = "Test",VLOOKUP($C113,Tests!$A$2:$L$841,11,FALSE),VLOOKUP($C113,Questions!$A$3:$N$201,13,FALSE)))</f>
        <v xml:space="preserve">add, getValues
</v>
      </c>
      <c r="G113" s="187"/>
      <c r="H113" s="202"/>
      <c r="I113" s="9"/>
      <c r="J113" s="9"/>
      <c r="K113" s="9"/>
      <c r="L113" s="9"/>
      <c r="M113" s="9"/>
    </row>
    <row r="114" spans="2:14" ht="15.75" customHeight="1">
      <c r="B114" s="114" t="s">
        <v>107</v>
      </c>
      <c r="C114" s="9">
        <v>184</v>
      </c>
      <c r="D114" s="9" t="s">
        <v>408</v>
      </c>
      <c r="E114" s="9" t="str">
        <f>IF($B114 = "Mutant",VLOOKUP($C114,Mutants!$A$2:$L$560,12,FALSE),IF($B114 = "Test",VLOOKUP($C114,Tests!$A$2:$L$841,12,FALSE),VLOOKUP($C114,Questions!$A$3:$N$201,9,FALSE)))</f>
        <v>Y</v>
      </c>
      <c r="F114" s="187" t="str">
        <f>IF($B114 = "Mutant",VLOOKUP($C114,Mutants!$A$2:$L$560,11,FALSE),IF($B114 = "Test",VLOOKUP($C114,Tests!$A$2:$L$841,11,FALSE),VLOOKUP($C114,Questions!$A$3:$N$201,13,FALSE)))</f>
        <v xml:space="preserve">toString
</v>
      </c>
      <c r="G114" s="187"/>
      <c r="H114" s="202"/>
      <c r="I114" s="9"/>
      <c r="J114" s="9"/>
      <c r="K114" s="9"/>
      <c r="L114" s="9"/>
      <c r="M114" s="9"/>
      <c r="N114" s="9"/>
    </row>
    <row r="115" spans="2:14" ht="15.75" customHeight="1">
      <c r="B115" s="114" t="s">
        <v>4590</v>
      </c>
      <c r="C115" s="9">
        <v>861</v>
      </c>
      <c r="D115" s="9" t="s">
        <v>2851</v>
      </c>
      <c r="E115" s="9" t="str">
        <f>IF($B115 = "Mutant",VLOOKUP($C115,Mutants!$A$2:$L$560,12,FALSE),IF($B115 = "Test",VLOOKUP($C115,Tests!$A$2:$L$841,12,FALSE),VLOOKUP($C115,Questions!$A$3:$N$201,9,FALSE)))</f>
        <v>N</v>
      </c>
      <c r="F115" s="187" t="str">
        <f>IF($B115 = "Mutant",VLOOKUP($C115,Mutants!$A$2:$L$560,11,FALSE),IF($B115 = "Test",VLOOKUP($C115,Tests!$A$2:$L$841,11,FALSE),VLOOKUP($C115,Questions!$A$3:$N$201,13,FALSE)))</f>
        <v xml:space="preserve">
</v>
      </c>
      <c r="G115" s="187"/>
      <c r="H115" s="202"/>
      <c r="I115" s="9"/>
      <c r="J115" s="9"/>
      <c r="K115" s="9"/>
      <c r="L115" s="9"/>
      <c r="M115" s="9"/>
    </row>
    <row r="116" spans="2:14" ht="15.75" customHeight="1">
      <c r="B116" s="114" t="s">
        <v>107</v>
      </c>
      <c r="C116" s="9">
        <v>187</v>
      </c>
      <c r="D116" s="9" t="s">
        <v>411</v>
      </c>
      <c r="E116" s="9" t="str">
        <f>IF($B116 = "Mutant",VLOOKUP($C116,Mutants!$A$2:$L$560,12,FALSE),IF($B116 = "Test",VLOOKUP($C116,Tests!$A$2:$L$841,12,FALSE),VLOOKUP($C116,Questions!$A$3:$N$201,9,FALSE)))</f>
        <v>Y</v>
      </c>
      <c r="F116" s="187" t="str">
        <f>IF($B116 = "Mutant",VLOOKUP($C116,Mutants!$A$2:$L$560,11,FALSE),IF($B116 = "Test",VLOOKUP($C116,Tests!$A$2:$L$841,11,FALSE),VLOOKUP($C116,Questions!$A$3:$N$201,13,FALSE)))</f>
        <v xml:space="preserve">toString
</v>
      </c>
      <c r="G116" s="187"/>
      <c r="H116" s="202"/>
      <c r="I116" s="9"/>
      <c r="J116" s="9"/>
      <c r="K116" s="9"/>
      <c r="L116" s="9"/>
      <c r="M116" s="9"/>
      <c r="N116" s="9"/>
    </row>
    <row r="117" spans="2:14" ht="15.75" customHeight="1">
      <c r="B117" s="114" t="s">
        <v>4590</v>
      </c>
      <c r="C117" s="9">
        <v>876</v>
      </c>
      <c r="D117" s="9" t="s">
        <v>2900</v>
      </c>
      <c r="E117" s="9" t="str">
        <f>IF($B117 = "Mutant",VLOOKUP($C117,Mutants!$A$2:$L$560,12,FALSE),IF($B117 = "Test",VLOOKUP($C117,Tests!$A$2:$L$841,12,FALSE),VLOOKUP($C117,Questions!$A$3:$N$201,9,FALSE)))</f>
        <v>Y</v>
      </c>
      <c r="F117" s="187" t="str">
        <f>IF($B117 = "Mutant",VLOOKUP($C117,Mutants!$A$2:$L$560,11,FALSE),IF($B117 = "Test",VLOOKUP($C117,Tests!$A$2:$L$841,11,FALSE),VLOOKUP($C117,Questions!$A$3:$N$201,13,FALSE)))</f>
        <v xml:space="preserve">add, toString
</v>
      </c>
      <c r="G117" s="187"/>
      <c r="H117" s="202"/>
      <c r="I117" s="9"/>
      <c r="J117" s="9"/>
      <c r="K117" s="9"/>
      <c r="L117" s="9"/>
      <c r="M117" s="9"/>
    </row>
    <row r="118" spans="2:14" ht="15.75" customHeight="1">
      <c r="B118" s="114" t="s">
        <v>107</v>
      </c>
      <c r="C118" s="9">
        <v>194</v>
      </c>
      <c r="D118" s="9" t="s">
        <v>414</v>
      </c>
      <c r="E118" s="9" t="str">
        <f>IF($B118 = "Mutant",VLOOKUP($C118,Mutants!$A$2:$L$560,12,FALSE),IF($B118 = "Test",VLOOKUP($C118,Tests!$A$2:$L$841,12,FALSE),VLOOKUP($C118,Questions!$A$3:$N$201,9,FALSE)))</f>
        <v>Y</v>
      </c>
      <c r="F118" s="187" t="str">
        <f>IF($B118 = "Mutant",VLOOKUP($C118,Mutants!$A$2:$L$560,11,FALSE),IF($B118 = "Test",VLOOKUP($C118,Tests!$A$2:$L$841,11,FALSE),VLOOKUP($C118,Questions!$A$3:$N$201,13,FALSE)))</f>
        <v xml:space="preserve">toString
</v>
      </c>
      <c r="G118" s="187"/>
      <c r="H118" s="202"/>
      <c r="I118" s="9"/>
      <c r="J118" s="9"/>
      <c r="K118" s="9"/>
      <c r="L118" s="9"/>
      <c r="M118" s="9"/>
      <c r="N118" s="9"/>
    </row>
    <row r="119" spans="2:14" ht="15.75" customHeight="1">
      <c r="B119" s="114" t="s">
        <v>107</v>
      </c>
      <c r="C119" s="9">
        <v>198</v>
      </c>
      <c r="D119" s="9" t="s">
        <v>415</v>
      </c>
      <c r="E119" s="9" t="str">
        <f>IF($B119 = "Mutant",VLOOKUP($C119,Mutants!$A$2:$L$560,12,FALSE),IF($B119 = "Test",VLOOKUP($C119,Tests!$A$2:$L$841,12,FALSE),VLOOKUP($C119,Questions!$A$3:$N$201,9,FALSE)))</f>
        <v>Y</v>
      </c>
      <c r="F119" s="187" t="str">
        <f>IF($B119 = "Mutant",VLOOKUP($C119,Mutants!$A$2:$L$560,11,FALSE),IF($B119 = "Test",VLOOKUP($C119,Tests!$A$2:$L$841,11,FALSE),VLOOKUP($C119,Questions!$A$3:$N$201,13,FALSE)))</f>
        <v xml:space="preserve">toString
</v>
      </c>
      <c r="G119" s="187"/>
      <c r="H119" s="202"/>
      <c r="I119" s="9"/>
      <c r="J119" s="9"/>
      <c r="K119" s="9"/>
      <c r="L119" s="9"/>
      <c r="M119" s="9"/>
      <c r="N119" s="9"/>
    </row>
    <row r="120" spans="2:14" ht="15.75" customHeight="1">
      <c r="B120" s="114" t="s">
        <v>4590</v>
      </c>
      <c r="C120" s="9">
        <v>896</v>
      </c>
      <c r="D120" s="9" t="s">
        <v>2953</v>
      </c>
      <c r="E120" s="9" t="str">
        <f>IF($B120 = "Mutant",VLOOKUP($C120,Mutants!$A$2:$L$560,12,FALSE),IF($B120 = "Test",VLOOKUP($C120,Tests!$A$2:$L$841,12,FALSE),VLOOKUP($C120,Questions!$A$3:$N$201,9,FALSE)))</f>
        <v>Y</v>
      </c>
      <c r="F120" s="187" t="str">
        <f>IF($B120 = "Mutant",VLOOKUP($C120,Mutants!$A$2:$L$560,11,FALSE),IF($B120 = "Test",VLOOKUP($C120,Tests!$A$2:$L$841,11,FALSE),VLOOKUP($C120,Questions!$A$3:$N$201,13,FALSE)))</f>
        <v xml:space="preserve">add, toString
</v>
      </c>
      <c r="G120" s="187"/>
      <c r="H120" s="202"/>
      <c r="I120" s="9"/>
      <c r="J120" s="9"/>
      <c r="K120" s="9"/>
      <c r="L120" s="9"/>
      <c r="M120" s="9"/>
    </row>
    <row r="121" spans="2:14" ht="15.75" customHeight="1">
      <c r="B121" s="114" t="s">
        <v>107</v>
      </c>
      <c r="C121" s="9">
        <v>201</v>
      </c>
      <c r="D121" s="9" t="s">
        <v>418</v>
      </c>
      <c r="E121" s="9" t="str">
        <f>IF($B121 = "Mutant",VLOOKUP($C121,Mutants!$A$2:$L$560,12,FALSE),IF($B121 = "Test",VLOOKUP($C121,Tests!$A$2:$L$841,12,FALSE),VLOOKUP($C121,Questions!$A$3:$N$201,9,FALSE)))</f>
        <v>N</v>
      </c>
      <c r="F121" s="187" t="str">
        <f>IF($B121 = "Mutant",VLOOKUP($C121,Mutants!$A$2:$L$560,11,FALSE),IF($B121 = "Test",VLOOKUP($C121,Tests!$A$2:$L$841,11,FALSE),VLOOKUP($C121,Questions!$A$3:$N$201,13,FALSE)))</f>
        <v xml:space="preserve"> </v>
      </c>
      <c r="G121" s="187"/>
      <c r="H121" s="202"/>
      <c r="I121" s="9"/>
      <c r="J121" s="9"/>
      <c r="K121" s="9"/>
      <c r="L121" s="9"/>
      <c r="M121" s="9"/>
    </row>
    <row r="122" spans="2:14" ht="15.75" customHeight="1">
      <c r="B122" s="114" t="s">
        <v>107</v>
      </c>
      <c r="C122" s="9">
        <v>202</v>
      </c>
      <c r="D122" s="9" t="s">
        <v>419</v>
      </c>
      <c r="E122" s="9" t="str">
        <f>IF($B122 = "Mutant",VLOOKUP($C122,Mutants!$A$2:$L$560,12,FALSE),IF($B122 = "Test",VLOOKUP($C122,Tests!$A$2:$L$841,12,FALSE),VLOOKUP($C122,Questions!$A$3:$N$201,9,FALSE)))</f>
        <v>Y</v>
      </c>
      <c r="F122" s="187" t="str">
        <f>IF($B122 = "Mutant",VLOOKUP($C122,Mutants!$A$2:$L$560,11,FALSE),IF($B122 = "Test",VLOOKUP($C122,Tests!$A$2:$L$841,11,FALSE),VLOOKUP($C122,Questions!$A$3:$N$201,13,FALSE)))</f>
        <v xml:space="preserve">getBinaryValue
</v>
      </c>
      <c r="G122" s="187"/>
      <c r="H122" s="202"/>
      <c r="I122" s="9"/>
      <c r="J122" s="9"/>
      <c r="K122" s="9"/>
      <c r="L122" s="9"/>
      <c r="M122" s="9"/>
      <c r="N122" s="9"/>
    </row>
    <row r="123" spans="2:14" ht="15.75" customHeight="1">
      <c r="B123" s="133" t="s">
        <v>4590</v>
      </c>
      <c r="C123" s="130">
        <v>933</v>
      </c>
      <c r="D123" s="130" t="s">
        <v>3057</v>
      </c>
      <c r="E123" s="130" t="str">
        <f>IF($B123 = "Mutant",VLOOKUP($C123,Mutants!$A$2:$L$560,12,FALSE),IF($B123 = "Test",VLOOKUP($C123,Tests!$A$2:$L$841,12,FALSE),VLOOKUP($C123,Questions!$A$3:$N$201,9,FALSE)))</f>
        <v>N</v>
      </c>
      <c r="F123" s="203" t="str">
        <f>IF($B123 = "Mutant",VLOOKUP($C123,Mutants!$A$2:$L$560,11,FALSE),IF($B123 = "Test",VLOOKUP($C123,Tests!$A$2:$L$841,11,FALSE),VLOOKUP($C123,Questions!$A$3:$N$201,13,FALSE)))</f>
        <v xml:space="preserve">
</v>
      </c>
      <c r="G123" s="203"/>
      <c r="H123" s="204"/>
      <c r="I123" s="9"/>
      <c r="J123" s="9"/>
      <c r="K123" s="9"/>
      <c r="L123" s="9"/>
      <c r="M123" s="9"/>
    </row>
    <row r="124" spans="2:14" ht="15.75" customHeight="1">
      <c r="F124" s="188"/>
      <c r="G124" s="188"/>
      <c r="H124" s="188"/>
    </row>
    <row r="125" spans="2:14" ht="15.75" customHeight="1">
      <c r="F125" s="188"/>
      <c r="G125" s="188"/>
      <c r="H125" s="188"/>
    </row>
    <row r="126" spans="2:14" ht="15.75" customHeight="1" thickBot="1">
      <c r="B126" s="219" t="s">
        <v>4604</v>
      </c>
      <c r="C126" s="201"/>
      <c r="D126" s="45">
        <v>223</v>
      </c>
      <c r="F126" s="207"/>
      <c r="G126" s="207"/>
      <c r="H126" s="207"/>
    </row>
    <row r="127" spans="2:14" ht="15.75" customHeight="1" thickTop="1">
      <c r="B127" s="134" t="s">
        <v>4594</v>
      </c>
      <c r="C127" s="135" t="s">
        <v>44</v>
      </c>
      <c r="D127" s="135" t="s">
        <v>110</v>
      </c>
      <c r="E127" s="136" t="s">
        <v>2</v>
      </c>
      <c r="F127" s="229" t="s">
        <v>4612</v>
      </c>
      <c r="G127" s="229"/>
      <c r="H127" s="230"/>
      <c r="I127" s="9"/>
      <c r="J127" s="9"/>
      <c r="K127" s="9"/>
      <c r="L127" s="9"/>
      <c r="M127" s="9"/>
    </row>
    <row r="128" spans="2:14" ht="15.75" customHeight="1">
      <c r="B128" s="137" t="s">
        <v>107</v>
      </c>
      <c r="C128" s="93">
        <v>113</v>
      </c>
      <c r="D128" s="93" t="s">
        <v>422</v>
      </c>
      <c r="E128" s="93" t="str">
        <f>IF($B128 = "Mutant",VLOOKUP($C128,Mutants!$A$2:$L$560,12,FALSE),IF($B128 = "Test",VLOOKUP($C128,Tests!$A$2:$L$841,12,FALSE),VLOOKUP($C128,Questions!$A$3:$N$201,9,FALSE)))</f>
        <v>Y</v>
      </c>
      <c r="F128" s="205" t="str">
        <f>IF($B128 = "Mutant",VLOOKUP($C128,Mutants!$A$2:$L$560,11,FALSE),IF($B128 = "Test",VLOOKUP($C128,Tests!$A$2:$L$841,11,FALSE),VLOOKUP($C128,Questions!$A$3:$N$201,13,FALSE)))</f>
        <v xml:space="preserve"> </v>
      </c>
      <c r="G128" s="205"/>
      <c r="H128" s="206"/>
      <c r="I128" s="9"/>
      <c r="J128" s="9"/>
      <c r="K128" s="9"/>
      <c r="L128" s="9"/>
      <c r="M128" s="9"/>
    </row>
    <row r="129" spans="2:14" ht="15.75" customHeight="1">
      <c r="B129" s="114" t="s">
        <v>4589</v>
      </c>
      <c r="C129" s="9">
        <v>559</v>
      </c>
      <c r="D129" s="9" t="s">
        <v>2022</v>
      </c>
      <c r="E129" s="9" t="str">
        <f>IF($B129 = "Mutant",VLOOKUP($C129,Mutants!$A$2:$L$560,12,FALSE),IF($B129 = "Test",VLOOKUP($C129,Tests!$A$2:$L$841,12,FALSE),VLOOKUP($C129,Questions!$A$3:$N$201,9,FALSE)))</f>
        <v>Y</v>
      </c>
      <c r="F129" s="187" t="str">
        <f>IF($B129 = "Mutant",VLOOKUP($C129,Mutants!$A$2:$L$560,11,FALSE),IF($B129 = "Test",VLOOKUP($C129,Tests!$A$2:$L$841,11,FALSE),VLOOKUP($C129,Questions!$A$3:$N$201,13,FALSE)))</f>
        <v xml:space="preserve">iterator
</v>
      </c>
      <c r="G129" s="187"/>
      <c r="H129" s="202"/>
      <c r="I129" s="9"/>
      <c r="J129" s="9"/>
      <c r="K129" s="9"/>
      <c r="L129" s="9"/>
      <c r="M129" s="9"/>
    </row>
    <row r="130" spans="2:14" ht="15.75" customHeight="1">
      <c r="B130" s="114" t="s">
        <v>4589</v>
      </c>
      <c r="C130" s="9">
        <v>560</v>
      </c>
      <c r="D130" s="9" t="s">
        <v>2038</v>
      </c>
      <c r="E130" s="9" t="str">
        <f>IF($B130 = "Mutant",VLOOKUP($C130,Mutants!$A$2:$L$560,12,FALSE),IF($B130 = "Test",VLOOKUP($C130,Tests!$A$2:$L$841,12,FALSE),VLOOKUP($C130,Questions!$A$3:$N$201,9,FALSE)))</f>
        <v>Y</v>
      </c>
      <c r="F130" s="187" t="str">
        <f>IF($B130 = "Mutant",VLOOKUP($C130,Mutants!$A$2:$L$560,11,FALSE),IF($B130 = "Test",VLOOKUP($C130,Tests!$A$2:$L$841,11,FALSE),VLOOKUP($C130,Questions!$A$3:$N$201,13,FALSE)))</f>
        <v xml:space="preserve">add
</v>
      </c>
      <c r="G130" s="187"/>
      <c r="H130" s="202"/>
      <c r="I130" s="9"/>
      <c r="J130" s="9"/>
      <c r="K130" s="9"/>
      <c r="L130" s="9"/>
      <c r="M130" s="9"/>
    </row>
    <row r="131" spans="2:14" ht="15.75" customHeight="1">
      <c r="B131" s="114" t="s">
        <v>4589</v>
      </c>
      <c r="C131" s="9">
        <v>564</v>
      </c>
      <c r="D131" s="9" t="s">
        <v>4344</v>
      </c>
      <c r="E131" s="9" t="str">
        <f>IF($B131 = "Mutant",VLOOKUP($C131,Mutants!$A$2:$L$560,12,FALSE),IF($B131 = "Test",VLOOKUP($C131,Tests!$A$2:$L$841,12,FALSE),VLOOKUP($C131,Questions!$A$3:$N$201,9,FALSE)))</f>
        <v>Y</v>
      </c>
      <c r="F131" s="187" t="str">
        <f>IF($B131 = "Mutant",VLOOKUP($C131,Mutants!$A$2:$L$560,11,FALSE),IF($B131 = "Test",VLOOKUP($C131,Tests!$A$2:$L$841,11,FALSE),VLOOKUP($C131,Questions!$A$3:$N$201,13,FALSE)))</f>
        <v xml:space="preserve">removeField
</v>
      </c>
      <c r="G131" s="187"/>
      <c r="H131" s="202"/>
      <c r="I131" s="9"/>
      <c r="J131" s="9"/>
      <c r="K131" s="9"/>
      <c r="L131" s="9"/>
      <c r="M131" s="9"/>
    </row>
    <row r="132" spans="2:14" ht="15.75" customHeight="1">
      <c r="B132" s="114" t="s">
        <v>4589</v>
      </c>
      <c r="C132" s="9">
        <v>566</v>
      </c>
      <c r="D132" s="9" t="s">
        <v>4349</v>
      </c>
      <c r="E132" s="9" t="str">
        <f>IF($B132 = "Mutant",VLOOKUP($C132,Mutants!$A$2:$L$560,12,FALSE),IF($B132 = "Test",VLOOKUP($C132,Tests!$A$2:$L$841,12,FALSE),VLOOKUP($C132,Questions!$A$3:$N$201,9,FALSE)))</f>
        <v>Y</v>
      </c>
      <c r="F132" s="187" t="str">
        <f>IF($B132 = "Mutant",VLOOKUP($C132,Mutants!$A$2:$L$560,11,FALSE),IF($B132 = "Test",VLOOKUP($C132,Tests!$A$2:$L$841,11,FALSE),VLOOKUP($C132,Questions!$A$3:$N$201,13,FALSE)))</f>
        <v xml:space="preserve">removeField
</v>
      </c>
      <c r="G132" s="187"/>
      <c r="H132" s="202"/>
      <c r="I132" s="9"/>
      <c r="J132" s="9"/>
      <c r="K132" s="9"/>
      <c r="L132" s="9"/>
      <c r="M132" s="9"/>
    </row>
    <row r="133" spans="2:14" ht="15.75" customHeight="1">
      <c r="B133" s="114" t="s">
        <v>4589</v>
      </c>
      <c r="C133" s="9">
        <v>568</v>
      </c>
      <c r="D133" s="9" t="s">
        <v>4355</v>
      </c>
      <c r="E133" s="9" t="str">
        <f>IF($B133 = "Mutant",VLOOKUP($C133,Mutants!$A$2:$L$560,12,FALSE),IF($B133 = "Test",VLOOKUP($C133,Tests!$A$2:$L$841,12,FALSE),VLOOKUP($C133,Questions!$A$3:$N$201,9,FALSE)))</f>
        <v>Y</v>
      </c>
      <c r="F133" s="187" t="str">
        <f>IF($B133 = "Mutant",VLOOKUP($C133,Mutants!$A$2:$L$560,11,FALSE),IF($B133 = "Test",VLOOKUP($C133,Tests!$A$2:$L$841,11,FALSE),VLOOKUP($C133,Questions!$A$3:$N$201,13,FALSE)))</f>
        <v xml:space="preserve">removeFields
</v>
      </c>
      <c r="G133" s="187"/>
      <c r="H133" s="202"/>
      <c r="I133" s="9"/>
      <c r="J133" s="9"/>
      <c r="K133" s="9"/>
      <c r="L133" s="9"/>
      <c r="M133" s="9"/>
    </row>
    <row r="134" spans="2:14" ht="15.75" customHeight="1">
      <c r="B134" s="114" t="s">
        <v>4589</v>
      </c>
      <c r="C134" s="9">
        <v>570</v>
      </c>
      <c r="D134" s="9" t="s">
        <v>4360</v>
      </c>
      <c r="E134" s="9" t="str">
        <f>IF($B134 = "Mutant",VLOOKUP($C134,Mutants!$A$2:$L$560,12,FALSE),IF($B134 = "Test",VLOOKUP($C134,Tests!$A$2:$L$841,12,FALSE),VLOOKUP($C134,Questions!$A$3:$N$201,9,FALSE)))</f>
        <v>Y</v>
      </c>
      <c r="F134" s="187" t="str">
        <f>IF($B134 = "Mutant",VLOOKUP($C134,Mutants!$A$2:$L$560,11,FALSE),IF($B134 = "Test",VLOOKUP($C134,Tests!$A$2:$L$841,11,FALSE),VLOOKUP($C134,Questions!$A$3:$N$201,13,FALSE)))</f>
        <v xml:space="preserve">
</v>
      </c>
      <c r="G134" s="187"/>
      <c r="H134" s="202"/>
      <c r="I134" s="9"/>
      <c r="J134" s="9"/>
      <c r="K134" s="9"/>
      <c r="L134" s="9"/>
      <c r="M134" s="9"/>
    </row>
    <row r="135" spans="2:14" ht="15.75" customHeight="1">
      <c r="B135" s="114" t="s">
        <v>4589</v>
      </c>
      <c r="C135" s="9">
        <v>580</v>
      </c>
      <c r="D135" s="9" t="s">
        <v>2204</v>
      </c>
      <c r="E135" s="9" t="str">
        <f>IF($B135 = "Mutant",VLOOKUP($C135,Mutants!$A$2:$L$560,12,FALSE),IF($B135 = "Test",VLOOKUP($C135,Tests!$A$2:$L$841,12,FALSE),VLOOKUP($C135,Questions!$A$3:$N$201,9,FALSE)))</f>
        <v>Y</v>
      </c>
      <c r="F135" s="187" t="str">
        <f>IF($B135 = "Mutant",VLOOKUP($C135,Mutants!$A$2:$L$560,11,FALSE),IF($B135 = "Test",VLOOKUP($C135,Tests!$A$2:$L$841,11,FALSE),VLOOKUP($C135,Questions!$A$3:$N$201,13,FALSE)))</f>
        <v xml:space="preserve">clear
</v>
      </c>
      <c r="G135" s="187"/>
      <c r="H135" s="202"/>
      <c r="I135" s="9"/>
      <c r="J135" s="9"/>
      <c r="K135" s="9"/>
      <c r="L135" s="9"/>
      <c r="M135" s="9"/>
    </row>
    <row r="136" spans="2:14" ht="15.75" customHeight="1">
      <c r="B136" s="114" t="s">
        <v>4589</v>
      </c>
      <c r="C136" s="9">
        <v>583</v>
      </c>
      <c r="D136" s="9" t="s">
        <v>4392</v>
      </c>
      <c r="E136" s="9" t="str">
        <f>IF($B136 = "Mutant",VLOOKUP($C136,Mutants!$A$2:$L$560,12,FALSE),IF($B136 = "Test",VLOOKUP($C136,Tests!$A$2:$L$841,12,FALSE),VLOOKUP($C136,Questions!$A$3:$N$201,9,FALSE)))</f>
        <v>Y</v>
      </c>
      <c r="F136" s="187" t="str">
        <f>IF($B136 = "Mutant",VLOOKUP($C136,Mutants!$A$2:$L$560,11,FALSE),IF($B136 = "Test",VLOOKUP($C136,Tests!$A$2:$L$841,11,FALSE),VLOOKUP($C136,Questions!$A$3:$N$201,13,FALSE)))</f>
        <v xml:space="preserve">getBinaryValues
</v>
      </c>
      <c r="G136" s="187"/>
      <c r="H136" s="202"/>
      <c r="I136" s="9"/>
      <c r="J136" s="9"/>
      <c r="K136" s="9"/>
      <c r="L136" s="9"/>
      <c r="M136" s="9"/>
    </row>
    <row r="137" spans="2:14" ht="15.75" customHeight="1">
      <c r="B137" s="114" t="s">
        <v>4589</v>
      </c>
      <c r="C137" s="9">
        <v>588</v>
      </c>
      <c r="D137" s="9" t="s">
        <v>2300</v>
      </c>
      <c r="E137" s="9" t="str">
        <f>IF($B137 = "Mutant",VLOOKUP($C137,Mutants!$A$2:$L$560,12,FALSE),IF($B137 = "Test",VLOOKUP($C137,Tests!$A$2:$L$841,12,FALSE),VLOOKUP($C137,Questions!$A$3:$N$201,9,FALSE)))</f>
        <v>Y</v>
      </c>
      <c r="F137" s="187" t="str">
        <f>IF($B137 = "Mutant",VLOOKUP($C137,Mutants!$A$2:$L$560,11,FALSE),IF($B137 = "Test",VLOOKUP($C137,Tests!$A$2:$L$841,11,FALSE),VLOOKUP($C137,Questions!$A$3:$N$201,13,FALSE)))</f>
        <v xml:space="preserve">getFields_1
</v>
      </c>
      <c r="G137" s="187"/>
      <c r="H137" s="202"/>
      <c r="I137" s="9"/>
      <c r="J137" s="9"/>
      <c r="K137" s="9"/>
      <c r="L137" s="9"/>
      <c r="M137" s="9"/>
    </row>
    <row r="138" spans="2:14" ht="15.75" customHeight="1">
      <c r="B138" s="114" t="s">
        <v>4589</v>
      </c>
      <c r="C138" s="9">
        <v>592</v>
      </c>
      <c r="D138" s="9" t="s">
        <v>4415</v>
      </c>
      <c r="E138" s="9" t="str">
        <f>IF($B138 = "Mutant",VLOOKUP($C138,Mutants!$A$2:$L$560,12,FALSE),IF($B138 = "Test",VLOOKUP($C138,Tests!$A$2:$L$841,12,FALSE),VLOOKUP($C138,Questions!$A$3:$N$201,9,FALSE)))</f>
        <v>Y</v>
      </c>
      <c r="F138" s="187" t="str">
        <f>IF($B138 = "Mutant",VLOOKUP($C138,Mutants!$A$2:$L$560,11,FALSE),IF($B138 = "Test",VLOOKUP($C138,Tests!$A$2:$L$841,11,FALSE),VLOOKUP($C138,Questions!$A$3:$N$201,13,FALSE)))</f>
        <v xml:space="preserve">getBinaryValues
</v>
      </c>
      <c r="G138" s="187"/>
      <c r="H138" s="202"/>
      <c r="I138" s="9"/>
      <c r="J138" s="9"/>
      <c r="K138" s="9"/>
      <c r="L138" s="9"/>
      <c r="M138" s="9"/>
    </row>
    <row r="139" spans="2:14" ht="15.75" customHeight="1">
      <c r="B139" s="114" t="s">
        <v>4589</v>
      </c>
      <c r="C139" s="9">
        <v>595</v>
      </c>
      <c r="D139" s="9" t="s">
        <v>4423</v>
      </c>
      <c r="E139" s="9" t="str">
        <f>IF($B139 = "Mutant",VLOOKUP($C139,Mutants!$A$2:$L$560,12,FALSE),IF($B139 = "Test",VLOOKUP($C139,Tests!$A$2:$L$841,12,FALSE),VLOOKUP($C139,Questions!$A$3:$N$201,9,FALSE)))</f>
        <v>Y</v>
      </c>
      <c r="F139" s="187" t="str">
        <f>IF($B139 = "Mutant",VLOOKUP($C139,Mutants!$A$2:$L$560,11,FALSE),IF($B139 = "Test",VLOOKUP($C139,Tests!$A$2:$L$841,11,FALSE),VLOOKUP($C139,Questions!$A$3:$N$201,13,FALSE)))</f>
        <v xml:space="preserve">getValues
</v>
      </c>
      <c r="G139" s="187"/>
      <c r="H139" s="202"/>
      <c r="I139" s="9"/>
      <c r="J139" s="9"/>
      <c r="K139" s="9"/>
      <c r="L139" s="9"/>
      <c r="M139" s="9"/>
    </row>
    <row r="140" spans="2:14" ht="15.75" customHeight="1">
      <c r="B140" s="114" t="s">
        <v>4589</v>
      </c>
      <c r="C140" s="9">
        <v>596</v>
      </c>
      <c r="D140" s="9" t="s">
        <v>4426</v>
      </c>
      <c r="E140" s="9" t="str">
        <f>IF($B140 = "Mutant",VLOOKUP($C140,Mutants!$A$2:$L$560,12,FALSE),IF($B140 = "Test",VLOOKUP($C140,Tests!$A$2:$L$841,12,FALSE),VLOOKUP($C140,Questions!$A$3:$N$201,9,FALSE)))</f>
        <v>Y</v>
      </c>
      <c r="F140" s="187" t="str">
        <f>IF($B140 = "Mutant",VLOOKUP($C140,Mutants!$A$2:$L$560,11,FALSE),IF($B140 = "Test",VLOOKUP($C140,Tests!$A$2:$L$841,11,FALSE),VLOOKUP($C140,Questions!$A$3:$N$201,13,FALSE)))</f>
        <v xml:space="preserve">getBinaryValue
</v>
      </c>
      <c r="G140" s="187"/>
      <c r="H140" s="202"/>
      <c r="I140" s="9"/>
      <c r="J140" s="9"/>
      <c r="K140" s="9"/>
      <c r="L140" s="9"/>
      <c r="M140" s="9"/>
    </row>
    <row r="141" spans="2:14" ht="15.75" customHeight="1">
      <c r="B141" s="114" t="s">
        <v>107</v>
      </c>
      <c r="C141" s="9">
        <v>155</v>
      </c>
      <c r="D141" s="9" t="s">
        <v>425</v>
      </c>
      <c r="E141" s="9" t="str">
        <f>IF($B141 = "Mutant",VLOOKUP($C141,Mutants!$A$2:$L$560,12,FALSE),IF($B141 = "Test",VLOOKUP($C141,Tests!$A$2:$L$841,12,FALSE),VLOOKUP($C141,Questions!$A$3:$N$201,9,FALSE)))</f>
        <v>Y</v>
      </c>
      <c r="F141" s="187" t="str">
        <f>IF($B141 = "Mutant",VLOOKUP($C141,Mutants!$A$2:$L$560,11,FALSE),IF($B141 = "Test",VLOOKUP($C141,Tests!$A$2:$L$841,11,FALSE),VLOOKUP($C141,Questions!$A$3:$N$201,13,FALSE)))</f>
        <v xml:space="preserve"> </v>
      </c>
      <c r="G141" s="187"/>
      <c r="H141" s="202"/>
      <c r="I141" s="9"/>
      <c r="J141" s="9"/>
      <c r="K141" s="9"/>
      <c r="L141" s="9"/>
      <c r="M141" s="9"/>
    </row>
    <row r="142" spans="2:14" ht="15.75" customHeight="1">
      <c r="B142" s="114" t="s">
        <v>107</v>
      </c>
      <c r="C142" s="9">
        <v>157</v>
      </c>
      <c r="D142" s="9" t="s">
        <v>428</v>
      </c>
      <c r="E142" s="9" t="str">
        <f>IF($B142 = "Mutant",VLOOKUP($C142,Mutants!$A$2:$L$560,12,FALSE),IF($B142 = "Test",VLOOKUP($C142,Tests!$A$2:$L$841,12,FALSE),VLOOKUP($C142,Questions!$A$3:$N$201,9,FALSE)))</f>
        <v>Y</v>
      </c>
      <c r="F142" s="187" t="str">
        <f>IF($B142 = "Mutant",VLOOKUP($C142,Mutants!$A$2:$L$560,11,FALSE),IF($B142 = "Test",VLOOKUP($C142,Tests!$A$2:$L$841,11,FALSE),VLOOKUP($C142,Questions!$A$3:$N$201,13,FALSE)))</f>
        <v xml:space="preserve"> </v>
      </c>
      <c r="G142" s="187"/>
      <c r="H142" s="202"/>
      <c r="I142" s="9"/>
      <c r="J142" s="9"/>
      <c r="K142" s="9"/>
      <c r="L142" s="9"/>
      <c r="M142" s="9"/>
    </row>
    <row r="143" spans="2:14" ht="15.75" customHeight="1">
      <c r="B143" s="114" t="s">
        <v>107</v>
      </c>
      <c r="C143" s="9">
        <v>165</v>
      </c>
      <c r="D143" s="9" t="s">
        <v>431</v>
      </c>
      <c r="E143" s="9" t="str">
        <f>IF($B143 = "Mutant",VLOOKUP($C143,Mutants!$A$2:$L$560,12,FALSE),IF($B143 = "Test",VLOOKUP($C143,Tests!$A$2:$L$841,12,FALSE),VLOOKUP($C143,Questions!$A$3:$N$201,9,FALSE)))</f>
        <v>Y</v>
      </c>
      <c r="F143" s="187" t="str">
        <f>IF($B143 = "Mutant",VLOOKUP($C143,Mutants!$A$2:$L$560,11,FALSE),IF($B143 = "Test",VLOOKUP($C143,Tests!$A$2:$L$841,11,FALSE),VLOOKUP($C143,Questions!$A$3:$N$201,13,FALSE)))</f>
        <v xml:space="preserve">iterator
</v>
      </c>
      <c r="G143" s="187"/>
      <c r="H143" s="202"/>
      <c r="I143" s="9"/>
      <c r="J143" s="9"/>
      <c r="K143" s="9"/>
      <c r="L143" s="9"/>
      <c r="M143" s="9"/>
      <c r="N143" s="9"/>
    </row>
    <row r="144" spans="2:14" ht="15.75" customHeight="1">
      <c r="B144" s="114" t="s">
        <v>4590</v>
      </c>
      <c r="C144" s="9">
        <v>764</v>
      </c>
      <c r="D144" s="9" t="s">
        <v>2589</v>
      </c>
      <c r="E144" s="9" t="str">
        <f>IF($B144 = "Mutant",VLOOKUP($C144,Mutants!$A$2:$L$560,12,FALSE),IF($B144 = "Test",VLOOKUP($C144,Tests!$A$2:$L$841,12,FALSE),VLOOKUP($C144,Questions!$A$3:$N$201,9,FALSE)))</f>
        <v>Y</v>
      </c>
      <c r="F144" s="187" t="str">
        <f>IF($B144 = "Mutant",VLOOKUP($C144,Mutants!$A$2:$L$560,11,FALSE),IF($B144 = "Test",VLOOKUP($C144,Tests!$A$2:$L$841,11,FALSE),VLOOKUP($C144,Questions!$A$3:$N$201,13,FALSE)))</f>
        <v xml:space="preserve">iterator
</v>
      </c>
      <c r="G144" s="187"/>
      <c r="H144" s="202"/>
      <c r="I144" s="9"/>
      <c r="J144" s="9"/>
      <c r="K144" s="9"/>
      <c r="L144" s="9"/>
      <c r="M144" s="9"/>
    </row>
    <row r="145" spans="2:14" ht="15.75" customHeight="1">
      <c r="B145" s="114" t="s">
        <v>107</v>
      </c>
      <c r="C145" s="9">
        <v>170</v>
      </c>
      <c r="D145" s="9" t="s">
        <v>434</v>
      </c>
      <c r="E145" s="9" t="str">
        <f>IF($B145 = "Mutant",VLOOKUP($C145,Mutants!$A$2:$L$560,12,FALSE),IF($B145 = "Test",VLOOKUP($C145,Tests!$A$2:$L$841,12,FALSE),VLOOKUP($C145,Questions!$A$3:$N$201,9,FALSE)))</f>
        <v>Y</v>
      </c>
      <c r="F145" s="187" t="str">
        <f>IF($B145 = "Mutant",VLOOKUP($C145,Mutants!$A$2:$L$560,11,FALSE),IF($B145 = "Test",VLOOKUP($C145,Tests!$A$2:$L$841,11,FALSE),VLOOKUP($C145,Questions!$A$3:$N$201,13,FALSE)))</f>
        <v>add</v>
      </c>
      <c r="G145" s="187"/>
      <c r="H145" s="202"/>
      <c r="I145" s="9"/>
      <c r="J145" s="9"/>
      <c r="K145" s="9"/>
      <c r="L145" s="9"/>
      <c r="M145" s="9"/>
      <c r="N145" s="9"/>
    </row>
    <row r="146" spans="2:14" ht="15.75" customHeight="1">
      <c r="B146" s="114" t="s">
        <v>4590</v>
      </c>
      <c r="C146" s="9">
        <v>793</v>
      </c>
      <c r="D146" s="9" t="s">
        <v>2664</v>
      </c>
      <c r="E146" s="9" t="str">
        <f>IF($B146 = "Mutant",VLOOKUP($C146,Mutants!$A$2:$L$560,12,FALSE),IF($B146 = "Test",VLOOKUP($C146,Tests!$A$2:$L$841,12,FALSE),VLOOKUP($C146,Questions!$A$3:$N$201,9,FALSE)))</f>
        <v>N</v>
      </c>
      <c r="F146" s="187" t="str">
        <f>IF($B146 = "Mutant",VLOOKUP($C146,Mutants!$A$2:$L$560,11,FALSE),IF($B146 = "Test",VLOOKUP($C146,Tests!$A$2:$L$841,11,FALSE),VLOOKUP($C146,Questions!$A$3:$N$201,13,FALSE)))</f>
        <v xml:space="preserve">
</v>
      </c>
      <c r="G146" s="187"/>
      <c r="H146" s="202"/>
      <c r="I146" s="9"/>
      <c r="J146" s="9"/>
      <c r="K146" s="9"/>
      <c r="L146" s="9"/>
      <c r="M146" s="9"/>
    </row>
    <row r="147" spans="2:14" ht="15.75" customHeight="1">
      <c r="B147" s="114" t="s">
        <v>4590</v>
      </c>
      <c r="C147" s="9">
        <v>864</v>
      </c>
      <c r="D147" s="9" t="s">
        <v>2860</v>
      </c>
      <c r="E147" s="9" t="str">
        <f>IF($B147 = "Mutant",VLOOKUP($C147,Mutants!$A$2:$L$560,12,FALSE),IF($B147 = "Test",VLOOKUP($C147,Tests!$A$2:$L$841,12,FALSE),VLOOKUP($C147,Questions!$A$3:$N$201,9,FALSE)))</f>
        <v>N</v>
      </c>
      <c r="F147" s="187" t="str">
        <f>IF($B147 = "Mutant",VLOOKUP($C147,Mutants!$A$2:$L$560,11,FALSE),IF($B147 = "Test",VLOOKUP($C147,Tests!$A$2:$L$841,11,FALSE),VLOOKUP($C147,Questions!$A$3:$N$201,13,FALSE)))</f>
        <v xml:space="preserve">
</v>
      </c>
      <c r="G147" s="187"/>
      <c r="H147" s="202"/>
      <c r="I147" s="9"/>
      <c r="J147" s="9"/>
      <c r="K147" s="9"/>
      <c r="L147" s="9"/>
      <c r="M147" s="9"/>
    </row>
    <row r="148" spans="2:14" ht="15.75" customHeight="1">
      <c r="B148" s="114" t="s">
        <v>107</v>
      </c>
      <c r="C148" s="9">
        <v>189</v>
      </c>
      <c r="D148" s="9" t="s">
        <v>438</v>
      </c>
      <c r="E148" s="9" t="str">
        <f>IF($B148 = "Mutant",VLOOKUP($C148,Mutants!$A$2:$L$560,12,FALSE),IF($B148 = "Test",VLOOKUP($C148,Tests!$A$2:$L$841,12,FALSE),VLOOKUP($C148,Questions!$A$3:$N$201,9,FALSE)))</f>
        <v>Y</v>
      </c>
      <c r="F148" s="187" t="str">
        <f>IF($B148 = "Mutant",VLOOKUP($C148,Mutants!$A$2:$L$560,11,FALSE),IF($B148 = "Test",VLOOKUP($C148,Tests!$A$2:$L$841,11,FALSE),VLOOKUP($C148,Questions!$A$3:$N$201,13,FALSE)))</f>
        <v xml:space="preserve"> </v>
      </c>
      <c r="G148" s="187"/>
      <c r="H148" s="202"/>
      <c r="I148" s="9"/>
      <c r="J148" s="9"/>
      <c r="K148" s="9"/>
      <c r="L148" s="9"/>
      <c r="M148" s="9"/>
    </row>
    <row r="149" spans="2:14" ht="15.75" customHeight="1">
      <c r="B149" s="114" t="s">
        <v>4590</v>
      </c>
      <c r="C149" s="9">
        <v>882</v>
      </c>
      <c r="D149" s="9" t="s">
        <v>2920</v>
      </c>
      <c r="E149" s="9" t="str">
        <f>IF($B149 = "Mutant",VLOOKUP($C149,Mutants!$A$2:$L$560,12,FALSE),IF($B149 = "Test",VLOOKUP($C149,Tests!$A$2:$L$841,12,FALSE),VLOOKUP($C149,Questions!$A$3:$N$201,9,FALSE)))</f>
        <v>N</v>
      </c>
      <c r="F149" s="187" t="str">
        <f>IF($B149 = "Mutant",VLOOKUP($C149,Mutants!$A$2:$L$560,11,FALSE),IF($B149 = "Test",VLOOKUP($C149,Tests!$A$2:$L$841,11,FALSE),VLOOKUP($C149,Questions!$A$3:$N$201,13,FALSE)))</f>
        <v xml:space="preserve">
</v>
      </c>
      <c r="G149" s="187"/>
      <c r="H149" s="202"/>
      <c r="I149" s="9"/>
      <c r="J149" s="9"/>
      <c r="K149" s="9"/>
      <c r="L149" s="9"/>
      <c r="M149" s="9"/>
    </row>
    <row r="150" spans="2:14" ht="15.75" customHeight="1">
      <c r="B150" s="114" t="s">
        <v>107</v>
      </c>
      <c r="C150" s="9">
        <v>196</v>
      </c>
      <c r="D150" s="9" t="s">
        <v>441</v>
      </c>
      <c r="E150" s="9" t="str">
        <f>IF($B150 = "Mutant",VLOOKUP($C150,Mutants!$A$2:$L$560,12,FALSE),IF($B150 = "Test",VLOOKUP($C150,Tests!$A$2:$L$841,12,FALSE),VLOOKUP($C150,Questions!$A$3:$N$201,9,FALSE)))</f>
        <v>Y</v>
      </c>
      <c r="F150" s="187" t="str">
        <f>IF($B150 = "Mutant",VLOOKUP($C150,Mutants!$A$2:$L$560,11,FALSE),IF($B150 = "Test",VLOOKUP($C150,Tests!$A$2:$L$841,11,FALSE),VLOOKUP($C150,Questions!$A$3:$N$201,13,FALSE)))</f>
        <v xml:space="preserve">removeField
</v>
      </c>
      <c r="G150" s="187"/>
      <c r="H150" s="202"/>
      <c r="I150" s="9"/>
      <c r="J150" s="9"/>
      <c r="K150" s="9"/>
      <c r="L150" s="9"/>
      <c r="M150" s="9"/>
      <c r="N150" s="9"/>
    </row>
    <row r="151" spans="2:14" ht="15.75" customHeight="1">
      <c r="B151" s="114" t="s">
        <v>4590</v>
      </c>
      <c r="C151" s="9">
        <v>892</v>
      </c>
      <c r="D151" s="9" t="s">
        <v>2945</v>
      </c>
      <c r="E151" s="9" t="str">
        <f>IF($B151 = "Mutant",VLOOKUP($C151,Mutants!$A$2:$L$560,12,FALSE),IF($B151 = "Test",VLOOKUP($C151,Tests!$A$2:$L$841,12,FALSE),VLOOKUP($C151,Questions!$A$3:$N$201,9,FALSE)))</f>
        <v>N</v>
      </c>
      <c r="F151" s="187" t="str">
        <f>IF($B151 = "Mutant",VLOOKUP($C151,Mutants!$A$2:$L$560,11,FALSE),IF($B151 = "Test",VLOOKUP($C151,Tests!$A$2:$L$841,11,FALSE),VLOOKUP($C151,Questions!$A$3:$N$201,13,FALSE)))</f>
        <v xml:space="preserve">
</v>
      </c>
      <c r="G151" s="187"/>
      <c r="H151" s="202"/>
      <c r="I151" s="9"/>
      <c r="J151" s="9"/>
      <c r="K151" s="9"/>
      <c r="L151" s="9"/>
      <c r="M151" s="9"/>
    </row>
    <row r="152" spans="2:14" ht="15.75" customHeight="1">
      <c r="B152" s="114" t="s">
        <v>107</v>
      </c>
      <c r="C152" s="9">
        <v>200</v>
      </c>
      <c r="D152" s="9" t="s">
        <v>444</v>
      </c>
      <c r="E152" s="9" t="str">
        <f>IF($B152 = "Mutant",VLOOKUP($C152,Mutants!$A$2:$L$560,12,FALSE),IF($B152 = "Test",VLOOKUP($C152,Tests!$A$2:$L$841,12,FALSE),VLOOKUP($C152,Questions!$A$3:$N$201,9,FALSE)))</f>
        <v>Y</v>
      </c>
      <c r="F152" s="187" t="str">
        <f>IF($B152 = "Mutant",VLOOKUP($C152,Mutants!$A$2:$L$560,11,FALSE),IF($B152 = "Test",VLOOKUP($C152,Tests!$A$2:$L$841,11,FALSE),VLOOKUP($C152,Questions!$A$3:$N$201,13,FALSE)))</f>
        <v xml:space="preserve">removeField
</v>
      </c>
      <c r="G152" s="187"/>
      <c r="H152" s="202"/>
      <c r="I152" s="9"/>
      <c r="J152" s="9"/>
      <c r="K152" s="9"/>
      <c r="L152" s="9"/>
      <c r="M152" s="9"/>
      <c r="N152" s="9"/>
    </row>
    <row r="153" spans="2:14" ht="15.75" customHeight="1">
      <c r="B153" s="114" t="s">
        <v>4590</v>
      </c>
      <c r="C153" s="9">
        <v>924</v>
      </c>
      <c r="D153" s="9" t="s">
        <v>3038</v>
      </c>
      <c r="E153" s="9" t="str">
        <f>IF($B153 = "Mutant",VLOOKUP($C153,Mutants!$A$2:$L$560,12,FALSE),IF($B153 = "Test",VLOOKUP($C153,Tests!$A$2:$L$841,12,FALSE),VLOOKUP($C153,Questions!$A$3:$N$201,9,FALSE)))</f>
        <v>N</v>
      </c>
      <c r="F153" s="187" t="str">
        <f>IF($B153 = "Mutant",VLOOKUP($C153,Mutants!$A$2:$L$560,11,FALSE),IF($B153 = "Test",VLOOKUP($C153,Tests!$A$2:$L$841,11,FALSE),VLOOKUP($C153,Questions!$A$3:$N$201,13,FALSE)))</f>
        <v xml:space="preserve">
</v>
      </c>
      <c r="G153" s="187"/>
      <c r="H153" s="202"/>
      <c r="I153" s="9"/>
      <c r="J153" s="9"/>
      <c r="K153" s="9"/>
      <c r="L153" s="9"/>
      <c r="M153" s="9"/>
    </row>
    <row r="154" spans="2:14" ht="15.75" customHeight="1">
      <c r="B154" s="133" t="s">
        <v>107</v>
      </c>
      <c r="C154" s="130">
        <v>205</v>
      </c>
      <c r="D154" s="130" t="s">
        <v>447</v>
      </c>
      <c r="E154" s="130" t="str">
        <f>IF($B154 = "Mutant",VLOOKUP($C154,Mutants!$A$2:$L$560,12,FALSE),IF($B154 = "Test",VLOOKUP($C154,Tests!$A$2:$L$841,12,FALSE),VLOOKUP($C154,Questions!$A$3:$N$201,9,FALSE)))</f>
        <v>N</v>
      </c>
      <c r="F154" s="203" t="str">
        <f>IF($B154 = "Mutant",VLOOKUP($C154,Mutants!$A$2:$L$560,11,FALSE),IF($B154 = "Test",VLOOKUP($C154,Tests!$A$2:$L$841,11,FALSE),VLOOKUP($C154,Questions!$A$3:$N$201,13,FALSE)))</f>
        <v xml:space="preserve"> </v>
      </c>
      <c r="G154" s="203"/>
      <c r="H154" s="204"/>
      <c r="I154" s="9"/>
      <c r="J154" s="9"/>
      <c r="K154" s="9"/>
      <c r="L154" s="9"/>
      <c r="M154" s="9"/>
    </row>
  </sheetData>
  <mergeCells count="114">
    <mergeCell ref="B12:C12"/>
    <mergeCell ref="B5:C5"/>
    <mergeCell ref="B6:C6"/>
    <mergeCell ref="B7:C7"/>
    <mergeCell ref="B8:C8"/>
    <mergeCell ref="B9:C9"/>
    <mergeCell ref="B126:C126"/>
    <mergeCell ref="B89:C89"/>
    <mergeCell ref="B68:C68"/>
    <mergeCell ref="B50:C50"/>
    <mergeCell ref="F51:H51"/>
    <mergeCell ref="F69:H69"/>
    <mergeCell ref="F90:H90"/>
    <mergeCell ref="F67:H67"/>
    <mergeCell ref="F68:H68"/>
    <mergeCell ref="F70:H70"/>
    <mergeCell ref="F71:H71"/>
    <mergeCell ref="F72:H72"/>
    <mergeCell ref="F73:H73"/>
    <mergeCell ref="F74:H74"/>
    <mergeCell ref="F75:H75"/>
    <mergeCell ref="F76:H76"/>
    <mergeCell ref="F77:H77"/>
    <mergeCell ref="F78:H78"/>
    <mergeCell ref="F79:H79"/>
    <mergeCell ref="F80:H80"/>
    <mergeCell ref="F81:H81"/>
    <mergeCell ref="F127:H127"/>
    <mergeCell ref="F52:H52"/>
    <mergeCell ref="F53:H53"/>
    <mergeCell ref="F54:H54"/>
    <mergeCell ref="F55:H55"/>
    <mergeCell ref="F56:H56"/>
    <mergeCell ref="F57:H57"/>
    <mergeCell ref="F58:H58"/>
    <mergeCell ref="F59:H59"/>
    <mergeCell ref="F60:H60"/>
    <mergeCell ref="F61:H61"/>
    <mergeCell ref="F62:H62"/>
    <mergeCell ref="F63:H63"/>
    <mergeCell ref="F64:H64"/>
    <mergeCell ref="F65:H65"/>
    <mergeCell ref="F66:H66"/>
    <mergeCell ref="F87:H87"/>
    <mergeCell ref="F88:H88"/>
    <mergeCell ref="F89:H89"/>
    <mergeCell ref="F91:H91"/>
    <mergeCell ref="F92:H92"/>
    <mergeCell ref="F82:H82"/>
    <mergeCell ref="F83:H83"/>
    <mergeCell ref="F84:H84"/>
    <mergeCell ref="F85:H85"/>
    <mergeCell ref="F86:H86"/>
    <mergeCell ref="F98:H98"/>
    <mergeCell ref="F99:H99"/>
    <mergeCell ref="F100:H100"/>
    <mergeCell ref="F101:H101"/>
    <mergeCell ref="F102:H102"/>
    <mergeCell ref="F93:H93"/>
    <mergeCell ref="F94:H94"/>
    <mergeCell ref="F95:H95"/>
    <mergeCell ref="F96:H96"/>
    <mergeCell ref="F97:H97"/>
    <mergeCell ref="F108:H108"/>
    <mergeCell ref="F109:H109"/>
    <mergeCell ref="F110:H110"/>
    <mergeCell ref="F111:H111"/>
    <mergeCell ref="F112:H112"/>
    <mergeCell ref="F103:H103"/>
    <mergeCell ref="F104:H104"/>
    <mergeCell ref="F105:H105"/>
    <mergeCell ref="F106:H106"/>
    <mergeCell ref="F107:H107"/>
    <mergeCell ref="F118:H118"/>
    <mergeCell ref="F119:H119"/>
    <mergeCell ref="F120:H120"/>
    <mergeCell ref="F121:H121"/>
    <mergeCell ref="F122:H122"/>
    <mergeCell ref="F113:H113"/>
    <mergeCell ref="F114:H114"/>
    <mergeCell ref="F115:H115"/>
    <mergeCell ref="F116:H116"/>
    <mergeCell ref="F117:H117"/>
    <mergeCell ref="F129:H129"/>
    <mergeCell ref="F130:H130"/>
    <mergeCell ref="F131:H131"/>
    <mergeCell ref="F132:H132"/>
    <mergeCell ref="F133:H133"/>
    <mergeCell ref="F123:H123"/>
    <mergeCell ref="F124:H124"/>
    <mergeCell ref="F125:H125"/>
    <mergeCell ref="F126:H126"/>
    <mergeCell ref="F128:H128"/>
    <mergeCell ref="F139:H139"/>
    <mergeCell ref="F140:H140"/>
    <mergeCell ref="F141:H141"/>
    <mergeCell ref="F142:H142"/>
    <mergeCell ref="F143:H143"/>
    <mergeCell ref="F134:H134"/>
    <mergeCell ref="F135:H135"/>
    <mergeCell ref="F136:H136"/>
    <mergeCell ref="F137:H137"/>
    <mergeCell ref="F138:H138"/>
    <mergeCell ref="F154:H154"/>
    <mergeCell ref="F149:H149"/>
    <mergeCell ref="F150:H150"/>
    <mergeCell ref="F151:H151"/>
    <mergeCell ref="F152:H152"/>
    <mergeCell ref="F153:H153"/>
    <mergeCell ref="F144:H144"/>
    <mergeCell ref="F145:H145"/>
    <mergeCell ref="F146:H146"/>
    <mergeCell ref="F147:H147"/>
    <mergeCell ref="F148:H148"/>
  </mergeCells>
  <conditionalFormatting sqref="A50:B50">
    <cfRule type="cellIs" dxfId="143" priority="13" operator="equal">
      <formula>"NO_KILL"</formula>
    </cfRule>
    <cfRule type="cellIs" dxfId="142" priority="14" operator="equal">
      <formula>"KILL"</formula>
    </cfRule>
    <cfRule type="cellIs" dxfId="141" priority="15" operator="equal">
      <formula>"ERROR"</formula>
    </cfRule>
  </conditionalFormatting>
  <conditionalFormatting sqref="A68:B68">
    <cfRule type="cellIs" dxfId="140" priority="19" operator="equal">
      <formula>"NO_KILL"</formula>
    </cfRule>
    <cfRule type="cellIs" dxfId="139" priority="20" operator="equal">
      <formula>"KILL"</formula>
    </cfRule>
    <cfRule type="cellIs" dxfId="138" priority="21" operator="equal">
      <formula>"ERROR"</formula>
    </cfRule>
  </conditionalFormatting>
  <conditionalFormatting sqref="A89:B89">
    <cfRule type="cellIs" dxfId="137" priority="26" operator="equal">
      <formula>"KILL"</formula>
    </cfRule>
    <cfRule type="cellIs" dxfId="136" priority="27" operator="equal">
      <formula>"ERROR"</formula>
    </cfRule>
    <cfRule type="cellIs" dxfId="135" priority="25" operator="equal">
      <formula>"NO_KILL"</formula>
    </cfRule>
  </conditionalFormatting>
  <conditionalFormatting sqref="A126:B126">
    <cfRule type="cellIs" dxfId="134" priority="31" operator="equal">
      <formula>"NO_KILL"</formula>
    </cfRule>
    <cfRule type="cellIs" dxfId="133" priority="32" operator="equal">
      <formula>"KILL"</formula>
    </cfRule>
    <cfRule type="cellIs" dxfId="132" priority="33" operator="equal">
      <formula>"ERROR"</formula>
    </cfRule>
  </conditionalFormatting>
  <conditionalFormatting sqref="A51:F67">
    <cfRule type="cellIs" dxfId="131" priority="11" operator="equal">
      <formula>"KILL"</formula>
    </cfRule>
    <cfRule type="cellIs" dxfId="130" priority="10" operator="equal">
      <formula>"NO_KILL"</formula>
    </cfRule>
    <cfRule type="cellIs" dxfId="129" priority="12" operator="equal">
      <formula>"ERROR"</formula>
    </cfRule>
  </conditionalFormatting>
  <conditionalFormatting sqref="A69:F88">
    <cfRule type="cellIs" dxfId="128" priority="7" operator="equal">
      <formula>"NO_KILL"</formula>
    </cfRule>
    <cfRule type="cellIs" dxfId="127" priority="8" operator="equal">
      <formula>"KILL"</formula>
    </cfRule>
    <cfRule type="cellIs" dxfId="126" priority="9" operator="equal">
      <formula>"ERROR"</formula>
    </cfRule>
  </conditionalFormatting>
  <conditionalFormatting sqref="A90:F125">
    <cfRule type="cellIs" dxfId="125" priority="4" operator="equal">
      <formula>"NO_KILL"</formula>
    </cfRule>
    <cfRule type="cellIs" dxfId="124" priority="5" operator="equal">
      <formula>"KILL"</formula>
    </cfRule>
    <cfRule type="cellIs" dxfId="123" priority="6" operator="equal">
      <formula>"ERROR"</formula>
    </cfRule>
  </conditionalFormatting>
  <conditionalFormatting sqref="A127:F154">
    <cfRule type="cellIs" dxfId="122" priority="2" operator="equal">
      <formula>"KILL"</formula>
    </cfRule>
    <cfRule type="cellIs" dxfId="121" priority="3" operator="equal">
      <formula>"ERROR"</formula>
    </cfRule>
    <cfRule type="cellIs" dxfId="120" priority="1" operator="equal">
      <formula>"NO_KILL"</formula>
    </cfRule>
  </conditionalFormatting>
  <conditionalFormatting sqref="A1:Z4 A5:B9 D5:Z9 A10:Z49 D50:Z50 I51:Z154 D68:F68 D89:F89 D126:F126 A155:Z1096">
    <cfRule type="cellIs" dxfId="119" priority="37" operator="equal">
      <formula>"NO_KILL"</formula>
    </cfRule>
    <cfRule type="cellIs" dxfId="118" priority="38" operator="equal">
      <formula>"KILL"</formula>
    </cfRule>
    <cfRule type="cellIs" dxfId="117" priority="39" operator="equal">
      <formula>"ERROR"</formula>
    </cfRule>
  </conditionalFormatting>
  <conditionalFormatting sqref="B48:B1096">
    <cfRule type="cellIs" dxfId="116" priority="18" operator="equal">
      <formula>"Question"</formula>
    </cfRule>
    <cfRule type="cellIs" dxfId="115" priority="17" operator="equal">
      <formula>"Mutant"</formula>
    </cfRule>
    <cfRule type="cellIs" dxfId="114" priority="16" operator="equal">
      <formula>"Test"</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B2:P168"/>
  <sheetViews>
    <sheetView topLeftCell="A28" workbookViewId="0">
      <selection activeCell="J50" sqref="J50"/>
    </sheetView>
  </sheetViews>
  <sheetFormatPr defaultColWidth="12.5703125" defaultRowHeight="15.75" customHeight="1"/>
  <cols>
    <col min="4" max="4" width="18.140625" bestFit="1" customWidth="1"/>
    <col min="6" max="6" width="16.5703125" customWidth="1"/>
    <col min="8" max="8" width="14.42578125" customWidth="1"/>
    <col min="14" max="14" width="13.42578125" customWidth="1"/>
  </cols>
  <sheetData>
    <row r="2" spans="2:14" ht="12.75">
      <c r="B2" s="29" t="s">
        <v>4</v>
      </c>
      <c r="C2" s="29" t="s">
        <v>45</v>
      </c>
      <c r="D2" s="29" t="s">
        <v>46</v>
      </c>
    </row>
    <row r="3" spans="2:14" ht="12.75">
      <c r="B3" s="29">
        <v>123</v>
      </c>
      <c r="C3" s="29" t="s">
        <v>60</v>
      </c>
      <c r="D3" s="127" t="s">
        <v>18</v>
      </c>
    </row>
    <row r="5" spans="2:14" ht="12.75">
      <c r="B5" s="221" t="s">
        <v>3</v>
      </c>
      <c r="C5" s="222"/>
      <c r="D5" s="44" t="s">
        <v>5</v>
      </c>
      <c r="E5" s="43" t="s">
        <v>6</v>
      </c>
      <c r="F5" s="43" t="s">
        <v>7</v>
      </c>
      <c r="G5" s="43" t="s">
        <v>8</v>
      </c>
      <c r="H5" s="44" t="s">
        <v>9</v>
      </c>
      <c r="I5" s="43" t="s">
        <v>10</v>
      </c>
      <c r="J5" s="43" t="s">
        <v>11</v>
      </c>
      <c r="K5" s="44" t="s">
        <v>12</v>
      </c>
      <c r="L5" s="43" t="s">
        <v>13</v>
      </c>
      <c r="M5" s="43" t="s">
        <v>14</v>
      </c>
      <c r="N5" s="61" t="s">
        <v>15</v>
      </c>
    </row>
    <row r="6" spans="2:14" ht="12.75">
      <c r="B6" s="223">
        <v>226</v>
      </c>
      <c r="C6" s="224"/>
      <c r="D6" s="47">
        <f ca="1">COUNTIF(Valid_questions!F$1:F1110, B6)</f>
        <v>9</v>
      </c>
      <c r="E6" s="40">
        <v>0</v>
      </c>
      <c r="F6" s="40">
        <v>1</v>
      </c>
      <c r="G6" s="40">
        <v>0</v>
      </c>
      <c r="H6" s="47">
        <v>1</v>
      </c>
      <c r="I6" s="40">
        <f>COUNTIFS(Tests!E$1:E1110,B6,Tests!D$1:D1110,"&lt;&gt;\N")</f>
        <v>4</v>
      </c>
      <c r="J6" s="40">
        <f>COUNTIFS(Tests!E$1:E1110,B6,Tests!D$1:D1110,"=\N")</f>
        <v>9</v>
      </c>
      <c r="K6" s="47">
        <v>1</v>
      </c>
      <c r="L6" s="40">
        <f>COUNTIFS(Mutants!E$1:E1110,B6,Mutants!D$1:D1110,"&lt;&gt;\N")</f>
        <v>4</v>
      </c>
      <c r="M6" s="40">
        <f>COUNTIFS(Mutants!E$1:E1110,B6,Mutants!D$1:D1110,"=\N")</f>
        <v>4</v>
      </c>
      <c r="N6" s="45">
        <v>4</v>
      </c>
    </row>
    <row r="7" spans="2:14" ht="12.75">
      <c r="B7" s="225">
        <v>227</v>
      </c>
      <c r="C7" s="226"/>
      <c r="D7" s="10">
        <f ca="1">COUNTIF(Valid_questions!F$1:F1110, B7)</f>
        <v>12</v>
      </c>
      <c r="E7" s="9">
        <v>0</v>
      </c>
      <c r="F7" s="9">
        <v>0</v>
      </c>
      <c r="G7" s="9">
        <v>0</v>
      </c>
      <c r="H7" s="10">
        <v>0</v>
      </c>
      <c r="I7" s="9">
        <f>COUNTIFS(Tests!E$1:E1110,B7,Tests!D$1:D1110,"&lt;&gt;\N")</f>
        <v>0</v>
      </c>
      <c r="J7" s="9">
        <f>COUNTIFS(Tests!E$1:E1110,B7,Tests!D$1:D1110,"=\N")</f>
        <v>8</v>
      </c>
      <c r="K7" s="10">
        <v>0</v>
      </c>
      <c r="L7" s="9">
        <f>COUNTIFS(Mutants!E$1:E1110,B7,Mutants!D$1:D1110,"&lt;&gt;\N")</f>
        <v>5</v>
      </c>
      <c r="M7" s="9">
        <f>COUNTIFS(Mutants!E$1:E1110,B7,Mutants!D$1:D1110,"=\N")</f>
        <v>1</v>
      </c>
      <c r="N7" s="14">
        <v>2</v>
      </c>
    </row>
    <row r="8" spans="2:14" ht="12.75">
      <c r="B8" s="225">
        <v>228</v>
      </c>
      <c r="C8" s="226"/>
      <c r="D8" s="10">
        <f ca="1">COUNTIF(Valid_questions!F$1:F1110, B8)</f>
        <v>2</v>
      </c>
      <c r="E8" s="9">
        <v>11</v>
      </c>
      <c r="F8" s="9">
        <v>0</v>
      </c>
      <c r="G8" s="9">
        <v>0</v>
      </c>
      <c r="H8" s="10">
        <v>11</v>
      </c>
      <c r="I8" s="9">
        <f>COUNTIFS(Tests!E$1:E1110,B8,Tests!D$1:D1110,"&lt;&gt;\N")</f>
        <v>9</v>
      </c>
      <c r="J8" s="9">
        <f>COUNTIFS(Tests!E$1:E1110,B8,Tests!D$1:D1110,"=\N")</f>
        <v>13</v>
      </c>
      <c r="K8" s="10">
        <v>2</v>
      </c>
      <c r="L8" s="9">
        <f>COUNTIFS(Mutants!E$1:E1110,B8,Mutants!D$1:D1110,"&lt;&gt;\N")</f>
        <v>7</v>
      </c>
      <c r="M8" s="9">
        <f>COUNTIFS(Mutants!E$1:E1110,B8,Mutants!D$1:D1110,"=\N")</f>
        <v>5</v>
      </c>
      <c r="N8" s="14">
        <v>2</v>
      </c>
    </row>
    <row r="9" spans="2:14" ht="12.75">
      <c r="B9" s="227">
        <v>229</v>
      </c>
      <c r="C9" s="228"/>
      <c r="D9" s="22">
        <f ca="1">COUNTIF(Valid_questions!F$1:F1110, B9)</f>
        <v>5</v>
      </c>
      <c r="E9" s="21">
        <v>6</v>
      </c>
      <c r="F9" s="21">
        <v>4</v>
      </c>
      <c r="G9" s="21">
        <v>0</v>
      </c>
      <c r="H9" s="22">
        <v>10</v>
      </c>
      <c r="I9" s="21">
        <f>COUNTIFS(Tests!E$1:E1110,B9,Tests!D$1:D1110,"&lt;&gt;\N")</f>
        <v>4</v>
      </c>
      <c r="J9" s="21">
        <f>COUNTIFS(Tests!E$1:E1110,B9,Tests!D$1:D1110,"=\N")</f>
        <v>5</v>
      </c>
      <c r="K9" s="22">
        <v>3</v>
      </c>
      <c r="L9" s="21">
        <f>COUNTIFS(Mutants!E$1:E1110,B9,Mutants!D$1:D1110,"&lt;&gt;\N")</f>
        <v>5</v>
      </c>
      <c r="M9" s="21">
        <f>COUNTIFS(Mutants!E$1:E1110,B9,Mutants!D$1:D1110,"=\N")</f>
        <v>1</v>
      </c>
      <c r="N9" s="38">
        <v>5</v>
      </c>
    </row>
    <row r="12" spans="2:14" ht="27" customHeight="1">
      <c r="B12" s="220" t="s">
        <v>4588</v>
      </c>
      <c r="C12" s="173"/>
    </row>
    <row r="14" spans="2:14" ht="12.75">
      <c r="C14" s="29" t="s">
        <v>4589</v>
      </c>
    </row>
    <row r="15" spans="2:14" ht="12.75">
      <c r="B15" s="29" t="s">
        <v>4590</v>
      </c>
      <c r="C15" s="29"/>
      <c r="D15" s="43">
        <v>481</v>
      </c>
      <c r="E15" s="43">
        <v>485</v>
      </c>
      <c r="F15" s="43">
        <v>488</v>
      </c>
      <c r="G15" s="43">
        <v>503</v>
      </c>
      <c r="H15" s="43">
        <v>517</v>
      </c>
      <c r="I15" s="43">
        <v>583</v>
      </c>
      <c r="J15" s="43">
        <v>721</v>
      </c>
      <c r="K15" s="43">
        <v>756</v>
      </c>
      <c r="L15" s="43">
        <v>835</v>
      </c>
      <c r="M15" s="61">
        <v>893</v>
      </c>
    </row>
    <row r="16" spans="2:14" ht="12.75">
      <c r="B16" s="9"/>
      <c r="C16" s="81">
        <v>375</v>
      </c>
      <c r="D16" s="9" t="s">
        <v>4591</v>
      </c>
      <c r="E16" s="9" t="s">
        <v>4591</v>
      </c>
      <c r="F16" s="9" t="s">
        <v>4591</v>
      </c>
      <c r="G16" s="9" t="s">
        <v>4591</v>
      </c>
      <c r="H16" s="9" t="s">
        <v>4591</v>
      </c>
      <c r="I16" s="9" t="s">
        <v>4591</v>
      </c>
      <c r="J16" s="9" t="s">
        <v>4591</v>
      </c>
      <c r="K16" s="9" t="s">
        <v>4591</v>
      </c>
      <c r="L16" s="9" t="s">
        <v>4591</v>
      </c>
      <c r="M16" s="14" t="s">
        <v>4591</v>
      </c>
    </row>
    <row r="17" spans="2:13" ht="12.75">
      <c r="B17" s="9"/>
      <c r="C17" s="81">
        <v>379</v>
      </c>
      <c r="D17" s="9" t="s">
        <v>4591</v>
      </c>
      <c r="E17" s="9" t="s">
        <v>4591</v>
      </c>
      <c r="F17" s="9" t="s">
        <v>4591</v>
      </c>
      <c r="G17" s="9" t="s">
        <v>4591</v>
      </c>
      <c r="H17" s="9" t="s">
        <v>4591</v>
      </c>
      <c r="I17" s="9" t="s">
        <v>4591</v>
      </c>
      <c r="J17" s="9" t="s">
        <v>4591</v>
      </c>
      <c r="K17" s="9" t="s">
        <v>4591</v>
      </c>
      <c r="L17" s="9" t="s">
        <v>4591</v>
      </c>
      <c r="M17" s="14" t="s">
        <v>4591</v>
      </c>
    </row>
    <row r="18" spans="2:13" ht="12.75">
      <c r="B18" s="9"/>
      <c r="C18" s="81">
        <v>384</v>
      </c>
      <c r="D18" s="9" t="s">
        <v>4591</v>
      </c>
      <c r="E18" s="9" t="s">
        <v>4591</v>
      </c>
      <c r="F18" s="9" t="s">
        <v>4591</v>
      </c>
      <c r="G18" s="9" t="s">
        <v>4591</v>
      </c>
      <c r="H18" s="9" t="s">
        <v>4591</v>
      </c>
      <c r="I18" s="9" t="s">
        <v>4591</v>
      </c>
      <c r="J18" s="9" t="s">
        <v>4591</v>
      </c>
      <c r="K18" s="9" t="s">
        <v>4591</v>
      </c>
      <c r="L18" s="9" t="s">
        <v>4591</v>
      </c>
      <c r="M18" s="14" t="s">
        <v>4591</v>
      </c>
    </row>
    <row r="19" spans="2:13" ht="12.75">
      <c r="B19" s="9"/>
      <c r="C19" s="81">
        <v>401</v>
      </c>
      <c r="D19" s="9" t="s">
        <v>4591</v>
      </c>
      <c r="E19" s="9" t="s">
        <v>4591</v>
      </c>
      <c r="F19" s="9" t="s">
        <v>4591</v>
      </c>
      <c r="G19" s="9" t="s">
        <v>4591</v>
      </c>
      <c r="H19" s="9" t="s">
        <v>4591</v>
      </c>
      <c r="I19" s="9" t="s">
        <v>4591</v>
      </c>
      <c r="J19" s="9" t="s">
        <v>4591</v>
      </c>
      <c r="K19" s="9" t="s">
        <v>4591</v>
      </c>
      <c r="L19" s="9" t="s">
        <v>4593</v>
      </c>
      <c r="M19" s="14" t="s">
        <v>4591</v>
      </c>
    </row>
    <row r="20" spans="2:13" ht="12.75">
      <c r="B20" s="9"/>
      <c r="C20" s="81">
        <v>429</v>
      </c>
      <c r="D20" s="9" t="s">
        <v>4591</v>
      </c>
      <c r="E20" s="9" t="s">
        <v>4591</v>
      </c>
      <c r="F20" s="9" t="s">
        <v>4591</v>
      </c>
      <c r="G20" s="9" t="s">
        <v>4591</v>
      </c>
      <c r="H20" s="9" t="s">
        <v>4591</v>
      </c>
      <c r="I20" s="9" t="s">
        <v>4591</v>
      </c>
      <c r="J20" s="9" t="s">
        <v>4593</v>
      </c>
      <c r="K20" s="9" t="s">
        <v>4591</v>
      </c>
      <c r="L20" s="9" t="s">
        <v>4591</v>
      </c>
      <c r="M20" s="14" t="s">
        <v>4591</v>
      </c>
    </row>
    <row r="21" spans="2:13" ht="12.75">
      <c r="B21" s="9"/>
      <c r="C21" s="81">
        <v>458</v>
      </c>
      <c r="D21" s="9" t="s">
        <v>4591</v>
      </c>
      <c r="E21" s="9" t="s">
        <v>4591</v>
      </c>
      <c r="F21" s="9" t="s">
        <v>4591</v>
      </c>
      <c r="G21" s="9" t="s">
        <v>4591</v>
      </c>
      <c r="H21" s="9" t="s">
        <v>4591</v>
      </c>
      <c r="I21" s="9" t="s">
        <v>4595</v>
      </c>
      <c r="J21" s="9" t="s">
        <v>4591</v>
      </c>
      <c r="K21" s="9" t="s">
        <v>4591</v>
      </c>
      <c r="L21" s="9" t="s">
        <v>4591</v>
      </c>
      <c r="M21" s="14" t="s">
        <v>4595</v>
      </c>
    </row>
    <row r="22" spans="2:13" ht="12.75">
      <c r="B22" s="9"/>
      <c r="C22" s="81">
        <v>515</v>
      </c>
      <c r="D22" s="9" t="s">
        <v>4591</v>
      </c>
      <c r="E22" s="9" t="s">
        <v>4591</v>
      </c>
      <c r="F22" s="9" t="s">
        <v>4591</v>
      </c>
      <c r="G22" s="9" t="s">
        <v>4591</v>
      </c>
      <c r="H22" s="9" t="s">
        <v>4591</v>
      </c>
      <c r="I22" s="9" t="s">
        <v>4595</v>
      </c>
      <c r="J22" s="9" t="s">
        <v>4591</v>
      </c>
      <c r="K22" s="9" t="s">
        <v>4591</v>
      </c>
      <c r="L22" s="9" t="s">
        <v>4591</v>
      </c>
      <c r="M22" s="14" t="s">
        <v>4591</v>
      </c>
    </row>
    <row r="23" spans="2:13" ht="12.75">
      <c r="B23" s="9"/>
      <c r="C23" s="81">
        <v>522</v>
      </c>
      <c r="D23" s="9" t="s">
        <v>4591</v>
      </c>
      <c r="E23" s="9" t="s">
        <v>4591</v>
      </c>
      <c r="F23" s="9" t="s">
        <v>4591</v>
      </c>
      <c r="G23" s="9" t="s">
        <v>4591</v>
      </c>
      <c r="H23" s="9" t="s">
        <v>4591</v>
      </c>
      <c r="I23" s="9" t="s">
        <v>4591</v>
      </c>
      <c r="J23" s="9" t="s">
        <v>4593</v>
      </c>
      <c r="K23" s="9" t="s">
        <v>4591</v>
      </c>
      <c r="L23" s="9" t="s">
        <v>4591</v>
      </c>
      <c r="M23" s="14" t="s">
        <v>4592</v>
      </c>
    </row>
    <row r="24" spans="2:13" ht="12.75">
      <c r="B24" s="9"/>
      <c r="C24" s="81">
        <v>537</v>
      </c>
      <c r="D24" s="9" t="s">
        <v>4591</v>
      </c>
      <c r="E24" s="9" t="s">
        <v>4591</v>
      </c>
      <c r="F24" s="9" t="s">
        <v>4593</v>
      </c>
      <c r="G24" s="9" t="s">
        <v>4593</v>
      </c>
      <c r="H24" s="9" t="s">
        <v>4591</v>
      </c>
      <c r="I24" s="9" t="s">
        <v>4595</v>
      </c>
      <c r="J24" s="9" t="s">
        <v>4591</v>
      </c>
      <c r="K24" s="9" t="s">
        <v>4591</v>
      </c>
      <c r="L24" s="9" t="s">
        <v>4591</v>
      </c>
      <c r="M24" s="14" t="s">
        <v>4591</v>
      </c>
    </row>
    <row r="25" spans="2:13" ht="12.75">
      <c r="B25" s="9"/>
      <c r="C25" s="81">
        <v>540</v>
      </c>
      <c r="D25" s="9" t="s">
        <v>4591</v>
      </c>
      <c r="E25" s="9" t="s">
        <v>4591</v>
      </c>
      <c r="F25" s="9" t="s">
        <v>4591</v>
      </c>
      <c r="G25" s="9" t="s">
        <v>4591</v>
      </c>
      <c r="H25" s="9" t="s">
        <v>4591</v>
      </c>
      <c r="I25" s="9" t="s">
        <v>4591</v>
      </c>
      <c r="J25" s="9" t="s">
        <v>4591</v>
      </c>
      <c r="K25" s="9" t="s">
        <v>4591</v>
      </c>
      <c r="L25" s="9" t="s">
        <v>4591</v>
      </c>
      <c r="M25" s="14" t="s">
        <v>4591</v>
      </c>
    </row>
    <row r="26" spans="2:13" ht="12.75">
      <c r="B26" s="9"/>
      <c r="C26" s="81">
        <v>556</v>
      </c>
      <c r="D26" s="9" t="s">
        <v>4591</v>
      </c>
      <c r="E26" s="9" t="s">
        <v>4591</v>
      </c>
      <c r="F26" s="9" t="s">
        <v>4591</v>
      </c>
      <c r="G26" s="9" t="s">
        <v>4591</v>
      </c>
      <c r="H26" s="9" t="s">
        <v>4591</v>
      </c>
      <c r="I26" s="9" t="s">
        <v>4591</v>
      </c>
      <c r="J26" s="9" t="s">
        <v>4591</v>
      </c>
      <c r="K26" s="9" t="s">
        <v>4591</v>
      </c>
      <c r="L26" s="9" t="s">
        <v>4591</v>
      </c>
      <c r="M26" s="14" t="s">
        <v>4591</v>
      </c>
    </row>
    <row r="27" spans="2:13" ht="12.75">
      <c r="B27" s="9"/>
      <c r="C27" s="81">
        <v>576</v>
      </c>
      <c r="D27" s="9" t="s">
        <v>4592</v>
      </c>
      <c r="E27" s="9" t="s">
        <v>4592</v>
      </c>
      <c r="F27" s="9" t="s">
        <v>4592</v>
      </c>
      <c r="G27" s="9" t="s">
        <v>4592</v>
      </c>
      <c r="H27" s="9" t="s">
        <v>4592</v>
      </c>
      <c r="I27" s="9" t="s">
        <v>4592</v>
      </c>
      <c r="J27" s="9" t="s">
        <v>4592</v>
      </c>
      <c r="K27" s="9" t="s">
        <v>4592</v>
      </c>
      <c r="L27" s="9" t="s">
        <v>4592</v>
      </c>
      <c r="M27" s="14" t="s">
        <v>4592</v>
      </c>
    </row>
    <row r="28" spans="2:13" ht="12.75">
      <c r="B28" s="9"/>
      <c r="C28" s="81">
        <v>615</v>
      </c>
      <c r="D28" s="9" t="s">
        <v>4591</v>
      </c>
      <c r="E28" s="9" t="s">
        <v>4591</v>
      </c>
      <c r="F28" s="9" t="s">
        <v>4591</v>
      </c>
      <c r="G28" s="9" t="s">
        <v>4591</v>
      </c>
      <c r="H28" s="9" t="s">
        <v>4591</v>
      </c>
      <c r="I28" s="9" t="s">
        <v>4591</v>
      </c>
      <c r="J28" s="9" t="s">
        <v>4591</v>
      </c>
      <c r="K28" s="9" t="s">
        <v>4592</v>
      </c>
      <c r="L28" s="9" t="s">
        <v>4591</v>
      </c>
      <c r="M28" s="14" t="s">
        <v>4591</v>
      </c>
    </row>
    <row r="29" spans="2:13" ht="12.75">
      <c r="B29" s="9"/>
      <c r="C29" s="81">
        <v>622</v>
      </c>
      <c r="D29" s="9" t="s">
        <v>4591</v>
      </c>
      <c r="E29" s="9" t="s">
        <v>4591</v>
      </c>
      <c r="F29" s="9" t="s">
        <v>4591</v>
      </c>
      <c r="G29" s="9" t="s">
        <v>4591</v>
      </c>
      <c r="H29" s="9" t="s">
        <v>4591</v>
      </c>
      <c r="I29" s="9" t="s">
        <v>4592</v>
      </c>
      <c r="J29" s="9" t="s">
        <v>4591</v>
      </c>
      <c r="K29" s="9" t="s">
        <v>4591</v>
      </c>
      <c r="L29" s="9" t="s">
        <v>4591</v>
      </c>
      <c r="M29" s="14" t="s">
        <v>4591</v>
      </c>
    </row>
    <row r="30" spans="2:13" ht="12.75">
      <c r="B30" s="9"/>
      <c r="C30" s="81">
        <v>626</v>
      </c>
      <c r="D30" s="9" t="s">
        <v>4591</v>
      </c>
      <c r="E30" s="9" t="s">
        <v>4591</v>
      </c>
      <c r="F30" s="9" t="s">
        <v>4592</v>
      </c>
      <c r="G30" s="9" t="s">
        <v>4592</v>
      </c>
      <c r="H30" s="9" t="s">
        <v>4591</v>
      </c>
      <c r="I30" s="9" t="s">
        <v>4592</v>
      </c>
      <c r="J30" s="9" t="s">
        <v>4591</v>
      </c>
      <c r="K30" s="9" t="s">
        <v>4591</v>
      </c>
      <c r="L30" s="9" t="s">
        <v>4591</v>
      </c>
      <c r="M30" s="14" t="s">
        <v>4591</v>
      </c>
    </row>
    <row r="31" spans="2:13" ht="12.75">
      <c r="B31" s="9"/>
      <c r="C31" s="81">
        <v>631</v>
      </c>
      <c r="D31" s="9" t="s">
        <v>4591</v>
      </c>
      <c r="E31" s="9" t="s">
        <v>4591</v>
      </c>
      <c r="F31" s="9" t="s">
        <v>4591</v>
      </c>
      <c r="G31" s="9" t="s">
        <v>4591</v>
      </c>
      <c r="H31" s="9" t="s">
        <v>4591</v>
      </c>
      <c r="I31" s="9" t="s">
        <v>4591</v>
      </c>
      <c r="J31" s="9" t="s">
        <v>4591</v>
      </c>
      <c r="K31" s="9" t="s">
        <v>4591</v>
      </c>
      <c r="L31" s="9" t="s">
        <v>4591</v>
      </c>
      <c r="M31" s="14" t="s">
        <v>4591</v>
      </c>
    </row>
    <row r="32" spans="2:13" ht="12.75">
      <c r="B32" s="9"/>
      <c r="C32" s="81">
        <v>634</v>
      </c>
      <c r="D32" s="9" t="s">
        <v>4591</v>
      </c>
      <c r="E32" s="9" t="s">
        <v>4591</v>
      </c>
      <c r="F32" s="9" t="s">
        <v>4591</v>
      </c>
      <c r="G32" s="9" t="s">
        <v>4591</v>
      </c>
      <c r="H32" s="9" t="s">
        <v>4591</v>
      </c>
      <c r="I32" s="9" t="s">
        <v>4591</v>
      </c>
      <c r="J32" s="9" t="s">
        <v>4591</v>
      </c>
      <c r="K32" s="9" t="s">
        <v>4591</v>
      </c>
      <c r="L32" s="9" t="s">
        <v>4591</v>
      </c>
      <c r="M32" s="14" t="s">
        <v>4591</v>
      </c>
    </row>
    <row r="33" spans="2:16" ht="12.75">
      <c r="B33" s="9"/>
      <c r="C33" s="81">
        <v>643</v>
      </c>
      <c r="D33" s="9" t="s">
        <v>4592</v>
      </c>
      <c r="E33" s="9" t="s">
        <v>4592</v>
      </c>
      <c r="F33" s="9" t="s">
        <v>4592</v>
      </c>
      <c r="G33" s="9" t="s">
        <v>4592</v>
      </c>
      <c r="H33" s="9" t="s">
        <v>4592</v>
      </c>
      <c r="I33" s="9" t="s">
        <v>4592</v>
      </c>
      <c r="J33" s="9" t="s">
        <v>4592</v>
      </c>
      <c r="K33" s="9" t="s">
        <v>4592</v>
      </c>
      <c r="L33" s="9" t="s">
        <v>4592</v>
      </c>
      <c r="M33" s="14" t="s">
        <v>4592</v>
      </c>
    </row>
    <row r="34" spans="2:16" ht="12.75">
      <c r="B34" s="9"/>
      <c r="C34" s="81">
        <v>648</v>
      </c>
      <c r="D34" s="9" t="s">
        <v>4591</v>
      </c>
      <c r="E34" s="9" t="s">
        <v>4591</v>
      </c>
      <c r="F34" s="9" t="s">
        <v>4592</v>
      </c>
      <c r="G34" s="9" t="s">
        <v>4592</v>
      </c>
      <c r="H34" s="9" t="s">
        <v>4591</v>
      </c>
      <c r="I34" s="9" t="s">
        <v>4592</v>
      </c>
      <c r="J34" s="9" t="s">
        <v>4591</v>
      </c>
      <c r="K34" s="9" t="s">
        <v>4591</v>
      </c>
      <c r="L34" s="9" t="s">
        <v>4591</v>
      </c>
      <c r="M34" s="14" t="s">
        <v>4591</v>
      </c>
    </row>
    <row r="35" spans="2:16" ht="12.75">
      <c r="B35" s="9"/>
      <c r="C35" s="81">
        <v>652</v>
      </c>
      <c r="D35" s="9" t="s">
        <v>4591</v>
      </c>
      <c r="E35" s="9" t="s">
        <v>4591</v>
      </c>
      <c r="F35" s="9" t="s">
        <v>4591</v>
      </c>
      <c r="G35" s="9" t="s">
        <v>4591</v>
      </c>
      <c r="H35" s="9" t="s">
        <v>4591</v>
      </c>
      <c r="I35" s="9" t="s">
        <v>4591</v>
      </c>
      <c r="J35" s="9" t="s">
        <v>4591</v>
      </c>
      <c r="K35" s="9" t="s">
        <v>4591</v>
      </c>
      <c r="L35" s="9" t="s">
        <v>4591</v>
      </c>
      <c r="M35" s="14" t="s">
        <v>4591</v>
      </c>
    </row>
    <row r="36" spans="2:16" ht="12.75">
      <c r="B36" s="9"/>
      <c r="C36" s="82">
        <v>655</v>
      </c>
      <c r="D36" s="21" t="s">
        <v>4591</v>
      </c>
      <c r="E36" s="21" t="s">
        <v>4591</v>
      </c>
      <c r="F36" s="21" t="s">
        <v>4591</v>
      </c>
      <c r="G36" s="21" t="s">
        <v>4591</v>
      </c>
      <c r="H36" s="21" t="s">
        <v>4591</v>
      </c>
      <c r="I36" s="21" t="s">
        <v>4591</v>
      </c>
      <c r="J36" s="21" t="s">
        <v>4591</v>
      </c>
      <c r="K36" s="21" t="s">
        <v>4591</v>
      </c>
      <c r="L36" s="21" t="s">
        <v>4591</v>
      </c>
      <c r="M36" s="38" t="s">
        <v>4591</v>
      </c>
    </row>
    <row r="39" spans="2:16" ht="15.75" customHeight="1" thickBot="1">
      <c r="B39" s="219" t="s">
        <v>4604</v>
      </c>
      <c r="C39" s="201"/>
      <c r="D39" s="45">
        <v>226</v>
      </c>
    </row>
    <row r="40" spans="2:16" ht="15.75" customHeight="1" thickTop="1">
      <c r="B40" s="134" t="s">
        <v>4594</v>
      </c>
      <c r="C40" s="135" t="s">
        <v>44</v>
      </c>
      <c r="D40" s="135" t="s">
        <v>110</v>
      </c>
      <c r="E40" s="136" t="s">
        <v>2</v>
      </c>
      <c r="F40" s="229" t="s">
        <v>4612</v>
      </c>
      <c r="G40" s="229"/>
      <c r="H40" s="230"/>
      <c r="I40" s="9"/>
      <c r="J40" s="9"/>
      <c r="K40" s="9"/>
      <c r="L40" s="9"/>
      <c r="M40" s="9"/>
      <c r="O40" s="9"/>
      <c r="P40" s="9"/>
    </row>
    <row r="41" spans="2:16" ht="15.75" customHeight="1">
      <c r="B41" s="137" t="s">
        <v>4589</v>
      </c>
      <c r="C41" s="93">
        <v>379</v>
      </c>
      <c r="D41" s="93" t="s">
        <v>3862</v>
      </c>
      <c r="E41" s="93" t="str">
        <f>IF($B41 = "Mutant",VLOOKUP($C41,Mutants!$A$2:$L$560,12,FALSE),IF($B41 = "Test",VLOOKUP($C41,Tests!$A$2:$L$841,12,FALSE),VLOOKUP($C41,Questions!$A$3:$N$201,9,FALSE)))</f>
        <v>Y</v>
      </c>
      <c r="F41" s="205" t="str">
        <f>IF($B41 = "Mutant",VLOOKUP($C41,Mutants!$A$2:$L$560,11,FALSE),IF($B41 = "Test",VLOOKUP($C41,Tests!$A$2:$L$841,11,FALSE),VLOOKUP($C41,Questions!$A$3:$N$201,13,FALSE)))</f>
        <v xml:space="preserve">removeFields
</v>
      </c>
      <c r="G41" s="205"/>
      <c r="H41" s="206"/>
      <c r="I41" s="9"/>
      <c r="J41" s="9"/>
      <c r="K41" s="9"/>
      <c r="L41" s="9"/>
      <c r="M41" s="9"/>
    </row>
    <row r="42" spans="2:16" ht="15.75" customHeight="1">
      <c r="B42" s="114" t="s">
        <v>4589</v>
      </c>
      <c r="C42" s="9">
        <v>419</v>
      </c>
      <c r="D42" s="9" t="s">
        <v>3969</v>
      </c>
      <c r="E42" s="9" t="str">
        <f>IF($B42 = "Mutant",VLOOKUP($C42,Mutants!$A$2:$L$560,12,FALSE),IF($B42 = "Test",VLOOKUP($C42,Tests!$A$2:$L$841,12,FALSE),VLOOKUP($C42,Questions!$A$3:$N$201,9,FALSE)))</f>
        <v>N</v>
      </c>
      <c r="F42" s="187" t="str">
        <f>IF($B42 = "Mutant",VLOOKUP($C42,Mutants!$A$2:$L$560,11,FALSE),IF($B42 = "Test",VLOOKUP($C42,Tests!$A$2:$L$841,11,FALSE),VLOOKUP($C42,Questions!$A$3:$N$201,13,FALSE)))</f>
        <v xml:space="preserve">
</v>
      </c>
      <c r="G42" s="187"/>
      <c r="H42" s="202"/>
      <c r="I42" s="9"/>
      <c r="J42" s="9"/>
      <c r="K42" s="9"/>
      <c r="L42" s="9"/>
      <c r="M42" s="9"/>
    </row>
    <row r="43" spans="2:16" ht="15.75" customHeight="1">
      <c r="B43" s="114" t="s">
        <v>4589</v>
      </c>
      <c r="C43" s="9">
        <v>436</v>
      </c>
      <c r="D43" s="9" t="s">
        <v>4010</v>
      </c>
      <c r="E43" s="9" t="str">
        <f>IF($B43 = "Mutant",VLOOKUP($C43,Mutants!$A$2:$L$560,12,FALSE),IF($B43 = "Test",VLOOKUP($C43,Tests!$A$2:$L$841,12,FALSE),VLOOKUP($C43,Questions!$A$3:$N$201,9,FALSE)))</f>
        <v>N</v>
      </c>
      <c r="F43" s="187" t="str">
        <f>IF($B43 = "Mutant",VLOOKUP($C43,Mutants!$A$2:$L$560,11,FALSE),IF($B43 = "Test",VLOOKUP($C43,Tests!$A$2:$L$841,11,FALSE),VLOOKUP($C43,Questions!$A$3:$N$201,13,FALSE)))</f>
        <v xml:space="preserve">
</v>
      </c>
      <c r="G43" s="187"/>
      <c r="H43" s="202"/>
      <c r="I43" s="9"/>
      <c r="J43" s="9"/>
      <c r="K43" s="9"/>
      <c r="L43" s="9"/>
      <c r="M43" s="9"/>
    </row>
    <row r="44" spans="2:16" ht="15.75" customHeight="1">
      <c r="B44" s="114" t="s">
        <v>4589</v>
      </c>
      <c r="C44" s="9">
        <v>451</v>
      </c>
      <c r="D44" s="9" t="s">
        <v>4051</v>
      </c>
      <c r="E44" s="9" t="str">
        <f>IF($B44 = "Mutant",VLOOKUP($C44,Mutants!$A$2:$L$560,12,FALSE),IF($B44 = "Test",VLOOKUP($C44,Tests!$A$2:$L$841,12,FALSE),VLOOKUP($C44,Questions!$A$3:$N$201,9,FALSE)))</f>
        <v>N</v>
      </c>
      <c r="F44" s="187" t="str">
        <f>IF($B44 = "Mutant",VLOOKUP($C44,Mutants!$A$2:$L$560,11,FALSE),IF($B44 = "Test",VLOOKUP($C44,Tests!$A$2:$L$841,11,FALSE),VLOOKUP($C44,Questions!$A$3:$N$201,13,FALSE)))</f>
        <v xml:space="preserve">
</v>
      </c>
      <c r="G44" s="187"/>
      <c r="H44" s="202"/>
      <c r="I44" s="9"/>
      <c r="J44" s="9"/>
      <c r="K44" s="9"/>
      <c r="L44" s="9"/>
      <c r="M44" s="9"/>
    </row>
    <row r="45" spans="2:16" ht="15.75" customHeight="1">
      <c r="B45" s="114" t="s">
        <v>4589</v>
      </c>
      <c r="C45" s="9">
        <v>458</v>
      </c>
      <c r="D45" s="9" t="s">
        <v>4072</v>
      </c>
      <c r="E45" s="9" t="str">
        <f>IF($B45 = "Mutant",VLOOKUP($C45,Mutants!$A$2:$L$560,12,FALSE),IF($B45 = "Test",VLOOKUP($C45,Tests!$A$2:$L$841,12,FALSE),VLOOKUP($C45,Questions!$A$3:$N$201,9,FALSE)))</f>
        <v>Y</v>
      </c>
      <c r="F45" s="187" t="str">
        <f>IF($B45 = "Mutant",VLOOKUP($C45,Mutants!$A$2:$L$560,11,FALSE),IF($B45 = "Test",VLOOKUP($C45,Tests!$A$2:$L$841,11,FALSE),VLOOKUP($C45,Questions!$A$3:$N$201,13,FALSE)))</f>
        <v xml:space="preserve">getBinaryValues, getValues, toString
</v>
      </c>
      <c r="G45" s="187"/>
      <c r="H45" s="202"/>
      <c r="I45" s="9"/>
      <c r="J45" s="9"/>
      <c r="K45" s="9"/>
      <c r="L45" s="9"/>
      <c r="M45" s="9"/>
    </row>
    <row r="46" spans="2:16" ht="15.75" customHeight="1">
      <c r="B46" s="114" t="s">
        <v>4590</v>
      </c>
      <c r="C46" s="9">
        <v>486</v>
      </c>
      <c r="D46" s="9" t="s">
        <v>1796</v>
      </c>
      <c r="E46" s="9" t="str">
        <f>IF($B46 = "Mutant",VLOOKUP($C46,Mutants!$A$2:$L$560,12,FALSE),IF($B46 = "Test",VLOOKUP($C46,Tests!$A$2:$L$841,12,FALSE),VLOOKUP($C46,Questions!$A$3:$N$201,9,FALSE)))</f>
        <v>Y</v>
      </c>
      <c r="F46" s="187" t="str">
        <f>IF($B46 = "Mutant",VLOOKUP($C46,Mutants!$A$2:$L$560,11,FALSE),IF($B46 = "Test",VLOOKUP($C46,Tests!$A$2:$L$841,11,FALSE),VLOOKUP($C46,Questions!$A$3:$N$201,13,FALSE)))</f>
        <v xml:space="preserve">toString
</v>
      </c>
      <c r="G46" s="187"/>
      <c r="H46" s="202"/>
      <c r="I46" s="9"/>
      <c r="J46" s="9"/>
      <c r="K46" s="9"/>
      <c r="L46" s="9"/>
      <c r="M46" s="9"/>
    </row>
    <row r="47" spans="2:16" ht="15.75" customHeight="1">
      <c r="B47" s="114" t="s">
        <v>4590</v>
      </c>
      <c r="C47" s="9">
        <v>488</v>
      </c>
      <c r="D47" s="9" t="s">
        <v>558</v>
      </c>
      <c r="E47" s="9" t="str">
        <f>IF($B47 = "Mutant",VLOOKUP($C47,Mutants!$A$2:$L$560,12,FALSE),IF($B47 = "Test",VLOOKUP($C47,Tests!$A$2:$L$841,12,FALSE),VLOOKUP($C47,Questions!$A$3:$N$201,9,FALSE)))</f>
        <v>Y</v>
      </c>
      <c r="F47" s="187" t="str">
        <f>IF($B47 = "Mutant",VLOOKUP($C47,Mutants!$A$2:$L$560,11,FALSE),IF($B47 = "Test",VLOOKUP($C47,Tests!$A$2:$L$841,11,FALSE),VLOOKUP($C47,Questions!$A$3:$N$201,13,FALSE)))</f>
        <v xml:space="preserve">toString
</v>
      </c>
      <c r="G47" s="187"/>
      <c r="H47" s="202"/>
      <c r="I47" s="9"/>
      <c r="J47" s="9"/>
      <c r="K47" s="9"/>
      <c r="L47" s="9"/>
      <c r="M47" s="9"/>
    </row>
    <row r="48" spans="2:16" ht="15.75" customHeight="1">
      <c r="B48" s="114" t="s">
        <v>4590</v>
      </c>
      <c r="C48" s="9">
        <v>505</v>
      </c>
      <c r="D48" s="9" t="s">
        <v>1857</v>
      </c>
      <c r="E48" s="9" t="str">
        <f>IF($B48 = "Mutant",VLOOKUP($C48,Mutants!$A$2:$L$560,12,FALSE),IF($B48 = "Test",VLOOKUP($C48,Tests!$A$2:$L$841,12,FALSE),VLOOKUP($C48,Questions!$A$3:$N$201,9,FALSE)))</f>
        <v>N</v>
      </c>
      <c r="F48" s="187" t="str">
        <f>IF($B48 = "Mutant",VLOOKUP($C48,Mutants!$A$2:$L$560,11,FALSE),IF($B48 = "Test",VLOOKUP($C48,Tests!$A$2:$L$841,11,FALSE),VLOOKUP($C48,Questions!$A$3:$N$201,13,FALSE)))</f>
        <v xml:space="preserve">
</v>
      </c>
      <c r="G48" s="187"/>
      <c r="H48" s="202"/>
      <c r="I48" s="9"/>
      <c r="J48" s="9"/>
      <c r="K48" s="9"/>
      <c r="L48" s="9"/>
      <c r="M48" s="9"/>
    </row>
    <row r="49" spans="2:13" ht="15.75" customHeight="1">
      <c r="B49" s="114" t="s">
        <v>4590</v>
      </c>
      <c r="C49" s="9">
        <v>510</v>
      </c>
      <c r="D49" s="9" t="s">
        <v>1868</v>
      </c>
      <c r="E49" s="9" t="str">
        <f>IF($B49 = "Mutant",VLOOKUP($C49,Mutants!$A$2:$L$560,12,FALSE),IF($B49 = "Test",VLOOKUP($C49,Tests!$A$2:$L$841,12,FALSE),VLOOKUP($C49,Questions!$A$3:$N$201,9,FALSE)))</f>
        <v>N</v>
      </c>
      <c r="F49" s="187" t="str">
        <f>IF($B49 = "Mutant",VLOOKUP($C49,Mutants!$A$2:$L$560,11,FALSE),IF($B49 = "Test",VLOOKUP($C49,Tests!$A$2:$L$841,11,FALSE),VLOOKUP($C49,Questions!$A$3:$N$201,13,FALSE)))</f>
        <v xml:space="preserve">
</v>
      </c>
      <c r="G49" s="187"/>
      <c r="H49" s="202"/>
      <c r="I49" s="9"/>
      <c r="J49" s="9"/>
      <c r="K49" s="9"/>
      <c r="L49" s="9"/>
      <c r="M49" s="9"/>
    </row>
    <row r="50" spans="2:13" ht="15.75" customHeight="1">
      <c r="B50" s="114" t="s">
        <v>4590</v>
      </c>
      <c r="C50" s="9">
        <v>517</v>
      </c>
      <c r="D50" s="9" t="s">
        <v>1896</v>
      </c>
      <c r="E50" s="9" t="str">
        <f>IF($B50 = "Mutant",VLOOKUP($C50,Mutants!$A$2:$L$560,12,FALSE),IF($B50 = "Test",VLOOKUP($C50,Tests!$A$2:$L$841,12,FALSE),VLOOKUP($C50,Questions!$A$3:$N$201,9,FALSE)))</f>
        <v>Y</v>
      </c>
      <c r="F50" s="187" t="str">
        <f>IF($B50 = "Mutant",VLOOKUP($C50,Mutants!$A$2:$L$560,11,FALSE),IF($B50 = "Test",VLOOKUP($C50,Tests!$A$2:$L$841,11,FALSE),VLOOKUP($C50,Questions!$A$3:$N$201,13,FALSE)))</f>
        <v xml:space="preserve">getField
</v>
      </c>
      <c r="G50" s="187"/>
      <c r="H50" s="202"/>
      <c r="I50" s="9"/>
      <c r="J50" s="9"/>
      <c r="K50" s="9"/>
      <c r="L50" s="9"/>
      <c r="M50" s="9"/>
    </row>
    <row r="51" spans="2:13" ht="15.75" customHeight="1">
      <c r="B51" s="114" t="s">
        <v>4590</v>
      </c>
      <c r="C51" s="9">
        <v>561</v>
      </c>
      <c r="D51" s="9" t="s">
        <v>2027</v>
      </c>
      <c r="E51" s="9" t="str">
        <f>IF($B51 = "Mutant",VLOOKUP($C51,Mutants!$A$2:$L$560,12,FALSE),IF($B51 = "Test",VLOOKUP($C51,Tests!$A$2:$L$841,12,FALSE),VLOOKUP($C51,Questions!$A$3:$N$201,9,FALSE)))</f>
        <v>N</v>
      </c>
      <c r="F51" s="187" t="str">
        <f>IF($B51 = "Mutant",VLOOKUP($C51,Mutants!$A$2:$L$560,11,FALSE),IF($B51 = "Test",VLOOKUP($C51,Tests!$A$2:$L$841,11,FALSE),VLOOKUP($C51,Questions!$A$3:$N$201,13,FALSE)))</f>
        <v xml:space="preserve">
</v>
      </c>
      <c r="G51" s="187"/>
      <c r="H51" s="202"/>
      <c r="I51" s="9"/>
      <c r="J51" s="9"/>
      <c r="K51" s="9"/>
      <c r="L51" s="9"/>
      <c r="M51" s="9"/>
    </row>
    <row r="52" spans="2:13" ht="15.75" customHeight="1">
      <c r="B52" s="114" t="s">
        <v>4590</v>
      </c>
      <c r="C52" s="9">
        <v>579</v>
      </c>
      <c r="D52" s="9" t="s">
        <v>2084</v>
      </c>
      <c r="E52" s="9" t="str">
        <f>IF($B52 = "Mutant",VLOOKUP($C52,Mutants!$A$2:$L$560,12,FALSE),IF($B52 = "Test",VLOOKUP($C52,Tests!$A$2:$L$841,12,FALSE),VLOOKUP($C52,Questions!$A$3:$N$201,9,FALSE)))</f>
        <v>N</v>
      </c>
      <c r="F52" s="187" t="str">
        <f>IF($B52 = "Mutant",VLOOKUP($C52,Mutants!$A$2:$L$560,11,FALSE),IF($B52 = "Test",VLOOKUP($C52,Tests!$A$2:$L$841,11,FALSE),VLOOKUP($C52,Questions!$A$3:$N$201,13,FALSE)))</f>
        <v xml:space="preserve">
</v>
      </c>
      <c r="G52" s="187"/>
      <c r="H52" s="202"/>
      <c r="I52" s="9"/>
      <c r="J52" s="9"/>
      <c r="K52" s="9"/>
      <c r="L52" s="9"/>
      <c r="M52" s="9"/>
    </row>
    <row r="53" spans="2:13" ht="15.75" customHeight="1">
      <c r="B53" s="114" t="s">
        <v>107</v>
      </c>
      <c r="C53" s="9">
        <v>132</v>
      </c>
      <c r="D53" s="9" t="s">
        <v>450</v>
      </c>
      <c r="E53" s="9" t="str">
        <f>IF($B53 = "Mutant",VLOOKUP($C53,Mutants!$A$2:$L$560,12,FALSE),IF($B53 = "Test",VLOOKUP($C53,Tests!$A$2:$L$841,12,FALSE),VLOOKUP($C53,Questions!$A$3:$N$201,9,FALSE)))</f>
        <v>N</v>
      </c>
      <c r="F53" s="187" t="str">
        <f>IF($B53 = "Mutant",VLOOKUP($C53,Mutants!$A$2:$L$560,11,FALSE),IF($B53 = "Test",VLOOKUP($C53,Tests!$A$2:$L$841,11,FALSE),VLOOKUP($C53,Questions!$A$3:$N$201,13,FALSE)))</f>
        <v xml:space="preserve"> </v>
      </c>
      <c r="G53" s="187"/>
      <c r="H53" s="202"/>
      <c r="I53" s="9"/>
      <c r="J53" s="9"/>
      <c r="K53" s="9"/>
      <c r="L53" s="9"/>
      <c r="M53" s="9"/>
    </row>
    <row r="54" spans="2:13" ht="15.75" customHeight="1">
      <c r="B54" s="114" t="s">
        <v>4590</v>
      </c>
      <c r="C54" s="9">
        <v>648</v>
      </c>
      <c r="D54" s="9" t="s">
        <v>2278</v>
      </c>
      <c r="E54" s="9" t="str">
        <f>IF($B54 = "Mutant",VLOOKUP($C54,Mutants!$A$2:$L$560,12,FALSE),IF($B54 = "Test",VLOOKUP($C54,Tests!$A$2:$L$841,12,FALSE),VLOOKUP($C54,Questions!$A$3:$N$201,9,FALSE)))</f>
        <v>N</v>
      </c>
      <c r="F54" s="187" t="str">
        <f>IF($B54 = "Mutant",VLOOKUP($C54,Mutants!$A$2:$L$560,11,FALSE),IF($B54 = "Test",VLOOKUP($C54,Tests!$A$2:$L$841,11,FALSE),VLOOKUP($C54,Questions!$A$3:$N$201,13,FALSE)))</f>
        <v xml:space="preserve">
</v>
      </c>
      <c r="G54" s="187"/>
      <c r="H54" s="202"/>
      <c r="I54" s="9"/>
      <c r="J54" s="9"/>
      <c r="K54" s="9"/>
      <c r="L54" s="9"/>
      <c r="M54" s="9"/>
    </row>
    <row r="55" spans="2:13" ht="15.75" customHeight="1">
      <c r="B55" s="114" t="s">
        <v>4590</v>
      </c>
      <c r="C55" s="9">
        <v>654</v>
      </c>
      <c r="D55" s="9" t="s">
        <v>2296</v>
      </c>
      <c r="E55" s="9" t="str">
        <f>IF($B55 = "Mutant",VLOOKUP($C55,Mutants!$A$2:$L$560,12,FALSE),IF($B55 = "Test",VLOOKUP($C55,Tests!$A$2:$L$841,12,FALSE),VLOOKUP($C55,Questions!$A$3:$N$201,9,FALSE)))</f>
        <v>N</v>
      </c>
      <c r="F55" s="187" t="str">
        <f>IF($B55 = "Mutant",VLOOKUP($C55,Mutants!$A$2:$L$560,11,FALSE),IF($B55 = "Test",VLOOKUP($C55,Tests!$A$2:$L$841,11,FALSE),VLOOKUP($C55,Questions!$A$3:$N$201,13,FALSE)))</f>
        <v xml:space="preserve">
</v>
      </c>
      <c r="G55" s="187"/>
      <c r="H55" s="202"/>
      <c r="I55" s="9"/>
      <c r="J55" s="9"/>
      <c r="K55" s="9"/>
      <c r="L55" s="9"/>
      <c r="M55" s="9"/>
    </row>
    <row r="56" spans="2:13" ht="15.75" customHeight="1">
      <c r="B56" s="114" t="s">
        <v>107</v>
      </c>
      <c r="C56" s="9">
        <v>141</v>
      </c>
      <c r="D56" s="9" t="s">
        <v>453</v>
      </c>
      <c r="E56" s="9" t="str">
        <f>IF($B56 = "Mutant",VLOOKUP($C56,Mutants!$A$2:$L$560,12,FALSE),IF($B56 = "Test",VLOOKUP($C56,Tests!$A$2:$L$841,12,FALSE),VLOOKUP($C56,Questions!$A$3:$N$201,9,FALSE)))</f>
        <v>Y</v>
      </c>
      <c r="F56" s="187" t="str">
        <f>IF($B56 = "Mutant",VLOOKUP($C56,Mutants!$A$2:$L$560,11,FALSE),IF($B56 = "Test",VLOOKUP($C56,Tests!$A$2:$L$841,11,FALSE),VLOOKUP($C56,Questions!$A$3:$N$201,13,FALSE)))</f>
        <v xml:space="preserve"> </v>
      </c>
      <c r="G56" s="187"/>
      <c r="H56" s="202"/>
      <c r="I56" s="9"/>
      <c r="J56" s="9"/>
      <c r="K56" s="9"/>
      <c r="L56" s="9"/>
      <c r="M56" s="9"/>
    </row>
    <row r="57" spans="2:13" ht="15.75" customHeight="1">
      <c r="B57" s="114" t="s">
        <v>107</v>
      </c>
      <c r="C57" s="9">
        <v>146</v>
      </c>
      <c r="D57" s="9" t="s">
        <v>456</v>
      </c>
      <c r="E57" s="9" t="str">
        <f>IF($B57 = "Mutant",VLOOKUP($C57,Mutants!$A$2:$L$560,12,FALSE),IF($B57 = "Test",VLOOKUP($C57,Tests!$A$2:$L$841,12,FALSE),VLOOKUP($C57,Questions!$A$3:$N$201,9,FALSE)))</f>
        <v>Y</v>
      </c>
      <c r="F57" s="187" t="str">
        <f>IF($B57 = "Mutant",VLOOKUP($C57,Mutants!$A$2:$L$560,11,FALSE),IF($B57 = "Test",VLOOKUP($C57,Tests!$A$2:$L$841,11,FALSE),VLOOKUP($C57,Questions!$A$3:$N$201,13,FALSE)))</f>
        <v xml:space="preserve"> </v>
      </c>
      <c r="G57" s="187"/>
      <c r="H57" s="202"/>
      <c r="I57" s="9"/>
      <c r="J57" s="9"/>
      <c r="K57" s="9"/>
      <c r="L57" s="9"/>
      <c r="M57" s="9"/>
    </row>
    <row r="58" spans="2:13" ht="15.75" customHeight="1">
      <c r="B58" s="114" t="s">
        <v>4590</v>
      </c>
      <c r="C58" s="9">
        <v>696</v>
      </c>
      <c r="D58" s="9" t="s">
        <v>502</v>
      </c>
      <c r="E58" s="9" t="str">
        <f>IF($B58 = "Mutant",VLOOKUP($C58,Mutants!$A$2:$L$560,12,FALSE),IF($B58 = "Test",VLOOKUP($C58,Tests!$A$2:$L$841,12,FALSE),VLOOKUP($C58,Questions!$A$3:$N$201,9,FALSE)))</f>
        <v>N</v>
      </c>
      <c r="F58" s="187" t="str">
        <f>IF($B58 = "Mutant",VLOOKUP($C58,Mutants!$A$2:$L$560,11,FALSE),IF($B58 = "Test",VLOOKUP($C58,Tests!$A$2:$L$841,11,FALSE),VLOOKUP($C58,Questions!$A$3:$N$201,13,FALSE)))</f>
        <v xml:space="preserve">
</v>
      </c>
      <c r="G58" s="187"/>
      <c r="H58" s="202"/>
      <c r="I58" s="9"/>
      <c r="J58" s="9"/>
      <c r="K58" s="9"/>
      <c r="L58" s="9"/>
      <c r="M58" s="9"/>
    </row>
    <row r="59" spans="2:13" ht="15.75" customHeight="1">
      <c r="B59" s="114" t="s">
        <v>107</v>
      </c>
      <c r="C59" s="9">
        <v>151</v>
      </c>
      <c r="D59" s="9" t="s">
        <v>459</v>
      </c>
      <c r="E59" s="9" t="str">
        <f>IF($B59 = "Mutant",VLOOKUP($C59,Mutants!$A$2:$L$560,12,FALSE),IF($B59 = "Test",VLOOKUP($C59,Tests!$A$2:$L$841,12,FALSE),VLOOKUP($C59,Questions!$A$3:$N$201,9,FALSE)))</f>
        <v>Y</v>
      </c>
      <c r="F59" s="187" t="str">
        <f>IF($B59 = "Mutant",VLOOKUP($C59,Mutants!$A$2:$L$560,11,FALSE),IF($B59 = "Test",VLOOKUP($C59,Tests!$A$2:$L$841,11,FALSE),VLOOKUP($C59,Questions!$A$3:$N$201,13,FALSE)))</f>
        <v xml:space="preserve"> </v>
      </c>
      <c r="G59" s="187"/>
      <c r="H59" s="202"/>
      <c r="I59" s="9"/>
      <c r="J59" s="9"/>
      <c r="K59" s="9"/>
      <c r="L59" s="9"/>
      <c r="M59" s="9"/>
    </row>
    <row r="60" spans="2:13" ht="15.75" customHeight="1">
      <c r="B60" s="114" t="s">
        <v>107</v>
      </c>
      <c r="C60" s="9">
        <v>166</v>
      </c>
      <c r="D60" s="9" t="s">
        <v>462</v>
      </c>
      <c r="E60" s="9" t="str">
        <f>IF($B60 = "Mutant",VLOOKUP($C60,Mutants!$A$2:$L$560,12,FALSE),IF($B60 = "Test",VLOOKUP($C60,Tests!$A$2:$L$841,12,FALSE),VLOOKUP($C60,Questions!$A$3:$N$201,9,FALSE)))</f>
        <v>Y</v>
      </c>
      <c r="F60" s="187" t="str">
        <f>IF($B60 = "Mutant",VLOOKUP($C60,Mutants!$A$2:$L$560,11,FALSE),IF($B60 = "Test",VLOOKUP($C60,Tests!$A$2:$L$841,11,FALSE),VLOOKUP($C60,Questions!$A$3:$N$201,13,FALSE)))</f>
        <v xml:space="preserve"> </v>
      </c>
      <c r="G60" s="187"/>
      <c r="H60" s="202"/>
      <c r="I60" s="9"/>
      <c r="J60" s="9"/>
      <c r="K60" s="9"/>
      <c r="L60" s="9"/>
      <c r="M60" s="9"/>
    </row>
    <row r="61" spans="2:13" ht="15.75" customHeight="1">
      <c r="B61" s="114" t="s">
        <v>4590</v>
      </c>
      <c r="C61" s="9">
        <v>761</v>
      </c>
      <c r="D61" s="9" t="s">
        <v>2581</v>
      </c>
      <c r="E61" s="9" t="str">
        <f>IF($B61 = "Mutant",VLOOKUP($C61,Mutants!$A$2:$L$560,12,FALSE),IF($B61 = "Test",VLOOKUP($C61,Tests!$A$2:$L$841,12,FALSE),VLOOKUP($C61,Questions!$A$3:$N$201,9,FALSE)))</f>
        <v>N</v>
      </c>
      <c r="F61" s="187" t="str">
        <f>IF($B61 = "Mutant",VLOOKUP($C61,Mutants!$A$2:$L$560,11,FALSE),IF($B61 = "Test",VLOOKUP($C61,Tests!$A$2:$L$841,11,FALSE),VLOOKUP($C61,Questions!$A$3:$N$201,13,FALSE)))</f>
        <v xml:space="preserve">
</v>
      </c>
      <c r="G61" s="187"/>
      <c r="H61" s="202"/>
      <c r="I61" s="9"/>
      <c r="J61" s="9"/>
      <c r="K61" s="9"/>
      <c r="L61" s="9"/>
      <c r="M61" s="9"/>
    </row>
    <row r="62" spans="2:13" ht="15.75" customHeight="1">
      <c r="B62" s="114" t="s">
        <v>107</v>
      </c>
      <c r="C62" s="9">
        <v>173</v>
      </c>
      <c r="D62" s="9" t="s">
        <v>465</v>
      </c>
      <c r="E62" s="9" t="str">
        <f>IF($B62 = "Mutant",VLOOKUP($C62,Mutants!$A$2:$L$560,12,FALSE),IF($B62 = "Test",VLOOKUP($C62,Tests!$A$2:$L$841,12,FALSE),VLOOKUP($C62,Questions!$A$3:$N$201,9,FALSE)))</f>
        <v>N</v>
      </c>
      <c r="F62" s="187" t="str">
        <f>IF($B62 = "Mutant",VLOOKUP($C62,Mutants!$A$2:$L$560,11,FALSE),IF($B62 = "Test",VLOOKUP($C62,Tests!$A$2:$L$841,11,FALSE),VLOOKUP($C62,Questions!$A$3:$N$201,13,FALSE)))</f>
        <v xml:space="preserve"> </v>
      </c>
      <c r="G62" s="187"/>
      <c r="H62" s="202"/>
      <c r="I62" s="9"/>
      <c r="J62" s="9"/>
      <c r="K62" s="9"/>
      <c r="L62" s="9"/>
      <c r="M62" s="9"/>
    </row>
    <row r="63" spans="2:13" ht="15.75" customHeight="1">
      <c r="B63" s="114" t="s">
        <v>107</v>
      </c>
      <c r="C63" s="9">
        <v>174</v>
      </c>
      <c r="D63" s="9" t="s">
        <v>468</v>
      </c>
      <c r="E63" s="9" t="str">
        <f>IF($B63 = "Mutant",VLOOKUP($C63,Mutants!$A$2:$L$560,12,FALSE),IF($B63 = "Test",VLOOKUP($C63,Tests!$A$2:$L$841,12,FALSE),VLOOKUP($C63,Questions!$A$3:$N$201,9,FALSE)))</f>
        <v>Y</v>
      </c>
      <c r="F63" s="187" t="str">
        <f>IF($B63 = "Mutant",VLOOKUP($C63,Mutants!$A$2:$L$560,11,FALSE),IF($B63 = "Test",VLOOKUP($C63,Tests!$A$2:$L$841,11,FALSE),VLOOKUP($C63,Questions!$A$3:$N$201,13,FALSE)))</f>
        <v xml:space="preserve"> </v>
      </c>
      <c r="G63" s="187"/>
      <c r="H63" s="202"/>
      <c r="I63" s="9"/>
      <c r="J63" s="9"/>
      <c r="K63" s="9"/>
      <c r="L63" s="9"/>
      <c r="M63" s="9"/>
    </row>
    <row r="64" spans="2:13" ht="15.75" customHeight="1">
      <c r="B64" s="114" t="s">
        <v>107</v>
      </c>
      <c r="C64" s="9">
        <v>177</v>
      </c>
      <c r="D64" s="9" t="s">
        <v>471</v>
      </c>
      <c r="E64" s="9" t="str">
        <f>IF($B64 = "Mutant",VLOOKUP($C64,Mutants!$A$2:$L$560,12,FALSE),IF($B64 = "Test",VLOOKUP($C64,Tests!$A$2:$L$841,12,FALSE),VLOOKUP($C64,Questions!$A$3:$N$201,9,FALSE)))</f>
        <v>Y</v>
      </c>
      <c r="F64" s="187" t="str">
        <f>IF($B64 = "Mutant",VLOOKUP($C64,Mutants!$A$2:$L$560,11,FALSE),IF($B64 = "Test",VLOOKUP($C64,Tests!$A$2:$L$841,11,FALSE),VLOOKUP($C64,Questions!$A$3:$N$201,13,FALSE)))</f>
        <v xml:space="preserve"> </v>
      </c>
      <c r="G64" s="187"/>
      <c r="H64" s="202"/>
      <c r="I64" s="9"/>
      <c r="J64" s="9"/>
      <c r="K64" s="9"/>
      <c r="L64" s="9"/>
      <c r="M64" s="9"/>
    </row>
    <row r="65" spans="2:13" ht="15.75" customHeight="1">
      <c r="B65" s="114" t="s">
        <v>107</v>
      </c>
      <c r="C65" s="9">
        <v>180</v>
      </c>
      <c r="D65" s="9" t="s">
        <v>474</v>
      </c>
      <c r="E65" s="9" t="str">
        <f>IF($B65 = "Mutant",VLOOKUP($C65,Mutants!$A$2:$L$560,12,FALSE),IF($B65 = "Test",VLOOKUP($C65,Tests!$A$2:$L$841,12,FALSE),VLOOKUP($C65,Questions!$A$3:$N$201,9,FALSE)))</f>
        <v>Y</v>
      </c>
      <c r="F65" s="187" t="str">
        <f>IF($B65 = "Mutant",VLOOKUP($C65,Mutants!$A$2:$L$560,11,FALSE),IF($B65 = "Test",VLOOKUP($C65,Tests!$A$2:$L$841,11,FALSE),VLOOKUP($C65,Questions!$A$3:$N$201,13,FALSE)))</f>
        <v xml:space="preserve"> </v>
      </c>
      <c r="G65" s="187"/>
      <c r="H65" s="202"/>
      <c r="I65" s="9"/>
      <c r="J65" s="9"/>
      <c r="K65" s="9"/>
      <c r="L65" s="9"/>
      <c r="M65" s="9"/>
    </row>
    <row r="66" spans="2:13" ht="15.75" customHeight="1">
      <c r="B66" s="114" t="s">
        <v>107</v>
      </c>
      <c r="C66" s="9">
        <v>181</v>
      </c>
      <c r="D66" s="9" t="s">
        <v>477</v>
      </c>
      <c r="E66" s="9" t="str">
        <f>IF($B66 = "Mutant",VLOOKUP($C66,Mutants!$A$2:$L$560,12,FALSE),IF($B66 = "Test",VLOOKUP($C66,Tests!$A$2:$L$841,12,FALSE),VLOOKUP($C66,Questions!$A$3:$N$201,9,FALSE)))</f>
        <v>Y</v>
      </c>
      <c r="F66" s="187" t="str">
        <f>IF($B66 = "Mutant",VLOOKUP($C66,Mutants!$A$2:$L$560,11,FALSE),IF($B66 = "Test",VLOOKUP($C66,Tests!$A$2:$L$841,11,FALSE),VLOOKUP($C66,Questions!$A$3:$N$201,13,FALSE)))</f>
        <v xml:space="preserve"> </v>
      </c>
      <c r="G66" s="187"/>
      <c r="H66" s="202"/>
      <c r="I66" s="9"/>
      <c r="J66" s="9"/>
      <c r="K66" s="9"/>
      <c r="L66" s="9"/>
      <c r="M66" s="9"/>
    </row>
    <row r="67" spans="2:13" ht="15.75" customHeight="1">
      <c r="B67" s="114" t="s">
        <v>107</v>
      </c>
      <c r="C67" s="9">
        <v>190</v>
      </c>
      <c r="D67" s="9" t="s">
        <v>480</v>
      </c>
      <c r="E67" s="9" t="str">
        <f>IF($B67 = "Mutant",VLOOKUP($C67,Mutants!$A$2:$L$560,12,FALSE),IF($B67 = "Test",VLOOKUP($C67,Tests!$A$2:$L$841,12,FALSE),VLOOKUP($C67,Questions!$A$3:$N$201,9,FALSE)))</f>
        <v>Y</v>
      </c>
      <c r="F67" s="187" t="str">
        <f>IF($B67 = "Mutant",VLOOKUP($C67,Mutants!$A$2:$L$560,11,FALSE),IF($B67 = "Test",VLOOKUP($C67,Tests!$A$2:$L$841,11,FALSE),VLOOKUP($C67,Questions!$A$3:$N$201,13,FALSE)))</f>
        <v xml:space="preserve"> </v>
      </c>
      <c r="G67" s="187"/>
      <c r="H67" s="202"/>
      <c r="I67" s="9"/>
      <c r="J67" s="9"/>
      <c r="K67" s="9"/>
      <c r="L67" s="9"/>
      <c r="M67" s="9"/>
    </row>
    <row r="68" spans="2:13" ht="15.75" customHeight="1">
      <c r="B68" s="114" t="s">
        <v>4590</v>
      </c>
      <c r="C68" s="9">
        <v>894</v>
      </c>
      <c r="D68" s="9" t="s">
        <v>2950</v>
      </c>
      <c r="E68" s="9" t="str">
        <f>IF($B68 = "Mutant",VLOOKUP($C68,Mutants!$A$2:$L$560,12,FALSE),IF($B68 = "Test",VLOOKUP($C68,Tests!$A$2:$L$841,12,FALSE),VLOOKUP($C68,Questions!$A$3:$N$201,9,FALSE)))</f>
        <v>N</v>
      </c>
      <c r="F68" s="187" t="str">
        <f>IF($B68 = "Mutant",VLOOKUP($C68,Mutants!$A$2:$L$560,11,FALSE),IF($B68 = "Test",VLOOKUP($C68,Tests!$A$2:$L$841,11,FALSE),VLOOKUP($C68,Questions!$A$3:$N$201,13,FALSE)))</f>
        <v xml:space="preserve">
</v>
      </c>
      <c r="G68" s="187"/>
      <c r="H68" s="202"/>
      <c r="I68" s="9"/>
      <c r="J68" s="9"/>
      <c r="K68" s="9"/>
      <c r="L68" s="9"/>
      <c r="M68" s="9"/>
    </row>
    <row r="69" spans="2:13" ht="15.75" customHeight="1">
      <c r="B69" s="114" t="s">
        <v>4590</v>
      </c>
      <c r="C69" s="9">
        <v>901</v>
      </c>
      <c r="D69" s="9" t="s">
        <v>2971</v>
      </c>
      <c r="E69" s="9" t="str">
        <f>IF($B69 = "Mutant",VLOOKUP($C69,Mutants!$A$2:$L$560,12,FALSE),IF($B69 = "Test",VLOOKUP($C69,Tests!$A$2:$L$841,12,FALSE),VLOOKUP($C69,Questions!$A$3:$N$201,9,FALSE)))</f>
        <v>Y</v>
      </c>
      <c r="F69" s="187" t="str">
        <f>IF($B69 = "Mutant",VLOOKUP($C69,Mutants!$A$2:$L$560,11,FALSE),IF($B69 = "Test",VLOOKUP($C69,Tests!$A$2:$L$841,11,FALSE),VLOOKUP($C69,Questions!$A$3:$N$201,13,FALSE)))</f>
        <v xml:space="preserve">add, getField
</v>
      </c>
      <c r="G69" s="187"/>
      <c r="H69" s="202"/>
      <c r="I69" s="9"/>
      <c r="J69" s="9"/>
      <c r="K69" s="9"/>
      <c r="L69" s="9"/>
      <c r="M69" s="9"/>
    </row>
    <row r="70" spans="2:13" ht="15.75" customHeight="1">
      <c r="B70" s="114" t="s">
        <v>4589</v>
      </c>
      <c r="C70" s="9">
        <v>652</v>
      </c>
      <c r="D70" s="9" t="s">
        <v>4567</v>
      </c>
      <c r="E70" s="9" t="str">
        <f>IF($B70 = "Mutant",VLOOKUP($C70,Mutants!$A$2:$L$560,12,FALSE),IF($B70 = "Test",VLOOKUP($C70,Tests!$A$2:$L$841,12,FALSE),VLOOKUP($C70,Questions!$A$3:$N$201,9,FALSE)))</f>
        <v>Y</v>
      </c>
      <c r="F70" s="187" t="str">
        <f>IF($B70 = "Mutant",VLOOKUP($C70,Mutants!$A$2:$L$560,11,FALSE),IF($B70 = "Test",VLOOKUP($C70,Tests!$A$2:$L$841,11,FALSE),VLOOKUP($C70,Questions!$A$3:$N$201,13,FALSE)))</f>
        <v xml:space="preserve">getFields_1
</v>
      </c>
      <c r="G70" s="187"/>
      <c r="H70" s="202"/>
      <c r="I70" s="9"/>
      <c r="J70" s="9"/>
      <c r="K70" s="9"/>
      <c r="L70" s="9"/>
      <c r="M70" s="9"/>
    </row>
    <row r="71" spans="2:13" ht="15.75" customHeight="1">
      <c r="B71" s="114" t="s">
        <v>4589</v>
      </c>
      <c r="C71" s="9">
        <v>654</v>
      </c>
      <c r="D71" s="9" t="s">
        <v>4571</v>
      </c>
      <c r="E71" s="9" t="str">
        <f>IF($B71 = "Mutant",VLOOKUP($C71,Mutants!$A$2:$L$560,12,FALSE),IF($B71 = "Test",VLOOKUP($C71,Tests!$A$2:$L$841,12,FALSE),VLOOKUP($C71,Questions!$A$3:$N$201,9,FALSE)))</f>
        <v>N</v>
      </c>
      <c r="F71" s="187" t="str">
        <f>IF($B71 = "Mutant",VLOOKUP($C71,Mutants!$A$2:$L$560,11,FALSE),IF($B71 = "Test",VLOOKUP($C71,Tests!$A$2:$L$841,11,FALSE),VLOOKUP($C71,Questions!$A$3:$N$201,13,FALSE)))</f>
        <v xml:space="preserve">
</v>
      </c>
      <c r="G71" s="187"/>
      <c r="H71" s="202"/>
      <c r="I71" s="9"/>
      <c r="J71" s="9"/>
      <c r="K71" s="9"/>
      <c r="L71" s="9"/>
      <c r="M71" s="9"/>
    </row>
    <row r="72" spans="2:13" ht="15.75" customHeight="1">
      <c r="B72" s="133" t="s">
        <v>4589</v>
      </c>
      <c r="C72" s="130">
        <v>655</v>
      </c>
      <c r="D72" s="130" t="s">
        <v>4574</v>
      </c>
      <c r="E72" s="130" t="str">
        <f>IF($B72 = "Mutant",VLOOKUP($C72,Mutants!$A$2:$L$560,12,FALSE),IF($B72 = "Test",VLOOKUP($C72,Tests!$A$2:$L$841,12,FALSE),VLOOKUP($C72,Questions!$A$3:$N$201,9,FALSE)))</f>
        <v>Y</v>
      </c>
      <c r="F72" s="203" t="str">
        <f>IF($B72 = "Mutant",VLOOKUP($C72,Mutants!$A$2:$L$560,11,FALSE),IF($B72 = "Test",VLOOKUP($C72,Tests!$A$2:$L$841,11,FALSE),VLOOKUP($C72,Questions!$A$3:$N$201,13,FALSE)))</f>
        <v xml:space="preserve">removeField
</v>
      </c>
      <c r="G72" s="203"/>
      <c r="H72" s="204"/>
      <c r="I72" s="9"/>
      <c r="J72" s="9"/>
      <c r="K72" s="9"/>
      <c r="L72" s="9"/>
      <c r="M72" s="9"/>
    </row>
    <row r="73" spans="2:13" ht="15.75" customHeight="1">
      <c r="F73" s="188"/>
      <c r="G73" s="188"/>
      <c r="H73" s="188"/>
    </row>
    <row r="74" spans="2:13" ht="15.75" customHeight="1">
      <c r="F74" s="188"/>
      <c r="G74" s="188"/>
      <c r="H74" s="188"/>
    </row>
    <row r="75" spans="2:13" ht="15.75" customHeight="1" thickBot="1">
      <c r="B75" s="219" t="s">
        <v>4604</v>
      </c>
      <c r="C75" s="201"/>
      <c r="D75" s="45">
        <v>227</v>
      </c>
      <c r="F75" s="207"/>
      <c r="G75" s="207"/>
      <c r="H75" s="207"/>
    </row>
    <row r="76" spans="2:13" ht="15.75" customHeight="1" thickTop="1">
      <c r="B76" s="134" t="s">
        <v>4594</v>
      </c>
      <c r="C76" s="135" t="s">
        <v>44</v>
      </c>
      <c r="D76" s="135" t="s">
        <v>110</v>
      </c>
      <c r="E76" s="136" t="s">
        <v>2</v>
      </c>
      <c r="F76" s="229" t="s">
        <v>4612</v>
      </c>
      <c r="G76" s="229"/>
      <c r="H76" s="230"/>
      <c r="I76" s="9"/>
      <c r="J76" s="9"/>
      <c r="K76" s="9"/>
      <c r="L76" s="9"/>
      <c r="M76" s="9"/>
    </row>
    <row r="77" spans="2:13" ht="15.75" customHeight="1">
      <c r="B77" s="137" t="s">
        <v>4589</v>
      </c>
      <c r="C77" s="93">
        <v>375</v>
      </c>
      <c r="D77" s="93" t="s">
        <v>3852</v>
      </c>
      <c r="E77" s="93" t="str">
        <f>IF($B77 = "Mutant",VLOOKUP($C77,Mutants!$A$2:$L$560,12,FALSE),IF($B77 = "Test",VLOOKUP($C77,Tests!$A$2:$L$841,12,FALSE),VLOOKUP($C77,Questions!$A$3:$N$201,9,FALSE)))</f>
        <v>Y</v>
      </c>
      <c r="F77" s="205" t="str">
        <f>IF($B77 = "Mutant",VLOOKUP($C77,Mutants!$A$2:$L$560,11,FALSE),IF($B77 = "Test",VLOOKUP($C77,Tests!$A$2:$L$841,11,FALSE),VLOOKUP($C77,Questions!$A$3:$N$201,13,FALSE)))</f>
        <v xml:space="preserve">removeField
</v>
      </c>
      <c r="G77" s="205"/>
      <c r="H77" s="206"/>
      <c r="I77" s="9"/>
      <c r="J77" s="9"/>
      <c r="K77" s="9"/>
      <c r="L77" s="9"/>
      <c r="M77" s="9"/>
    </row>
    <row r="78" spans="2:13" ht="15.75" customHeight="1">
      <c r="B78" s="114" t="s">
        <v>4589</v>
      </c>
      <c r="C78" s="9">
        <v>384</v>
      </c>
      <c r="D78" s="9" t="s">
        <v>3877</v>
      </c>
      <c r="E78" s="9" t="str">
        <f>IF($B78 = "Mutant",VLOOKUP($C78,Mutants!$A$2:$L$560,12,FALSE),IF($B78 = "Test",VLOOKUP($C78,Tests!$A$2:$L$841,12,FALSE),VLOOKUP($C78,Questions!$A$3:$N$201,9,FALSE)))</f>
        <v>Y</v>
      </c>
      <c r="F78" s="187" t="str">
        <f>IF($B78 = "Mutant",VLOOKUP($C78,Mutants!$A$2:$L$560,11,FALSE),IF($B78 = "Test",VLOOKUP($C78,Tests!$A$2:$L$841,11,FALSE),VLOOKUP($C78,Questions!$A$3:$N$201,13,FALSE)))</f>
        <v xml:space="preserve">getBinaryValues
</v>
      </c>
      <c r="G78" s="187"/>
      <c r="H78" s="202"/>
      <c r="I78" s="9"/>
      <c r="J78" s="9"/>
      <c r="K78" s="9"/>
      <c r="L78" s="9"/>
      <c r="M78" s="9"/>
    </row>
    <row r="79" spans="2:13" ht="15.75" customHeight="1">
      <c r="B79" s="114" t="s">
        <v>4589</v>
      </c>
      <c r="C79" s="9">
        <v>401</v>
      </c>
      <c r="D79" s="9" t="s">
        <v>3923</v>
      </c>
      <c r="E79" s="9" t="str">
        <f>IF($B79 = "Mutant",VLOOKUP($C79,Mutants!$A$2:$L$560,12,FALSE),IF($B79 = "Test",VLOOKUP($C79,Tests!$A$2:$L$841,12,FALSE),VLOOKUP($C79,Questions!$A$3:$N$201,9,FALSE)))</f>
        <v>Y</v>
      </c>
      <c r="F79" s="187" t="str">
        <f>IF($B79 = "Mutant",VLOOKUP($C79,Mutants!$A$2:$L$560,11,FALSE),IF($B79 = "Test",VLOOKUP($C79,Tests!$A$2:$L$841,11,FALSE),VLOOKUP($C79,Questions!$A$3:$N$201,13,FALSE)))</f>
        <v xml:space="preserve">getField
</v>
      </c>
      <c r="G79" s="187"/>
      <c r="H79" s="202"/>
      <c r="I79" s="9"/>
      <c r="J79" s="9"/>
      <c r="K79" s="9"/>
      <c r="L79" s="9"/>
      <c r="M79" s="9"/>
    </row>
    <row r="80" spans="2:13" ht="15.75" customHeight="1">
      <c r="B80" s="114" t="s">
        <v>4589</v>
      </c>
      <c r="C80" s="9">
        <v>429</v>
      </c>
      <c r="D80" s="9" t="s">
        <v>3990</v>
      </c>
      <c r="E80" s="9" t="str">
        <f>IF($B80 = "Mutant",VLOOKUP($C80,Mutants!$A$2:$L$560,12,FALSE),IF($B80 = "Test",VLOOKUP($C80,Tests!$A$2:$L$841,12,FALSE),VLOOKUP($C80,Questions!$A$3:$N$201,9,FALSE)))</f>
        <v>Y</v>
      </c>
      <c r="F80" s="187" t="str">
        <f>IF($B80 = "Mutant",VLOOKUP($C80,Mutants!$A$2:$L$560,11,FALSE),IF($B80 = "Test",VLOOKUP($C80,Tests!$A$2:$L$841,11,FALSE),VLOOKUP($C80,Questions!$A$3:$N$201,13,FALSE)))</f>
        <v xml:space="preserve">get
</v>
      </c>
      <c r="G80" s="187"/>
      <c r="H80" s="202"/>
      <c r="I80" s="9"/>
      <c r="J80" s="9"/>
      <c r="K80" s="9"/>
      <c r="L80" s="9"/>
      <c r="M80" s="9"/>
    </row>
    <row r="81" spans="2:14" ht="15.75" customHeight="1">
      <c r="B81" s="114" t="s">
        <v>107</v>
      </c>
      <c r="C81" s="9">
        <v>99</v>
      </c>
      <c r="D81" s="9" t="s">
        <v>483</v>
      </c>
      <c r="E81" s="9" t="str">
        <f>IF($B81 = "Mutant",VLOOKUP($C81,Mutants!$A$2:$L$560,12,FALSE),IF($B81 = "Test",VLOOKUP($C81,Tests!$A$2:$L$841,12,FALSE),VLOOKUP($C81,Questions!$A$3:$N$201,9,FALSE)))</f>
        <v>Y</v>
      </c>
      <c r="F81" s="187" t="str">
        <f>IF($B81 = "Mutant",VLOOKUP($C81,Mutants!$A$2:$L$560,11,FALSE),IF($B81 = "Test",VLOOKUP($C81,Tests!$A$2:$L$841,11,FALSE),VLOOKUP($C81,Questions!$A$3:$N$201,13,FALSE)))</f>
        <v>getValues</v>
      </c>
      <c r="G81" s="187"/>
      <c r="H81" s="202"/>
      <c r="I81" s="9"/>
      <c r="J81" s="9"/>
      <c r="K81" s="9"/>
      <c r="L81" s="9"/>
      <c r="M81" s="9"/>
    </row>
    <row r="82" spans="2:14" ht="15.75" customHeight="1">
      <c r="B82" s="114" t="s">
        <v>4589</v>
      </c>
      <c r="C82" s="9">
        <v>483</v>
      </c>
      <c r="D82" s="9" t="s">
        <v>4137</v>
      </c>
      <c r="E82" s="9" t="str">
        <f>IF($B82 = "Mutant",VLOOKUP($C82,Mutants!$A$2:$L$560,12,FALSE),IF($B82 = "Test",VLOOKUP($C82,Tests!$A$2:$L$841,12,FALSE),VLOOKUP($C82,Questions!$A$3:$N$201,9,FALSE)))</f>
        <v>N</v>
      </c>
      <c r="F82" s="187" t="str">
        <f>IF($B82 = "Mutant",VLOOKUP($C82,Mutants!$A$2:$L$560,11,FALSE),IF($B82 = "Test",VLOOKUP($C82,Tests!$A$2:$L$841,11,FALSE),VLOOKUP($C82,Questions!$A$3:$N$201,13,FALSE)))</f>
        <v xml:space="preserve">
</v>
      </c>
      <c r="G82" s="187"/>
      <c r="H82" s="202"/>
      <c r="I82" s="9"/>
      <c r="J82" s="9"/>
      <c r="K82" s="9"/>
      <c r="L82" s="9"/>
      <c r="M82" s="9"/>
    </row>
    <row r="83" spans="2:14" ht="15.75" customHeight="1">
      <c r="B83" s="114" t="s">
        <v>4589</v>
      </c>
      <c r="C83" s="9">
        <v>522</v>
      </c>
      <c r="D83" s="9" t="s">
        <v>4238</v>
      </c>
      <c r="E83" s="9" t="str">
        <f>IF($B83 = "Mutant",VLOOKUP($C83,Mutants!$A$2:$L$560,12,FALSE),IF($B83 = "Test",VLOOKUP($C83,Tests!$A$2:$L$841,12,FALSE),VLOOKUP($C83,Questions!$A$3:$N$201,9,FALSE)))</f>
        <v>Y</v>
      </c>
      <c r="F83" s="187" t="str">
        <f>IF($B83 = "Mutant",VLOOKUP($C83,Mutants!$A$2:$L$560,11,FALSE),IF($B83 = "Test",VLOOKUP($C83,Tests!$A$2:$L$841,11,FALSE),VLOOKUP($C83,Questions!$A$3:$N$201,13,FALSE)))</f>
        <v xml:space="preserve">getValues, get
</v>
      </c>
      <c r="G83" s="187"/>
      <c r="H83" s="202"/>
      <c r="I83" s="9"/>
      <c r="J83" s="9"/>
      <c r="K83" s="9"/>
      <c r="L83" s="9"/>
      <c r="M83" s="9"/>
    </row>
    <row r="84" spans="2:14" ht="15.75" customHeight="1">
      <c r="B84" s="114" t="s">
        <v>107</v>
      </c>
      <c r="C84" s="9">
        <v>110</v>
      </c>
      <c r="D84" s="9" t="s">
        <v>487</v>
      </c>
      <c r="E84" s="9" t="str">
        <f>IF($B84 = "Mutant",VLOOKUP($C84,Mutants!$A$2:$L$560,12,FALSE),IF($B84 = "Test",VLOOKUP($C84,Tests!$A$2:$L$841,12,FALSE),VLOOKUP($C84,Questions!$A$3:$N$201,9,FALSE)))</f>
        <v>Y</v>
      </c>
      <c r="F84" s="187" t="str">
        <f>IF($B84 = "Mutant",VLOOKUP($C84,Mutants!$A$2:$L$560,11,FALSE),IF($B84 = "Test",VLOOKUP($C84,Tests!$A$2:$L$841,11,FALSE),VLOOKUP($C84,Questions!$A$3:$N$201,13,FALSE)))</f>
        <v>removeField</v>
      </c>
      <c r="G84" s="187"/>
      <c r="H84" s="202"/>
      <c r="I84" s="9"/>
      <c r="J84" s="9"/>
      <c r="K84" s="9"/>
      <c r="L84" s="9"/>
      <c r="M84" s="9"/>
      <c r="N84" s="9"/>
    </row>
    <row r="85" spans="2:14" ht="15.75" customHeight="1">
      <c r="B85" s="114" t="s">
        <v>4590</v>
      </c>
      <c r="C85" s="9">
        <v>502</v>
      </c>
      <c r="D85" s="9" t="s">
        <v>1847</v>
      </c>
      <c r="E85" s="9" t="str">
        <f>IF($B85 = "Mutant",VLOOKUP($C85,Mutants!$A$2:$L$560,12,FALSE),IF($B85 = "Test",VLOOKUP($C85,Tests!$A$2:$L$841,12,FALSE),VLOOKUP($C85,Questions!$A$3:$N$201,9,FALSE)))</f>
        <v>N</v>
      </c>
      <c r="F85" s="187" t="str">
        <f>IF($B85 = "Mutant",VLOOKUP($C85,Mutants!$A$2:$L$560,11,FALSE),IF($B85 = "Test",VLOOKUP($C85,Tests!$A$2:$L$841,11,FALSE),VLOOKUP($C85,Questions!$A$3:$N$201,13,FALSE)))</f>
        <v xml:space="preserve">
</v>
      </c>
      <c r="G85" s="187"/>
      <c r="H85" s="202"/>
      <c r="I85" s="9"/>
      <c r="J85" s="9"/>
      <c r="K85" s="9"/>
      <c r="L85" s="9"/>
      <c r="M85" s="9"/>
    </row>
    <row r="86" spans="2:14" ht="15.75" customHeight="1">
      <c r="B86" s="114" t="s">
        <v>107</v>
      </c>
      <c r="C86" s="9">
        <v>119</v>
      </c>
      <c r="D86" s="9" t="s">
        <v>490</v>
      </c>
      <c r="E86" s="9" t="str">
        <f>IF($B86 = "Mutant",VLOOKUP($C86,Mutants!$A$2:$L$560,12,FALSE),IF($B86 = "Test",VLOOKUP($C86,Tests!$A$2:$L$841,12,FALSE),VLOOKUP($C86,Questions!$A$3:$N$201,9,FALSE)))</f>
        <v>Y</v>
      </c>
      <c r="F86" s="187" t="str">
        <f>IF($B86 = "Mutant",VLOOKUP($C86,Mutants!$A$2:$L$560,11,FALSE),IF($B86 = "Test",VLOOKUP($C86,Tests!$A$2:$L$841,11,FALSE),VLOOKUP($C86,Questions!$A$3:$N$201,13,FALSE)))</f>
        <v>toString</v>
      </c>
      <c r="G86" s="187"/>
      <c r="H86" s="202"/>
      <c r="I86" s="9"/>
      <c r="J86" s="9"/>
      <c r="K86" s="9"/>
      <c r="L86" s="9"/>
      <c r="M86" s="9"/>
      <c r="N86" s="9"/>
    </row>
    <row r="87" spans="2:14" ht="15.75" customHeight="1">
      <c r="B87" s="114" t="s">
        <v>107</v>
      </c>
      <c r="C87" s="9">
        <v>122</v>
      </c>
      <c r="D87" s="9" t="s">
        <v>493</v>
      </c>
      <c r="E87" s="9" t="str">
        <f>IF($B87 = "Mutant",VLOOKUP($C87,Mutants!$A$2:$L$560,12,FALSE),IF($B87 = "Test",VLOOKUP($C87,Tests!$A$2:$L$841,12,FALSE),VLOOKUP($C87,Questions!$A$3:$N$201,9,FALSE)))</f>
        <v>Y</v>
      </c>
      <c r="F87" s="187" t="str">
        <f>IF($B87 = "Mutant",VLOOKUP($C87,Mutants!$A$2:$L$560,11,FALSE),IF($B87 = "Test",VLOOKUP($C87,Tests!$A$2:$L$841,11,FALSE),VLOOKUP($C87,Questions!$A$3:$N$201,13,FALSE)))</f>
        <v>toString</v>
      </c>
      <c r="G87" s="187"/>
      <c r="H87" s="202"/>
      <c r="I87" s="9"/>
      <c r="J87" s="9"/>
      <c r="K87" s="9"/>
      <c r="L87" s="9"/>
      <c r="M87" s="9"/>
      <c r="N87" s="9"/>
    </row>
    <row r="88" spans="2:14" ht="15.75" customHeight="1">
      <c r="B88" s="114" t="s">
        <v>107</v>
      </c>
      <c r="C88" s="9">
        <v>129</v>
      </c>
      <c r="D88" s="9" t="s">
        <v>496</v>
      </c>
      <c r="E88" s="9" t="str">
        <f>IF($B88 = "Mutant",VLOOKUP($C88,Mutants!$A$2:$L$560,12,FALSE),IF($B88 = "Test",VLOOKUP($C88,Tests!$A$2:$L$841,12,FALSE),VLOOKUP($C88,Questions!$A$3:$N$201,9,FALSE)))</f>
        <v>Y</v>
      </c>
      <c r="F88" s="187" t="str">
        <f>IF($B88 = "Mutant",VLOOKUP($C88,Mutants!$A$2:$L$560,11,FALSE),IF($B88 = "Test",VLOOKUP($C88,Tests!$A$2:$L$841,11,FALSE),VLOOKUP($C88,Questions!$A$3:$N$201,13,FALSE)))</f>
        <v xml:space="preserve"> </v>
      </c>
      <c r="G88" s="187"/>
      <c r="H88" s="202"/>
      <c r="I88" s="9"/>
      <c r="J88" s="9"/>
      <c r="K88" s="9"/>
      <c r="L88" s="9"/>
      <c r="M88" s="9"/>
    </row>
    <row r="89" spans="2:14" ht="15.75" customHeight="1">
      <c r="B89" s="114" t="s">
        <v>107</v>
      </c>
      <c r="C89" s="9">
        <v>133</v>
      </c>
      <c r="D89" s="9" t="s">
        <v>499</v>
      </c>
      <c r="E89" s="9" t="str">
        <f>IF($B89 = "Mutant",VLOOKUP($C89,Mutants!$A$2:$L$560,12,FALSE),IF($B89 = "Test",VLOOKUP($C89,Tests!$A$2:$L$841,12,FALSE),VLOOKUP($C89,Questions!$A$3:$N$201,9,FALSE)))</f>
        <v>Y</v>
      </c>
      <c r="F89" s="187" t="str">
        <f>IF($B89 = "Mutant",VLOOKUP($C89,Mutants!$A$2:$L$560,11,FALSE),IF($B89 = "Test",VLOOKUP($C89,Tests!$A$2:$L$841,11,FALSE),VLOOKUP($C89,Questions!$A$3:$N$201,13,FALSE)))</f>
        <v xml:space="preserve"> </v>
      </c>
      <c r="G89" s="187"/>
      <c r="H89" s="202"/>
      <c r="I89" s="9"/>
      <c r="J89" s="9"/>
      <c r="K89" s="9"/>
      <c r="L89" s="9"/>
      <c r="M89" s="9"/>
    </row>
    <row r="90" spans="2:14" ht="15.75" customHeight="1">
      <c r="B90" s="114" t="s">
        <v>4590</v>
      </c>
      <c r="C90" s="9">
        <v>617</v>
      </c>
      <c r="D90" s="9" t="s">
        <v>2186</v>
      </c>
      <c r="E90" s="9" t="str">
        <f>IF($B90 = "Mutant",VLOOKUP($C90,Mutants!$A$2:$L$560,12,FALSE),IF($B90 = "Test",VLOOKUP($C90,Tests!$A$2:$L$841,12,FALSE),VLOOKUP($C90,Questions!$A$3:$N$201,9,FALSE)))</f>
        <v>N</v>
      </c>
      <c r="F90" s="187" t="str">
        <f>IF($B90 = "Mutant",VLOOKUP($C90,Mutants!$A$2:$L$560,11,FALSE),IF($B90 = "Test",VLOOKUP($C90,Tests!$A$2:$L$841,11,FALSE),VLOOKUP($C90,Questions!$A$3:$N$201,13,FALSE)))</f>
        <v xml:space="preserve">
</v>
      </c>
      <c r="G90" s="187"/>
      <c r="H90" s="202"/>
      <c r="I90" s="9"/>
      <c r="J90" s="9"/>
      <c r="K90" s="9"/>
      <c r="L90" s="9"/>
      <c r="M90" s="9"/>
    </row>
    <row r="91" spans="2:14" ht="15.75" customHeight="1">
      <c r="B91" s="114" t="s">
        <v>4590</v>
      </c>
      <c r="C91" s="9">
        <v>646</v>
      </c>
      <c r="D91" s="9" t="s">
        <v>2274</v>
      </c>
      <c r="E91" s="9" t="str">
        <f>IF($B91 = "Mutant",VLOOKUP($C91,Mutants!$A$2:$L$560,12,FALSE),IF($B91 = "Test",VLOOKUP($C91,Tests!$A$2:$L$841,12,FALSE),VLOOKUP($C91,Questions!$A$3:$N$201,9,FALSE)))</f>
        <v>N</v>
      </c>
      <c r="F91" s="187" t="str">
        <f>IF($B91 = "Mutant",VLOOKUP($C91,Mutants!$A$2:$L$560,11,FALSE),IF($B91 = "Test",VLOOKUP($C91,Tests!$A$2:$L$841,11,FALSE),VLOOKUP($C91,Questions!$A$3:$N$201,13,FALSE)))</f>
        <v xml:space="preserve">
</v>
      </c>
      <c r="G91" s="187"/>
      <c r="H91" s="202"/>
      <c r="I91" s="9"/>
      <c r="J91" s="9"/>
      <c r="K91" s="9"/>
      <c r="L91" s="9"/>
      <c r="M91" s="9"/>
    </row>
    <row r="92" spans="2:14" ht="15.75" customHeight="1">
      <c r="B92" s="114" t="s">
        <v>4590</v>
      </c>
      <c r="C92" s="9">
        <v>666</v>
      </c>
      <c r="D92" s="9" t="s">
        <v>2329</v>
      </c>
      <c r="E92" s="9" t="str">
        <f>IF($B92 = "Mutant",VLOOKUP($C92,Mutants!$A$2:$L$560,12,FALSE),IF($B92 = "Test",VLOOKUP($C92,Tests!$A$2:$L$841,12,FALSE),VLOOKUP($C92,Questions!$A$3:$N$201,9,FALSE)))</f>
        <v>N</v>
      </c>
      <c r="F92" s="187" t="str">
        <f>IF($B92 = "Mutant",VLOOKUP($C92,Mutants!$A$2:$L$560,11,FALSE),IF($B92 = "Test",VLOOKUP($C92,Tests!$A$2:$L$841,11,FALSE),VLOOKUP($C92,Questions!$A$3:$N$201,13,FALSE)))</f>
        <v xml:space="preserve">
</v>
      </c>
      <c r="G92" s="187"/>
      <c r="H92" s="202"/>
      <c r="I92" s="9"/>
      <c r="J92" s="9"/>
      <c r="K92" s="9"/>
      <c r="L92" s="9"/>
      <c r="M92" s="9"/>
    </row>
    <row r="93" spans="2:14" ht="15.75" customHeight="1">
      <c r="B93" s="114" t="s">
        <v>4590</v>
      </c>
      <c r="C93" s="9">
        <v>676</v>
      </c>
      <c r="D93" s="9" t="s">
        <v>2355</v>
      </c>
      <c r="E93" s="9" t="str">
        <f>IF($B93 = "Mutant",VLOOKUP($C93,Mutants!$A$2:$L$560,12,FALSE),IF($B93 = "Test",VLOOKUP($C93,Tests!$A$2:$L$841,12,FALSE),VLOOKUP($C93,Questions!$A$3:$N$201,9,FALSE)))</f>
        <v>N</v>
      </c>
      <c r="F93" s="187" t="str">
        <f>IF($B93 = "Mutant",VLOOKUP($C93,Mutants!$A$2:$L$560,11,FALSE),IF($B93 = "Test",VLOOKUP($C93,Tests!$A$2:$L$841,11,FALSE),VLOOKUP($C93,Questions!$A$3:$N$201,13,FALSE)))</f>
        <v xml:space="preserve">
</v>
      </c>
      <c r="G93" s="187"/>
      <c r="H93" s="202"/>
      <c r="I93" s="9"/>
      <c r="J93" s="9"/>
      <c r="K93" s="9"/>
      <c r="L93" s="9"/>
      <c r="M93" s="9"/>
    </row>
    <row r="94" spans="2:14" ht="15.75" customHeight="1">
      <c r="B94" s="114" t="s">
        <v>107</v>
      </c>
      <c r="C94" s="9">
        <v>148</v>
      </c>
      <c r="D94" s="9" t="s">
        <v>502</v>
      </c>
      <c r="E94" s="9" t="str">
        <f>IF($B94 = "Mutant",VLOOKUP($C94,Mutants!$A$2:$L$560,12,FALSE),IF($B94 = "Test",VLOOKUP($C94,Tests!$A$2:$L$841,12,FALSE),VLOOKUP($C94,Questions!$A$3:$N$201,9,FALSE)))</f>
        <v>Y</v>
      </c>
      <c r="F94" s="187" t="str">
        <f>IF($B94 = "Mutant",VLOOKUP($C94,Mutants!$A$2:$L$560,11,FALSE),IF($B94 = "Test",VLOOKUP($C94,Tests!$A$2:$L$841,11,FALSE),VLOOKUP($C94,Questions!$A$3:$N$201,13,FALSE)))</f>
        <v xml:space="preserve"> </v>
      </c>
      <c r="G94" s="187"/>
      <c r="H94" s="202"/>
      <c r="I94" s="9"/>
      <c r="J94" s="9"/>
      <c r="K94" s="9"/>
      <c r="L94" s="9"/>
      <c r="M94" s="9"/>
    </row>
    <row r="95" spans="2:14" ht="15.75" customHeight="1">
      <c r="B95" s="114" t="s">
        <v>4590</v>
      </c>
      <c r="C95" s="9">
        <v>708</v>
      </c>
      <c r="D95" s="9" t="s">
        <v>2430</v>
      </c>
      <c r="E95" s="9" t="str">
        <f>IF($B95 = "Mutant",VLOOKUP($C95,Mutants!$A$2:$L$560,12,FALSE),IF($B95 = "Test",VLOOKUP($C95,Tests!$A$2:$L$841,12,FALSE),VLOOKUP($C95,Questions!$A$3:$N$201,9,FALSE)))</f>
        <v>N</v>
      </c>
      <c r="F95" s="187" t="str">
        <f>IF($B95 = "Mutant",VLOOKUP($C95,Mutants!$A$2:$L$560,11,FALSE),IF($B95 = "Test",VLOOKUP($C95,Tests!$A$2:$L$841,11,FALSE),VLOOKUP($C95,Questions!$A$3:$N$201,13,FALSE)))</f>
        <v xml:space="preserve">
</v>
      </c>
      <c r="G95" s="187"/>
      <c r="H95" s="202"/>
      <c r="I95" s="9"/>
      <c r="J95" s="9"/>
      <c r="K95" s="9"/>
      <c r="L95" s="9"/>
      <c r="M95" s="9"/>
    </row>
    <row r="96" spans="2:14" ht="15.75" customHeight="1">
      <c r="B96" s="114" t="s">
        <v>107</v>
      </c>
      <c r="C96" s="9">
        <v>153</v>
      </c>
      <c r="D96" s="9" t="s">
        <v>505</v>
      </c>
      <c r="E96" s="9" t="str">
        <f>IF($B96 = "Mutant",VLOOKUP($C96,Mutants!$A$2:$L$560,12,FALSE),IF($B96 = "Test",VLOOKUP($C96,Tests!$A$2:$L$841,12,FALSE),VLOOKUP($C96,Questions!$A$3:$N$201,9,FALSE)))</f>
        <v>Y</v>
      </c>
      <c r="F96" s="187" t="str">
        <f>IF($B96 = "Mutant",VLOOKUP($C96,Mutants!$A$2:$L$560,11,FALSE),IF($B96 = "Test",VLOOKUP($C96,Tests!$A$2:$L$841,11,FALSE),VLOOKUP($C96,Questions!$A$3:$N$201,13,FALSE)))</f>
        <v>toString</v>
      </c>
      <c r="G96" s="187"/>
      <c r="H96" s="202"/>
      <c r="I96" s="9"/>
      <c r="J96" s="9"/>
      <c r="K96" s="9"/>
      <c r="L96" s="9"/>
      <c r="M96" s="9"/>
      <c r="N96" s="9"/>
    </row>
    <row r="97" spans="2:14" ht="15.75" customHeight="1">
      <c r="B97" s="114" t="s">
        <v>4590</v>
      </c>
      <c r="C97" s="9">
        <v>723</v>
      </c>
      <c r="D97" s="9" t="s">
        <v>2474</v>
      </c>
      <c r="E97" s="9" t="str">
        <f>IF($B97 = "Mutant",VLOOKUP($C97,Mutants!$A$2:$L$560,12,FALSE),IF($B97 = "Test",VLOOKUP($C97,Tests!$A$2:$L$841,12,FALSE),VLOOKUP($C97,Questions!$A$3:$N$201,9,FALSE)))</f>
        <v>N</v>
      </c>
      <c r="F97" s="187" t="str">
        <f>IF($B97 = "Mutant",VLOOKUP($C97,Mutants!$A$2:$L$560,11,FALSE),IF($B97 = "Test",VLOOKUP($C97,Tests!$A$2:$L$841,11,FALSE),VLOOKUP($C97,Questions!$A$3:$N$201,13,FALSE)))</f>
        <v xml:space="preserve">
</v>
      </c>
      <c r="G97" s="187"/>
      <c r="H97" s="202"/>
      <c r="I97" s="9"/>
      <c r="J97" s="9"/>
      <c r="K97" s="9"/>
      <c r="L97" s="9"/>
      <c r="M97" s="9"/>
    </row>
    <row r="98" spans="2:14" ht="15.75" customHeight="1">
      <c r="B98" s="114" t="s">
        <v>4590</v>
      </c>
      <c r="C98" s="9">
        <v>796</v>
      </c>
      <c r="D98" s="9" t="s">
        <v>2672</v>
      </c>
      <c r="E98" s="9" t="str">
        <f>IF($B98 = "Mutant",VLOOKUP($C98,Mutants!$A$2:$L$560,12,FALSE),IF($B98 = "Test",VLOOKUP($C98,Tests!$A$2:$L$841,12,FALSE),VLOOKUP($C98,Questions!$A$3:$N$201,9,FALSE)))</f>
        <v>N</v>
      </c>
      <c r="F98" s="187" t="str">
        <f>IF($B98 = "Mutant",VLOOKUP($C98,Mutants!$A$2:$L$560,11,FALSE),IF($B98 = "Test",VLOOKUP($C98,Tests!$A$2:$L$841,11,FALSE),VLOOKUP($C98,Questions!$A$3:$N$201,13,FALSE)))</f>
        <v xml:space="preserve">
</v>
      </c>
      <c r="G98" s="187"/>
      <c r="H98" s="202"/>
      <c r="I98" s="9"/>
      <c r="J98" s="9"/>
      <c r="K98" s="9"/>
      <c r="L98" s="9"/>
      <c r="M98" s="9"/>
    </row>
    <row r="99" spans="2:14" ht="15.75" customHeight="1">
      <c r="B99" s="114" t="s">
        <v>107</v>
      </c>
      <c r="C99" s="9">
        <v>178</v>
      </c>
      <c r="D99" s="9" t="s">
        <v>508</v>
      </c>
      <c r="E99" s="9" t="str">
        <f>IF($B99 = "Mutant",VLOOKUP($C99,Mutants!$A$2:$L$560,12,FALSE),IF($B99 = "Test",VLOOKUP($C99,Tests!$A$2:$L$841,12,FALSE),VLOOKUP($C99,Questions!$A$3:$N$201,9,FALSE)))</f>
        <v>Y</v>
      </c>
      <c r="F99" s="187" t="str">
        <f>IF($B99 = "Mutant",VLOOKUP($C99,Mutants!$A$2:$L$560,11,FALSE),IF($B99 = "Test",VLOOKUP($C99,Tests!$A$2:$L$841,11,FALSE),VLOOKUP($C99,Questions!$A$3:$N$201,13,FALSE)))</f>
        <v xml:space="preserve"> </v>
      </c>
      <c r="G99" s="187"/>
      <c r="H99" s="202"/>
      <c r="I99" s="9"/>
      <c r="J99" s="9"/>
      <c r="K99" s="9"/>
      <c r="L99" s="9"/>
      <c r="M99" s="9"/>
    </row>
    <row r="100" spans="2:14" ht="15.75" customHeight="1">
      <c r="B100" s="114" t="s">
        <v>107</v>
      </c>
      <c r="C100" s="9">
        <v>182</v>
      </c>
      <c r="D100" s="9" t="s">
        <v>511</v>
      </c>
      <c r="E100" s="9" t="str">
        <f>IF($B100 = "Mutant",VLOOKUP($C100,Mutants!$A$2:$L$560,12,FALSE),IF($B100 = "Test",VLOOKUP($C100,Tests!$A$2:$L$841,12,FALSE),VLOOKUP($C100,Questions!$A$3:$N$201,9,FALSE)))</f>
        <v>Y</v>
      </c>
      <c r="F100" s="187" t="str">
        <f>IF($B100 = "Mutant",VLOOKUP($C100,Mutants!$A$2:$L$560,11,FALSE),IF($B100 = "Test",VLOOKUP($C100,Tests!$A$2:$L$841,11,FALSE),VLOOKUP($C100,Questions!$A$3:$N$201,13,FALSE)))</f>
        <v xml:space="preserve"> </v>
      </c>
      <c r="G100" s="187"/>
      <c r="H100" s="202"/>
      <c r="I100" s="9"/>
      <c r="J100" s="9"/>
      <c r="K100" s="9"/>
      <c r="L100" s="9"/>
      <c r="M100" s="9"/>
    </row>
    <row r="101" spans="2:14" ht="15.75" customHeight="1">
      <c r="B101" s="114" t="s">
        <v>107</v>
      </c>
      <c r="C101" s="9">
        <v>197</v>
      </c>
      <c r="D101" s="9" t="s">
        <v>514</v>
      </c>
      <c r="E101" s="9" t="str">
        <f>IF($B101 = "Mutant",VLOOKUP($C101,Mutants!$A$2:$L$560,12,FALSE),IF($B101 = "Test",VLOOKUP($C101,Tests!$A$2:$L$841,12,FALSE),VLOOKUP($C101,Questions!$A$3:$N$201,9,FALSE)))</f>
        <v>Y</v>
      </c>
      <c r="F101" s="187" t="str">
        <f>IF($B101 = "Mutant",VLOOKUP($C101,Mutants!$A$2:$L$560,11,FALSE),IF($B101 = "Test",VLOOKUP($C101,Tests!$A$2:$L$841,11,FALSE),VLOOKUP($C101,Questions!$A$3:$N$201,13,FALSE)))</f>
        <v>getBinaryValue</v>
      </c>
      <c r="G101" s="187"/>
      <c r="H101" s="202"/>
      <c r="I101" s="9"/>
      <c r="J101" s="9"/>
      <c r="K101" s="9"/>
      <c r="L101" s="9"/>
      <c r="M101" s="9"/>
      <c r="N101" s="9"/>
    </row>
    <row r="102" spans="2:14" ht="15.75" customHeight="1">
      <c r="B102" s="133" t="s">
        <v>107</v>
      </c>
      <c r="C102" s="130">
        <v>203</v>
      </c>
      <c r="D102" s="130" t="s">
        <v>518</v>
      </c>
      <c r="E102" s="130" t="str">
        <f>IF($B102 = "Mutant",VLOOKUP($C102,Mutants!$A$2:$L$560,12,FALSE),IF($B102 = "Test",VLOOKUP($C102,Tests!$A$2:$L$841,12,FALSE),VLOOKUP($C102,Questions!$A$3:$N$201,9,FALSE)))</f>
        <v>Y</v>
      </c>
      <c r="F102" s="203" t="str">
        <f>IF($B102 = "Mutant",VLOOKUP($C102,Mutants!$A$2:$L$560,11,FALSE),IF($B102 = "Test",VLOOKUP($C102,Tests!$A$2:$L$841,11,FALSE),VLOOKUP($C102,Questions!$A$3:$N$201,13,FALSE)))</f>
        <v>iterator</v>
      </c>
      <c r="G102" s="203"/>
      <c r="H102" s="204"/>
      <c r="I102" s="9"/>
      <c r="J102" s="9"/>
      <c r="K102" s="9"/>
      <c r="L102" s="9"/>
      <c r="M102" s="9"/>
      <c r="N102" s="9"/>
    </row>
    <row r="103" spans="2:14" ht="15.75" customHeight="1">
      <c r="F103" s="188"/>
      <c r="G103" s="188"/>
      <c r="H103" s="188"/>
    </row>
    <row r="104" spans="2:14" ht="15.75" customHeight="1">
      <c r="F104" s="188"/>
      <c r="G104" s="188"/>
      <c r="H104" s="188"/>
    </row>
    <row r="105" spans="2:14" ht="15.75" customHeight="1" thickBot="1">
      <c r="B105" s="219" t="s">
        <v>4604</v>
      </c>
      <c r="C105" s="201"/>
      <c r="D105" s="45">
        <v>228</v>
      </c>
      <c r="F105" s="207"/>
      <c r="G105" s="207"/>
      <c r="H105" s="207"/>
    </row>
    <row r="106" spans="2:14" ht="15.75" customHeight="1" thickTop="1">
      <c r="B106" s="134" t="s">
        <v>4594</v>
      </c>
      <c r="C106" s="135" t="s">
        <v>44</v>
      </c>
      <c r="D106" s="135" t="s">
        <v>110</v>
      </c>
      <c r="E106" s="136" t="s">
        <v>2</v>
      </c>
      <c r="F106" s="229" t="s">
        <v>4612</v>
      </c>
      <c r="G106" s="229"/>
      <c r="H106" s="230"/>
      <c r="I106" s="9"/>
      <c r="J106" s="9"/>
      <c r="K106" s="9"/>
      <c r="L106" s="9"/>
      <c r="M106" s="9"/>
    </row>
    <row r="107" spans="2:14" ht="15.75" customHeight="1">
      <c r="B107" s="137" t="s">
        <v>4590</v>
      </c>
      <c r="C107" s="93">
        <v>475</v>
      </c>
      <c r="D107" s="93" t="s">
        <v>1756</v>
      </c>
      <c r="E107" s="93" t="str">
        <f>IF($B107 = "Mutant",VLOOKUP($C107,Mutants!$A$2:$L$560,12,FALSE),IF($B107 = "Test",VLOOKUP($C107,Tests!$A$2:$L$841,12,FALSE),VLOOKUP($C107,Questions!$A$3:$N$201,9,FALSE)))</f>
        <v>N</v>
      </c>
      <c r="F107" s="205" t="str">
        <f>IF($B107 = "Mutant",VLOOKUP($C107,Mutants!$A$2:$L$560,11,FALSE),IF($B107 = "Test",VLOOKUP($C107,Tests!$A$2:$L$841,11,FALSE),VLOOKUP($C107,Questions!$A$3:$N$201,13,FALSE)))</f>
        <v xml:space="preserve">
</v>
      </c>
      <c r="G107" s="205"/>
      <c r="H107" s="206"/>
      <c r="I107" s="9"/>
      <c r="J107" s="9"/>
      <c r="K107" s="9"/>
      <c r="L107" s="9"/>
      <c r="M107" s="9"/>
    </row>
    <row r="108" spans="2:14" ht="15.75" customHeight="1">
      <c r="B108" s="114" t="s">
        <v>4590</v>
      </c>
      <c r="C108" s="9">
        <v>477</v>
      </c>
      <c r="D108" s="9" t="s">
        <v>1760</v>
      </c>
      <c r="E108" s="9" t="str">
        <f>IF($B108 = "Mutant",VLOOKUP($C108,Mutants!$A$2:$L$560,12,FALSE),IF($B108 = "Test",VLOOKUP($C108,Tests!$A$2:$L$841,12,FALSE),VLOOKUP($C108,Questions!$A$3:$N$201,9,FALSE)))</f>
        <v>Y</v>
      </c>
      <c r="F108" s="187" t="str">
        <f>IF($B108 = "Mutant",VLOOKUP($C108,Mutants!$A$2:$L$560,11,FALSE),IF($B108 = "Test",VLOOKUP($C108,Tests!$A$2:$L$841,11,FALSE),VLOOKUP($C108,Questions!$A$3:$N$201,13,FALSE)))</f>
        <v xml:space="preserve">iterator
</v>
      </c>
      <c r="G108" s="187"/>
      <c r="H108" s="202"/>
      <c r="I108" s="9"/>
      <c r="J108" s="9"/>
      <c r="K108" s="9"/>
      <c r="L108" s="9"/>
      <c r="M108" s="9"/>
    </row>
    <row r="109" spans="2:14" ht="15.75" customHeight="1">
      <c r="B109" s="114" t="s">
        <v>4590</v>
      </c>
      <c r="C109" s="9">
        <v>481</v>
      </c>
      <c r="D109" s="9" t="s">
        <v>1776</v>
      </c>
      <c r="E109" s="9" t="str">
        <f>IF($B109 = "Mutant",VLOOKUP($C109,Mutants!$A$2:$L$560,12,FALSE),IF($B109 = "Test",VLOOKUP($C109,Tests!$A$2:$L$841,12,FALSE),VLOOKUP($C109,Questions!$A$3:$N$201,9,FALSE)))</f>
        <v>Y</v>
      </c>
      <c r="F109" s="187" t="str">
        <f>IF($B109 = "Mutant",VLOOKUP($C109,Mutants!$A$2:$L$560,11,FALSE),IF($B109 = "Test",VLOOKUP($C109,Tests!$A$2:$L$841,11,FALSE),VLOOKUP($C109,Questions!$A$3:$N$201,13,FALSE)))</f>
        <v xml:space="preserve">getField
</v>
      </c>
      <c r="G109" s="187"/>
      <c r="H109" s="202"/>
      <c r="I109" s="9"/>
      <c r="J109" s="9"/>
      <c r="K109" s="9"/>
      <c r="L109" s="9"/>
      <c r="M109" s="9"/>
    </row>
    <row r="110" spans="2:14" ht="15.75" customHeight="1">
      <c r="B110" s="114" t="s">
        <v>4590</v>
      </c>
      <c r="C110" s="9">
        <v>485</v>
      </c>
      <c r="D110" s="9" t="s">
        <v>1790</v>
      </c>
      <c r="E110" s="9" t="str">
        <f>IF($B110 = "Mutant",VLOOKUP($C110,Mutants!$A$2:$L$560,12,FALSE),IF($B110 = "Test",VLOOKUP($C110,Tests!$A$2:$L$841,12,FALSE),VLOOKUP($C110,Questions!$A$3:$N$201,9,FALSE)))</f>
        <v>Y</v>
      </c>
      <c r="F110" s="187" t="str">
        <f>IF($B110 = "Mutant",VLOOKUP($C110,Mutants!$A$2:$L$560,11,FALSE),IF($B110 = "Test",VLOOKUP($C110,Tests!$A$2:$L$841,11,FALSE),VLOOKUP($C110,Questions!$A$3:$N$201,13,FALSE)))</f>
        <v xml:space="preserve">get
</v>
      </c>
      <c r="G110" s="187"/>
      <c r="H110" s="202"/>
      <c r="I110" s="9"/>
      <c r="J110" s="9"/>
      <c r="K110" s="9"/>
      <c r="L110" s="9"/>
      <c r="M110" s="9"/>
    </row>
    <row r="111" spans="2:14" ht="15.75" customHeight="1">
      <c r="B111" s="114" t="s">
        <v>4590</v>
      </c>
      <c r="C111" s="9">
        <v>489</v>
      </c>
      <c r="D111" s="9" t="s">
        <v>1806</v>
      </c>
      <c r="E111" s="9" t="str">
        <f>IF($B111 = "Mutant",VLOOKUP($C111,Mutants!$A$2:$L$560,12,FALSE),IF($B111 = "Test",VLOOKUP($C111,Tests!$A$2:$L$841,12,FALSE),VLOOKUP($C111,Questions!$A$3:$N$201,9,FALSE)))</f>
        <v>N</v>
      </c>
      <c r="F111" s="187" t="str">
        <f>IF($B111 = "Mutant",VLOOKUP($C111,Mutants!$A$2:$L$560,11,FALSE),IF($B111 = "Test",VLOOKUP($C111,Tests!$A$2:$L$841,11,FALSE),VLOOKUP($C111,Questions!$A$3:$N$201,13,FALSE)))</f>
        <v xml:space="preserve">
</v>
      </c>
      <c r="G111" s="187"/>
      <c r="H111" s="202"/>
      <c r="I111" s="9"/>
      <c r="J111" s="9"/>
      <c r="K111" s="9"/>
      <c r="L111" s="9"/>
      <c r="M111" s="9"/>
    </row>
    <row r="112" spans="2:14" ht="15.75" customHeight="1">
      <c r="B112" s="114" t="s">
        <v>4590</v>
      </c>
      <c r="C112" s="9">
        <v>493</v>
      </c>
      <c r="D112" s="9" t="s">
        <v>1814</v>
      </c>
      <c r="E112" s="9" t="str">
        <f>IF($B112 = "Mutant",VLOOKUP($C112,Mutants!$A$2:$L$560,12,FALSE),IF($B112 = "Test",VLOOKUP($C112,Tests!$A$2:$L$841,12,FALSE),VLOOKUP($C112,Questions!$A$3:$N$201,9,FALSE)))</f>
        <v>N</v>
      </c>
      <c r="F112" s="187" t="str">
        <f>IF($B112 = "Mutant",VLOOKUP($C112,Mutants!$A$2:$L$560,11,FALSE),IF($B112 = "Test",VLOOKUP($C112,Tests!$A$2:$L$841,11,FALSE),VLOOKUP($C112,Questions!$A$3:$N$201,13,FALSE)))</f>
        <v xml:space="preserve">
</v>
      </c>
      <c r="G112" s="187"/>
      <c r="H112" s="202"/>
      <c r="I112" s="9"/>
      <c r="J112" s="9"/>
      <c r="K112" s="9"/>
      <c r="L112" s="9"/>
      <c r="M112" s="9"/>
    </row>
    <row r="113" spans="2:13" ht="15.75" customHeight="1">
      <c r="B113" s="114" t="s">
        <v>4590</v>
      </c>
      <c r="C113" s="9">
        <v>495</v>
      </c>
      <c r="D113" s="9" t="s">
        <v>1823</v>
      </c>
      <c r="E113" s="9" t="str">
        <f>IF($B113 = "Mutant",VLOOKUP($C113,Mutants!$A$2:$L$560,12,FALSE),IF($B113 = "Test",VLOOKUP($C113,Tests!$A$2:$L$841,12,FALSE),VLOOKUP($C113,Questions!$A$3:$N$201,9,FALSE)))</f>
        <v>Y</v>
      </c>
      <c r="F113" s="187" t="str">
        <f>IF($B113 = "Mutant",VLOOKUP($C113,Mutants!$A$2:$L$560,11,FALSE),IF($B113 = "Test",VLOOKUP($C113,Tests!$A$2:$L$841,11,FALSE),VLOOKUP($C113,Questions!$A$3:$N$201,13,FALSE)))</f>
        <v xml:space="preserve">getBinaryValues
</v>
      </c>
      <c r="G113" s="187"/>
      <c r="H113" s="202"/>
      <c r="I113" s="9"/>
      <c r="J113" s="9"/>
      <c r="K113" s="9"/>
      <c r="L113" s="9"/>
      <c r="M113" s="9"/>
    </row>
    <row r="114" spans="2:13" ht="15.75" customHeight="1">
      <c r="B114" s="114" t="s">
        <v>4590</v>
      </c>
      <c r="C114" s="9">
        <v>497</v>
      </c>
      <c r="D114" s="9" t="s">
        <v>1833</v>
      </c>
      <c r="E114" s="9" t="str">
        <f>IF($B114 = "Mutant",VLOOKUP($C114,Mutants!$A$2:$L$560,12,FALSE),IF($B114 = "Test",VLOOKUP($C114,Tests!$A$2:$L$841,12,FALSE),VLOOKUP($C114,Questions!$A$3:$N$201,9,FALSE)))</f>
        <v>Y</v>
      </c>
      <c r="F114" s="187" t="str">
        <f>IF($B114 = "Mutant",VLOOKUP($C114,Mutants!$A$2:$L$560,11,FALSE),IF($B114 = "Test",VLOOKUP($C114,Tests!$A$2:$L$841,11,FALSE),VLOOKUP($C114,Questions!$A$3:$N$201,13,FALSE)))</f>
        <v xml:space="preserve">toString
</v>
      </c>
      <c r="G114" s="187"/>
      <c r="H114" s="202"/>
      <c r="I114" s="9"/>
      <c r="J114" s="9"/>
      <c r="K114" s="9"/>
      <c r="L114" s="9"/>
      <c r="M114" s="9"/>
    </row>
    <row r="115" spans="2:13" ht="15.75" customHeight="1">
      <c r="B115" s="114" t="s">
        <v>4590</v>
      </c>
      <c r="C115" s="9">
        <v>503</v>
      </c>
      <c r="D115" s="9" t="s">
        <v>1850</v>
      </c>
      <c r="E115" s="9" t="str">
        <f>IF($B115 = "Mutant",VLOOKUP($C115,Mutants!$A$2:$L$560,12,FALSE),IF($B115 = "Test",VLOOKUP($C115,Tests!$A$2:$L$841,12,FALSE),VLOOKUP($C115,Questions!$A$3:$N$201,9,FALSE)))</f>
        <v>Y</v>
      </c>
      <c r="F115" s="187" t="str">
        <f>IF($B115 = "Mutant",VLOOKUP($C115,Mutants!$A$2:$L$560,11,FALSE),IF($B115 = "Test",VLOOKUP($C115,Tests!$A$2:$L$841,11,FALSE),VLOOKUP($C115,Questions!$A$3:$N$201,13,FALSE)))</f>
        <v xml:space="preserve">toString
</v>
      </c>
      <c r="G115" s="187"/>
      <c r="H115" s="202"/>
      <c r="I115" s="9"/>
      <c r="J115" s="9"/>
      <c r="K115" s="9"/>
      <c r="L115" s="9"/>
      <c r="M115" s="9"/>
    </row>
    <row r="116" spans="2:13" ht="15.75" customHeight="1">
      <c r="B116" s="114" t="s">
        <v>4590</v>
      </c>
      <c r="C116" s="9">
        <v>514</v>
      </c>
      <c r="D116" s="9" t="s">
        <v>1882</v>
      </c>
      <c r="E116" s="9" t="str">
        <f>IF($B116 = "Mutant",VLOOKUP($C116,Mutants!$A$2:$L$560,12,FALSE),IF($B116 = "Test",VLOOKUP($C116,Tests!$A$2:$L$841,12,FALSE),VLOOKUP($C116,Questions!$A$3:$N$201,9,FALSE)))</f>
        <v>Y</v>
      </c>
      <c r="F116" s="187" t="str">
        <f>IF($B116 = "Mutant",VLOOKUP($C116,Mutants!$A$2:$L$560,11,FALSE),IF($B116 = "Test",VLOOKUP($C116,Tests!$A$2:$L$841,11,FALSE),VLOOKUP($C116,Questions!$A$3:$N$201,13,FALSE)))</f>
        <v xml:space="preserve">getValues
</v>
      </c>
      <c r="G116" s="187"/>
      <c r="H116" s="202"/>
      <c r="I116" s="9"/>
      <c r="J116" s="9"/>
      <c r="K116" s="9"/>
      <c r="L116" s="9"/>
      <c r="M116" s="9"/>
    </row>
    <row r="117" spans="2:13" ht="15.75" customHeight="1">
      <c r="B117" s="114" t="s">
        <v>4590</v>
      </c>
      <c r="C117" s="9">
        <v>519</v>
      </c>
      <c r="D117" s="9" t="s">
        <v>1901</v>
      </c>
      <c r="E117" s="9" t="str">
        <f>IF($B117 = "Mutant",VLOOKUP($C117,Mutants!$A$2:$L$560,12,FALSE),IF($B117 = "Test",VLOOKUP($C117,Tests!$A$2:$L$841,12,FALSE),VLOOKUP($C117,Questions!$A$3:$N$201,9,FALSE)))</f>
        <v>Y</v>
      </c>
      <c r="F117" s="187" t="str">
        <f>IF($B117 = "Mutant",VLOOKUP($C117,Mutants!$A$2:$L$560,11,FALSE),IF($B117 = "Test",VLOOKUP($C117,Tests!$A$2:$L$841,11,FALSE),VLOOKUP($C117,Questions!$A$3:$N$201,13,FALSE)))</f>
        <v xml:space="preserve">getValues
</v>
      </c>
      <c r="G117" s="187"/>
      <c r="H117" s="202"/>
      <c r="I117" s="9"/>
      <c r="J117" s="9"/>
      <c r="K117" s="9"/>
      <c r="L117" s="9"/>
      <c r="M117" s="9"/>
    </row>
    <row r="118" spans="2:13" ht="15.75" customHeight="1">
      <c r="B118" s="114" t="s">
        <v>4590</v>
      </c>
      <c r="C118" s="9">
        <v>526</v>
      </c>
      <c r="D118" s="9" t="s">
        <v>1926</v>
      </c>
      <c r="E118" s="9" t="str">
        <f>IF($B118 = "Mutant",VLOOKUP($C118,Mutants!$A$2:$L$560,12,FALSE),IF($B118 = "Test",VLOOKUP($C118,Tests!$A$2:$L$841,12,FALSE),VLOOKUP($C118,Questions!$A$3:$N$201,9,FALSE)))</f>
        <v>N</v>
      </c>
      <c r="F118" s="187" t="str">
        <f>IF($B118 = "Mutant",VLOOKUP($C118,Mutants!$A$2:$L$560,11,FALSE),IF($B118 = "Test",VLOOKUP($C118,Tests!$A$2:$L$841,11,FALSE),VLOOKUP($C118,Questions!$A$3:$N$201,13,FALSE)))</f>
        <v xml:space="preserve">
</v>
      </c>
      <c r="G118" s="187"/>
      <c r="H118" s="202"/>
      <c r="I118" s="9"/>
      <c r="J118" s="9"/>
      <c r="K118" s="9"/>
      <c r="L118" s="9"/>
      <c r="M118" s="9"/>
    </row>
    <row r="119" spans="2:13" ht="15.75" customHeight="1">
      <c r="B119" s="114" t="s">
        <v>4590</v>
      </c>
      <c r="C119" s="9">
        <v>540</v>
      </c>
      <c r="D119" s="9" t="s">
        <v>1965</v>
      </c>
      <c r="E119" s="9" t="str">
        <f>IF($B119 = "Mutant",VLOOKUP($C119,Mutants!$A$2:$L$560,12,FALSE),IF($B119 = "Test",VLOOKUP($C119,Tests!$A$2:$L$841,12,FALSE),VLOOKUP($C119,Questions!$A$3:$N$201,9,FALSE)))</f>
        <v>N</v>
      </c>
      <c r="F119" s="187" t="str">
        <f>IF($B119 = "Mutant",VLOOKUP($C119,Mutants!$A$2:$L$560,11,FALSE),IF($B119 = "Test",VLOOKUP($C119,Tests!$A$2:$L$841,11,FALSE),VLOOKUP($C119,Questions!$A$3:$N$201,13,FALSE)))</f>
        <v xml:space="preserve">
</v>
      </c>
      <c r="G119" s="187"/>
      <c r="H119" s="202"/>
      <c r="I119" s="9"/>
      <c r="J119" s="9"/>
      <c r="K119" s="9"/>
      <c r="L119" s="9"/>
      <c r="M119" s="9"/>
    </row>
    <row r="120" spans="2:13" ht="15.75" customHeight="1">
      <c r="B120" s="114" t="s">
        <v>4590</v>
      </c>
      <c r="C120" s="9">
        <v>543</v>
      </c>
      <c r="D120" s="9" t="s">
        <v>1975</v>
      </c>
      <c r="E120" s="9" t="str">
        <f>IF($B120 = "Mutant",VLOOKUP($C120,Mutants!$A$2:$L$560,12,FALSE),IF($B120 = "Test",VLOOKUP($C120,Tests!$A$2:$L$841,12,FALSE),VLOOKUP($C120,Questions!$A$3:$N$201,9,FALSE)))</f>
        <v>N</v>
      </c>
      <c r="F120" s="187" t="str">
        <f>IF($B120 = "Mutant",VLOOKUP($C120,Mutants!$A$2:$L$560,11,FALSE),IF($B120 = "Test",VLOOKUP($C120,Tests!$A$2:$L$841,11,FALSE),VLOOKUP($C120,Questions!$A$3:$N$201,13,FALSE)))</f>
        <v xml:space="preserve">
</v>
      </c>
      <c r="G120" s="187"/>
      <c r="H120" s="202"/>
      <c r="I120" s="9"/>
      <c r="J120" s="9"/>
      <c r="K120" s="9"/>
      <c r="L120" s="9"/>
      <c r="M120" s="9"/>
    </row>
    <row r="121" spans="2:13" ht="15.75" customHeight="1">
      <c r="B121" s="114" t="s">
        <v>107</v>
      </c>
      <c r="C121" s="9">
        <v>123</v>
      </c>
      <c r="D121" s="9" t="s">
        <v>522</v>
      </c>
      <c r="E121" s="9" t="str">
        <f>IF($B121 = "Mutant",VLOOKUP($C121,Mutants!$A$2:$L$560,12,FALSE),IF($B121 = "Test",VLOOKUP($C121,Tests!$A$2:$L$841,12,FALSE),VLOOKUP($C121,Questions!$A$3:$N$201,9,FALSE)))</f>
        <v>N</v>
      </c>
      <c r="F121" s="187" t="str">
        <f>IF($B121 = "Mutant",VLOOKUP($C121,Mutants!$A$2:$L$560,11,FALSE),IF($B121 = "Test",VLOOKUP($C121,Tests!$A$2:$L$841,11,FALSE),VLOOKUP($C121,Questions!$A$3:$N$201,13,FALSE)))</f>
        <v xml:space="preserve"> </v>
      </c>
      <c r="G121" s="187"/>
      <c r="H121" s="202"/>
      <c r="I121" s="9"/>
      <c r="J121" s="9"/>
      <c r="K121" s="9"/>
      <c r="L121" s="9"/>
      <c r="M121" s="9"/>
    </row>
    <row r="122" spans="2:13" ht="15.75" customHeight="1">
      <c r="B122" s="114" t="s">
        <v>107</v>
      </c>
      <c r="C122" s="9">
        <v>130</v>
      </c>
      <c r="D122" s="9" t="s">
        <v>523</v>
      </c>
      <c r="E122" s="9" t="str">
        <f>IF($B122 = "Mutant",VLOOKUP($C122,Mutants!$A$2:$L$560,12,FALSE),IF($B122 = "Test",VLOOKUP($C122,Tests!$A$2:$L$841,12,FALSE),VLOOKUP($C122,Questions!$A$3:$N$201,9,FALSE)))</f>
        <v>Y</v>
      </c>
      <c r="F122" s="187" t="str">
        <f>IF($B122 = "Mutant",VLOOKUP($C122,Mutants!$A$2:$L$560,11,FALSE),IF($B122 = "Test",VLOOKUP($C122,Tests!$A$2:$L$841,11,FALSE),VLOOKUP($C122,Questions!$A$3:$N$201,13,FALSE)))</f>
        <v xml:space="preserve"> </v>
      </c>
      <c r="G122" s="187"/>
      <c r="H122" s="202"/>
      <c r="I122" s="9"/>
      <c r="J122" s="9"/>
      <c r="K122" s="9"/>
      <c r="L122" s="9"/>
      <c r="M122" s="9"/>
    </row>
    <row r="123" spans="2:13" ht="15.75" customHeight="1">
      <c r="B123" s="114" t="s">
        <v>4590</v>
      </c>
      <c r="C123" s="9">
        <v>598</v>
      </c>
      <c r="D123" s="9" t="s">
        <v>2131</v>
      </c>
      <c r="E123" s="9" t="str">
        <f>IF($B123 = "Mutant",VLOOKUP($C123,Mutants!$A$2:$L$560,12,FALSE),IF($B123 = "Test",VLOOKUP($C123,Tests!$A$2:$L$841,12,FALSE),VLOOKUP($C123,Questions!$A$3:$N$201,9,FALSE)))</f>
        <v>N</v>
      </c>
      <c r="F123" s="187" t="str">
        <f>IF($B123 = "Mutant",VLOOKUP($C123,Mutants!$A$2:$L$560,11,FALSE),IF($B123 = "Test",VLOOKUP($C123,Tests!$A$2:$L$841,11,FALSE),VLOOKUP($C123,Questions!$A$3:$N$201,13,FALSE)))</f>
        <v xml:space="preserve">
</v>
      </c>
      <c r="G123" s="187"/>
      <c r="H123" s="202"/>
      <c r="I123" s="9"/>
      <c r="J123" s="9"/>
      <c r="K123" s="9"/>
      <c r="L123" s="9"/>
      <c r="M123" s="9"/>
    </row>
    <row r="124" spans="2:13" ht="15.75" customHeight="1">
      <c r="B124" s="114" t="s">
        <v>4590</v>
      </c>
      <c r="C124" s="9">
        <v>610</v>
      </c>
      <c r="D124" s="9" t="s">
        <v>2168</v>
      </c>
      <c r="E124" s="9" t="str">
        <f>IF($B124 = "Mutant",VLOOKUP($C124,Mutants!$A$2:$L$560,12,FALSE),IF($B124 = "Test",VLOOKUP($C124,Tests!$A$2:$L$841,12,FALSE),VLOOKUP($C124,Questions!$A$3:$N$201,9,FALSE)))</f>
        <v>N</v>
      </c>
      <c r="F124" s="187" t="str">
        <f>IF($B124 = "Mutant",VLOOKUP($C124,Mutants!$A$2:$L$560,11,FALSE),IF($B124 = "Test",VLOOKUP($C124,Tests!$A$2:$L$841,11,FALSE),VLOOKUP($C124,Questions!$A$3:$N$201,13,FALSE)))</f>
        <v xml:space="preserve">
</v>
      </c>
      <c r="G124" s="187"/>
      <c r="H124" s="202"/>
      <c r="I124" s="9"/>
      <c r="J124" s="9"/>
      <c r="K124" s="9"/>
      <c r="L124" s="9"/>
      <c r="M124" s="9"/>
    </row>
    <row r="125" spans="2:13" ht="15.75" customHeight="1">
      <c r="B125" s="114" t="s">
        <v>107</v>
      </c>
      <c r="C125" s="9">
        <v>142</v>
      </c>
      <c r="D125" s="9" t="s">
        <v>526</v>
      </c>
      <c r="E125" s="9" t="str">
        <f>IF($B125 = "Mutant",VLOOKUP($C125,Mutants!$A$2:$L$560,12,FALSE),IF($B125 = "Test",VLOOKUP($C125,Tests!$A$2:$L$841,12,FALSE),VLOOKUP($C125,Questions!$A$3:$N$201,9,FALSE)))</f>
        <v>Y</v>
      </c>
      <c r="F125" s="187" t="str">
        <f>IF($B125 = "Mutant",VLOOKUP($C125,Mutants!$A$2:$L$560,11,FALSE),IF($B125 = "Test",VLOOKUP($C125,Tests!$A$2:$L$841,11,FALSE),VLOOKUP($C125,Questions!$A$3:$N$201,13,FALSE)))</f>
        <v xml:space="preserve"> </v>
      </c>
      <c r="G125" s="187"/>
      <c r="H125" s="202"/>
      <c r="I125" s="9"/>
      <c r="J125" s="9"/>
      <c r="K125" s="9"/>
      <c r="L125" s="9"/>
      <c r="M125" s="9"/>
    </row>
    <row r="126" spans="2:13" ht="15.75" customHeight="1">
      <c r="B126" s="114" t="s">
        <v>4590</v>
      </c>
      <c r="C126" s="9">
        <v>725</v>
      </c>
      <c r="D126" s="9" t="s">
        <v>2478</v>
      </c>
      <c r="E126" s="9" t="str">
        <f>IF($B126 = "Mutant",VLOOKUP($C126,Mutants!$A$2:$L$560,12,FALSE),IF($B126 = "Test",VLOOKUP($C126,Tests!$A$2:$L$841,12,FALSE),VLOOKUP($C126,Questions!$A$3:$N$201,9,FALSE)))</f>
        <v>N</v>
      </c>
      <c r="F126" s="187" t="str">
        <f>IF($B126 = "Mutant",VLOOKUP($C126,Mutants!$A$2:$L$560,11,FALSE),IF($B126 = "Test",VLOOKUP($C126,Tests!$A$2:$L$841,11,FALSE),VLOOKUP($C126,Questions!$A$3:$N$201,13,FALSE)))</f>
        <v xml:space="preserve">
</v>
      </c>
      <c r="G126" s="187"/>
      <c r="H126" s="202"/>
      <c r="I126" s="9"/>
      <c r="J126" s="9"/>
      <c r="K126" s="9"/>
      <c r="L126" s="9"/>
      <c r="M126" s="9"/>
    </row>
    <row r="127" spans="2:13" ht="15.75" customHeight="1">
      <c r="B127" s="114" t="s">
        <v>4590</v>
      </c>
      <c r="C127" s="9">
        <v>734</v>
      </c>
      <c r="D127" s="9" t="s">
        <v>2506</v>
      </c>
      <c r="E127" s="9" t="str">
        <f>IF($B127 = "Mutant",VLOOKUP($C127,Mutants!$A$2:$L$560,12,FALSE),IF($B127 = "Test",VLOOKUP($C127,Tests!$A$2:$L$841,12,FALSE),VLOOKUP($C127,Questions!$A$3:$N$201,9,FALSE)))</f>
        <v>N</v>
      </c>
      <c r="F127" s="187" t="str">
        <f>IF($B127 = "Mutant",VLOOKUP($C127,Mutants!$A$2:$L$560,11,FALSE),IF($B127 = "Test",VLOOKUP($C127,Tests!$A$2:$L$841,11,FALSE),VLOOKUP($C127,Questions!$A$3:$N$201,13,FALSE)))</f>
        <v xml:space="preserve">
</v>
      </c>
      <c r="G127" s="187"/>
      <c r="H127" s="202"/>
      <c r="I127" s="9"/>
      <c r="J127" s="9"/>
      <c r="K127" s="9"/>
      <c r="L127" s="9"/>
      <c r="M127" s="9"/>
    </row>
    <row r="128" spans="2:13" ht="15.75" customHeight="1">
      <c r="B128" s="114" t="s">
        <v>4590</v>
      </c>
      <c r="C128" s="9">
        <v>739</v>
      </c>
      <c r="D128" s="9" t="s">
        <v>2520</v>
      </c>
      <c r="E128" s="9" t="str">
        <f>IF($B128 = "Mutant",VLOOKUP($C128,Mutants!$A$2:$L$560,12,FALSE),IF($B128 = "Test",VLOOKUP($C128,Tests!$A$2:$L$841,12,FALSE),VLOOKUP($C128,Questions!$A$3:$N$201,9,FALSE)))</f>
        <v>N</v>
      </c>
      <c r="F128" s="187" t="str">
        <f>IF($B128 = "Mutant",VLOOKUP($C128,Mutants!$A$2:$L$560,11,FALSE),IF($B128 = "Test",VLOOKUP($C128,Tests!$A$2:$L$841,11,FALSE),VLOOKUP($C128,Questions!$A$3:$N$201,13,FALSE)))</f>
        <v xml:space="preserve">
</v>
      </c>
      <c r="G128" s="187"/>
      <c r="H128" s="202"/>
      <c r="I128" s="9"/>
      <c r="J128" s="9"/>
      <c r="K128" s="9"/>
      <c r="L128" s="9"/>
      <c r="M128" s="9"/>
    </row>
    <row r="129" spans="2:13" ht="15.75" customHeight="1">
      <c r="B129" s="114" t="s">
        <v>4590</v>
      </c>
      <c r="C129" s="9">
        <v>748</v>
      </c>
      <c r="D129" s="9" t="s">
        <v>538</v>
      </c>
      <c r="E129" s="9" t="str">
        <f>IF($B129 = "Mutant",VLOOKUP($C129,Mutants!$A$2:$L$560,12,FALSE),IF($B129 = "Test",VLOOKUP($C129,Tests!$A$2:$L$841,12,FALSE),VLOOKUP($C129,Questions!$A$3:$N$201,9,FALSE)))</f>
        <v>N</v>
      </c>
      <c r="F129" s="187" t="str">
        <f>IF($B129 = "Mutant",VLOOKUP($C129,Mutants!$A$2:$L$560,11,FALSE),IF($B129 = "Test",VLOOKUP($C129,Tests!$A$2:$L$841,11,FALSE),VLOOKUP($C129,Questions!$A$3:$N$201,13,FALSE)))</f>
        <v xml:space="preserve">
</v>
      </c>
      <c r="G129" s="187"/>
      <c r="H129" s="202"/>
      <c r="I129" s="9"/>
      <c r="J129" s="9"/>
      <c r="K129" s="9"/>
      <c r="L129" s="9"/>
      <c r="M129" s="9"/>
    </row>
    <row r="130" spans="2:13" ht="15.75" customHeight="1">
      <c r="B130" s="114" t="s">
        <v>4590</v>
      </c>
      <c r="C130" s="9">
        <v>750</v>
      </c>
      <c r="D130" s="9" t="s">
        <v>2544</v>
      </c>
      <c r="E130" s="9" t="str">
        <f>IF($B130 = "Mutant",VLOOKUP($C130,Mutants!$A$2:$L$560,12,FALSE),IF($B130 = "Test",VLOOKUP($C130,Tests!$A$2:$L$841,12,FALSE),VLOOKUP($C130,Questions!$A$3:$N$201,9,FALSE)))</f>
        <v>N</v>
      </c>
      <c r="F130" s="187" t="str">
        <f>IF($B130 = "Mutant",VLOOKUP($C130,Mutants!$A$2:$L$560,11,FALSE),IF($B130 = "Test",VLOOKUP($C130,Tests!$A$2:$L$841,11,FALSE),VLOOKUP($C130,Questions!$A$3:$N$201,13,FALSE)))</f>
        <v xml:space="preserve">
</v>
      </c>
      <c r="G130" s="187"/>
      <c r="H130" s="202"/>
      <c r="I130" s="9"/>
      <c r="J130" s="9"/>
      <c r="K130" s="9"/>
      <c r="L130" s="9"/>
      <c r="M130" s="9"/>
    </row>
    <row r="131" spans="2:13" ht="15.75" customHeight="1">
      <c r="B131" s="114" t="s">
        <v>4590</v>
      </c>
      <c r="C131" s="9">
        <v>756</v>
      </c>
      <c r="D131" s="9" t="s">
        <v>2564</v>
      </c>
      <c r="E131" s="9" t="str">
        <f>IF($B131 = "Mutant",VLOOKUP($C131,Mutants!$A$2:$L$560,12,FALSE),IF($B131 = "Test",VLOOKUP($C131,Tests!$A$2:$L$841,12,FALSE),VLOOKUP($C131,Questions!$A$3:$N$201,9,FALSE)))</f>
        <v>Y</v>
      </c>
      <c r="F131" s="187" t="str">
        <f>IF($B131 = "Mutant",VLOOKUP($C131,Mutants!$A$2:$L$560,11,FALSE),IF($B131 = "Test",VLOOKUP($C131,Tests!$A$2:$L$841,11,FALSE),VLOOKUP($C131,Questions!$A$3:$N$201,13,FALSE)))</f>
        <v xml:space="preserve">getField, clear
</v>
      </c>
      <c r="G131" s="187"/>
      <c r="H131" s="202"/>
      <c r="I131" s="9"/>
      <c r="J131" s="9"/>
      <c r="K131" s="9"/>
      <c r="L131" s="9"/>
      <c r="M131" s="9"/>
    </row>
    <row r="132" spans="2:13" ht="15.75" customHeight="1">
      <c r="B132" s="114" t="s">
        <v>4589</v>
      </c>
      <c r="C132" s="9">
        <v>611</v>
      </c>
      <c r="D132" s="9" t="s">
        <v>4465</v>
      </c>
      <c r="E132" s="9" t="str">
        <f>IF($B132 = "Mutant",VLOOKUP($C132,Mutants!$A$2:$L$560,12,FALSE),IF($B132 = "Test",VLOOKUP($C132,Tests!$A$2:$L$841,12,FALSE),VLOOKUP($C132,Questions!$A$3:$N$201,9,FALSE)))</f>
        <v>N</v>
      </c>
      <c r="F132" s="187" t="str">
        <f>IF($B132 = "Mutant",VLOOKUP($C132,Mutants!$A$2:$L$560,11,FALSE),IF($B132 = "Test",VLOOKUP($C132,Tests!$A$2:$L$841,11,FALSE),VLOOKUP($C132,Questions!$A$3:$N$201,13,FALSE)))</f>
        <v xml:space="preserve">
</v>
      </c>
      <c r="G132" s="187"/>
      <c r="H132" s="202"/>
      <c r="I132" s="9"/>
      <c r="J132" s="9"/>
      <c r="K132" s="9"/>
      <c r="L132" s="9"/>
      <c r="M132" s="9"/>
    </row>
    <row r="133" spans="2:13" ht="15.75" customHeight="1">
      <c r="B133" s="114" t="s">
        <v>4589</v>
      </c>
      <c r="C133" s="9">
        <v>615</v>
      </c>
      <c r="D133" s="9" t="s">
        <v>4473</v>
      </c>
      <c r="E133" s="9" t="str">
        <f>IF($B133 = "Mutant",VLOOKUP($C133,Mutants!$A$2:$L$560,12,FALSE),IF($B133 = "Test",VLOOKUP($C133,Tests!$A$2:$L$841,12,FALSE),VLOOKUP($C133,Questions!$A$3:$N$201,9,FALSE)))</f>
        <v>Y</v>
      </c>
      <c r="F133" s="187" t="str">
        <f>IF($B133 = "Mutant",VLOOKUP($C133,Mutants!$A$2:$L$560,11,FALSE),IF($B133 = "Test",VLOOKUP($C133,Tests!$A$2:$L$841,11,FALSE),VLOOKUP($C133,Questions!$A$3:$N$201,13,FALSE)))</f>
        <v xml:space="preserve">clear
</v>
      </c>
      <c r="G133" s="187"/>
      <c r="H133" s="202"/>
      <c r="I133" s="9"/>
      <c r="J133" s="9"/>
      <c r="K133" s="9"/>
      <c r="L133" s="9"/>
      <c r="M133" s="9"/>
    </row>
    <row r="134" spans="2:13" ht="15.75" customHeight="1">
      <c r="B134" s="114" t="s">
        <v>4589</v>
      </c>
      <c r="C134" s="9">
        <v>622</v>
      </c>
      <c r="D134" s="9" t="s">
        <v>4489</v>
      </c>
      <c r="E134" s="9" t="str">
        <f>IF($B134 = "Mutant",VLOOKUP($C134,Mutants!$A$2:$L$560,12,FALSE),IF($B134 = "Test",VLOOKUP($C134,Tests!$A$2:$L$841,12,FALSE),VLOOKUP($C134,Questions!$A$3:$N$201,9,FALSE)))</f>
        <v>Y</v>
      </c>
      <c r="F134" s="187" t="str">
        <f>IF($B134 = "Mutant",VLOOKUP($C134,Mutants!$A$2:$L$560,11,FALSE),IF($B134 = "Test",VLOOKUP($C134,Tests!$A$2:$L$841,11,FALSE),VLOOKUP($C134,Questions!$A$3:$N$201,13,FALSE)))</f>
        <v xml:space="preserve">toString
</v>
      </c>
      <c r="G134" s="187"/>
      <c r="H134" s="202"/>
      <c r="I134" s="9"/>
      <c r="J134" s="9"/>
      <c r="K134" s="9"/>
      <c r="L134" s="9"/>
      <c r="M134" s="9"/>
    </row>
    <row r="135" spans="2:13" ht="15.75" customHeight="1">
      <c r="B135" s="114" t="s">
        <v>4589</v>
      </c>
      <c r="C135" s="9">
        <v>626</v>
      </c>
      <c r="D135" s="9" t="s">
        <v>4503</v>
      </c>
      <c r="E135" s="9" t="str">
        <f>IF($B135 = "Mutant",VLOOKUP($C135,Mutants!$A$2:$L$560,12,FALSE),IF($B135 = "Test",VLOOKUP($C135,Tests!$A$2:$L$841,12,FALSE),VLOOKUP($C135,Questions!$A$3:$N$201,9,FALSE)))</f>
        <v>Y</v>
      </c>
      <c r="F135" s="187" t="str">
        <f>IF($B135 = "Mutant",VLOOKUP($C135,Mutants!$A$2:$L$560,11,FALSE),IF($B135 = "Test",VLOOKUP($C135,Tests!$A$2:$L$841,11,FALSE),VLOOKUP($C135,Questions!$A$3:$N$201,13,FALSE)))</f>
        <v xml:space="preserve">toString
</v>
      </c>
      <c r="G135" s="187"/>
      <c r="H135" s="202"/>
      <c r="I135" s="9"/>
      <c r="J135" s="9"/>
      <c r="K135" s="9"/>
      <c r="L135" s="9"/>
      <c r="M135" s="9"/>
    </row>
    <row r="136" spans="2:13" ht="15.75" customHeight="1">
      <c r="B136" s="114" t="s">
        <v>4589</v>
      </c>
      <c r="C136" s="9">
        <v>631</v>
      </c>
      <c r="D136" s="9" t="s">
        <v>4516</v>
      </c>
      <c r="E136" s="9" t="str">
        <f>IF($B136 = "Mutant",VLOOKUP($C136,Mutants!$A$2:$L$560,12,FALSE),IF($B136 = "Test",VLOOKUP($C136,Tests!$A$2:$L$841,12,FALSE),VLOOKUP($C136,Questions!$A$3:$N$201,9,FALSE)))</f>
        <v>Y</v>
      </c>
      <c r="F136" s="187" t="str">
        <f>IF($B136 = "Mutant",VLOOKUP($C136,Mutants!$A$2:$L$560,11,FALSE),IF($B136 = "Test",VLOOKUP($C136,Tests!$A$2:$L$841,11,FALSE),VLOOKUP($C136,Questions!$A$3:$N$201,13,FALSE)))</f>
        <v xml:space="preserve">getBinaryValues
</v>
      </c>
      <c r="G136" s="187"/>
      <c r="H136" s="202"/>
      <c r="I136" s="9"/>
      <c r="J136" s="9"/>
      <c r="K136" s="9"/>
      <c r="L136" s="9"/>
      <c r="M136" s="9"/>
    </row>
    <row r="137" spans="2:13" ht="15.75" customHeight="1">
      <c r="B137" s="114" t="s">
        <v>4589</v>
      </c>
      <c r="C137" s="9">
        <v>634</v>
      </c>
      <c r="D137" s="9" t="s">
        <v>2832</v>
      </c>
      <c r="E137" s="9" t="str">
        <f>IF($B137 = "Mutant",VLOOKUP($C137,Mutants!$A$2:$L$560,12,FALSE),IF($B137 = "Test",VLOOKUP($C137,Tests!$A$2:$L$841,12,FALSE),VLOOKUP($C137,Questions!$A$3:$N$201,9,FALSE)))</f>
        <v>Y</v>
      </c>
      <c r="F137" s="187" t="str">
        <f>IF($B137 = "Mutant",VLOOKUP($C137,Mutants!$A$2:$L$560,11,FALSE),IF($B137 = "Test",VLOOKUP($C137,Tests!$A$2:$L$841,11,FALSE),VLOOKUP($C137,Questions!$A$3:$N$201,13,FALSE)))</f>
        <v xml:space="preserve">removeFields
</v>
      </c>
      <c r="G137" s="187"/>
      <c r="H137" s="202"/>
      <c r="I137" s="9"/>
      <c r="J137" s="9"/>
      <c r="K137" s="9"/>
      <c r="L137" s="9"/>
      <c r="M137" s="9"/>
    </row>
    <row r="138" spans="2:13" ht="15.75" customHeight="1">
      <c r="B138" s="114" t="s">
        <v>4589</v>
      </c>
      <c r="C138" s="9">
        <v>636</v>
      </c>
      <c r="D138" s="9" t="s">
        <v>2854</v>
      </c>
      <c r="E138" s="9" t="str">
        <f>IF($B138 = "Mutant",VLOOKUP($C138,Mutants!$A$2:$L$560,12,FALSE),IF($B138 = "Test",VLOOKUP($C138,Tests!$A$2:$L$841,12,FALSE),VLOOKUP($C138,Questions!$A$3:$N$201,9,FALSE)))</f>
        <v>N</v>
      </c>
      <c r="F138" s="187" t="str">
        <f>IF($B138 = "Mutant",VLOOKUP($C138,Mutants!$A$2:$L$560,11,FALSE),IF($B138 = "Test",VLOOKUP($C138,Tests!$A$2:$L$841,11,FALSE),VLOOKUP($C138,Questions!$A$3:$N$201,13,FALSE)))</f>
        <v xml:space="preserve">
</v>
      </c>
      <c r="G138" s="187"/>
      <c r="H138" s="202"/>
      <c r="I138" s="9"/>
      <c r="J138" s="9"/>
      <c r="K138" s="9"/>
      <c r="L138" s="9"/>
      <c r="M138" s="9"/>
    </row>
    <row r="139" spans="2:13" ht="15.75" customHeight="1">
      <c r="B139" s="114" t="s">
        <v>4589</v>
      </c>
      <c r="C139" s="9">
        <v>639</v>
      </c>
      <c r="D139" s="9" t="s">
        <v>4535</v>
      </c>
      <c r="E139" s="9" t="str">
        <f>IF($B139 = "Mutant",VLOOKUP($C139,Mutants!$A$2:$L$560,12,FALSE),IF($B139 = "Test",VLOOKUP($C139,Tests!$A$2:$L$841,12,FALSE),VLOOKUP($C139,Questions!$A$3:$N$201,9,FALSE)))</f>
        <v>N</v>
      </c>
      <c r="F139" s="187" t="str">
        <f>IF($B139 = "Mutant",VLOOKUP($C139,Mutants!$A$2:$L$560,11,FALSE),IF($B139 = "Test",VLOOKUP($C139,Tests!$A$2:$L$841,11,FALSE),VLOOKUP($C139,Questions!$A$3:$N$201,13,FALSE)))</f>
        <v xml:space="preserve">
</v>
      </c>
      <c r="G139" s="187"/>
      <c r="H139" s="202"/>
      <c r="I139" s="9"/>
      <c r="J139" s="9"/>
      <c r="K139" s="9"/>
      <c r="L139" s="9"/>
      <c r="M139" s="9"/>
    </row>
    <row r="140" spans="2:13" ht="15.75" customHeight="1">
      <c r="B140" s="114" t="s">
        <v>4589</v>
      </c>
      <c r="C140" s="9">
        <v>641</v>
      </c>
      <c r="D140" s="9" t="s">
        <v>4538</v>
      </c>
      <c r="E140" s="9" t="str">
        <f>IF($B140 = "Mutant",VLOOKUP($C140,Mutants!$A$2:$L$560,12,FALSE),IF($B140 = "Test",VLOOKUP($C140,Tests!$A$2:$L$841,12,FALSE),VLOOKUP($C140,Questions!$A$3:$N$201,9,FALSE)))</f>
        <v>N</v>
      </c>
      <c r="F140" s="187" t="str">
        <f>IF($B140 = "Mutant",VLOOKUP($C140,Mutants!$A$2:$L$560,11,FALSE),IF($B140 = "Test",VLOOKUP($C140,Tests!$A$2:$L$841,11,FALSE),VLOOKUP($C140,Questions!$A$3:$N$201,13,FALSE)))</f>
        <v xml:space="preserve">
</v>
      </c>
      <c r="G140" s="187"/>
      <c r="H140" s="202"/>
      <c r="I140" s="9"/>
      <c r="J140" s="9"/>
      <c r="K140" s="9"/>
      <c r="L140" s="9"/>
      <c r="M140" s="9"/>
    </row>
    <row r="141" spans="2:13" ht="15.75" customHeight="1">
      <c r="B141" s="114" t="s">
        <v>4589</v>
      </c>
      <c r="C141" s="9">
        <v>643</v>
      </c>
      <c r="D141" s="9" t="s">
        <v>4544</v>
      </c>
      <c r="E141" s="9" t="str">
        <f>IF($B141 = "Mutant",VLOOKUP($C141,Mutants!$A$2:$L$560,12,FALSE),IF($B141 = "Test",VLOOKUP($C141,Tests!$A$2:$L$841,12,FALSE),VLOOKUP($C141,Questions!$A$3:$N$201,9,FALSE)))</f>
        <v>Y</v>
      </c>
      <c r="F141" s="187" t="str">
        <f>IF($B141 = "Mutant",VLOOKUP($C141,Mutants!$A$2:$L$560,11,FALSE),IF($B141 = "Test",VLOOKUP($C141,Tests!$A$2:$L$841,11,FALSE),VLOOKUP($C141,Questions!$A$3:$N$201,13,FALSE)))</f>
        <v xml:space="preserve">
</v>
      </c>
      <c r="G141" s="187"/>
      <c r="H141" s="202"/>
      <c r="I141" s="9"/>
      <c r="J141" s="9"/>
      <c r="K141" s="9"/>
      <c r="L141" s="9"/>
      <c r="M141" s="9"/>
    </row>
    <row r="142" spans="2:13" ht="15.75" customHeight="1">
      <c r="B142" s="114" t="s">
        <v>4589</v>
      </c>
      <c r="C142" s="9">
        <v>647</v>
      </c>
      <c r="D142" s="9" t="s">
        <v>4554</v>
      </c>
      <c r="E142" s="9" t="str">
        <f>IF($B142 = "Mutant",VLOOKUP($C142,Mutants!$A$2:$L$560,12,FALSE),IF($B142 = "Test",VLOOKUP($C142,Tests!$A$2:$L$841,12,FALSE),VLOOKUP($C142,Questions!$A$3:$N$201,9,FALSE)))</f>
        <v>N</v>
      </c>
      <c r="F142" s="187" t="str">
        <f>IF($B142 = "Mutant",VLOOKUP($C142,Mutants!$A$2:$L$560,11,FALSE),IF($B142 = "Test",VLOOKUP($C142,Tests!$A$2:$L$841,11,FALSE),VLOOKUP($C142,Questions!$A$3:$N$201,13,FALSE)))</f>
        <v xml:space="preserve">
</v>
      </c>
      <c r="G142" s="187"/>
      <c r="H142" s="202"/>
      <c r="I142" s="9"/>
      <c r="J142" s="9"/>
      <c r="K142" s="9"/>
      <c r="L142" s="9"/>
      <c r="M142" s="9"/>
    </row>
    <row r="143" spans="2:13" ht="15.75" customHeight="1">
      <c r="B143" s="133" t="s">
        <v>4589</v>
      </c>
      <c r="C143" s="130">
        <v>648</v>
      </c>
      <c r="D143" s="130" t="s">
        <v>4557</v>
      </c>
      <c r="E143" s="130" t="str">
        <f>IF($B143 = "Mutant",VLOOKUP($C143,Mutants!$A$2:$L$560,12,FALSE),IF($B143 = "Test",VLOOKUP($C143,Tests!$A$2:$L$841,12,FALSE),VLOOKUP($C143,Questions!$A$3:$N$201,9,FALSE)))</f>
        <v>Y</v>
      </c>
      <c r="F143" s="203" t="str">
        <f>IF($B143 = "Mutant",VLOOKUP($C143,Mutants!$A$2:$L$560,11,FALSE),IF($B143 = "Test",VLOOKUP($C143,Tests!$A$2:$L$841,11,FALSE),VLOOKUP($C143,Questions!$A$3:$N$201,13,FALSE)))</f>
        <v xml:space="preserve">toString
</v>
      </c>
      <c r="G143" s="203"/>
      <c r="H143" s="204"/>
      <c r="I143" s="9"/>
      <c r="J143" s="9"/>
      <c r="K143" s="9"/>
      <c r="L143" s="9"/>
      <c r="M143" s="9"/>
    </row>
    <row r="144" spans="2:13" ht="15.75" customHeight="1">
      <c r="F144" s="188"/>
      <c r="G144" s="188"/>
      <c r="H144" s="188"/>
    </row>
    <row r="145" spans="2:14" ht="15.75" customHeight="1">
      <c r="F145" s="188"/>
      <c r="G145" s="188"/>
      <c r="H145" s="188"/>
    </row>
    <row r="146" spans="2:14" ht="15.75" customHeight="1" thickBot="1">
      <c r="B146" s="219" t="s">
        <v>4604</v>
      </c>
      <c r="C146" s="201"/>
      <c r="D146" s="45">
        <v>229</v>
      </c>
      <c r="F146" s="207"/>
      <c r="G146" s="207"/>
      <c r="H146" s="207"/>
    </row>
    <row r="147" spans="2:14" ht="15.75" customHeight="1" thickTop="1">
      <c r="B147" s="134" t="s">
        <v>4594</v>
      </c>
      <c r="C147" s="135" t="s">
        <v>44</v>
      </c>
      <c r="D147" s="135" t="s">
        <v>110</v>
      </c>
      <c r="E147" s="136" t="s">
        <v>2</v>
      </c>
      <c r="F147" s="229" t="s">
        <v>4612</v>
      </c>
      <c r="G147" s="229"/>
      <c r="H147" s="230"/>
      <c r="I147" s="9"/>
      <c r="J147" s="9"/>
      <c r="K147" s="9"/>
      <c r="L147" s="9"/>
      <c r="M147" s="9"/>
    </row>
    <row r="148" spans="2:14" ht="15.75" customHeight="1">
      <c r="B148" s="137" t="s">
        <v>4589</v>
      </c>
      <c r="C148" s="93">
        <v>515</v>
      </c>
      <c r="D148" s="93" t="s">
        <v>4217</v>
      </c>
      <c r="E148" s="93" t="str">
        <f>IF($B148 = "Mutant",VLOOKUP($C148,Mutants!$A$2:$L$560,12,FALSE),IF($B148 = "Test",VLOOKUP($C148,Tests!$A$2:$L$841,12,FALSE),VLOOKUP($C148,Questions!$A$3:$N$201,9,FALSE)))</f>
        <v>Y</v>
      </c>
      <c r="F148" s="205" t="str">
        <f>IF($B148 = "Mutant",VLOOKUP($C148,Mutants!$A$2:$L$560,11,FALSE),IF($B148 = "Test",VLOOKUP($C148,Tests!$A$2:$L$841,11,FALSE),VLOOKUP($C148,Questions!$A$3:$N$201,13,FALSE)))</f>
        <v xml:space="preserve">toString
</v>
      </c>
      <c r="G148" s="205"/>
      <c r="H148" s="206"/>
      <c r="I148" s="9"/>
      <c r="J148" s="9"/>
      <c r="K148" s="9"/>
      <c r="L148" s="9"/>
      <c r="M148" s="9"/>
    </row>
    <row r="149" spans="2:14" ht="15.75" customHeight="1">
      <c r="B149" s="114" t="s">
        <v>4589</v>
      </c>
      <c r="C149" s="9">
        <v>530</v>
      </c>
      <c r="D149" s="9" t="s">
        <v>4260</v>
      </c>
      <c r="E149" s="9" t="str">
        <f>IF($B149 = "Mutant",VLOOKUP($C149,Mutants!$A$2:$L$560,12,FALSE),IF($B149 = "Test",VLOOKUP($C149,Tests!$A$2:$L$841,12,FALSE),VLOOKUP($C149,Questions!$A$3:$N$201,9,FALSE)))</f>
        <v>N</v>
      </c>
      <c r="F149" s="187" t="str">
        <f>IF($B149 = "Mutant",VLOOKUP($C149,Mutants!$A$2:$L$560,11,FALSE),IF($B149 = "Test",VLOOKUP($C149,Tests!$A$2:$L$841,11,FALSE),VLOOKUP($C149,Questions!$A$3:$N$201,13,FALSE)))</f>
        <v xml:space="preserve">
</v>
      </c>
      <c r="G149" s="187"/>
      <c r="H149" s="202"/>
      <c r="I149" s="9"/>
      <c r="J149" s="9"/>
      <c r="K149" s="9"/>
      <c r="L149" s="9"/>
      <c r="M149" s="9"/>
    </row>
    <row r="150" spans="2:14" ht="15.75" customHeight="1">
      <c r="B150" s="114" t="s">
        <v>4589</v>
      </c>
      <c r="C150" s="9">
        <v>537</v>
      </c>
      <c r="D150" s="9" t="s">
        <v>4276</v>
      </c>
      <c r="E150" s="9" t="str">
        <f>IF($B150 = "Mutant",VLOOKUP($C150,Mutants!$A$2:$L$560,12,FALSE),IF($B150 = "Test",VLOOKUP($C150,Tests!$A$2:$L$841,12,FALSE),VLOOKUP($C150,Questions!$A$3:$N$201,9,FALSE)))</f>
        <v>Y</v>
      </c>
      <c r="F150" s="187" t="str">
        <f>IF($B150 = "Mutant",VLOOKUP($C150,Mutants!$A$2:$L$560,11,FALSE),IF($B150 = "Test",VLOOKUP($C150,Tests!$A$2:$L$841,11,FALSE),VLOOKUP($C150,Questions!$A$3:$N$201,13,FALSE)))</f>
        <v xml:space="preserve">toString
</v>
      </c>
      <c r="G150" s="187"/>
      <c r="H150" s="202"/>
      <c r="I150" s="9"/>
      <c r="J150" s="9"/>
      <c r="K150" s="9"/>
      <c r="L150" s="9"/>
      <c r="M150" s="9"/>
    </row>
    <row r="151" spans="2:14" ht="15.75" customHeight="1">
      <c r="B151" s="114" t="s">
        <v>4589</v>
      </c>
      <c r="C151" s="9">
        <v>540</v>
      </c>
      <c r="D151" s="9" t="s">
        <v>4279</v>
      </c>
      <c r="E151" s="9" t="str">
        <f>IF($B151 = "Mutant",VLOOKUP($C151,Mutants!$A$2:$L$560,12,FALSE),IF($B151 = "Test",VLOOKUP($C151,Tests!$A$2:$L$841,12,FALSE),VLOOKUP($C151,Questions!$A$3:$N$201,9,FALSE)))</f>
        <v>Y</v>
      </c>
      <c r="F151" s="187" t="str">
        <f>IF($B151 = "Mutant",VLOOKUP($C151,Mutants!$A$2:$L$560,11,FALSE),IF($B151 = "Test",VLOOKUP($C151,Tests!$A$2:$L$841,11,FALSE),VLOOKUP($C151,Questions!$A$3:$N$201,13,FALSE)))</f>
        <v xml:space="preserve">getBinaryValue
</v>
      </c>
      <c r="G151" s="187"/>
      <c r="H151" s="202"/>
      <c r="I151" s="9"/>
      <c r="J151" s="9"/>
      <c r="K151" s="9"/>
      <c r="L151" s="9"/>
      <c r="M151" s="9"/>
    </row>
    <row r="152" spans="2:14" ht="15.75" customHeight="1">
      <c r="B152" s="114" t="s">
        <v>4589</v>
      </c>
      <c r="C152" s="9">
        <v>556</v>
      </c>
      <c r="D152" s="9" t="s">
        <v>1997</v>
      </c>
      <c r="E152" s="9" t="str">
        <f>IF($B152 = "Mutant",VLOOKUP($C152,Mutants!$A$2:$L$560,12,FALSE),IF($B152 = "Test",VLOOKUP($C152,Tests!$A$2:$L$841,12,FALSE),VLOOKUP($C152,Questions!$A$3:$N$201,9,FALSE)))</f>
        <v>Y</v>
      </c>
      <c r="F152" s="187" t="str">
        <f>IF($B152 = "Mutant",VLOOKUP($C152,Mutants!$A$2:$L$560,11,FALSE),IF($B152 = "Test",VLOOKUP($C152,Tests!$A$2:$L$841,11,FALSE),VLOOKUP($C152,Questions!$A$3:$N$201,13,FALSE)))</f>
        <v xml:space="preserve">removeField
</v>
      </c>
      <c r="G152" s="187"/>
      <c r="H152" s="202"/>
      <c r="I152" s="9"/>
      <c r="J152" s="9"/>
      <c r="K152" s="9"/>
      <c r="L152" s="9"/>
      <c r="M152" s="9"/>
    </row>
    <row r="153" spans="2:14" ht="15.75" customHeight="1">
      <c r="B153" s="114" t="s">
        <v>4590</v>
      </c>
      <c r="C153" s="9">
        <v>583</v>
      </c>
      <c r="D153" s="9" t="s">
        <v>2097</v>
      </c>
      <c r="E153" s="9" t="str">
        <f>IF($B153 = "Mutant",VLOOKUP($C153,Mutants!$A$2:$L$560,12,FALSE),IF($B153 = "Test",VLOOKUP($C153,Tests!$A$2:$L$841,12,FALSE),VLOOKUP($C153,Questions!$A$3:$N$201,9,FALSE)))</f>
        <v>Y</v>
      </c>
      <c r="F153" s="187" t="str">
        <f>IF($B153 = "Mutant",VLOOKUP($C153,Mutants!$A$2:$L$560,11,FALSE),IF($B153 = "Test",VLOOKUP($C153,Tests!$A$2:$L$841,11,FALSE),VLOOKUP($C153,Questions!$A$3:$N$201,13,FALSE)))</f>
        <v xml:space="preserve">add, toString
</v>
      </c>
      <c r="G153" s="187"/>
      <c r="H153" s="202"/>
      <c r="I153" s="9"/>
      <c r="J153" s="9"/>
      <c r="K153" s="9"/>
      <c r="L153" s="9"/>
      <c r="M153" s="9"/>
    </row>
    <row r="154" spans="2:14" ht="15.75" customHeight="1">
      <c r="B154" s="114" t="s">
        <v>4589</v>
      </c>
      <c r="C154" s="9">
        <v>576</v>
      </c>
      <c r="D154" s="9" t="s">
        <v>4374</v>
      </c>
      <c r="E154" s="9" t="str">
        <f>IF($B154 = "Mutant",VLOOKUP($C154,Mutants!$A$2:$L$560,12,FALSE),IF($B154 = "Test",VLOOKUP($C154,Tests!$A$2:$L$841,12,FALSE),VLOOKUP($C154,Questions!$A$3:$N$201,9,FALSE)))</f>
        <v>Y</v>
      </c>
      <c r="F154" s="187" t="str">
        <f>IF($B154 = "Mutant",VLOOKUP($C154,Mutants!$A$2:$L$560,11,FALSE),IF($B154 = "Test",VLOOKUP($C154,Tests!$A$2:$L$841,11,FALSE),VLOOKUP($C154,Questions!$A$3:$N$201,13,FALSE)))</f>
        <v xml:space="preserve">
</v>
      </c>
      <c r="G154" s="187"/>
      <c r="H154" s="202"/>
      <c r="I154" s="9"/>
      <c r="J154" s="9"/>
      <c r="K154" s="9"/>
      <c r="L154" s="9"/>
      <c r="M154" s="9"/>
    </row>
    <row r="155" spans="2:14" ht="15.75" customHeight="1">
      <c r="B155" s="114" t="s">
        <v>107</v>
      </c>
      <c r="C155" s="9">
        <v>135</v>
      </c>
      <c r="D155" s="9" t="s">
        <v>529</v>
      </c>
      <c r="E155" s="9" t="str">
        <f>IF($B155 = "Mutant",VLOOKUP($C155,Mutants!$A$2:$L$560,12,FALSE),IF($B155 = "Test",VLOOKUP($C155,Tests!$A$2:$L$841,12,FALSE),VLOOKUP($C155,Questions!$A$3:$N$201,9,FALSE)))</f>
        <v>Y</v>
      </c>
      <c r="F155" s="187" t="str">
        <f>IF($B155 = "Mutant",VLOOKUP($C155,Mutants!$A$2:$L$560,11,FALSE),IF($B155 = "Test",VLOOKUP($C155,Tests!$A$2:$L$841,11,FALSE),VLOOKUP($C155,Questions!$A$3:$N$201,13,FALSE)))</f>
        <v xml:space="preserve"> </v>
      </c>
      <c r="G155" s="187"/>
      <c r="H155" s="202"/>
      <c r="I155" s="9"/>
      <c r="J155" s="9"/>
      <c r="K155" s="9"/>
      <c r="L155" s="9"/>
      <c r="M155" s="9"/>
    </row>
    <row r="156" spans="2:14" ht="15.75" customHeight="1">
      <c r="B156" s="114" t="s">
        <v>107</v>
      </c>
      <c r="C156" s="9">
        <v>139</v>
      </c>
      <c r="D156" s="9" t="s">
        <v>532</v>
      </c>
      <c r="E156" s="9" t="str">
        <f>IF($B156 = "Mutant",VLOOKUP($C156,Mutants!$A$2:$L$560,12,FALSE),IF($B156 = "Test",VLOOKUP($C156,Tests!$A$2:$L$841,12,FALSE),VLOOKUP($C156,Questions!$A$3:$N$201,9,FALSE)))</f>
        <v>Y</v>
      </c>
      <c r="F156" s="187" t="str">
        <f>IF($B156 = "Mutant",VLOOKUP($C156,Mutants!$A$2:$L$560,11,FALSE),IF($B156 = "Test",VLOOKUP($C156,Tests!$A$2:$L$841,11,FALSE),VLOOKUP($C156,Questions!$A$3:$N$201,13,FALSE)))</f>
        <v xml:space="preserve">removeField
</v>
      </c>
      <c r="G156" s="187"/>
      <c r="H156" s="202"/>
      <c r="I156" s="9"/>
      <c r="J156" s="9"/>
      <c r="K156" s="9"/>
      <c r="L156" s="9"/>
      <c r="M156" s="9"/>
      <c r="N156" s="9"/>
    </row>
    <row r="157" spans="2:14" ht="15.75" customHeight="1">
      <c r="B157" s="114" t="s">
        <v>107</v>
      </c>
      <c r="C157" s="9">
        <v>149</v>
      </c>
      <c r="D157" s="9" t="s">
        <v>535</v>
      </c>
      <c r="E157" s="9" t="str">
        <f>IF($B157 = "Mutant",VLOOKUP($C157,Mutants!$A$2:$L$560,12,FALSE),IF($B157 = "Test",VLOOKUP($C157,Tests!$A$2:$L$841,12,FALSE),VLOOKUP($C157,Questions!$A$3:$N$201,9,FALSE)))</f>
        <v>Y</v>
      </c>
      <c r="F157" s="187" t="str">
        <f>IF($B157 = "Mutant",VLOOKUP($C157,Mutants!$A$2:$L$560,11,FALSE),IF($B157 = "Test",VLOOKUP($C157,Tests!$A$2:$L$841,11,FALSE),VLOOKUP($C157,Questions!$A$3:$N$201,13,FALSE)))</f>
        <v xml:space="preserve">get
</v>
      </c>
      <c r="G157" s="187"/>
      <c r="H157" s="202"/>
      <c r="I157" s="9"/>
      <c r="J157" s="9"/>
      <c r="K157" s="9"/>
      <c r="L157" s="9"/>
      <c r="M157" s="9"/>
      <c r="N157" s="9"/>
    </row>
    <row r="158" spans="2:14" ht="15.75" customHeight="1">
      <c r="B158" s="114" t="s">
        <v>4590</v>
      </c>
      <c r="C158" s="9">
        <v>711</v>
      </c>
      <c r="D158" s="9" t="s">
        <v>2435</v>
      </c>
      <c r="E158" s="9" t="str">
        <f>IF($B158 = "Mutant",VLOOKUP($C158,Mutants!$A$2:$L$560,12,FALSE),IF($B158 = "Test",VLOOKUP($C158,Tests!$A$2:$L$841,12,FALSE),VLOOKUP($C158,Questions!$A$3:$N$201,9,FALSE)))</f>
        <v>N</v>
      </c>
      <c r="F158" s="187" t="str">
        <f>IF($B158 = "Mutant",VLOOKUP($C158,Mutants!$A$2:$L$560,11,FALSE),IF($B158 = "Test",VLOOKUP($C158,Tests!$A$2:$L$841,11,FALSE),VLOOKUP($C158,Questions!$A$3:$N$201,13,FALSE)))</f>
        <v xml:space="preserve">
</v>
      </c>
      <c r="G158" s="187"/>
      <c r="H158" s="202"/>
      <c r="I158" s="9"/>
      <c r="J158" s="9"/>
      <c r="K158" s="9"/>
      <c r="L158" s="9"/>
      <c r="M158" s="9"/>
    </row>
    <row r="159" spans="2:14" ht="15.75" customHeight="1">
      <c r="B159" s="114" t="s">
        <v>4590</v>
      </c>
      <c r="C159" s="9">
        <v>721</v>
      </c>
      <c r="D159" s="9" t="s">
        <v>2466</v>
      </c>
      <c r="E159" s="9" t="str">
        <f>IF($B159 = "Mutant",VLOOKUP($C159,Mutants!$A$2:$L$560,12,FALSE),IF($B159 = "Test",VLOOKUP($C159,Tests!$A$2:$L$841,12,FALSE),VLOOKUP($C159,Questions!$A$3:$N$201,9,FALSE)))</f>
        <v>Y</v>
      </c>
      <c r="F159" s="187" t="str">
        <f>IF($B159 = "Mutant",VLOOKUP($C159,Mutants!$A$2:$L$560,11,FALSE),IF($B159 = "Test",VLOOKUP($C159,Tests!$A$2:$L$841,11,FALSE),VLOOKUP($C159,Questions!$A$3:$N$201,13,FALSE)))</f>
        <v xml:space="preserve">add, get
</v>
      </c>
      <c r="G159" s="187"/>
      <c r="H159" s="202"/>
      <c r="I159" s="9"/>
      <c r="J159" s="9"/>
      <c r="K159" s="9"/>
      <c r="L159" s="9"/>
      <c r="M159" s="9"/>
    </row>
    <row r="160" spans="2:14" ht="15.75" customHeight="1">
      <c r="B160" s="114" t="s">
        <v>107</v>
      </c>
      <c r="C160" s="9">
        <v>162</v>
      </c>
      <c r="D160" s="9" t="s">
        <v>538</v>
      </c>
      <c r="E160" s="9" t="str">
        <f>IF($B160 = "Mutant",VLOOKUP($C160,Mutants!$A$2:$L$560,12,FALSE),IF($B160 = "Test",VLOOKUP($C160,Tests!$A$2:$L$841,12,FALSE),VLOOKUP($C160,Questions!$A$3:$N$201,9,FALSE)))</f>
        <v>Y</v>
      </c>
      <c r="F160" s="187" t="str">
        <f>IF($B160 = "Mutant",VLOOKUP($C160,Mutants!$A$2:$L$560,11,FALSE),IF($B160 = "Test",VLOOKUP($C160,Tests!$A$2:$L$841,11,FALSE),VLOOKUP($C160,Questions!$A$3:$N$201,13,FALSE)))</f>
        <v xml:space="preserve">getField
</v>
      </c>
      <c r="G160" s="187"/>
      <c r="H160" s="202"/>
      <c r="I160" s="9"/>
      <c r="J160" s="9"/>
      <c r="K160" s="9"/>
      <c r="L160" s="9"/>
      <c r="M160" s="9"/>
      <c r="N160" s="9"/>
    </row>
    <row r="161" spans="2:14" ht="15.75" customHeight="1">
      <c r="B161" s="114" t="s">
        <v>4590</v>
      </c>
      <c r="C161" s="9">
        <v>778</v>
      </c>
      <c r="D161" s="9" t="s">
        <v>2623</v>
      </c>
      <c r="E161" s="9" t="str">
        <f>IF($B161 = "Mutant",VLOOKUP($C161,Mutants!$A$2:$L$560,12,FALSE),IF($B161 = "Test",VLOOKUP($C161,Tests!$A$2:$L$841,12,FALSE),VLOOKUP($C161,Questions!$A$3:$N$201,9,FALSE)))</f>
        <v>N</v>
      </c>
      <c r="F161" s="187" t="str">
        <f>IF($B161 = "Mutant",VLOOKUP($C161,Mutants!$A$2:$L$560,11,FALSE),IF($B161 = "Test",VLOOKUP($C161,Tests!$A$2:$L$841,11,FALSE),VLOOKUP($C161,Questions!$A$3:$N$201,13,FALSE)))</f>
        <v xml:space="preserve">
</v>
      </c>
      <c r="G161" s="187"/>
      <c r="H161" s="202"/>
      <c r="I161" s="9"/>
      <c r="J161" s="9"/>
      <c r="K161" s="9"/>
      <c r="L161" s="9"/>
      <c r="M161" s="9"/>
    </row>
    <row r="162" spans="2:14" ht="15.75" customHeight="1">
      <c r="B162" s="114" t="s">
        <v>4590</v>
      </c>
      <c r="C162" s="9">
        <v>787</v>
      </c>
      <c r="D162" s="9" t="s">
        <v>2651</v>
      </c>
      <c r="E162" s="9" t="str">
        <f>IF($B162 = "Mutant",VLOOKUP($C162,Mutants!$A$2:$L$560,12,FALSE),IF($B162 = "Test",VLOOKUP($C162,Tests!$A$2:$L$841,12,FALSE),VLOOKUP($C162,Questions!$A$3:$N$201,9,FALSE)))</f>
        <v>N</v>
      </c>
      <c r="F162" s="187" t="str">
        <f>IF($B162 = "Mutant",VLOOKUP($C162,Mutants!$A$2:$L$560,11,FALSE),IF($B162 = "Test",VLOOKUP($C162,Tests!$A$2:$L$841,11,FALSE),VLOOKUP($C162,Questions!$A$3:$N$201,13,FALSE)))</f>
        <v xml:space="preserve">
</v>
      </c>
      <c r="G162" s="187"/>
      <c r="H162" s="202"/>
      <c r="I162" s="9"/>
      <c r="J162" s="9"/>
      <c r="K162" s="9"/>
      <c r="L162" s="9"/>
      <c r="M162" s="9"/>
    </row>
    <row r="163" spans="2:14" ht="15.75" customHeight="1">
      <c r="B163" s="114" t="s">
        <v>4590</v>
      </c>
      <c r="C163" s="9">
        <v>835</v>
      </c>
      <c r="D163" s="9" t="s">
        <v>2777</v>
      </c>
      <c r="E163" s="9" t="str">
        <f>IF($B163 = "Mutant",VLOOKUP($C163,Mutants!$A$2:$L$560,12,FALSE),IF($B163 = "Test",VLOOKUP($C163,Tests!$A$2:$L$841,12,FALSE),VLOOKUP($C163,Questions!$A$3:$N$201,9,FALSE)))</f>
        <v>Y</v>
      </c>
      <c r="F163" s="187" t="str">
        <f>IF($B163 = "Mutant",VLOOKUP($C163,Mutants!$A$2:$L$560,11,FALSE),IF($B163 = "Test",VLOOKUP($C163,Tests!$A$2:$L$841,11,FALSE),VLOOKUP($C163,Questions!$A$3:$N$201,13,FALSE)))</f>
        <v xml:space="preserve">add, getField
</v>
      </c>
      <c r="G163" s="187"/>
      <c r="H163" s="202"/>
      <c r="I163" s="9"/>
      <c r="J163" s="9"/>
      <c r="K163" s="9"/>
      <c r="L163" s="9"/>
      <c r="M163" s="9"/>
    </row>
    <row r="164" spans="2:14" ht="15.75" customHeight="1">
      <c r="B164" s="114" t="s">
        <v>107</v>
      </c>
      <c r="C164" s="9">
        <v>186</v>
      </c>
      <c r="D164" s="9" t="s">
        <v>541</v>
      </c>
      <c r="E164" s="9" t="str">
        <f>IF($B164 = "Mutant",VLOOKUP($C164,Mutants!$A$2:$L$560,12,FALSE),IF($B164 = "Test",VLOOKUP($C164,Tests!$A$2:$L$841,12,FALSE),VLOOKUP($C164,Questions!$A$3:$N$201,9,FALSE)))</f>
        <v>N</v>
      </c>
      <c r="F164" s="187" t="str">
        <f>IF($B164 = "Mutant",VLOOKUP($C164,Mutants!$A$2:$L$560,11,FALSE),IF($B164 = "Test",VLOOKUP($C164,Tests!$A$2:$L$841,11,FALSE),VLOOKUP($C164,Questions!$A$3:$N$201,13,FALSE)))</f>
        <v xml:space="preserve"> </v>
      </c>
      <c r="G164" s="187"/>
      <c r="H164" s="202"/>
      <c r="I164" s="9"/>
      <c r="J164" s="9"/>
      <c r="K164" s="9"/>
      <c r="L164" s="9"/>
      <c r="M164" s="9"/>
    </row>
    <row r="165" spans="2:14" ht="15.75" customHeight="1">
      <c r="B165" s="114" t="s">
        <v>107</v>
      </c>
      <c r="C165" s="9">
        <v>188</v>
      </c>
      <c r="D165" s="9" t="s">
        <v>542</v>
      </c>
      <c r="E165" s="9" t="str">
        <f>IF($B165 = "Mutant",VLOOKUP($C165,Mutants!$A$2:$L$560,12,FALSE),IF($B165 = "Test",VLOOKUP($C165,Tests!$A$2:$L$841,12,FALSE),VLOOKUP($C165,Questions!$A$3:$N$201,9,FALSE)))</f>
        <v>Y</v>
      </c>
      <c r="F165" s="187" t="str">
        <f>IF($B165 = "Mutant",VLOOKUP($C165,Mutants!$A$2:$L$560,11,FALSE),IF($B165 = "Test",VLOOKUP($C165,Tests!$A$2:$L$841,11,FALSE),VLOOKUP($C165,Questions!$A$3:$N$201,13,FALSE)))</f>
        <v xml:space="preserve">getBinaryValues, getValues, toString
</v>
      </c>
      <c r="G165" s="187"/>
      <c r="H165" s="202"/>
      <c r="I165" s="9"/>
      <c r="J165" s="9"/>
      <c r="K165" s="9"/>
      <c r="L165" s="9"/>
      <c r="M165" s="9"/>
      <c r="N165" s="9"/>
    </row>
    <row r="166" spans="2:14" ht="15.75" customHeight="1">
      <c r="B166" s="114" t="s">
        <v>4590</v>
      </c>
      <c r="C166" s="9">
        <v>880</v>
      </c>
      <c r="D166" s="9" t="s">
        <v>2915</v>
      </c>
      <c r="E166" s="9" t="str">
        <f>IF($B166 = "Mutant",VLOOKUP($C166,Mutants!$A$2:$L$560,12,FALSE),IF($B166 = "Test",VLOOKUP($C166,Tests!$A$2:$L$841,12,FALSE),VLOOKUP($C166,Questions!$A$3:$N$201,9,FALSE)))</f>
        <v>N</v>
      </c>
      <c r="F166" s="187" t="str">
        <f>IF($B166 = "Mutant",VLOOKUP($C166,Mutants!$A$2:$L$560,11,FALSE),IF($B166 = "Test",VLOOKUP($C166,Tests!$A$2:$L$841,11,FALSE),VLOOKUP($C166,Questions!$A$3:$N$201,13,FALSE)))</f>
        <v xml:space="preserve">
</v>
      </c>
      <c r="G166" s="187"/>
      <c r="H166" s="202"/>
      <c r="I166" s="9"/>
      <c r="J166" s="9"/>
      <c r="K166" s="9"/>
      <c r="L166" s="9"/>
      <c r="M166" s="9"/>
    </row>
    <row r="167" spans="2:14" ht="15.75" customHeight="1">
      <c r="B167" s="114" t="s">
        <v>4590</v>
      </c>
      <c r="C167" s="9">
        <v>883</v>
      </c>
      <c r="D167" s="9" t="s">
        <v>2922</v>
      </c>
      <c r="E167" s="9" t="str">
        <f>IF($B167 = "Mutant",VLOOKUP($C167,Mutants!$A$2:$L$560,12,FALSE),IF($B167 = "Test",VLOOKUP($C167,Tests!$A$2:$L$841,12,FALSE),VLOOKUP($C167,Questions!$A$3:$N$201,9,FALSE)))</f>
        <v>N</v>
      </c>
      <c r="F167" s="187" t="str">
        <f>IF($B167 = "Mutant",VLOOKUP($C167,Mutants!$A$2:$L$560,11,FALSE),IF($B167 = "Test",VLOOKUP($C167,Tests!$A$2:$L$841,11,FALSE),VLOOKUP($C167,Questions!$A$3:$N$201,13,FALSE)))</f>
        <v xml:space="preserve">
</v>
      </c>
      <c r="G167" s="187"/>
      <c r="H167" s="202"/>
      <c r="I167" s="9"/>
      <c r="J167" s="9"/>
      <c r="K167" s="9"/>
      <c r="L167" s="9"/>
      <c r="M167" s="9"/>
    </row>
    <row r="168" spans="2:14" ht="15.75" customHeight="1">
      <c r="B168" s="133" t="s">
        <v>4590</v>
      </c>
      <c r="C168" s="130">
        <v>893</v>
      </c>
      <c r="D168" s="130" t="s">
        <v>2948</v>
      </c>
      <c r="E168" s="130" t="str">
        <f>IF($B168 = "Mutant",VLOOKUP($C168,Mutants!$A$2:$L$560,12,FALSE),IF($B168 = "Test",VLOOKUP($C168,Tests!$A$2:$L$841,12,FALSE),VLOOKUP($C168,Questions!$A$3:$N$201,9,FALSE)))</f>
        <v>Y</v>
      </c>
      <c r="F168" s="203" t="str">
        <f>IF($B168 = "Mutant",VLOOKUP($C168,Mutants!$A$2:$L$560,11,FALSE),IF($B168 = "Test",VLOOKUP($C168,Tests!$A$2:$L$841,11,FALSE),VLOOKUP($C168,Questions!$A$3:$N$201,13,FALSE)))</f>
        <v xml:space="preserve">add, getValues
</v>
      </c>
      <c r="G168" s="203"/>
      <c r="H168" s="204"/>
      <c r="I168" s="9"/>
      <c r="J168" s="9"/>
      <c r="K168" s="9"/>
      <c r="L168" s="9"/>
      <c r="M168" s="9"/>
    </row>
  </sheetData>
  <mergeCells count="139">
    <mergeCell ref="B12:C12"/>
    <mergeCell ref="B5:C5"/>
    <mergeCell ref="B6:C6"/>
    <mergeCell ref="B7:C7"/>
    <mergeCell ref="B8:C8"/>
    <mergeCell ref="B9:C9"/>
    <mergeCell ref="B146:C146"/>
    <mergeCell ref="B105:C105"/>
    <mergeCell ref="B75:C75"/>
    <mergeCell ref="B39:C39"/>
    <mergeCell ref="F40:H40"/>
    <mergeCell ref="F76:H76"/>
    <mergeCell ref="F106:H106"/>
    <mergeCell ref="F56:H56"/>
    <mergeCell ref="F57:H57"/>
    <mergeCell ref="F58:H58"/>
    <mergeCell ref="F59:H59"/>
    <mergeCell ref="F60:H60"/>
    <mergeCell ref="F61:H61"/>
    <mergeCell ref="F62:H62"/>
    <mergeCell ref="F63:H63"/>
    <mergeCell ref="F64:H64"/>
    <mergeCell ref="F147:H147"/>
    <mergeCell ref="F41:H41"/>
    <mergeCell ref="F42:H42"/>
    <mergeCell ref="F43:H43"/>
    <mergeCell ref="F44:H44"/>
    <mergeCell ref="F45:H45"/>
    <mergeCell ref="F46:H46"/>
    <mergeCell ref="F47:H47"/>
    <mergeCell ref="F48:H48"/>
    <mergeCell ref="F49:H49"/>
    <mergeCell ref="F50:H50"/>
    <mergeCell ref="F51:H51"/>
    <mergeCell ref="F52:H52"/>
    <mergeCell ref="F53:H53"/>
    <mergeCell ref="F54:H54"/>
    <mergeCell ref="F55:H55"/>
    <mergeCell ref="F70:H70"/>
    <mergeCell ref="F71:H71"/>
    <mergeCell ref="F72:H72"/>
    <mergeCell ref="F73:H73"/>
    <mergeCell ref="F74:H74"/>
    <mergeCell ref="F65:H65"/>
    <mergeCell ref="F66:H66"/>
    <mergeCell ref="F67:H67"/>
    <mergeCell ref="F68:H68"/>
    <mergeCell ref="F69:H69"/>
    <mergeCell ref="F81:H81"/>
    <mergeCell ref="F82:H82"/>
    <mergeCell ref="F83:H83"/>
    <mergeCell ref="F84:H84"/>
    <mergeCell ref="F85:H85"/>
    <mergeCell ref="F75:H75"/>
    <mergeCell ref="F77:H77"/>
    <mergeCell ref="F78:H78"/>
    <mergeCell ref="F79:H79"/>
    <mergeCell ref="F80:H80"/>
    <mergeCell ref="F91:H91"/>
    <mergeCell ref="F92:H92"/>
    <mergeCell ref="F93:H93"/>
    <mergeCell ref="F94:H94"/>
    <mergeCell ref="F95:H95"/>
    <mergeCell ref="F86:H86"/>
    <mergeCell ref="F87:H87"/>
    <mergeCell ref="F88:H88"/>
    <mergeCell ref="F89:H89"/>
    <mergeCell ref="F90:H90"/>
    <mergeCell ref="F101:H101"/>
    <mergeCell ref="F102:H102"/>
    <mergeCell ref="F103:H103"/>
    <mergeCell ref="F104:H104"/>
    <mergeCell ref="F105:H105"/>
    <mergeCell ref="F96:H96"/>
    <mergeCell ref="F97:H97"/>
    <mergeCell ref="F98:H98"/>
    <mergeCell ref="F99:H99"/>
    <mergeCell ref="F100:H100"/>
    <mergeCell ref="F112:H112"/>
    <mergeCell ref="F113:H113"/>
    <mergeCell ref="F114:H114"/>
    <mergeCell ref="F115:H115"/>
    <mergeCell ref="F116:H116"/>
    <mergeCell ref="F107:H107"/>
    <mergeCell ref="F108:H108"/>
    <mergeCell ref="F109:H109"/>
    <mergeCell ref="F110:H110"/>
    <mergeCell ref="F111:H111"/>
    <mergeCell ref="F122:H122"/>
    <mergeCell ref="F123:H123"/>
    <mergeCell ref="F124:H124"/>
    <mergeCell ref="F125:H125"/>
    <mergeCell ref="F126:H126"/>
    <mergeCell ref="F117:H117"/>
    <mergeCell ref="F118:H118"/>
    <mergeCell ref="F119:H119"/>
    <mergeCell ref="F120:H120"/>
    <mergeCell ref="F121:H121"/>
    <mergeCell ref="F132:H132"/>
    <mergeCell ref="F133:H133"/>
    <mergeCell ref="F134:H134"/>
    <mergeCell ref="F135:H135"/>
    <mergeCell ref="F136:H136"/>
    <mergeCell ref="F127:H127"/>
    <mergeCell ref="F128:H128"/>
    <mergeCell ref="F129:H129"/>
    <mergeCell ref="F130:H130"/>
    <mergeCell ref="F131:H131"/>
    <mergeCell ref="F142:H142"/>
    <mergeCell ref="F143:H143"/>
    <mergeCell ref="F144:H144"/>
    <mergeCell ref="F145:H145"/>
    <mergeCell ref="F146:H146"/>
    <mergeCell ref="F137:H137"/>
    <mergeCell ref="F138:H138"/>
    <mergeCell ref="F139:H139"/>
    <mergeCell ref="F140:H140"/>
    <mergeCell ref="F141:H141"/>
    <mergeCell ref="F153:H153"/>
    <mergeCell ref="F154:H154"/>
    <mergeCell ref="F155:H155"/>
    <mergeCell ref="F156:H156"/>
    <mergeCell ref="F157:H157"/>
    <mergeCell ref="F148:H148"/>
    <mergeCell ref="F149:H149"/>
    <mergeCell ref="F150:H150"/>
    <mergeCell ref="F151:H151"/>
    <mergeCell ref="F152:H152"/>
    <mergeCell ref="F168:H168"/>
    <mergeCell ref="F163:H163"/>
    <mergeCell ref="F164:H164"/>
    <mergeCell ref="F165:H165"/>
    <mergeCell ref="F166:H166"/>
    <mergeCell ref="F167:H167"/>
    <mergeCell ref="F158:H158"/>
    <mergeCell ref="F159:H159"/>
    <mergeCell ref="F160:H160"/>
    <mergeCell ref="F161:H161"/>
    <mergeCell ref="F162:H162"/>
  </mergeCells>
  <conditionalFormatting sqref="A39:B39">
    <cfRule type="cellIs" dxfId="113" priority="13" operator="equal">
      <formula>"NO_KILL"</formula>
    </cfRule>
    <cfRule type="cellIs" dxfId="112" priority="14" operator="equal">
      <formula>"KILL"</formula>
    </cfRule>
    <cfRule type="cellIs" dxfId="111" priority="15" operator="equal">
      <formula>"ERROR"</formula>
    </cfRule>
  </conditionalFormatting>
  <conditionalFormatting sqref="A75:B75">
    <cfRule type="cellIs" dxfId="110" priority="19" operator="equal">
      <formula>"NO_KILL"</formula>
    </cfRule>
    <cfRule type="cellIs" dxfId="109" priority="20" operator="equal">
      <formula>"KILL"</formula>
    </cfRule>
    <cfRule type="cellIs" dxfId="108" priority="21" operator="equal">
      <formula>"ERROR"</formula>
    </cfRule>
  </conditionalFormatting>
  <conditionalFormatting sqref="A105:B105">
    <cfRule type="cellIs" dxfId="107" priority="26" operator="equal">
      <formula>"KILL"</formula>
    </cfRule>
    <cfRule type="cellIs" dxfId="106" priority="27" operator="equal">
      <formula>"ERROR"</formula>
    </cfRule>
    <cfRule type="cellIs" dxfId="105" priority="25" operator="equal">
      <formula>"NO_KILL"</formula>
    </cfRule>
  </conditionalFormatting>
  <conditionalFormatting sqref="A146:B146">
    <cfRule type="cellIs" dxfId="104" priority="31" operator="equal">
      <formula>"NO_KILL"</formula>
    </cfRule>
    <cfRule type="cellIs" dxfId="103" priority="32" operator="equal">
      <formula>"KILL"</formula>
    </cfRule>
    <cfRule type="cellIs" dxfId="102" priority="33" operator="equal">
      <formula>"ERROR"</formula>
    </cfRule>
  </conditionalFormatting>
  <conditionalFormatting sqref="A40:F74">
    <cfRule type="cellIs" dxfId="101" priority="11" operator="equal">
      <formula>"KILL"</formula>
    </cfRule>
    <cfRule type="cellIs" dxfId="100" priority="10" operator="equal">
      <formula>"NO_KILL"</formula>
    </cfRule>
    <cfRule type="cellIs" dxfId="99" priority="12" operator="equal">
      <formula>"ERROR"</formula>
    </cfRule>
  </conditionalFormatting>
  <conditionalFormatting sqref="A76:F104">
    <cfRule type="cellIs" dxfId="98" priority="7" operator="equal">
      <formula>"NO_KILL"</formula>
    </cfRule>
    <cfRule type="cellIs" dxfId="97" priority="8" operator="equal">
      <formula>"KILL"</formula>
    </cfRule>
    <cfRule type="cellIs" dxfId="96" priority="9" operator="equal">
      <formula>"ERROR"</formula>
    </cfRule>
  </conditionalFormatting>
  <conditionalFormatting sqref="A106:F145">
    <cfRule type="cellIs" dxfId="95" priority="4" operator="equal">
      <formula>"NO_KILL"</formula>
    </cfRule>
    <cfRule type="cellIs" dxfId="94" priority="5" operator="equal">
      <formula>"KILL"</formula>
    </cfRule>
    <cfRule type="cellIs" dxfId="93" priority="6" operator="equal">
      <formula>"ERROR"</formula>
    </cfRule>
  </conditionalFormatting>
  <conditionalFormatting sqref="A147:F168">
    <cfRule type="cellIs" dxfId="92" priority="2" operator="equal">
      <formula>"KILL"</formula>
    </cfRule>
    <cfRule type="cellIs" dxfId="91" priority="3" operator="equal">
      <formula>"ERROR"</formula>
    </cfRule>
    <cfRule type="cellIs" dxfId="90" priority="1" operator="equal">
      <formula>"NO_KILL"</formula>
    </cfRule>
  </conditionalFormatting>
  <conditionalFormatting sqref="A1:Z4 A5:B9 D5:Z9 A10:Z38 D39:Z39 I40:Z168 D75:F75 D105:F105 D146:F146 A169:Z1110">
    <cfRule type="cellIs" dxfId="89" priority="37" operator="equal">
      <formula>"NO_KILL"</formula>
    </cfRule>
    <cfRule type="cellIs" dxfId="88" priority="38" operator="equal">
      <formula>"KILL"</formula>
    </cfRule>
    <cfRule type="cellIs" dxfId="87" priority="39" operator="equal">
      <formula>"ERROR"</formula>
    </cfRule>
  </conditionalFormatting>
  <conditionalFormatting sqref="B37:B1110">
    <cfRule type="cellIs" dxfId="86" priority="18" operator="equal">
      <formula>"Question"</formula>
    </cfRule>
    <cfRule type="cellIs" dxfId="85" priority="17" operator="equal">
      <formula>"Mutant"</formula>
    </cfRule>
    <cfRule type="cellIs" dxfId="84" priority="16" operator="equal">
      <formula>"Test"</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B2:T108"/>
  <sheetViews>
    <sheetView topLeftCell="A16" workbookViewId="0">
      <selection activeCell="K38" sqref="K38"/>
    </sheetView>
  </sheetViews>
  <sheetFormatPr defaultColWidth="12.5703125" defaultRowHeight="15.75" customHeight="1"/>
  <cols>
    <col min="4" max="4" width="18.140625" bestFit="1" customWidth="1"/>
    <col min="6" max="6" width="17.42578125" customWidth="1"/>
    <col min="14" max="14" width="13.42578125" customWidth="1"/>
  </cols>
  <sheetData>
    <row r="2" spans="2:20" ht="12.75">
      <c r="B2" s="29" t="s">
        <v>4</v>
      </c>
      <c r="C2" s="29" t="s">
        <v>45</v>
      </c>
      <c r="D2" s="29" t="s">
        <v>46</v>
      </c>
    </row>
    <row r="3" spans="2:20" ht="12.75">
      <c r="B3" s="29">
        <v>124</v>
      </c>
      <c r="C3" s="29" t="s">
        <v>60</v>
      </c>
      <c r="D3" s="127" t="s">
        <v>18</v>
      </c>
    </row>
    <row r="5" spans="2:20" ht="12.75">
      <c r="B5" s="221" t="s">
        <v>3</v>
      </c>
      <c r="C5" s="222"/>
      <c r="D5" s="44" t="s">
        <v>5</v>
      </c>
      <c r="E5" s="43" t="s">
        <v>6</v>
      </c>
      <c r="F5" s="43" t="s">
        <v>7</v>
      </c>
      <c r="G5" s="43" t="s">
        <v>8</v>
      </c>
      <c r="H5" s="44" t="s">
        <v>9</v>
      </c>
      <c r="I5" s="43" t="s">
        <v>10</v>
      </c>
      <c r="J5" s="43" t="s">
        <v>11</v>
      </c>
      <c r="K5" s="44" t="s">
        <v>12</v>
      </c>
      <c r="L5" s="43" t="s">
        <v>13</v>
      </c>
      <c r="M5" s="43" t="s">
        <v>14</v>
      </c>
      <c r="N5" s="61" t="s">
        <v>15</v>
      </c>
    </row>
    <row r="6" spans="2:20" ht="12.75">
      <c r="B6" s="223">
        <v>232</v>
      </c>
      <c r="C6" s="224"/>
      <c r="D6" s="47">
        <f ca="1">COUNTIF(Valid_questions!F$1:F1054, B6)</f>
        <v>3</v>
      </c>
      <c r="E6" s="40">
        <v>0</v>
      </c>
      <c r="F6" s="40">
        <v>2</v>
      </c>
      <c r="G6" s="40">
        <v>0</v>
      </c>
      <c r="H6" s="47">
        <v>2</v>
      </c>
      <c r="I6" s="40">
        <f>COUNTIFS(Tests!E$1:E1054,B6,Tests!D$1:D1054,"&lt;&gt;\N")</f>
        <v>3</v>
      </c>
      <c r="J6" s="40">
        <f>COUNTIFS(Tests!E$1:E1054,B6,Tests!D$1:D1054,"=\N")</f>
        <v>2</v>
      </c>
      <c r="K6" s="47">
        <v>3</v>
      </c>
      <c r="L6" s="40">
        <f>COUNTIFS(Mutants!E$1:E1054,B6,Mutants!D$1:D1054,"&lt;&gt;\N")</f>
        <v>4</v>
      </c>
      <c r="M6" s="40">
        <f>COUNTIFS(Mutants!E$1:E1054,B6,Mutants!D$1:D1054,"=\N")</f>
        <v>0</v>
      </c>
      <c r="N6" s="45">
        <v>3</v>
      </c>
    </row>
    <row r="7" spans="2:20" ht="12.75">
      <c r="B7" s="225">
        <v>234</v>
      </c>
      <c r="C7" s="226"/>
      <c r="D7" s="10">
        <f ca="1">COUNTIF(Valid_questions!F$1:F1054, B7)</f>
        <v>0</v>
      </c>
      <c r="E7" s="9">
        <v>4</v>
      </c>
      <c r="F7" s="9">
        <v>2</v>
      </c>
      <c r="G7" s="9">
        <v>0</v>
      </c>
      <c r="H7" s="10">
        <v>6</v>
      </c>
      <c r="I7" s="9">
        <f>COUNTIFS(Tests!E$1:E1054,B7,Tests!D$1:D1054,"&lt;&gt;\N")</f>
        <v>11</v>
      </c>
      <c r="J7" s="9">
        <f>COUNTIFS(Tests!E$1:E1054,B7,Tests!D$1:D1054,"=\N")</f>
        <v>7</v>
      </c>
      <c r="K7" s="10">
        <v>8</v>
      </c>
      <c r="L7" s="9">
        <f>COUNTIFS(Mutants!E$1:E1054,B7,Mutants!D$1:D1054,"&lt;&gt;\N")</f>
        <v>9</v>
      </c>
      <c r="M7" s="9">
        <f>COUNTIFS(Mutants!E$1:E1054,B7,Mutants!D$1:D1054,"=\N")</f>
        <v>2</v>
      </c>
      <c r="N7" s="14">
        <v>6</v>
      </c>
    </row>
    <row r="8" spans="2:20" ht="12.75">
      <c r="B8" s="227">
        <v>235</v>
      </c>
      <c r="C8" s="228"/>
      <c r="D8" s="22">
        <f ca="1">COUNTIF(Valid_questions!F$1:F1054, B8)</f>
        <v>4</v>
      </c>
      <c r="E8" s="21">
        <v>0</v>
      </c>
      <c r="F8" s="21">
        <v>4</v>
      </c>
      <c r="G8" s="21">
        <v>0</v>
      </c>
      <c r="H8" s="22">
        <v>4</v>
      </c>
      <c r="I8" s="21">
        <f>COUNTIFS(Tests!E$1:E1054,B8,Tests!D$1:D1054,"&lt;&gt;\N")</f>
        <v>13</v>
      </c>
      <c r="J8" s="21">
        <f>COUNTIFS(Tests!E$1:E1054,B8,Tests!D$1:D1054,"=\N")</f>
        <v>5</v>
      </c>
      <c r="K8" s="22">
        <v>6</v>
      </c>
      <c r="L8" s="21">
        <f>COUNTIFS(Mutants!E$1:E1054,B8,Mutants!D$1:D1054,"&lt;&gt;\N")</f>
        <v>1</v>
      </c>
      <c r="M8" s="21">
        <f>COUNTIFS(Mutants!E$1:E1054,B8,Mutants!D$1:D1054,"=\N")</f>
        <v>2</v>
      </c>
      <c r="N8" s="38">
        <v>1</v>
      </c>
    </row>
    <row r="11" spans="2:20" ht="27" customHeight="1">
      <c r="B11" s="220" t="s">
        <v>4588</v>
      </c>
      <c r="C11" s="173"/>
    </row>
    <row r="13" spans="2:20" ht="12.75">
      <c r="C13" s="29" t="s">
        <v>4589</v>
      </c>
    </row>
    <row r="14" spans="2:20" ht="12.75">
      <c r="B14" s="29" t="s">
        <v>4590</v>
      </c>
      <c r="C14" s="29"/>
      <c r="D14" s="43">
        <v>478</v>
      </c>
      <c r="E14" s="43">
        <v>568</v>
      </c>
      <c r="F14" s="43">
        <v>578</v>
      </c>
      <c r="G14" s="43">
        <v>597</v>
      </c>
      <c r="H14" s="43">
        <v>629</v>
      </c>
      <c r="I14" s="43">
        <v>700</v>
      </c>
      <c r="J14" s="43">
        <v>717</v>
      </c>
      <c r="K14" s="43">
        <v>728</v>
      </c>
      <c r="L14" s="43">
        <v>742</v>
      </c>
      <c r="M14" s="43">
        <v>765</v>
      </c>
      <c r="N14" s="43">
        <v>791</v>
      </c>
      <c r="O14" s="43">
        <v>809</v>
      </c>
      <c r="P14" s="43">
        <v>833</v>
      </c>
      <c r="Q14" s="43">
        <v>857</v>
      </c>
      <c r="R14" s="43">
        <v>862</v>
      </c>
      <c r="S14" s="43">
        <v>900</v>
      </c>
      <c r="T14" s="61">
        <v>915</v>
      </c>
    </row>
    <row r="15" spans="2:20" ht="12.75">
      <c r="B15" s="9"/>
      <c r="C15" s="81">
        <v>502</v>
      </c>
      <c r="D15" s="9" t="s">
        <v>4591</v>
      </c>
      <c r="E15" s="9" t="s">
        <v>4591</v>
      </c>
      <c r="F15" s="9" t="s">
        <v>4593</v>
      </c>
      <c r="G15" s="9" t="s">
        <v>4591</v>
      </c>
      <c r="H15" s="9" t="s">
        <v>4591</v>
      </c>
      <c r="I15" s="9" t="s">
        <v>4591</v>
      </c>
      <c r="J15" s="9" t="s">
        <v>4593</v>
      </c>
      <c r="K15" s="9" t="s">
        <v>4591</v>
      </c>
      <c r="L15" s="9" t="s">
        <v>4592</v>
      </c>
      <c r="M15" s="9" t="s">
        <v>4591</v>
      </c>
      <c r="N15" s="9" t="s">
        <v>4591</v>
      </c>
      <c r="O15" s="9" t="s">
        <v>4591</v>
      </c>
      <c r="P15" s="9" t="s">
        <v>4592</v>
      </c>
      <c r="Q15" s="9" t="s">
        <v>4591</v>
      </c>
      <c r="R15" s="9" t="s">
        <v>4592</v>
      </c>
      <c r="S15" s="9" t="s">
        <v>4591</v>
      </c>
      <c r="T15" s="14" t="s">
        <v>4591</v>
      </c>
    </row>
    <row r="16" spans="2:20" ht="12.75">
      <c r="B16" s="9"/>
      <c r="C16" s="81">
        <v>511</v>
      </c>
      <c r="D16" s="9" t="s">
        <v>4591</v>
      </c>
      <c r="E16" s="9" t="s">
        <v>4591</v>
      </c>
      <c r="F16" s="9" t="s">
        <v>4592</v>
      </c>
      <c r="G16" s="9" t="s">
        <v>4591</v>
      </c>
      <c r="H16" s="9" t="s">
        <v>4591</v>
      </c>
      <c r="I16" s="9" t="s">
        <v>4591</v>
      </c>
      <c r="J16" s="9" t="s">
        <v>4592</v>
      </c>
      <c r="K16" s="9" t="s">
        <v>4591</v>
      </c>
      <c r="L16" s="9" t="s">
        <v>4593</v>
      </c>
      <c r="M16" s="9" t="s">
        <v>4591</v>
      </c>
      <c r="N16" s="9" t="s">
        <v>4591</v>
      </c>
      <c r="O16" s="9" t="s">
        <v>4591</v>
      </c>
      <c r="P16" s="9" t="s">
        <v>4592</v>
      </c>
      <c r="Q16" s="9" t="s">
        <v>4591</v>
      </c>
      <c r="R16" s="9" t="s">
        <v>4592</v>
      </c>
      <c r="S16" s="9" t="s">
        <v>4591</v>
      </c>
      <c r="T16" s="14" t="s">
        <v>4591</v>
      </c>
    </row>
    <row r="17" spans="2:20" ht="12.75">
      <c r="B17" s="9"/>
      <c r="C17" s="81">
        <v>546</v>
      </c>
      <c r="D17" s="9" t="s">
        <v>4591</v>
      </c>
      <c r="E17" s="9" t="s">
        <v>4591</v>
      </c>
      <c r="F17" s="9" t="s">
        <v>4593</v>
      </c>
      <c r="G17" s="9" t="s">
        <v>4591</v>
      </c>
      <c r="H17" s="9" t="s">
        <v>4591</v>
      </c>
      <c r="I17" s="9" t="s">
        <v>4591</v>
      </c>
      <c r="J17" s="9" t="s">
        <v>4593</v>
      </c>
      <c r="K17" s="9" t="s">
        <v>4591</v>
      </c>
      <c r="L17" s="9" t="s">
        <v>4593</v>
      </c>
      <c r="M17" s="9" t="s">
        <v>4591</v>
      </c>
      <c r="N17" s="9" t="s">
        <v>4591</v>
      </c>
      <c r="O17" s="9" t="s">
        <v>4591</v>
      </c>
      <c r="P17" s="9" t="s">
        <v>4592</v>
      </c>
      <c r="Q17" s="9" t="s">
        <v>4591</v>
      </c>
      <c r="R17" s="9" t="s">
        <v>4595</v>
      </c>
      <c r="S17" s="9" t="s">
        <v>4591</v>
      </c>
      <c r="T17" s="14" t="s">
        <v>4591</v>
      </c>
    </row>
    <row r="18" spans="2:20" ht="12.75">
      <c r="B18" s="9"/>
      <c r="C18" s="81">
        <v>569</v>
      </c>
      <c r="D18" s="9" t="s">
        <v>4591</v>
      </c>
      <c r="E18" s="9" t="s">
        <v>4591</v>
      </c>
      <c r="F18" s="9" t="s">
        <v>4591</v>
      </c>
      <c r="G18" s="9" t="s">
        <v>4591</v>
      </c>
      <c r="H18" s="9" t="s">
        <v>4591</v>
      </c>
      <c r="I18" s="9" t="s">
        <v>4591</v>
      </c>
      <c r="J18" s="9" t="s">
        <v>4591</v>
      </c>
      <c r="K18" s="9" t="s">
        <v>4592</v>
      </c>
      <c r="L18" s="9" t="s">
        <v>4591</v>
      </c>
      <c r="M18" s="9" t="s">
        <v>4591</v>
      </c>
      <c r="N18" s="9" t="s">
        <v>4591</v>
      </c>
      <c r="O18" s="9" t="s">
        <v>4591</v>
      </c>
      <c r="P18" s="9" t="s">
        <v>4591</v>
      </c>
      <c r="Q18" s="9" t="s">
        <v>4591</v>
      </c>
      <c r="R18" s="9" t="s">
        <v>4591</v>
      </c>
      <c r="S18" s="9" t="s">
        <v>4591</v>
      </c>
      <c r="T18" s="14" t="s">
        <v>4591</v>
      </c>
    </row>
    <row r="19" spans="2:20" ht="12.75">
      <c r="B19" s="9"/>
      <c r="C19" s="81">
        <v>574</v>
      </c>
      <c r="D19" s="9" t="s">
        <v>4591</v>
      </c>
      <c r="E19" s="9" t="s">
        <v>4591</v>
      </c>
      <c r="F19" s="9" t="s">
        <v>4591</v>
      </c>
      <c r="G19" s="9" t="s">
        <v>4591</v>
      </c>
      <c r="H19" s="9" t="s">
        <v>4591</v>
      </c>
      <c r="I19" s="9" t="s">
        <v>4591</v>
      </c>
      <c r="J19" s="9" t="s">
        <v>4591</v>
      </c>
      <c r="K19" s="9" t="s">
        <v>4591</v>
      </c>
      <c r="L19" s="9" t="s">
        <v>4591</v>
      </c>
      <c r="M19" s="9" t="s">
        <v>4592</v>
      </c>
      <c r="N19" s="9" t="s">
        <v>4591</v>
      </c>
      <c r="O19" s="9" t="s">
        <v>4591</v>
      </c>
      <c r="P19" s="9" t="s">
        <v>4591</v>
      </c>
      <c r="Q19" s="9" t="s">
        <v>4592</v>
      </c>
      <c r="R19" s="9" t="s">
        <v>4591</v>
      </c>
      <c r="S19" s="9" t="s">
        <v>4591</v>
      </c>
      <c r="T19" s="14" t="s">
        <v>4591</v>
      </c>
    </row>
    <row r="20" spans="2:20" ht="12.75">
      <c r="B20" s="9"/>
      <c r="C20" s="81">
        <v>575</v>
      </c>
      <c r="D20" s="9" t="s">
        <v>4592</v>
      </c>
      <c r="E20" s="9" t="s">
        <v>4591</v>
      </c>
      <c r="F20" s="9" t="s">
        <v>4591</v>
      </c>
      <c r="G20" s="9" t="s">
        <v>4593</v>
      </c>
      <c r="H20" s="9" t="s">
        <v>4592</v>
      </c>
      <c r="I20" s="9" t="s">
        <v>4591</v>
      </c>
      <c r="J20" s="9" t="s">
        <v>4591</v>
      </c>
      <c r="K20" s="9" t="s">
        <v>4591</v>
      </c>
      <c r="L20" s="9" t="s">
        <v>4591</v>
      </c>
      <c r="M20" s="9" t="s">
        <v>4591</v>
      </c>
      <c r="N20" s="9" t="s">
        <v>4591</v>
      </c>
      <c r="O20" s="9" t="s">
        <v>4591</v>
      </c>
      <c r="P20" s="9" t="s">
        <v>4591</v>
      </c>
      <c r="Q20" s="9" t="s">
        <v>4591</v>
      </c>
      <c r="R20" s="9" t="s">
        <v>4591</v>
      </c>
      <c r="S20" s="9" t="s">
        <v>4591</v>
      </c>
      <c r="T20" s="14" t="s">
        <v>4591</v>
      </c>
    </row>
    <row r="21" spans="2:20" ht="12.75">
      <c r="B21" s="9"/>
      <c r="C21" s="81">
        <v>578</v>
      </c>
      <c r="D21" s="9" t="s">
        <v>4595</v>
      </c>
      <c r="E21" s="9" t="s">
        <v>4591</v>
      </c>
      <c r="F21" s="9" t="s">
        <v>4591</v>
      </c>
      <c r="G21" s="9" t="s">
        <v>4595</v>
      </c>
      <c r="H21" s="9" t="s">
        <v>4595</v>
      </c>
      <c r="I21" s="9" t="s">
        <v>4591</v>
      </c>
      <c r="J21" s="9" t="s">
        <v>4591</v>
      </c>
      <c r="K21" s="9" t="s">
        <v>4591</v>
      </c>
      <c r="L21" s="9" t="s">
        <v>4591</v>
      </c>
      <c r="M21" s="9" t="s">
        <v>4591</v>
      </c>
      <c r="N21" s="9" t="s">
        <v>4591</v>
      </c>
      <c r="O21" s="9" t="s">
        <v>4591</v>
      </c>
      <c r="P21" s="9" t="s">
        <v>4591</v>
      </c>
      <c r="Q21" s="9" t="s">
        <v>4591</v>
      </c>
      <c r="R21" s="9" t="s">
        <v>4591</v>
      </c>
      <c r="S21" s="9" t="s">
        <v>4591</v>
      </c>
      <c r="T21" s="14" t="s">
        <v>4591</v>
      </c>
    </row>
    <row r="22" spans="2:20" ht="12.75">
      <c r="B22" s="9"/>
      <c r="C22" s="81">
        <v>608</v>
      </c>
      <c r="D22" s="9" t="s">
        <v>4591</v>
      </c>
      <c r="E22" s="9" t="s">
        <v>4591</v>
      </c>
      <c r="F22" s="9" t="s">
        <v>4591</v>
      </c>
      <c r="G22" s="9" t="s">
        <v>4591</v>
      </c>
      <c r="H22" s="9" t="s">
        <v>4591</v>
      </c>
      <c r="I22" s="9" t="s">
        <v>4591</v>
      </c>
      <c r="J22" s="9" t="s">
        <v>4591</v>
      </c>
      <c r="K22" s="9" t="s">
        <v>4591</v>
      </c>
      <c r="L22" s="9" t="s">
        <v>4591</v>
      </c>
      <c r="M22" s="9" t="s">
        <v>4591</v>
      </c>
      <c r="N22" s="9" t="s">
        <v>4591</v>
      </c>
      <c r="O22" s="9" t="s">
        <v>4592</v>
      </c>
      <c r="P22" s="9" t="s">
        <v>4593</v>
      </c>
      <c r="Q22" s="9" t="s">
        <v>4591</v>
      </c>
      <c r="R22" s="9" t="s">
        <v>4593</v>
      </c>
      <c r="S22" s="9" t="s">
        <v>4592</v>
      </c>
      <c r="T22" s="14" t="s">
        <v>4593</v>
      </c>
    </row>
    <row r="23" spans="2:20" ht="12.75">
      <c r="B23" s="9"/>
      <c r="C23" s="81">
        <v>618</v>
      </c>
      <c r="D23" s="9" t="s">
        <v>4591</v>
      </c>
      <c r="E23" s="9" t="s">
        <v>4591</v>
      </c>
      <c r="F23" s="9" t="s">
        <v>4591</v>
      </c>
      <c r="G23" s="9" t="s">
        <v>4591</v>
      </c>
      <c r="H23" s="9" t="s">
        <v>4591</v>
      </c>
      <c r="I23" s="9" t="s">
        <v>4591</v>
      </c>
      <c r="J23" s="9" t="s">
        <v>4591</v>
      </c>
      <c r="K23" s="9" t="s">
        <v>4593</v>
      </c>
      <c r="L23" s="9" t="s">
        <v>4591</v>
      </c>
      <c r="M23" s="9" t="s">
        <v>4591</v>
      </c>
      <c r="N23" s="9" t="s">
        <v>4591</v>
      </c>
      <c r="O23" s="9" t="s">
        <v>4591</v>
      </c>
      <c r="P23" s="9" t="s">
        <v>4591</v>
      </c>
      <c r="Q23" s="9" t="s">
        <v>4591</v>
      </c>
      <c r="R23" s="9" t="s">
        <v>4591</v>
      </c>
      <c r="S23" s="9" t="s">
        <v>4591</v>
      </c>
      <c r="T23" s="14" t="s">
        <v>4591</v>
      </c>
    </row>
    <row r="24" spans="2:20" ht="12.75">
      <c r="B24" s="9"/>
      <c r="C24" s="81">
        <v>620</v>
      </c>
      <c r="D24" s="9" t="s">
        <v>4593</v>
      </c>
      <c r="E24" s="9" t="s">
        <v>4591</v>
      </c>
      <c r="F24" s="9" t="s">
        <v>4591</v>
      </c>
      <c r="G24" s="9" t="s">
        <v>4593</v>
      </c>
      <c r="H24" s="9" t="s">
        <v>4593</v>
      </c>
      <c r="I24" s="9" t="s">
        <v>4591</v>
      </c>
      <c r="J24" s="9" t="s">
        <v>4591</v>
      </c>
      <c r="K24" s="9" t="s">
        <v>4591</v>
      </c>
      <c r="L24" s="9" t="s">
        <v>4591</v>
      </c>
      <c r="M24" s="9" t="s">
        <v>4591</v>
      </c>
      <c r="N24" s="9" t="s">
        <v>4591</v>
      </c>
      <c r="O24" s="9" t="s">
        <v>4591</v>
      </c>
      <c r="P24" s="9" t="s">
        <v>4591</v>
      </c>
      <c r="Q24" s="9" t="s">
        <v>4591</v>
      </c>
      <c r="R24" s="9" t="s">
        <v>4591</v>
      </c>
      <c r="S24" s="9" t="s">
        <v>4591</v>
      </c>
      <c r="T24" s="14" t="s">
        <v>4591</v>
      </c>
    </row>
    <row r="25" spans="2:20" ht="12.75">
      <c r="B25" s="9"/>
      <c r="C25" s="81">
        <v>621</v>
      </c>
      <c r="D25" s="9" t="s">
        <v>4591</v>
      </c>
      <c r="E25" s="9" t="s">
        <v>4591</v>
      </c>
      <c r="F25" s="9" t="s">
        <v>4591</v>
      </c>
      <c r="G25" s="9" t="s">
        <v>4591</v>
      </c>
      <c r="H25" s="9" t="s">
        <v>4591</v>
      </c>
      <c r="I25" s="9" t="s">
        <v>4591</v>
      </c>
      <c r="J25" s="9" t="s">
        <v>4591</v>
      </c>
      <c r="K25" s="9" t="s">
        <v>4591</v>
      </c>
      <c r="L25" s="9" t="s">
        <v>4591</v>
      </c>
      <c r="M25" s="9" t="s">
        <v>4591</v>
      </c>
      <c r="N25" s="9" t="s">
        <v>4591</v>
      </c>
      <c r="O25" s="9" t="s">
        <v>4591</v>
      </c>
      <c r="P25" s="9" t="s">
        <v>4591</v>
      </c>
      <c r="Q25" s="9" t="s">
        <v>4591</v>
      </c>
      <c r="R25" s="9" t="s">
        <v>4591</v>
      </c>
      <c r="S25" s="9" t="s">
        <v>4591</v>
      </c>
      <c r="T25" s="14" t="s">
        <v>4591</v>
      </c>
    </row>
    <row r="26" spans="2:20" ht="12.75">
      <c r="B26" s="9"/>
      <c r="C26" s="81">
        <v>623</v>
      </c>
      <c r="D26" s="9" t="s">
        <v>4591</v>
      </c>
      <c r="E26" s="9" t="s">
        <v>4591</v>
      </c>
      <c r="F26" s="9" t="s">
        <v>4591</v>
      </c>
      <c r="G26" s="9" t="s">
        <v>4591</v>
      </c>
      <c r="H26" s="9" t="s">
        <v>4591</v>
      </c>
      <c r="I26" s="9" t="s">
        <v>4591</v>
      </c>
      <c r="J26" s="9" t="s">
        <v>4591</v>
      </c>
      <c r="K26" s="9" t="s">
        <v>4591</v>
      </c>
      <c r="L26" s="9" t="s">
        <v>4591</v>
      </c>
      <c r="M26" s="9" t="s">
        <v>4591</v>
      </c>
      <c r="N26" s="9" t="s">
        <v>4591</v>
      </c>
      <c r="O26" s="9" t="s">
        <v>4591</v>
      </c>
      <c r="P26" s="9" t="s">
        <v>4591</v>
      </c>
      <c r="Q26" s="9" t="s">
        <v>4591</v>
      </c>
      <c r="R26" s="9" t="s">
        <v>4591</v>
      </c>
      <c r="S26" s="9" t="s">
        <v>4591</v>
      </c>
      <c r="T26" s="14" t="s">
        <v>4591</v>
      </c>
    </row>
    <row r="27" spans="2:20" ht="12.75">
      <c r="B27" s="9"/>
      <c r="C27" s="81">
        <v>624</v>
      </c>
      <c r="D27" s="9" t="s">
        <v>4591</v>
      </c>
      <c r="E27" s="9" t="s">
        <v>4591</v>
      </c>
      <c r="F27" s="9" t="s">
        <v>4591</v>
      </c>
      <c r="G27" s="9" t="s">
        <v>4591</v>
      </c>
      <c r="H27" s="9" t="s">
        <v>4591</v>
      </c>
      <c r="I27" s="9" t="s">
        <v>4591</v>
      </c>
      <c r="J27" s="9" t="s">
        <v>4591</v>
      </c>
      <c r="K27" s="9" t="s">
        <v>4591</v>
      </c>
      <c r="L27" s="9" t="s">
        <v>4591</v>
      </c>
      <c r="M27" s="9" t="s">
        <v>4591</v>
      </c>
      <c r="N27" s="9" t="s">
        <v>4591</v>
      </c>
      <c r="O27" s="9" t="s">
        <v>4591</v>
      </c>
      <c r="P27" s="9" t="s">
        <v>4591</v>
      </c>
      <c r="Q27" s="9" t="s">
        <v>4591</v>
      </c>
      <c r="R27" s="9" t="s">
        <v>4591</v>
      </c>
      <c r="S27" s="9" t="s">
        <v>4591</v>
      </c>
      <c r="T27" s="14" t="s">
        <v>4591</v>
      </c>
    </row>
    <row r="28" spans="2:20" ht="12.75">
      <c r="B28" s="9"/>
      <c r="C28" s="82">
        <v>649</v>
      </c>
      <c r="D28" s="21" t="s">
        <v>4592</v>
      </c>
      <c r="E28" s="21" t="s">
        <v>4591</v>
      </c>
      <c r="F28" s="21" t="s">
        <v>4591</v>
      </c>
      <c r="G28" s="21" t="s">
        <v>4593</v>
      </c>
      <c r="H28" s="21" t="s">
        <v>4592</v>
      </c>
      <c r="I28" s="21" t="s">
        <v>4591</v>
      </c>
      <c r="J28" s="21" t="s">
        <v>4591</v>
      </c>
      <c r="K28" s="21" t="s">
        <v>4591</v>
      </c>
      <c r="L28" s="21" t="s">
        <v>4591</v>
      </c>
      <c r="M28" s="21" t="s">
        <v>4591</v>
      </c>
      <c r="N28" s="21" t="s">
        <v>4591</v>
      </c>
      <c r="O28" s="21" t="s">
        <v>4591</v>
      </c>
      <c r="P28" s="21" t="s">
        <v>4591</v>
      </c>
      <c r="Q28" s="21" t="s">
        <v>4591</v>
      </c>
      <c r="R28" s="21" t="s">
        <v>4591</v>
      </c>
      <c r="S28" s="21" t="s">
        <v>4591</v>
      </c>
      <c r="T28" s="38" t="s">
        <v>4591</v>
      </c>
    </row>
    <row r="31" spans="2:20" ht="15.75" customHeight="1" thickBot="1">
      <c r="B31" s="219" t="s">
        <v>4604</v>
      </c>
      <c r="C31" s="201"/>
      <c r="D31" s="45">
        <v>232</v>
      </c>
    </row>
    <row r="32" spans="2:20" ht="15.75" customHeight="1" thickTop="1">
      <c r="B32" s="134" t="s">
        <v>4594</v>
      </c>
      <c r="C32" s="135" t="s">
        <v>44</v>
      </c>
      <c r="D32" s="135" t="s">
        <v>110</v>
      </c>
      <c r="E32" s="136" t="s">
        <v>2</v>
      </c>
      <c r="F32" s="229" t="s">
        <v>4612</v>
      </c>
      <c r="G32" s="229"/>
      <c r="H32" s="230"/>
      <c r="I32" s="9"/>
      <c r="J32" s="9"/>
      <c r="K32" s="9"/>
      <c r="L32" s="9"/>
      <c r="M32" s="9"/>
      <c r="O32" s="9"/>
      <c r="P32" s="9"/>
    </row>
    <row r="33" spans="2:14" ht="15.75" customHeight="1">
      <c r="B33" s="137" t="s">
        <v>4590</v>
      </c>
      <c r="C33" s="93">
        <v>476</v>
      </c>
      <c r="D33" s="93" t="s">
        <v>585</v>
      </c>
      <c r="E33" s="93" t="str">
        <f>IF($B33 = "Mutant",VLOOKUP($C33,Mutants!$A$2:$L$560,12,FALSE),IF($B33 = "Test",VLOOKUP($C33,Tests!$A$2:$L$841,12,FALSE),VLOOKUP($C33,Questions!$A$3:$N$201,9,FALSE)))</f>
        <v>N</v>
      </c>
      <c r="F33" s="205" t="str">
        <f>IF($B33 = "Mutant",VLOOKUP($C33,Mutants!$A$2:$L$560,11,FALSE),IF($B33 = "Test",VLOOKUP($C33,Tests!$A$2:$L$841,11,FALSE),VLOOKUP($C33,Questions!$A$3:$N$201,13,FALSE)))</f>
        <v xml:space="preserve">
</v>
      </c>
      <c r="G33" s="205"/>
      <c r="H33" s="206"/>
      <c r="I33" s="9"/>
      <c r="J33" s="9"/>
      <c r="K33" s="9"/>
      <c r="L33" s="9"/>
      <c r="M33" s="9"/>
    </row>
    <row r="34" spans="2:14" ht="15.75" customHeight="1">
      <c r="B34" s="114" t="s">
        <v>4589</v>
      </c>
      <c r="C34" s="9">
        <v>546</v>
      </c>
      <c r="D34" s="9" t="s">
        <v>4295</v>
      </c>
      <c r="E34" s="9" t="str">
        <f>IF($B34 = "Mutant",VLOOKUP($C34,Mutants!$A$2:$L$560,12,FALSE),IF($B34 = "Test",VLOOKUP($C34,Tests!$A$2:$L$841,12,FALSE),VLOOKUP($C34,Questions!$A$3:$N$201,9,FALSE)))</f>
        <v>Y</v>
      </c>
      <c r="F34" s="187" t="str">
        <f>IF($B34 = "Mutant",VLOOKUP($C34,Mutants!$A$2:$L$560,11,FALSE),IF($B34 = "Test",VLOOKUP($C34,Tests!$A$2:$L$841,11,FALSE),VLOOKUP($C34,Questions!$A$3:$N$201,13,FALSE)))</f>
        <v xml:space="preserve">removeField
</v>
      </c>
      <c r="G34" s="187"/>
      <c r="H34" s="202"/>
      <c r="I34" s="9"/>
      <c r="J34" s="9"/>
      <c r="K34" s="9"/>
      <c r="L34" s="9"/>
      <c r="M34" s="9"/>
    </row>
    <row r="35" spans="2:14" ht="15.75" customHeight="1">
      <c r="B35" s="114" t="s">
        <v>107</v>
      </c>
      <c r="C35" s="9">
        <v>118</v>
      </c>
      <c r="D35" s="9" t="s">
        <v>545</v>
      </c>
      <c r="E35" s="9" t="str">
        <f>IF($B35 = "Mutant",VLOOKUP($C35,Mutants!$A$2:$L$560,12,FALSE),IF($B35 = "Test",VLOOKUP($C35,Tests!$A$2:$L$841,12,FALSE),VLOOKUP($C35,Questions!$A$3:$N$201,9,FALSE)))</f>
        <v>Y</v>
      </c>
      <c r="F35" s="187" t="str">
        <f>IF($B35 = "Mutant",VLOOKUP($C35,Mutants!$A$2:$L$560,11,FALSE),IF($B35 = "Test",VLOOKUP($C35,Tests!$A$2:$L$841,11,FALSE),VLOOKUP($C35,Questions!$A$3:$N$201,13,FALSE)))</f>
        <v xml:space="preserve">removeField
</v>
      </c>
      <c r="G35" s="187"/>
      <c r="H35" s="202"/>
      <c r="I35" s="9"/>
      <c r="J35" s="9"/>
      <c r="K35" s="9"/>
      <c r="L35" s="9"/>
      <c r="M35" s="9"/>
      <c r="N35" s="9"/>
    </row>
    <row r="36" spans="2:14" ht="15.75" customHeight="1">
      <c r="B36" s="114" t="s">
        <v>107</v>
      </c>
      <c r="C36" s="9">
        <v>121</v>
      </c>
      <c r="D36" s="9" t="s">
        <v>548</v>
      </c>
      <c r="E36" s="9" t="str">
        <f>IF($B36 = "Mutant",VLOOKUP($C36,Mutants!$A$2:$L$560,12,FALSE),IF($B36 = "Test",VLOOKUP($C36,Tests!$A$2:$L$841,12,FALSE),VLOOKUP($C36,Questions!$A$3:$N$201,9,FALSE)))</f>
        <v>N</v>
      </c>
      <c r="F36" s="187" t="str">
        <f>IF($B36 = "Mutant",VLOOKUP($C36,Mutants!$A$2:$L$560,11,FALSE),IF($B36 = "Test",VLOOKUP($C36,Tests!$A$2:$L$841,11,FALSE),VLOOKUP($C36,Questions!$A$3:$N$201,13,FALSE)))</f>
        <v xml:space="preserve"> </v>
      </c>
      <c r="G36" s="187"/>
      <c r="H36" s="202"/>
      <c r="I36" s="9"/>
      <c r="J36" s="9"/>
      <c r="K36" s="9"/>
      <c r="L36" s="9"/>
      <c r="M36" s="9"/>
    </row>
    <row r="37" spans="2:14" ht="15.75" customHeight="1">
      <c r="B37" s="114" t="s">
        <v>4590</v>
      </c>
      <c r="C37" s="9">
        <v>668</v>
      </c>
      <c r="D37" s="9" t="s">
        <v>2333</v>
      </c>
      <c r="E37" s="9" t="str">
        <f>IF($B37 = "Mutant",VLOOKUP($C37,Mutants!$A$2:$L$560,12,FALSE),IF($B37 = "Test",VLOOKUP($C37,Tests!$A$2:$L$841,12,FALSE),VLOOKUP($C37,Questions!$A$3:$N$201,9,FALSE)))</f>
        <v>N</v>
      </c>
      <c r="F37" s="187" t="str">
        <f>IF($B37 = "Mutant",VLOOKUP($C37,Mutants!$A$2:$L$560,11,FALSE),IF($B37 = "Test",VLOOKUP($C37,Tests!$A$2:$L$841,11,FALSE),VLOOKUP($C37,Questions!$A$3:$N$201,13,FALSE)))</f>
        <v xml:space="preserve">
</v>
      </c>
      <c r="G37" s="187"/>
      <c r="H37" s="202"/>
      <c r="I37" s="9"/>
      <c r="J37" s="9"/>
      <c r="K37" s="9"/>
      <c r="L37" s="9"/>
      <c r="M37" s="9"/>
    </row>
    <row r="38" spans="2:14" ht="15.75" customHeight="1">
      <c r="B38" s="114" t="s">
        <v>4590</v>
      </c>
      <c r="C38" s="9">
        <v>700</v>
      </c>
      <c r="D38" s="9" t="s">
        <v>658</v>
      </c>
      <c r="E38" s="9" t="str">
        <f>IF($B38 = "Mutant",VLOOKUP($C38,Mutants!$A$2:$L$560,12,FALSE),IF($B38 = "Test",VLOOKUP($C38,Tests!$A$2:$L$841,12,FALSE),VLOOKUP($C38,Questions!$A$3:$N$201,9,FALSE)))</f>
        <v>Y</v>
      </c>
      <c r="F38" s="187" t="str">
        <f>IF($B38 = "Mutant",VLOOKUP($C38,Mutants!$A$2:$L$560,11,FALSE),IF($B38 = "Test",VLOOKUP($C38,Tests!$A$2:$L$841,11,FALSE),VLOOKUP($C38,Questions!$A$3:$N$201,13,FALSE)))</f>
        <v xml:space="preserve">add, getFields_2
</v>
      </c>
      <c r="G38" s="187"/>
      <c r="H38" s="202"/>
      <c r="I38" s="9"/>
      <c r="J38" s="9"/>
      <c r="K38" s="9"/>
      <c r="L38" s="9"/>
      <c r="M38" s="9"/>
    </row>
    <row r="39" spans="2:14" ht="15.75" customHeight="1">
      <c r="B39" s="114" t="s">
        <v>107</v>
      </c>
      <c r="C39" s="9">
        <v>164</v>
      </c>
      <c r="D39" s="9" t="s">
        <v>549</v>
      </c>
      <c r="E39" s="9" t="str">
        <f>IF($B39 = "Mutant",VLOOKUP($C39,Mutants!$A$2:$L$560,12,FALSE),IF($B39 = "Test",VLOOKUP($C39,Tests!$A$2:$L$841,12,FALSE),VLOOKUP($C39,Questions!$A$3:$N$201,9,FALSE)))</f>
        <v>Y</v>
      </c>
      <c r="F39" s="187" t="str">
        <f>IF($B39 = "Mutant",VLOOKUP($C39,Mutants!$A$2:$L$560,11,FALSE),IF($B39 = "Test",VLOOKUP($C39,Tests!$A$2:$L$841,11,FALSE),VLOOKUP($C39,Questions!$A$3:$N$201,13,FALSE)))</f>
        <v xml:space="preserve">removeField
</v>
      </c>
      <c r="G39" s="187"/>
      <c r="H39" s="202"/>
      <c r="I39" s="9"/>
      <c r="J39" s="9"/>
      <c r="K39" s="9"/>
      <c r="L39" s="9"/>
      <c r="M39" s="9"/>
      <c r="N39" s="9"/>
    </row>
    <row r="40" spans="2:14" ht="15.75" customHeight="1">
      <c r="B40" s="114" t="s">
        <v>4589</v>
      </c>
      <c r="C40" s="9">
        <v>618</v>
      </c>
      <c r="D40" s="9" t="s">
        <v>2627</v>
      </c>
      <c r="E40" s="9" t="str">
        <f>IF($B40 = "Mutant",VLOOKUP($C40,Mutants!$A$2:$L$560,12,FALSE),IF($B40 = "Test",VLOOKUP($C40,Tests!$A$2:$L$841,12,FALSE),VLOOKUP($C40,Questions!$A$3:$N$201,9,FALSE)))</f>
        <v>Y</v>
      </c>
      <c r="F40" s="187" t="str">
        <f>IF($B40 = "Mutant",VLOOKUP($C40,Mutants!$A$2:$L$560,11,FALSE),IF($B40 = "Test",VLOOKUP($C40,Tests!$A$2:$L$841,11,FALSE),VLOOKUP($C40,Questions!$A$3:$N$201,13,FALSE)))</f>
        <v xml:space="preserve">removeFields
</v>
      </c>
      <c r="G40" s="187"/>
      <c r="H40" s="202"/>
      <c r="I40" s="9"/>
      <c r="J40" s="9"/>
      <c r="K40" s="9"/>
      <c r="L40" s="9"/>
      <c r="M40" s="9"/>
    </row>
    <row r="41" spans="2:14" ht="15.75" customHeight="1">
      <c r="B41" s="114" t="s">
        <v>4589</v>
      </c>
      <c r="C41" s="9">
        <v>621</v>
      </c>
      <c r="D41" s="9" t="s">
        <v>4489</v>
      </c>
      <c r="E41" s="9" t="str">
        <f>IF($B41 = "Mutant",VLOOKUP($C41,Mutants!$A$2:$L$560,12,FALSE),IF($B41 = "Test",VLOOKUP($C41,Tests!$A$2:$L$841,12,FALSE),VLOOKUP($C41,Questions!$A$3:$N$201,9,FALSE)))</f>
        <v>Y</v>
      </c>
      <c r="F41" s="187" t="str">
        <f>IF($B41 = "Mutant",VLOOKUP($C41,Mutants!$A$2:$L$560,11,FALSE),IF($B41 = "Test",VLOOKUP($C41,Tests!$A$2:$L$841,11,FALSE),VLOOKUP($C41,Questions!$A$3:$N$201,13,FALSE)))</f>
        <v xml:space="preserve">getBinaryValues
</v>
      </c>
      <c r="G41" s="187"/>
      <c r="H41" s="202"/>
      <c r="I41" s="9"/>
      <c r="J41" s="9"/>
      <c r="K41" s="9"/>
      <c r="L41" s="9"/>
      <c r="M41" s="9"/>
    </row>
    <row r="42" spans="2:14" ht="15.75" customHeight="1">
      <c r="B42" s="114" t="s">
        <v>4589</v>
      </c>
      <c r="C42" s="9">
        <v>624</v>
      </c>
      <c r="D42" s="9" t="s">
        <v>4497</v>
      </c>
      <c r="E42" s="9" t="str">
        <f>IF($B42 = "Mutant",VLOOKUP($C42,Mutants!$A$2:$L$560,12,FALSE),IF($B42 = "Test",VLOOKUP($C42,Tests!$A$2:$L$841,12,FALSE),VLOOKUP($C42,Questions!$A$3:$N$201,9,FALSE)))</f>
        <v>Y</v>
      </c>
      <c r="F42" s="187" t="str">
        <f>IF($B42 = "Mutant",VLOOKUP($C42,Mutants!$A$2:$L$560,11,FALSE),IF($B42 = "Test",VLOOKUP($C42,Tests!$A$2:$L$841,11,FALSE),VLOOKUP($C42,Questions!$A$3:$N$201,13,FALSE)))</f>
        <v xml:space="preserve">getBinaryValues
</v>
      </c>
      <c r="G42" s="187"/>
      <c r="H42" s="202"/>
      <c r="I42" s="9"/>
      <c r="J42" s="9"/>
      <c r="K42" s="9"/>
      <c r="L42" s="9"/>
      <c r="M42" s="9"/>
    </row>
    <row r="43" spans="2:14" ht="15.75" customHeight="1">
      <c r="B43" s="114" t="s">
        <v>107</v>
      </c>
      <c r="C43" s="9">
        <v>179</v>
      </c>
      <c r="D43" s="9" t="s">
        <v>552</v>
      </c>
      <c r="E43" s="9" t="str">
        <f>IF($B43 = "Mutant",VLOOKUP($C43,Mutants!$A$2:$L$560,12,FALSE),IF($B43 = "Test",VLOOKUP($C43,Tests!$A$2:$L$841,12,FALSE),VLOOKUP($C43,Questions!$A$3:$N$201,9,FALSE)))</f>
        <v>Y</v>
      </c>
      <c r="F43" s="187" t="str">
        <f>IF($B43 = "Mutant",VLOOKUP($C43,Mutants!$A$2:$L$560,11,FALSE),IF($B43 = "Test",VLOOKUP($C43,Tests!$A$2:$L$841,11,FALSE),VLOOKUP($C43,Questions!$A$3:$N$201,13,FALSE)))</f>
        <v xml:space="preserve">getField
</v>
      </c>
      <c r="G43" s="187"/>
      <c r="H43" s="202"/>
      <c r="I43" s="9"/>
      <c r="J43" s="9"/>
      <c r="K43" s="9"/>
      <c r="L43" s="9"/>
      <c r="M43" s="9"/>
      <c r="N43" s="9"/>
    </row>
    <row r="44" spans="2:14" ht="15.75" customHeight="1">
      <c r="B44" s="114" t="s">
        <v>107</v>
      </c>
      <c r="C44" s="9">
        <v>183</v>
      </c>
      <c r="D44" s="9" t="s">
        <v>555</v>
      </c>
      <c r="E44" s="9" t="str">
        <f>IF($B44 = "Mutant",VLOOKUP($C44,Mutants!$A$2:$L$560,12,FALSE),IF($B44 = "Test",VLOOKUP($C44,Tests!$A$2:$L$841,12,FALSE),VLOOKUP($C44,Questions!$A$3:$N$201,9,FALSE)))</f>
        <v>N</v>
      </c>
      <c r="F44" s="187" t="str">
        <f>IF($B44 = "Mutant",VLOOKUP($C44,Mutants!$A$2:$L$560,11,FALSE),IF($B44 = "Test",VLOOKUP($C44,Tests!$A$2:$L$841,11,FALSE),VLOOKUP($C44,Questions!$A$3:$N$201,13,FALSE)))</f>
        <v xml:space="preserve"> </v>
      </c>
      <c r="G44" s="187"/>
      <c r="H44" s="202"/>
      <c r="I44" s="9"/>
      <c r="J44" s="9"/>
      <c r="K44" s="9"/>
      <c r="L44" s="9"/>
      <c r="M44" s="9"/>
    </row>
    <row r="45" spans="2:14" ht="15.75" customHeight="1">
      <c r="B45" s="114" t="s">
        <v>4590</v>
      </c>
      <c r="C45" s="9">
        <v>900</v>
      </c>
      <c r="D45" s="9" t="s">
        <v>2968</v>
      </c>
      <c r="E45" s="9" t="str">
        <f>IF($B45 = "Mutant",VLOOKUP($C45,Mutants!$A$2:$L$560,12,FALSE),IF($B45 = "Test",VLOOKUP($C45,Tests!$A$2:$L$841,12,FALSE),VLOOKUP($C45,Questions!$A$3:$N$201,9,FALSE)))</f>
        <v>Y</v>
      </c>
      <c r="F45" s="187" t="str">
        <f>IF($B45 = "Mutant",VLOOKUP($C45,Mutants!$A$2:$L$560,11,FALSE),IF($B45 = "Test",VLOOKUP($C45,Tests!$A$2:$L$841,11,FALSE),VLOOKUP($C45,Questions!$A$3:$N$201,13,FALSE)))</f>
        <v xml:space="preserve">add, getField
</v>
      </c>
      <c r="G45" s="187"/>
      <c r="H45" s="202"/>
      <c r="I45" s="9"/>
      <c r="J45" s="9"/>
      <c r="K45" s="9"/>
      <c r="L45" s="9"/>
      <c r="M45" s="9"/>
    </row>
    <row r="46" spans="2:14" ht="15.75" customHeight="1">
      <c r="B46" s="133" t="s">
        <v>4590</v>
      </c>
      <c r="C46" s="130">
        <v>915</v>
      </c>
      <c r="D46" s="130" t="s">
        <v>3013</v>
      </c>
      <c r="E46" s="130" t="str">
        <f>IF($B46 = "Mutant",VLOOKUP($C46,Mutants!$A$2:$L$560,12,FALSE),IF($B46 = "Test",VLOOKUP($C46,Tests!$A$2:$L$841,12,FALSE),VLOOKUP($C46,Questions!$A$3:$N$201,9,FALSE)))</f>
        <v>Y</v>
      </c>
      <c r="F46" s="203" t="str">
        <f>IF($B46 = "Mutant",VLOOKUP($C46,Mutants!$A$2:$L$560,11,FALSE),IF($B46 = "Test",VLOOKUP($C46,Tests!$A$2:$L$841,11,FALSE),VLOOKUP($C46,Questions!$A$3:$N$201,13,FALSE)))</f>
        <v xml:space="preserve">add, getField
</v>
      </c>
      <c r="G46" s="203"/>
      <c r="H46" s="204"/>
      <c r="I46" s="9"/>
      <c r="J46" s="9"/>
      <c r="K46" s="9"/>
      <c r="L46" s="9"/>
      <c r="M46" s="9"/>
    </row>
    <row r="47" spans="2:14" ht="15.75" customHeight="1">
      <c r="F47" s="188"/>
      <c r="G47" s="188"/>
      <c r="H47" s="188"/>
    </row>
    <row r="48" spans="2:14" ht="15.75" customHeight="1">
      <c r="F48" s="188"/>
      <c r="G48" s="188"/>
      <c r="H48" s="188"/>
    </row>
    <row r="49" spans="2:13" ht="15.75" customHeight="1" thickBot="1">
      <c r="B49" s="219" t="s">
        <v>4604</v>
      </c>
      <c r="C49" s="201"/>
      <c r="D49" s="45">
        <v>234</v>
      </c>
      <c r="F49" s="207"/>
      <c r="G49" s="207"/>
      <c r="H49" s="207"/>
    </row>
    <row r="50" spans="2:13" ht="15.75" customHeight="1" thickTop="1">
      <c r="B50" s="134" t="s">
        <v>4594</v>
      </c>
      <c r="C50" s="135" t="s">
        <v>44</v>
      </c>
      <c r="D50" s="135" t="s">
        <v>110</v>
      </c>
      <c r="E50" s="136" t="s">
        <v>2</v>
      </c>
      <c r="F50" s="229" t="s">
        <v>4612</v>
      </c>
      <c r="G50" s="229"/>
      <c r="H50" s="230"/>
      <c r="I50" s="9"/>
      <c r="J50" s="9"/>
      <c r="K50" s="9"/>
      <c r="L50" s="9"/>
      <c r="M50" s="9"/>
    </row>
    <row r="51" spans="2:13" ht="15.75" customHeight="1">
      <c r="B51" s="137" t="s">
        <v>4589</v>
      </c>
      <c r="C51" s="93">
        <v>502</v>
      </c>
      <c r="D51" s="93" t="s">
        <v>4187</v>
      </c>
      <c r="E51" s="93" t="str">
        <f>IF($B51 = "Mutant",VLOOKUP($C51,Mutants!$A$2:$L$560,12,FALSE),IF($B51 = "Test",VLOOKUP($C51,Tests!$A$2:$L$841,12,FALSE),VLOOKUP($C51,Questions!$A$3:$N$201,9,FALSE)))</f>
        <v>Y</v>
      </c>
      <c r="F51" s="205" t="str">
        <f>IF($B51 = "Mutant",VLOOKUP($C51,Mutants!$A$2:$L$560,11,FALSE),IF($B51 = "Test",VLOOKUP($C51,Tests!$A$2:$L$841,11,FALSE),VLOOKUP($C51,Questions!$A$3:$N$201,13,FALSE)))</f>
        <v xml:space="preserve">removeField
</v>
      </c>
      <c r="G51" s="205"/>
      <c r="H51" s="206"/>
      <c r="I51" s="9"/>
      <c r="J51" s="9"/>
      <c r="K51" s="9"/>
      <c r="L51" s="9"/>
      <c r="M51" s="9"/>
    </row>
    <row r="52" spans="2:13" ht="15.75" customHeight="1">
      <c r="B52" s="114" t="s">
        <v>4589</v>
      </c>
      <c r="C52" s="9">
        <v>511</v>
      </c>
      <c r="D52" s="9" t="s">
        <v>4207</v>
      </c>
      <c r="E52" s="9" t="str">
        <f>IF($B52 = "Mutant",VLOOKUP($C52,Mutants!$A$2:$L$560,12,FALSE),IF($B52 = "Test",VLOOKUP($C52,Tests!$A$2:$L$841,12,FALSE),VLOOKUP($C52,Questions!$A$3:$N$201,9,FALSE)))</f>
        <v>Y</v>
      </c>
      <c r="F52" s="187" t="str">
        <f>IF($B52 = "Mutant",VLOOKUP($C52,Mutants!$A$2:$L$560,11,FALSE),IF($B52 = "Test",VLOOKUP($C52,Tests!$A$2:$L$841,11,FALSE),VLOOKUP($C52,Questions!$A$3:$N$201,13,FALSE)))</f>
        <v xml:space="preserve">removeField
</v>
      </c>
      <c r="G52" s="187"/>
      <c r="H52" s="202"/>
      <c r="I52" s="9"/>
      <c r="J52" s="9"/>
      <c r="K52" s="9"/>
      <c r="L52" s="9"/>
      <c r="M52" s="9"/>
    </row>
    <row r="53" spans="2:13" ht="15.75" customHeight="1">
      <c r="B53" s="114" t="s">
        <v>4590</v>
      </c>
      <c r="C53" s="9">
        <v>546</v>
      </c>
      <c r="D53" s="9" t="s">
        <v>1982</v>
      </c>
      <c r="E53" s="9" t="str">
        <f>IF($B53 = "Mutant",VLOOKUP($C53,Mutants!$A$2:$L$560,12,FALSE),IF($B53 = "Test",VLOOKUP($C53,Tests!$A$2:$L$841,12,FALSE),VLOOKUP($C53,Questions!$A$3:$N$201,9,FALSE)))</f>
        <v>N</v>
      </c>
      <c r="F53" s="187" t="str">
        <f>IF($B53 = "Mutant",VLOOKUP($C53,Mutants!$A$2:$L$560,11,FALSE),IF($B53 = "Test",VLOOKUP($C53,Tests!$A$2:$L$841,11,FALSE),VLOOKUP($C53,Questions!$A$3:$N$201,13,FALSE)))</f>
        <v xml:space="preserve">
</v>
      </c>
      <c r="G53" s="187"/>
      <c r="H53" s="202"/>
      <c r="I53" s="9"/>
      <c r="J53" s="9"/>
      <c r="K53" s="9"/>
      <c r="L53" s="9"/>
      <c r="M53" s="9"/>
    </row>
    <row r="54" spans="2:13" ht="15.75" customHeight="1">
      <c r="B54" s="114" t="s">
        <v>4590</v>
      </c>
      <c r="C54" s="9">
        <v>550</v>
      </c>
      <c r="D54" s="9" t="s">
        <v>548</v>
      </c>
      <c r="E54" s="9" t="str">
        <f>IF($B54 = "Mutant",VLOOKUP($C54,Mutants!$A$2:$L$560,12,FALSE),IF($B54 = "Test",VLOOKUP($C54,Tests!$A$2:$L$841,12,FALSE),VLOOKUP($C54,Questions!$A$3:$N$201,9,FALSE)))</f>
        <v>N</v>
      </c>
      <c r="F54" s="187" t="str">
        <f>IF($B54 = "Mutant",VLOOKUP($C54,Mutants!$A$2:$L$560,11,FALSE),IF($B54 = "Test",VLOOKUP($C54,Tests!$A$2:$L$841,11,FALSE),VLOOKUP($C54,Questions!$A$3:$N$201,13,FALSE)))</f>
        <v xml:space="preserve">
</v>
      </c>
      <c r="G54" s="187"/>
      <c r="H54" s="202"/>
      <c r="I54" s="9"/>
      <c r="J54" s="9"/>
      <c r="K54" s="9"/>
      <c r="L54" s="9"/>
      <c r="M54" s="9"/>
    </row>
    <row r="55" spans="2:13" ht="15.75" customHeight="1">
      <c r="B55" s="114" t="s">
        <v>4590</v>
      </c>
      <c r="C55" s="9">
        <v>568</v>
      </c>
      <c r="D55" s="9" t="s">
        <v>2049</v>
      </c>
      <c r="E55" s="9" t="str">
        <f>IF($B55 = "Mutant",VLOOKUP($C55,Mutants!$A$2:$L$560,12,FALSE),IF($B55 = "Test",VLOOKUP($C55,Tests!$A$2:$L$841,12,FALSE),VLOOKUP($C55,Questions!$A$3:$N$201,9,FALSE)))</f>
        <v>Y</v>
      </c>
      <c r="F55" s="187" t="str">
        <f>IF($B55 = "Mutant",VLOOKUP($C55,Mutants!$A$2:$L$560,11,FALSE),IF($B55 = "Test",VLOOKUP($C55,Tests!$A$2:$L$841,11,FALSE),VLOOKUP($C55,Questions!$A$3:$N$201,13,FALSE)))</f>
        <v xml:space="preserve">add, getFields_1
</v>
      </c>
      <c r="G55" s="187"/>
      <c r="H55" s="202"/>
      <c r="I55" s="9"/>
      <c r="J55" s="9"/>
      <c r="K55" s="9"/>
      <c r="L55" s="9"/>
      <c r="M55" s="9"/>
    </row>
    <row r="56" spans="2:13" ht="15.75" customHeight="1">
      <c r="B56" s="114" t="s">
        <v>4590</v>
      </c>
      <c r="C56" s="9">
        <v>578</v>
      </c>
      <c r="D56" s="9" t="s">
        <v>2077</v>
      </c>
      <c r="E56" s="9" t="str">
        <f>IF($B56 = "Mutant",VLOOKUP($C56,Mutants!$A$2:$L$560,12,FALSE),IF($B56 = "Test",VLOOKUP($C56,Tests!$A$2:$L$841,12,FALSE),VLOOKUP($C56,Questions!$A$3:$N$201,9,FALSE)))</f>
        <v>Y</v>
      </c>
      <c r="F56" s="187" t="str">
        <f>IF($B56 = "Mutant",VLOOKUP($C56,Mutants!$A$2:$L$560,11,FALSE),IF($B56 = "Test",VLOOKUP($C56,Tests!$A$2:$L$841,11,FALSE),VLOOKUP($C56,Questions!$A$3:$N$201,13,FALSE)))</f>
        <v xml:space="preserve">add, removeField, getFields_1
</v>
      </c>
      <c r="G56" s="187"/>
      <c r="H56" s="202"/>
      <c r="I56" s="9"/>
      <c r="J56" s="9"/>
      <c r="K56" s="9"/>
      <c r="L56" s="9"/>
      <c r="M56" s="9"/>
    </row>
    <row r="57" spans="2:13" ht="15.75" customHeight="1">
      <c r="B57" s="114" t="s">
        <v>4589</v>
      </c>
      <c r="C57" s="9">
        <v>569</v>
      </c>
      <c r="D57" s="9" t="s">
        <v>2107</v>
      </c>
      <c r="E57" s="9" t="str">
        <f>IF($B57 = "Mutant",VLOOKUP($C57,Mutants!$A$2:$L$560,12,FALSE),IF($B57 = "Test",VLOOKUP($C57,Tests!$A$2:$L$841,12,FALSE),VLOOKUP($C57,Questions!$A$3:$N$201,9,FALSE)))</f>
        <v>Y</v>
      </c>
      <c r="F57" s="187" t="str">
        <f>IF($B57 = "Mutant",VLOOKUP($C57,Mutants!$A$2:$L$560,11,FALSE),IF($B57 = "Test",VLOOKUP($C57,Tests!$A$2:$L$841,11,FALSE),VLOOKUP($C57,Questions!$A$3:$N$201,13,FALSE)))</f>
        <v xml:space="preserve">removeFields
</v>
      </c>
      <c r="G57" s="187"/>
      <c r="H57" s="202"/>
      <c r="I57" s="9"/>
      <c r="J57" s="9"/>
      <c r="K57" s="9"/>
      <c r="L57" s="9"/>
      <c r="M57" s="9"/>
    </row>
    <row r="58" spans="2:13" ht="15.75" customHeight="1">
      <c r="B58" s="114" t="s">
        <v>4589</v>
      </c>
      <c r="C58" s="9">
        <v>574</v>
      </c>
      <c r="D58" s="9" t="s">
        <v>2125</v>
      </c>
      <c r="E58" s="9" t="str">
        <f>IF($B58 = "Mutant",VLOOKUP($C58,Mutants!$A$2:$L$560,12,FALSE),IF($B58 = "Test",VLOOKUP($C58,Tests!$A$2:$L$841,12,FALSE),VLOOKUP($C58,Questions!$A$3:$N$201,9,FALSE)))</f>
        <v>Y</v>
      </c>
      <c r="F58" s="187" t="str">
        <f>IF($B58 = "Mutant",VLOOKUP($C58,Mutants!$A$2:$L$560,11,FALSE),IF($B58 = "Test",VLOOKUP($C58,Tests!$A$2:$L$841,11,FALSE),VLOOKUP($C58,Questions!$A$3:$N$201,13,FALSE)))</f>
        <v xml:space="preserve">getValues
</v>
      </c>
      <c r="G58" s="187"/>
      <c r="H58" s="202"/>
      <c r="I58" s="9"/>
      <c r="J58" s="9"/>
      <c r="K58" s="9"/>
      <c r="L58" s="9"/>
      <c r="M58" s="9"/>
    </row>
    <row r="59" spans="2:13" ht="15.75" customHeight="1">
      <c r="B59" s="114" t="s">
        <v>4589</v>
      </c>
      <c r="C59" s="9">
        <v>575</v>
      </c>
      <c r="D59" s="9" t="s">
        <v>2151</v>
      </c>
      <c r="E59" s="9" t="str">
        <f>IF($B59 = "Mutant",VLOOKUP($C59,Mutants!$A$2:$L$560,12,FALSE),IF($B59 = "Test",VLOOKUP($C59,Tests!$A$2:$L$841,12,FALSE),VLOOKUP($C59,Questions!$A$3:$N$201,9,FALSE)))</f>
        <v>Y</v>
      </c>
      <c r="F59" s="187" t="str">
        <f>IF($B59 = "Mutant",VLOOKUP($C59,Mutants!$A$2:$L$560,11,FALSE),IF($B59 = "Test",VLOOKUP($C59,Tests!$A$2:$L$841,11,FALSE),VLOOKUP($C59,Questions!$A$3:$N$201,13,FALSE)))</f>
        <v xml:space="preserve">toString
</v>
      </c>
      <c r="G59" s="187"/>
      <c r="H59" s="202"/>
      <c r="I59" s="9"/>
      <c r="J59" s="9"/>
      <c r="K59" s="9"/>
      <c r="L59" s="9"/>
      <c r="M59" s="9"/>
    </row>
    <row r="60" spans="2:13" ht="15.75" customHeight="1">
      <c r="B60" s="114" t="s">
        <v>4589</v>
      </c>
      <c r="C60" s="9">
        <v>578</v>
      </c>
      <c r="D60" s="9" t="s">
        <v>4380</v>
      </c>
      <c r="E60" s="9" t="str">
        <f>IF($B60 = "Mutant",VLOOKUP($C60,Mutants!$A$2:$L$560,12,FALSE),IF($B60 = "Test",VLOOKUP($C60,Tests!$A$2:$L$841,12,FALSE),VLOOKUP($C60,Questions!$A$3:$N$201,9,FALSE)))</f>
        <v>Y</v>
      </c>
      <c r="F60" s="187" t="str">
        <f>IF($B60 = "Mutant",VLOOKUP($C60,Mutants!$A$2:$L$560,11,FALSE),IF($B60 = "Test",VLOOKUP($C60,Tests!$A$2:$L$841,11,FALSE),VLOOKUP($C60,Questions!$A$3:$N$201,13,FALSE)))</f>
        <v xml:space="preserve">toString
</v>
      </c>
      <c r="G60" s="187"/>
      <c r="H60" s="202"/>
      <c r="I60" s="9"/>
      <c r="J60" s="9"/>
      <c r="K60" s="9"/>
      <c r="L60" s="9"/>
      <c r="M60" s="9"/>
    </row>
    <row r="61" spans="2:13" ht="15.75" customHeight="1">
      <c r="B61" s="114" t="s">
        <v>4590</v>
      </c>
      <c r="C61" s="9">
        <v>621</v>
      </c>
      <c r="D61" s="9" t="s">
        <v>2196</v>
      </c>
      <c r="E61" s="9" t="str">
        <f>IF($B61 = "Mutant",VLOOKUP($C61,Mutants!$A$2:$L$560,12,FALSE),IF($B61 = "Test",VLOOKUP($C61,Tests!$A$2:$L$841,12,FALSE),VLOOKUP($C61,Questions!$A$3:$N$201,9,FALSE)))</f>
        <v>N</v>
      </c>
      <c r="F61" s="187" t="str">
        <f>IF($B61 = "Mutant",VLOOKUP($C61,Mutants!$A$2:$L$560,11,FALSE),IF($B61 = "Test",VLOOKUP($C61,Tests!$A$2:$L$841,11,FALSE),VLOOKUP($C61,Questions!$A$3:$N$201,13,FALSE)))</f>
        <v xml:space="preserve">
</v>
      </c>
      <c r="G61" s="187"/>
      <c r="H61" s="202"/>
      <c r="I61" s="9"/>
      <c r="J61" s="9"/>
      <c r="K61" s="9"/>
      <c r="L61" s="9"/>
      <c r="M61" s="9"/>
    </row>
    <row r="62" spans="2:13" ht="15.75" customHeight="1">
      <c r="B62" s="114" t="s">
        <v>4590</v>
      </c>
      <c r="C62" s="9">
        <v>661</v>
      </c>
      <c r="D62" s="9" t="s">
        <v>2316</v>
      </c>
      <c r="E62" s="9" t="str">
        <f>IF($B62 = "Mutant",VLOOKUP($C62,Mutants!$A$2:$L$560,12,FALSE),IF($B62 = "Test",VLOOKUP($C62,Tests!$A$2:$L$841,12,FALSE),VLOOKUP($C62,Questions!$A$3:$N$201,9,FALSE)))</f>
        <v>N</v>
      </c>
      <c r="F62" s="187" t="str">
        <f>IF($B62 = "Mutant",VLOOKUP($C62,Mutants!$A$2:$L$560,11,FALSE),IF($B62 = "Test",VLOOKUP($C62,Tests!$A$2:$L$841,11,FALSE),VLOOKUP($C62,Questions!$A$3:$N$201,13,FALSE)))</f>
        <v xml:space="preserve">
</v>
      </c>
      <c r="G62" s="187"/>
      <c r="H62" s="202"/>
      <c r="I62" s="9"/>
      <c r="J62" s="9"/>
      <c r="K62" s="9"/>
      <c r="L62" s="9"/>
      <c r="M62" s="9"/>
    </row>
    <row r="63" spans="2:13" ht="15.75" customHeight="1">
      <c r="B63" s="114" t="s">
        <v>4590</v>
      </c>
      <c r="C63" s="9">
        <v>665</v>
      </c>
      <c r="D63" s="9" t="s">
        <v>453</v>
      </c>
      <c r="E63" s="9" t="str">
        <f>IF($B63 = "Mutant",VLOOKUP($C63,Mutants!$A$2:$L$560,12,FALSE),IF($B63 = "Test",VLOOKUP($C63,Tests!$A$2:$L$841,12,FALSE),VLOOKUP($C63,Questions!$A$3:$N$201,9,FALSE)))</f>
        <v>Y</v>
      </c>
      <c r="F63" s="187" t="str">
        <f>IF($B63 = "Mutant",VLOOKUP($C63,Mutants!$A$2:$L$560,11,FALSE),IF($B63 = "Test",VLOOKUP($C63,Tests!$A$2:$L$841,11,FALSE),VLOOKUP($C63,Questions!$A$3:$N$201,13,FALSE)))</f>
        <v xml:space="preserve">add, removeField
</v>
      </c>
      <c r="G63" s="187"/>
      <c r="H63" s="202"/>
      <c r="I63" s="9"/>
      <c r="J63" s="9"/>
      <c r="K63" s="9"/>
      <c r="L63" s="9"/>
      <c r="M63" s="9"/>
    </row>
    <row r="64" spans="2:13" ht="15.75" customHeight="1">
      <c r="B64" s="114" t="s">
        <v>4590</v>
      </c>
      <c r="C64" s="9">
        <v>679</v>
      </c>
      <c r="D64" s="9" t="s">
        <v>2359</v>
      </c>
      <c r="E64" s="9" t="str">
        <f>IF($B64 = "Mutant",VLOOKUP($C64,Mutants!$A$2:$L$560,12,FALSE),IF($B64 = "Test",VLOOKUP($C64,Tests!$A$2:$L$841,12,FALSE),VLOOKUP($C64,Questions!$A$3:$N$201,9,FALSE)))</f>
        <v>N</v>
      </c>
      <c r="F64" s="187" t="str">
        <f>IF($B64 = "Mutant",VLOOKUP($C64,Mutants!$A$2:$L$560,11,FALSE),IF($B64 = "Test",VLOOKUP($C64,Tests!$A$2:$L$841,11,FALSE),VLOOKUP($C64,Questions!$A$3:$N$201,13,FALSE)))</f>
        <v xml:space="preserve">
</v>
      </c>
      <c r="G64" s="187"/>
      <c r="H64" s="202"/>
      <c r="I64" s="9"/>
      <c r="J64" s="9"/>
      <c r="K64" s="9"/>
      <c r="L64" s="9"/>
      <c r="M64" s="9"/>
    </row>
    <row r="65" spans="2:13" ht="15.75" customHeight="1">
      <c r="B65" s="114" t="s">
        <v>4590</v>
      </c>
      <c r="C65" s="9">
        <v>698</v>
      </c>
      <c r="D65" s="9" t="s">
        <v>2407</v>
      </c>
      <c r="E65" s="9" t="str">
        <f>IF($B65 = "Mutant",VLOOKUP($C65,Mutants!$A$2:$L$560,12,FALSE),IF($B65 = "Test",VLOOKUP($C65,Tests!$A$2:$L$841,12,FALSE),VLOOKUP($C65,Questions!$A$3:$N$201,9,FALSE)))</f>
        <v>Y</v>
      </c>
      <c r="F65" s="187" t="str">
        <f>IF($B65 = "Mutant",VLOOKUP($C65,Mutants!$A$2:$L$560,11,FALSE),IF($B65 = "Test",VLOOKUP($C65,Tests!$A$2:$L$841,11,FALSE),VLOOKUP($C65,Questions!$A$3:$N$201,13,FALSE)))</f>
        <v xml:space="preserve">add, removeField
</v>
      </c>
      <c r="G65" s="187"/>
      <c r="H65" s="202"/>
      <c r="I65" s="9"/>
      <c r="J65" s="9"/>
      <c r="K65" s="9"/>
      <c r="L65" s="9"/>
      <c r="M65" s="9"/>
    </row>
    <row r="66" spans="2:13" ht="15.75" customHeight="1">
      <c r="B66" s="114" t="s">
        <v>4590</v>
      </c>
      <c r="C66" s="9">
        <v>717</v>
      </c>
      <c r="D66" s="9" t="s">
        <v>2454</v>
      </c>
      <c r="E66" s="9" t="str">
        <f>IF($B66 = "Mutant",VLOOKUP($C66,Mutants!$A$2:$L$560,12,FALSE),IF($B66 = "Test",VLOOKUP($C66,Tests!$A$2:$L$841,12,FALSE),VLOOKUP($C66,Questions!$A$3:$N$201,9,FALSE)))</f>
        <v>Y</v>
      </c>
      <c r="F66" s="187" t="str">
        <f>IF($B66 = "Mutant",VLOOKUP($C66,Mutants!$A$2:$L$560,11,FALSE),IF($B66 = "Test",VLOOKUP($C66,Tests!$A$2:$L$841,11,FALSE),VLOOKUP($C66,Questions!$A$3:$N$201,13,FALSE)))</f>
        <v xml:space="preserve">add, removeField, getFields_1
</v>
      </c>
      <c r="G66" s="187"/>
      <c r="H66" s="202"/>
      <c r="I66" s="9"/>
      <c r="J66" s="9"/>
      <c r="K66" s="9"/>
      <c r="L66" s="9"/>
      <c r="M66" s="9"/>
    </row>
    <row r="67" spans="2:13" ht="15.75" customHeight="1">
      <c r="B67" s="114" t="s">
        <v>4590</v>
      </c>
      <c r="C67" s="9">
        <v>728</v>
      </c>
      <c r="D67" s="9" t="s">
        <v>2489</v>
      </c>
      <c r="E67" s="9" t="str">
        <f>IF($B67 = "Mutant",VLOOKUP($C67,Mutants!$A$2:$L$560,12,FALSE),IF($B67 = "Test",VLOOKUP($C67,Tests!$A$2:$L$841,12,FALSE),VLOOKUP($C67,Questions!$A$3:$N$201,9,FALSE)))</f>
        <v>Y</v>
      </c>
      <c r="F67" s="187" t="str">
        <f>IF($B67 = "Mutant",VLOOKUP($C67,Mutants!$A$2:$L$560,11,FALSE),IF($B67 = "Test",VLOOKUP($C67,Tests!$A$2:$L$841,11,FALSE),VLOOKUP($C67,Questions!$A$3:$N$201,13,FALSE)))</f>
        <v xml:space="preserve">add, removeFields, getFields_1
</v>
      </c>
      <c r="G67" s="187"/>
      <c r="H67" s="202"/>
      <c r="I67" s="9"/>
      <c r="J67" s="9"/>
      <c r="K67" s="9"/>
      <c r="L67" s="9"/>
      <c r="M67" s="9"/>
    </row>
    <row r="68" spans="2:13" ht="15.75" customHeight="1">
      <c r="B68" s="114" t="s">
        <v>4590</v>
      </c>
      <c r="C68" s="9">
        <v>742</v>
      </c>
      <c r="D68" s="9" t="s">
        <v>2524</v>
      </c>
      <c r="E68" s="9" t="str">
        <f>IF($B68 = "Mutant",VLOOKUP($C68,Mutants!$A$2:$L$560,12,FALSE),IF($B68 = "Test",VLOOKUP($C68,Tests!$A$2:$L$841,12,FALSE),VLOOKUP($C68,Questions!$A$3:$N$201,9,FALSE)))</f>
        <v>Y</v>
      </c>
      <c r="F68" s="187" t="str">
        <f>IF($B68 = "Mutant",VLOOKUP($C68,Mutants!$A$2:$L$560,11,FALSE),IF($B68 = "Test",VLOOKUP($C68,Tests!$A$2:$L$841,11,FALSE),VLOOKUP($C68,Questions!$A$3:$N$201,13,FALSE)))</f>
        <v xml:space="preserve">add, removeField, getFields_1
</v>
      </c>
      <c r="G68" s="187"/>
      <c r="H68" s="202"/>
      <c r="I68" s="9"/>
      <c r="J68" s="9"/>
      <c r="K68" s="9"/>
      <c r="L68" s="9"/>
      <c r="M68" s="9"/>
    </row>
    <row r="69" spans="2:13" ht="15.75" customHeight="1">
      <c r="B69" s="114" t="s">
        <v>4589</v>
      </c>
      <c r="C69" s="9">
        <v>608</v>
      </c>
      <c r="D69" s="9" t="s">
        <v>4459</v>
      </c>
      <c r="E69" s="9" t="str">
        <f>IF($B69 = "Mutant",VLOOKUP($C69,Mutants!$A$2:$L$560,12,FALSE),IF($B69 = "Test",VLOOKUP($C69,Tests!$A$2:$L$841,12,FALSE),VLOOKUP($C69,Questions!$A$3:$N$201,9,FALSE)))</f>
        <v>Y</v>
      </c>
      <c r="F69" s="187" t="str">
        <f>IF($B69 = "Mutant",VLOOKUP($C69,Mutants!$A$2:$L$560,11,FALSE),IF($B69 = "Test",VLOOKUP($C69,Tests!$A$2:$L$841,11,FALSE),VLOOKUP($C69,Questions!$A$3:$N$201,13,FALSE)))</f>
        <v xml:space="preserve">getField
</v>
      </c>
      <c r="G69" s="187"/>
      <c r="H69" s="202"/>
      <c r="I69" s="9"/>
      <c r="J69" s="9"/>
      <c r="K69" s="9"/>
      <c r="L69" s="9"/>
      <c r="M69" s="9"/>
    </row>
    <row r="70" spans="2:13" ht="15.75" customHeight="1">
      <c r="B70" s="114" t="s">
        <v>4589</v>
      </c>
      <c r="C70" s="9">
        <v>614</v>
      </c>
      <c r="D70" s="9" t="s">
        <v>4470</v>
      </c>
      <c r="E70" s="9" t="str">
        <f>IF($B70 = "Mutant",VLOOKUP($C70,Mutants!$A$2:$L$560,12,FALSE),IF($B70 = "Test",VLOOKUP($C70,Tests!$A$2:$L$841,12,FALSE),VLOOKUP($C70,Questions!$A$3:$N$201,9,FALSE)))</f>
        <v>N</v>
      </c>
      <c r="F70" s="187" t="str">
        <f>IF($B70 = "Mutant",VLOOKUP($C70,Mutants!$A$2:$L$560,11,FALSE),IF($B70 = "Test",VLOOKUP($C70,Tests!$A$2:$L$841,11,FALSE),VLOOKUP($C70,Questions!$A$3:$N$201,13,FALSE)))</f>
        <v xml:space="preserve">
</v>
      </c>
      <c r="G70" s="187"/>
      <c r="H70" s="202"/>
      <c r="I70" s="9"/>
      <c r="J70" s="9"/>
      <c r="K70" s="9"/>
      <c r="L70" s="9"/>
      <c r="M70" s="9"/>
    </row>
    <row r="71" spans="2:13" ht="15.75" customHeight="1">
      <c r="B71" s="114" t="s">
        <v>4589</v>
      </c>
      <c r="C71" s="9">
        <v>619</v>
      </c>
      <c r="D71" s="9" t="s">
        <v>4483</v>
      </c>
      <c r="E71" s="9" t="str">
        <f>IF($B71 = "Mutant",VLOOKUP($C71,Mutants!$A$2:$L$560,12,FALSE),IF($B71 = "Test",VLOOKUP($C71,Tests!$A$2:$L$841,12,FALSE),VLOOKUP($C71,Questions!$A$3:$N$201,9,FALSE)))</f>
        <v>N</v>
      </c>
      <c r="F71" s="187" t="str">
        <f>IF($B71 = "Mutant",VLOOKUP($C71,Mutants!$A$2:$L$560,11,FALSE),IF($B71 = "Test",VLOOKUP($C71,Tests!$A$2:$L$841,11,FALSE),VLOOKUP($C71,Questions!$A$3:$N$201,13,FALSE)))</f>
        <v xml:space="preserve">
</v>
      </c>
      <c r="G71" s="187"/>
      <c r="H71" s="202"/>
      <c r="I71" s="9"/>
      <c r="J71" s="9"/>
      <c r="K71" s="9"/>
      <c r="L71" s="9"/>
      <c r="M71" s="9"/>
    </row>
    <row r="72" spans="2:13" ht="15.75" customHeight="1">
      <c r="B72" s="114" t="s">
        <v>4589</v>
      </c>
      <c r="C72" s="9">
        <v>620</v>
      </c>
      <c r="D72" s="9" t="s">
        <v>4486</v>
      </c>
      <c r="E72" s="9" t="str">
        <f>IF($B72 = "Mutant",VLOOKUP($C72,Mutants!$A$2:$L$560,12,FALSE),IF($B72 = "Test",VLOOKUP($C72,Tests!$A$2:$L$841,12,FALSE),VLOOKUP($C72,Questions!$A$3:$N$201,9,FALSE)))</f>
        <v>Y</v>
      </c>
      <c r="F72" s="187" t="str">
        <f>IF($B72 = "Mutant",VLOOKUP($C72,Mutants!$A$2:$L$560,11,FALSE),IF($B72 = "Test",VLOOKUP($C72,Tests!$A$2:$L$841,11,FALSE),VLOOKUP($C72,Questions!$A$3:$N$201,13,FALSE)))</f>
        <v xml:space="preserve">toString
</v>
      </c>
      <c r="G72" s="187"/>
      <c r="H72" s="202"/>
      <c r="I72" s="9"/>
      <c r="J72" s="9"/>
      <c r="K72" s="9"/>
      <c r="L72" s="9"/>
      <c r="M72" s="9"/>
    </row>
    <row r="73" spans="2:13" ht="15.75" customHeight="1">
      <c r="B73" s="114" t="s">
        <v>4589</v>
      </c>
      <c r="C73" s="9">
        <v>623</v>
      </c>
      <c r="D73" s="9" t="s">
        <v>4494</v>
      </c>
      <c r="E73" s="9" t="str">
        <f>IF($B73 = "Mutant",VLOOKUP($C73,Mutants!$A$2:$L$560,12,FALSE),IF($B73 = "Test",VLOOKUP($C73,Tests!$A$2:$L$841,12,FALSE),VLOOKUP($C73,Questions!$A$3:$N$201,9,FALSE)))</f>
        <v>Y</v>
      </c>
      <c r="F73" s="187" t="str">
        <f>IF($B73 = "Mutant",VLOOKUP($C73,Mutants!$A$2:$L$560,11,FALSE),IF($B73 = "Test",VLOOKUP($C73,Tests!$A$2:$L$841,11,FALSE),VLOOKUP($C73,Questions!$A$3:$N$201,13,FALSE)))</f>
        <v xml:space="preserve">getBinaryValue
</v>
      </c>
      <c r="G73" s="187"/>
      <c r="H73" s="202"/>
      <c r="I73" s="9"/>
      <c r="J73" s="9"/>
      <c r="K73" s="9"/>
      <c r="L73" s="9"/>
      <c r="M73" s="9"/>
    </row>
    <row r="74" spans="2:13" ht="15.75" customHeight="1">
      <c r="B74" s="114" t="s">
        <v>4590</v>
      </c>
      <c r="C74" s="9">
        <v>809</v>
      </c>
      <c r="D74" s="9" t="s">
        <v>2712</v>
      </c>
      <c r="E74" s="9" t="str">
        <f>IF($B74 = "Mutant",VLOOKUP($C74,Mutants!$A$2:$L$560,12,FALSE),IF($B74 = "Test",VLOOKUP($C74,Tests!$A$2:$L$841,12,FALSE),VLOOKUP($C74,Questions!$A$3:$N$201,9,FALSE)))</f>
        <v>Y</v>
      </c>
      <c r="F74" s="187" t="str">
        <f>IF($B74 = "Mutant",VLOOKUP($C74,Mutants!$A$2:$L$560,11,FALSE),IF($B74 = "Test",VLOOKUP($C74,Tests!$A$2:$L$841,11,FALSE),VLOOKUP($C74,Questions!$A$3:$N$201,13,FALSE)))</f>
        <v xml:space="preserve">add, getField
</v>
      </c>
      <c r="G74" s="187"/>
      <c r="H74" s="202"/>
      <c r="I74" s="9"/>
      <c r="J74" s="9"/>
      <c r="K74" s="9"/>
      <c r="L74" s="9"/>
      <c r="M74" s="9"/>
    </row>
    <row r="75" spans="2:13" ht="15.75" customHeight="1">
      <c r="B75" s="114" t="s">
        <v>4590</v>
      </c>
      <c r="C75" s="9">
        <v>823</v>
      </c>
      <c r="D75" s="9" t="s">
        <v>2744</v>
      </c>
      <c r="E75" s="9" t="str">
        <f>IF($B75 = "Mutant",VLOOKUP($C75,Mutants!$A$2:$L$560,12,FALSE),IF($B75 = "Test",VLOOKUP($C75,Tests!$A$2:$L$841,12,FALSE),VLOOKUP($C75,Questions!$A$3:$N$201,9,FALSE)))</f>
        <v>N</v>
      </c>
      <c r="F75" s="187" t="str">
        <f>IF($B75 = "Mutant",VLOOKUP($C75,Mutants!$A$2:$L$560,11,FALSE),IF($B75 = "Test",VLOOKUP($C75,Tests!$A$2:$L$841,11,FALSE),VLOOKUP($C75,Questions!$A$3:$N$201,13,FALSE)))</f>
        <v xml:space="preserve">
</v>
      </c>
      <c r="G75" s="187"/>
      <c r="H75" s="202"/>
      <c r="I75" s="9"/>
      <c r="J75" s="9"/>
      <c r="K75" s="9"/>
      <c r="L75" s="9"/>
      <c r="M75" s="9"/>
    </row>
    <row r="76" spans="2:13" ht="15.75" customHeight="1">
      <c r="B76" s="114" t="s">
        <v>4590</v>
      </c>
      <c r="C76" s="9">
        <v>833</v>
      </c>
      <c r="D76" s="9" t="s">
        <v>2770</v>
      </c>
      <c r="E76" s="9" t="str">
        <f>IF($B76 = "Mutant",VLOOKUP($C76,Mutants!$A$2:$L$560,12,FALSE),IF($B76 = "Test",VLOOKUP($C76,Tests!$A$2:$L$841,12,FALSE),VLOOKUP($C76,Questions!$A$3:$N$201,9,FALSE)))</f>
        <v>Y</v>
      </c>
      <c r="F76" s="187" t="str">
        <f>IF($B76 = "Mutant",VLOOKUP($C76,Mutants!$A$2:$L$560,11,FALSE),IF($B76 = "Test",VLOOKUP($C76,Tests!$A$2:$L$841,11,FALSE),VLOOKUP($C76,Questions!$A$3:$N$201,13,FALSE)))</f>
        <v xml:space="preserve">add, removeField, getField
</v>
      </c>
      <c r="G76" s="187"/>
      <c r="H76" s="202"/>
      <c r="I76" s="9"/>
      <c r="J76" s="9"/>
      <c r="K76" s="9"/>
      <c r="L76" s="9"/>
      <c r="M76" s="9"/>
    </row>
    <row r="77" spans="2:13" ht="15.75" customHeight="1">
      <c r="B77" s="114" t="s">
        <v>4590</v>
      </c>
      <c r="C77" s="9">
        <v>856</v>
      </c>
      <c r="D77" s="9" t="s">
        <v>2834</v>
      </c>
      <c r="E77" s="9" t="str">
        <f>IF($B77 = "Mutant",VLOOKUP($C77,Mutants!$A$2:$L$560,12,FALSE),IF($B77 = "Test",VLOOKUP($C77,Tests!$A$2:$L$841,12,FALSE),VLOOKUP($C77,Questions!$A$3:$N$201,9,FALSE)))</f>
        <v>N</v>
      </c>
      <c r="F77" s="187" t="str">
        <f>IF($B77 = "Mutant",VLOOKUP($C77,Mutants!$A$2:$L$560,11,FALSE),IF($B77 = "Test",VLOOKUP($C77,Tests!$A$2:$L$841,11,FALSE),VLOOKUP($C77,Questions!$A$3:$N$201,13,FALSE)))</f>
        <v xml:space="preserve">
</v>
      </c>
      <c r="G77" s="187"/>
      <c r="H77" s="202"/>
      <c r="I77" s="9"/>
      <c r="J77" s="9"/>
      <c r="K77" s="9"/>
      <c r="L77" s="9"/>
      <c r="M77" s="9"/>
    </row>
    <row r="78" spans="2:13" ht="15.75" customHeight="1">
      <c r="B78" s="114" t="s">
        <v>4590</v>
      </c>
      <c r="C78" s="9">
        <v>862</v>
      </c>
      <c r="D78" s="9" t="s">
        <v>2854</v>
      </c>
      <c r="E78" s="9" t="str">
        <f>IF($B78 = "Mutant",VLOOKUP($C78,Mutants!$A$2:$L$560,12,FALSE),IF($B78 = "Test",VLOOKUP($C78,Tests!$A$2:$L$841,12,FALSE),VLOOKUP($C78,Questions!$A$3:$N$201,9,FALSE)))</f>
        <v>Y</v>
      </c>
      <c r="F78" s="187" t="str">
        <f>IF($B78 = "Mutant",VLOOKUP($C78,Mutants!$A$2:$L$560,11,FALSE),IF($B78 = "Test",VLOOKUP($C78,Tests!$A$2:$L$841,11,FALSE),VLOOKUP($C78,Questions!$A$3:$N$201,13,FALSE)))</f>
        <v xml:space="preserve">add, removeField, getField
</v>
      </c>
      <c r="G78" s="187"/>
      <c r="H78" s="202"/>
      <c r="I78" s="9"/>
      <c r="J78" s="9"/>
      <c r="K78" s="9"/>
      <c r="L78" s="9"/>
      <c r="M78" s="9"/>
    </row>
    <row r="79" spans="2:13" ht="15.75" customHeight="1">
      <c r="B79" s="133" t="s">
        <v>4590</v>
      </c>
      <c r="C79" s="130">
        <v>906</v>
      </c>
      <c r="D79" s="130" t="s">
        <v>2990</v>
      </c>
      <c r="E79" s="130" t="str">
        <f>IF($B79 = "Mutant",VLOOKUP($C79,Mutants!$A$2:$L$560,12,FALSE),IF($B79 = "Test",VLOOKUP($C79,Tests!$A$2:$L$841,12,FALSE),VLOOKUP($C79,Questions!$A$3:$N$201,9,FALSE)))</f>
        <v>Y</v>
      </c>
      <c r="F79" s="203" t="str">
        <f>IF($B79 = "Mutant",VLOOKUP($C79,Mutants!$A$2:$L$560,11,FALSE),IF($B79 = "Test",VLOOKUP($C79,Tests!$A$2:$L$841,11,FALSE),VLOOKUP($C79,Questions!$A$3:$N$201,13,FALSE)))</f>
        <v xml:space="preserve">add, getValues
</v>
      </c>
      <c r="G79" s="203"/>
      <c r="H79" s="204"/>
      <c r="I79" s="9"/>
      <c r="J79" s="9"/>
      <c r="K79" s="9"/>
      <c r="L79" s="9"/>
      <c r="M79" s="9"/>
    </row>
    <row r="80" spans="2:13" ht="15.75" customHeight="1">
      <c r="F80" s="188"/>
      <c r="G80" s="188"/>
      <c r="H80" s="188"/>
    </row>
    <row r="81" spans="2:13" ht="15.75" customHeight="1">
      <c r="F81" s="188"/>
      <c r="G81" s="188"/>
      <c r="H81" s="188"/>
    </row>
    <row r="82" spans="2:13" ht="15.75" customHeight="1" thickBot="1">
      <c r="B82" s="219" t="s">
        <v>4604</v>
      </c>
      <c r="C82" s="201"/>
      <c r="D82" s="45">
        <v>235</v>
      </c>
      <c r="F82" s="207"/>
      <c r="G82" s="207"/>
      <c r="H82" s="207"/>
    </row>
    <row r="83" spans="2:13" ht="15.75" customHeight="1" thickTop="1">
      <c r="B83" s="134" t="s">
        <v>4594</v>
      </c>
      <c r="C83" s="135" t="s">
        <v>44</v>
      </c>
      <c r="D83" s="135" t="s">
        <v>110</v>
      </c>
      <c r="E83" s="136" t="s">
        <v>2</v>
      </c>
      <c r="F83" s="229" t="s">
        <v>4612</v>
      </c>
      <c r="G83" s="229"/>
      <c r="H83" s="230"/>
      <c r="I83" s="9"/>
      <c r="J83" s="9"/>
      <c r="K83" s="9"/>
      <c r="L83" s="9"/>
      <c r="M83" s="9"/>
    </row>
    <row r="84" spans="2:13" ht="15.75" customHeight="1">
      <c r="B84" s="137" t="s">
        <v>4590</v>
      </c>
      <c r="C84" s="93">
        <v>474</v>
      </c>
      <c r="D84" s="93" t="s">
        <v>1752</v>
      </c>
      <c r="E84" s="93" t="str">
        <f>IF($B84 = "Mutant",VLOOKUP($C84,Mutants!$A$2:$L$560,12,FALSE),IF($B84 = "Test",VLOOKUP($C84,Tests!$A$2:$L$841,12,FALSE),VLOOKUP($C84,Questions!$A$3:$N$201,9,FALSE)))</f>
        <v>Y</v>
      </c>
      <c r="F84" s="205" t="str">
        <f>IF($B84 = "Mutant",VLOOKUP($C84,Mutants!$A$2:$L$560,11,FALSE),IF($B84 = "Test",VLOOKUP($C84,Tests!$A$2:$L$841,11,FALSE),VLOOKUP($C84,Questions!$A$3:$N$201,13,FALSE)))</f>
        <v xml:space="preserve">toString
</v>
      </c>
      <c r="G84" s="205"/>
      <c r="H84" s="206"/>
      <c r="I84" s="9"/>
      <c r="J84" s="9"/>
      <c r="K84" s="9"/>
      <c r="L84" s="9"/>
      <c r="M84" s="9"/>
    </row>
    <row r="85" spans="2:13" ht="15.75" customHeight="1">
      <c r="B85" s="114" t="s">
        <v>4590</v>
      </c>
      <c r="C85" s="9">
        <v>478</v>
      </c>
      <c r="D85" s="9" t="s">
        <v>1766</v>
      </c>
      <c r="E85" s="9" t="str">
        <f>IF($B85 = "Mutant",VLOOKUP($C85,Mutants!$A$2:$L$560,12,FALSE),IF($B85 = "Test",VLOOKUP($C85,Tests!$A$2:$L$841,12,FALSE),VLOOKUP($C85,Questions!$A$3:$N$201,9,FALSE)))</f>
        <v>Y</v>
      </c>
      <c r="F85" s="187" t="str">
        <f>IF($B85 = "Mutant",VLOOKUP($C85,Mutants!$A$2:$L$560,11,FALSE),IF($B85 = "Test",VLOOKUP($C85,Tests!$A$2:$L$841,11,FALSE),VLOOKUP($C85,Questions!$A$3:$N$201,13,FALSE)))</f>
        <v xml:space="preserve">toString
</v>
      </c>
      <c r="G85" s="187"/>
      <c r="H85" s="202"/>
      <c r="I85" s="9"/>
      <c r="J85" s="9"/>
      <c r="K85" s="9"/>
      <c r="L85" s="9"/>
      <c r="M85" s="9"/>
    </row>
    <row r="86" spans="2:13" ht="15.75" customHeight="1">
      <c r="B86" s="114" t="s">
        <v>107</v>
      </c>
      <c r="C86" s="9">
        <v>108</v>
      </c>
      <c r="D86" s="9" t="s">
        <v>558</v>
      </c>
      <c r="E86" s="9" t="str">
        <f>IF($B86 = "Mutant",VLOOKUP($C86,Mutants!$A$2:$L$560,12,FALSE),IF($B86 = "Test",VLOOKUP($C86,Tests!$A$2:$L$841,12,FALSE),VLOOKUP($C86,Questions!$A$3:$N$201,9,FALSE)))</f>
        <v>Y</v>
      </c>
      <c r="F86" s="187" t="str">
        <f>IF($B86 = "Mutant",VLOOKUP($C86,Mutants!$A$2:$L$560,11,FALSE),IF($B86 = "Test",VLOOKUP($C86,Tests!$A$2:$L$841,11,FALSE),VLOOKUP($C86,Questions!$A$3:$N$201,13,FALSE)))</f>
        <v xml:space="preserve"> </v>
      </c>
      <c r="G86" s="187"/>
      <c r="H86" s="202"/>
      <c r="I86" s="9"/>
      <c r="J86" s="9"/>
      <c r="K86" s="9"/>
      <c r="L86" s="9"/>
      <c r="M86" s="9"/>
    </row>
    <row r="87" spans="2:13" ht="15.75" customHeight="1">
      <c r="B87" s="114" t="s">
        <v>107</v>
      </c>
      <c r="C87" s="9">
        <v>112</v>
      </c>
      <c r="D87" s="9" t="s">
        <v>561</v>
      </c>
      <c r="E87" s="9" t="str">
        <f>IF($B87 = "Mutant",VLOOKUP($C87,Mutants!$A$2:$L$560,12,FALSE),IF($B87 = "Test",VLOOKUP($C87,Tests!$A$2:$L$841,12,FALSE),VLOOKUP($C87,Questions!$A$3:$N$201,9,FALSE)))</f>
        <v>Y</v>
      </c>
      <c r="F87" s="187" t="str">
        <f>IF($B87 = "Mutant",VLOOKUP($C87,Mutants!$A$2:$L$560,11,FALSE),IF($B87 = "Test",VLOOKUP($C87,Tests!$A$2:$L$841,11,FALSE),VLOOKUP($C87,Questions!$A$3:$N$201,13,FALSE)))</f>
        <v xml:space="preserve"> </v>
      </c>
      <c r="G87" s="187"/>
      <c r="H87" s="202"/>
      <c r="I87" s="9"/>
      <c r="J87" s="9"/>
      <c r="K87" s="9"/>
      <c r="L87" s="9"/>
      <c r="M87" s="9"/>
    </row>
    <row r="88" spans="2:13" ht="15.75" customHeight="1">
      <c r="B88" s="114" t="s">
        <v>107</v>
      </c>
      <c r="C88" s="9">
        <v>114</v>
      </c>
      <c r="D88" s="9" t="s">
        <v>564</v>
      </c>
      <c r="E88" s="9" t="str">
        <f>IF($B88 = "Mutant",VLOOKUP($C88,Mutants!$A$2:$L$560,12,FALSE),IF($B88 = "Test",VLOOKUP($C88,Tests!$A$2:$L$841,12,FALSE),VLOOKUP($C88,Questions!$A$3:$N$201,9,FALSE)))</f>
        <v>Y</v>
      </c>
      <c r="F88" s="187" t="str">
        <f>IF($B88 = "Mutant",VLOOKUP($C88,Mutants!$A$2:$L$560,11,FALSE),IF($B88 = "Test",VLOOKUP($C88,Tests!$A$2:$L$841,11,FALSE),VLOOKUP($C88,Questions!$A$3:$N$201,13,FALSE)))</f>
        <v xml:space="preserve"> </v>
      </c>
      <c r="G88" s="187"/>
      <c r="H88" s="202"/>
      <c r="I88" s="9"/>
      <c r="J88" s="9"/>
      <c r="K88" s="9"/>
      <c r="L88" s="9"/>
      <c r="M88" s="9"/>
    </row>
    <row r="89" spans="2:13" ht="15.75" customHeight="1">
      <c r="B89" s="114" t="s">
        <v>4590</v>
      </c>
      <c r="C89" s="9">
        <v>541</v>
      </c>
      <c r="D89" s="9" t="s">
        <v>1967</v>
      </c>
      <c r="E89" s="9" t="str">
        <f>IF($B89 = "Mutant",VLOOKUP($C89,Mutants!$A$2:$L$560,12,FALSE),IF($B89 = "Test",VLOOKUP($C89,Tests!$A$2:$L$841,12,FALSE),VLOOKUP($C89,Questions!$A$3:$N$201,9,FALSE)))</f>
        <v>N</v>
      </c>
      <c r="F89" s="187" t="str">
        <f>IF($B89 = "Mutant",VLOOKUP($C89,Mutants!$A$2:$L$560,11,FALSE),IF($B89 = "Test",VLOOKUP($C89,Tests!$A$2:$L$841,11,FALSE),VLOOKUP($C89,Questions!$A$3:$N$201,13,FALSE)))</f>
        <v xml:space="preserve">
</v>
      </c>
      <c r="G89" s="187"/>
      <c r="H89" s="202"/>
      <c r="I89" s="9"/>
      <c r="J89" s="9"/>
      <c r="K89" s="9"/>
      <c r="L89" s="9"/>
      <c r="M89" s="9"/>
    </row>
    <row r="90" spans="2:13" ht="15.75" customHeight="1">
      <c r="B90" s="114" t="s">
        <v>4590</v>
      </c>
      <c r="C90" s="9">
        <v>551</v>
      </c>
      <c r="D90" s="9" t="s">
        <v>1997</v>
      </c>
      <c r="E90" s="9" t="str">
        <f>IF($B90 = "Mutant",VLOOKUP($C90,Mutants!$A$2:$L$560,12,FALSE),IF($B90 = "Test",VLOOKUP($C90,Tests!$A$2:$L$841,12,FALSE),VLOOKUP($C90,Questions!$A$3:$N$201,9,FALSE)))</f>
        <v>Y</v>
      </c>
      <c r="F90" s="187" t="str">
        <f>IF($B90 = "Mutant",VLOOKUP($C90,Mutants!$A$2:$L$560,11,FALSE),IF($B90 = "Test",VLOOKUP($C90,Tests!$A$2:$L$841,11,FALSE),VLOOKUP($C90,Questions!$A$3:$N$201,13,FALSE)))</f>
        <v xml:space="preserve">add, toString
</v>
      </c>
      <c r="G90" s="187"/>
      <c r="H90" s="202"/>
      <c r="I90" s="9"/>
      <c r="J90" s="9"/>
      <c r="K90" s="9"/>
      <c r="L90" s="9"/>
      <c r="M90" s="9"/>
    </row>
    <row r="91" spans="2:13" ht="15.75" customHeight="1">
      <c r="B91" s="114" t="s">
        <v>4590</v>
      </c>
      <c r="C91" s="9">
        <v>572</v>
      </c>
      <c r="D91" s="9" t="s">
        <v>2064</v>
      </c>
      <c r="E91" s="9" t="str">
        <f>IF($B91 = "Mutant",VLOOKUP($C91,Mutants!$A$2:$L$560,12,FALSE),IF($B91 = "Test",VLOOKUP($C91,Tests!$A$2:$L$841,12,FALSE),VLOOKUP($C91,Questions!$A$3:$N$201,9,FALSE)))</f>
        <v>N</v>
      </c>
      <c r="F91" s="187" t="str">
        <f>IF($B91 = "Mutant",VLOOKUP($C91,Mutants!$A$2:$L$560,11,FALSE),IF($B91 = "Test",VLOOKUP($C91,Tests!$A$2:$L$841,11,FALSE),VLOOKUP($C91,Questions!$A$3:$N$201,13,FALSE)))</f>
        <v xml:space="preserve">
</v>
      </c>
      <c r="G91" s="187"/>
      <c r="H91" s="202"/>
      <c r="I91" s="9"/>
      <c r="J91" s="9"/>
      <c r="K91" s="9"/>
      <c r="L91" s="9"/>
      <c r="M91" s="9"/>
    </row>
    <row r="92" spans="2:13" ht="15.75" customHeight="1">
      <c r="B92" s="114" t="s">
        <v>4590</v>
      </c>
      <c r="C92" s="9">
        <v>592</v>
      </c>
      <c r="D92" s="9" t="s">
        <v>2123</v>
      </c>
      <c r="E92" s="9" t="str">
        <f>IF($B92 = "Mutant",VLOOKUP($C92,Mutants!$A$2:$L$560,12,FALSE),IF($B92 = "Test",VLOOKUP($C92,Tests!$A$2:$L$841,12,FALSE),VLOOKUP($C92,Questions!$A$3:$N$201,9,FALSE)))</f>
        <v>Y</v>
      </c>
      <c r="F92" s="187" t="str">
        <f>IF($B92 = "Mutant",VLOOKUP($C92,Mutants!$A$2:$L$560,11,FALSE),IF($B92 = "Test",VLOOKUP($C92,Tests!$A$2:$L$841,11,FALSE),VLOOKUP($C92,Questions!$A$3:$N$201,13,FALSE)))</f>
        <v xml:space="preserve">add, toString
</v>
      </c>
      <c r="G92" s="187"/>
      <c r="H92" s="202"/>
      <c r="I92" s="9"/>
      <c r="J92" s="9"/>
      <c r="K92" s="9"/>
      <c r="L92" s="9"/>
      <c r="M92" s="9"/>
    </row>
    <row r="93" spans="2:13" ht="15.75" customHeight="1">
      <c r="B93" s="114" t="s">
        <v>4590</v>
      </c>
      <c r="C93" s="9">
        <v>597</v>
      </c>
      <c r="D93" s="9" t="s">
        <v>2131</v>
      </c>
      <c r="E93" s="9" t="str">
        <f>IF($B93 = "Mutant",VLOOKUP($C93,Mutants!$A$2:$L$560,12,FALSE),IF($B93 = "Test",VLOOKUP($C93,Tests!$A$2:$L$841,12,FALSE),VLOOKUP($C93,Questions!$A$3:$N$201,9,FALSE)))</f>
        <v>Y</v>
      </c>
      <c r="F93" s="187" t="str">
        <f>IF($B93 = "Mutant",VLOOKUP($C93,Mutants!$A$2:$L$560,11,FALSE),IF($B93 = "Test",VLOOKUP($C93,Tests!$A$2:$L$841,11,FALSE),VLOOKUP($C93,Questions!$A$3:$N$201,13,FALSE)))</f>
        <v xml:space="preserve">add, toString
</v>
      </c>
      <c r="G93" s="187"/>
      <c r="H93" s="202"/>
      <c r="I93" s="9"/>
      <c r="J93" s="9"/>
      <c r="K93" s="9"/>
      <c r="L93" s="9"/>
      <c r="M93" s="9"/>
    </row>
    <row r="94" spans="2:13" ht="15.75" customHeight="1">
      <c r="B94" s="114" t="s">
        <v>4590</v>
      </c>
      <c r="C94" s="9">
        <v>629</v>
      </c>
      <c r="D94" s="9" t="s">
        <v>2220</v>
      </c>
      <c r="E94" s="9" t="str">
        <f>IF($B94 = "Mutant",VLOOKUP($C94,Mutants!$A$2:$L$560,12,FALSE),IF($B94 = "Test",VLOOKUP($C94,Tests!$A$2:$L$841,12,FALSE),VLOOKUP($C94,Questions!$A$3:$N$201,9,FALSE)))</f>
        <v>Y</v>
      </c>
      <c r="F94" s="187" t="str">
        <f>IF($B94 = "Mutant",VLOOKUP($C94,Mutants!$A$2:$L$560,11,FALSE),IF($B94 = "Test",VLOOKUP($C94,Tests!$A$2:$L$841,11,FALSE),VLOOKUP($C94,Questions!$A$3:$N$201,13,FALSE)))</f>
        <v xml:space="preserve">add, toString, clear
</v>
      </c>
      <c r="G94" s="187"/>
      <c r="H94" s="202"/>
      <c r="I94" s="9"/>
      <c r="J94" s="9"/>
      <c r="K94" s="9"/>
      <c r="L94" s="9"/>
      <c r="M94" s="9"/>
    </row>
    <row r="95" spans="2:13" ht="15.75" customHeight="1">
      <c r="B95" s="114" t="s">
        <v>4590</v>
      </c>
      <c r="C95" s="9">
        <v>691</v>
      </c>
      <c r="D95" s="9" t="s">
        <v>2392</v>
      </c>
      <c r="E95" s="9" t="str">
        <f>IF($B95 = "Mutant",VLOOKUP($C95,Mutants!$A$2:$L$560,12,FALSE),IF($B95 = "Test",VLOOKUP($C95,Tests!$A$2:$L$841,12,FALSE),VLOOKUP($C95,Questions!$A$3:$N$201,9,FALSE)))</f>
        <v>N</v>
      </c>
      <c r="F95" s="187" t="str">
        <f>IF($B95 = "Mutant",VLOOKUP($C95,Mutants!$A$2:$L$560,11,FALSE),IF($B95 = "Test",VLOOKUP($C95,Tests!$A$2:$L$841,11,FALSE),VLOOKUP($C95,Questions!$A$3:$N$201,13,FALSE)))</f>
        <v xml:space="preserve">
</v>
      </c>
      <c r="G95" s="187"/>
      <c r="H95" s="202"/>
      <c r="I95" s="9"/>
      <c r="J95" s="9"/>
      <c r="K95" s="9"/>
      <c r="L95" s="9"/>
      <c r="M95" s="9"/>
    </row>
    <row r="96" spans="2:13" ht="15.75" customHeight="1">
      <c r="B96" s="114" t="s">
        <v>4590</v>
      </c>
      <c r="C96" s="9">
        <v>705</v>
      </c>
      <c r="D96" s="9" t="s">
        <v>2424</v>
      </c>
      <c r="E96" s="9" t="str">
        <f>IF($B96 = "Mutant",VLOOKUP($C96,Mutants!$A$2:$L$560,12,FALSE),IF($B96 = "Test",VLOOKUP($C96,Tests!$A$2:$L$841,12,FALSE),VLOOKUP($C96,Questions!$A$3:$N$201,9,FALSE)))</f>
        <v>Y</v>
      </c>
      <c r="F96" s="187" t="str">
        <f>IF($B96 = "Mutant",VLOOKUP($C96,Mutants!$A$2:$L$560,11,FALSE),IF($B96 = "Test",VLOOKUP($C96,Tests!$A$2:$L$841,11,FALSE),VLOOKUP($C96,Questions!$A$3:$N$201,13,FALSE)))</f>
        <v xml:space="preserve">add, getValues
</v>
      </c>
      <c r="G96" s="187"/>
      <c r="H96" s="202"/>
      <c r="I96" s="9"/>
      <c r="J96" s="9"/>
      <c r="K96" s="9"/>
      <c r="L96" s="9"/>
      <c r="M96" s="9"/>
    </row>
    <row r="97" spans="2:13" ht="15.75" customHeight="1">
      <c r="B97" s="114" t="s">
        <v>4590</v>
      </c>
      <c r="C97" s="9">
        <v>713</v>
      </c>
      <c r="D97" s="9" t="s">
        <v>2441</v>
      </c>
      <c r="E97" s="9" t="str">
        <f>IF($B97 = "Mutant",VLOOKUP($C97,Mutants!$A$2:$L$560,12,FALSE),IF($B97 = "Test",VLOOKUP($C97,Tests!$A$2:$L$841,12,FALSE),VLOOKUP($C97,Questions!$A$3:$N$201,9,FALSE)))</f>
        <v>Y</v>
      </c>
      <c r="F97" s="187" t="str">
        <f>IF($B97 = "Mutant",VLOOKUP($C97,Mutants!$A$2:$L$560,11,FALSE),IF($B97 = "Test",VLOOKUP($C97,Tests!$A$2:$L$841,11,FALSE),VLOOKUP($C97,Questions!$A$3:$N$201,13,FALSE)))</f>
        <v xml:space="preserve">add, getValues
</v>
      </c>
      <c r="G97" s="187"/>
      <c r="H97" s="202"/>
      <c r="I97" s="9"/>
      <c r="J97" s="9"/>
      <c r="K97" s="9"/>
      <c r="L97" s="9"/>
      <c r="M97" s="9"/>
    </row>
    <row r="98" spans="2:13" ht="15.75" customHeight="1">
      <c r="B98" s="114" t="s">
        <v>107</v>
      </c>
      <c r="C98" s="9">
        <v>163</v>
      </c>
      <c r="D98" s="9" t="s">
        <v>567</v>
      </c>
      <c r="E98" s="9" t="str">
        <f>IF($B98 = "Mutant",VLOOKUP($C98,Mutants!$A$2:$L$560,12,FALSE),IF($B98 = "Test",VLOOKUP($C98,Tests!$A$2:$L$841,12,FALSE),VLOOKUP($C98,Questions!$A$3:$N$201,9,FALSE)))</f>
        <v>Y</v>
      </c>
      <c r="F98" s="187" t="str">
        <f>IF($B98 = "Mutant",VLOOKUP($C98,Mutants!$A$2:$L$560,11,FALSE),IF($B98 = "Test",VLOOKUP($C98,Tests!$A$2:$L$841,11,FALSE),VLOOKUP($C98,Questions!$A$3:$N$201,13,FALSE)))</f>
        <v xml:space="preserve"> </v>
      </c>
      <c r="G98" s="187"/>
      <c r="H98" s="202"/>
      <c r="I98" s="9"/>
      <c r="J98" s="9"/>
      <c r="K98" s="9"/>
      <c r="L98" s="9"/>
      <c r="M98" s="9"/>
    </row>
    <row r="99" spans="2:13" ht="15.75" customHeight="1">
      <c r="B99" s="114" t="s">
        <v>4590</v>
      </c>
      <c r="C99" s="9">
        <v>765</v>
      </c>
      <c r="D99" s="9" t="s">
        <v>2592</v>
      </c>
      <c r="E99" s="9" t="str">
        <f>IF($B99 = "Mutant",VLOOKUP($C99,Mutants!$A$2:$L$560,12,FALSE),IF($B99 = "Test",VLOOKUP($C99,Tests!$A$2:$L$841,12,FALSE),VLOOKUP($C99,Questions!$A$3:$N$201,9,FALSE)))</f>
        <v>Y</v>
      </c>
      <c r="F99" s="187" t="str">
        <f>IF($B99 = "Mutant",VLOOKUP($C99,Mutants!$A$2:$L$560,11,FALSE),IF($B99 = "Test",VLOOKUP($C99,Tests!$A$2:$L$841,11,FALSE),VLOOKUP($C99,Questions!$A$3:$N$201,13,FALSE)))</f>
        <v xml:space="preserve">add, getValues
</v>
      </c>
      <c r="G99" s="187"/>
      <c r="H99" s="202"/>
      <c r="I99" s="9"/>
      <c r="J99" s="9"/>
      <c r="K99" s="9"/>
      <c r="L99" s="9"/>
      <c r="M99" s="9"/>
    </row>
    <row r="100" spans="2:13" ht="15.75" customHeight="1">
      <c r="B100" s="114" t="s">
        <v>4590</v>
      </c>
      <c r="C100" s="9">
        <v>791</v>
      </c>
      <c r="D100" s="9" t="s">
        <v>2662</v>
      </c>
      <c r="E100" s="9" t="str">
        <f>IF($B100 = "Mutant",VLOOKUP($C100,Mutants!$A$2:$L$560,12,FALSE),IF($B100 = "Test",VLOOKUP($C100,Tests!$A$2:$L$841,12,FALSE),VLOOKUP($C100,Questions!$A$3:$N$201,9,FALSE)))</f>
        <v>Y</v>
      </c>
      <c r="F100" s="187" t="str">
        <f>IF($B100 = "Mutant",VLOOKUP($C100,Mutants!$A$2:$L$560,11,FALSE),IF($B100 = "Test",VLOOKUP($C100,Tests!$A$2:$L$841,11,FALSE),VLOOKUP($C100,Questions!$A$3:$N$201,13,FALSE)))</f>
        <v xml:space="preserve">add, get
</v>
      </c>
      <c r="G100" s="187"/>
      <c r="H100" s="202"/>
      <c r="I100" s="9"/>
      <c r="J100" s="9"/>
      <c r="K100" s="9"/>
      <c r="L100" s="9"/>
      <c r="M100" s="9"/>
    </row>
    <row r="101" spans="2:13" ht="15.75" customHeight="1">
      <c r="B101" s="114" t="s">
        <v>4590</v>
      </c>
      <c r="C101" s="9">
        <v>811</v>
      </c>
      <c r="D101" s="9" t="s">
        <v>2717</v>
      </c>
      <c r="E101" s="9" t="str">
        <f>IF($B101 = "Mutant",VLOOKUP($C101,Mutants!$A$2:$L$560,12,FALSE),IF($B101 = "Test",VLOOKUP($C101,Tests!$A$2:$L$841,12,FALSE),VLOOKUP($C101,Questions!$A$3:$N$201,9,FALSE)))</f>
        <v>N</v>
      </c>
      <c r="F101" s="187" t="str">
        <f>IF($B101 = "Mutant",VLOOKUP($C101,Mutants!$A$2:$L$560,11,FALSE),IF($B101 = "Test",VLOOKUP($C101,Tests!$A$2:$L$841,11,FALSE),VLOOKUP($C101,Questions!$A$3:$N$201,13,FALSE)))</f>
        <v xml:space="preserve">
</v>
      </c>
      <c r="G101" s="187"/>
      <c r="H101" s="202"/>
      <c r="I101" s="9"/>
      <c r="J101" s="9"/>
      <c r="K101" s="9"/>
      <c r="L101" s="9"/>
      <c r="M101" s="9"/>
    </row>
    <row r="102" spans="2:13" ht="15.75" customHeight="1">
      <c r="B102" s="114" t="s">
        <v>4590</v>
      </c>
      <c r="C102" s="9">
        <v>818</v>
      </c>
      <c r="D102" s="9" t="s">
        <v>2732</v>
      </c>
      <c r="E102" s="9" t="str">
        <f>IF($B102 = "Mutant",VLOOKUP($C102,Mutants!$A$2:$L$560,12,FALSE),IF($B102 = "Test",VLOOKUP($C102,Tests!$A$2:$L$841,12,FALSE),VLOOKUP($C102,Questions!$A$3:$N$201,9,FALSE)))</f>
        <v>N</v>
      </c>
      <c r="F102" s="187" t="str">
        <f>IF($B102 = "Mutant",VLOOKUP($C102,Mutants!$A$2:$L$560,11,FALSE),IF($B102 = "Test",VLOOKUP($C102,Tests!$A$2:$L$841,11,FALSE),VLOOKUP($C102,Questions!$A$3:$N$201,13,FALSE)))</f>
        <v xml:space="preserve">
</v>
      </c>
      <c r="G102" s="187"/>
      <c r="H102" s="202"/>
      <c r="I102" s="9"/>
      <c r="J102" s="9"/>
      <c r="K102" s="9"/>
      <c r="L102" s="9"/>
      <c r="M102" s="9"/>
    </row>
    <row r="103" spans="2:13" ht="15.75" customHeight="1">
      <c r="B103" s="114" t="s">
        <v>4590</v>
      </c>
      <c r="C103" s="9">
        <v>824</v>
      </c>
      <c r="D103" s="9" t="s">
        <v>2747</v>
      </c>
      <c r="E103" s="9" t="str">
        <f>IF($B103 = "Mutant",VLOOKUP($C103,Mutants!$A$2:$L$560,12,FALSE),IF($B103 = "Test",VLOOKUP($C103,Tests!$A$2:$L$841,12,FALSE),VLOOKUP($C103,Questions!$A$3:$N$201,9,FALSE)))</f>
        <v>Y</v>
      </c>
      <c r="F103" s="187" t="str">
        <f>IF($B103 = "Mutant",VLOOKUP($C103,Mutants!$A$2:$L$560,11,FALSE),IF($B103 = "Test",VLOOKUP($C103,Tests!$A$2:$L$841,11,FALSE),VLOOKUP($C103,Questions!$A$3:$N$201,13,FALSE)))</f>
        <v xml:space="preserve">add, getValues
</v>
      </c>
      <c r="G103" s="187"/>
      <c r="H103" s="202"/>
      <c r="I103" s="9"/>
      <c r="J103" s="9"/>
      <c r="K103" s="9"/>
      <c r="L103" s="9"/>
      <c r="M103" s="9"/>
    </row>
    <row r="104" spans="2:13" ht="15.75" customHeight="1">
      <c r="B104" s="114" t="s">
        <v>4590</v>
      </c>
      <c r="C104" s="9">
        <v>836</v>
      </c>
      <c r="D104" s="9" t="s">
        <v>2777</v>
      </c>
      <c r="E104" s="9" t="str">
        <f>IF($B104 = "Mutant",VLOOKUP($C104,Mutants!$A$2:$L$560,12,FALSE),IF($B104 = "Test",VLOOKUP($C104,Tests!$A$2:$L$841,12,FALSE),VLOOKUP($C104,Questions!$A$3:$N$201,9,FALSE)))</f>
        <v>Y</v>
      </c>
      <c r="F104" s="187" t="str">
        <f>IF($B104 = "Mutant",VLOOKUP($C104,Mutants!$A$2:$L$560,11,FALSE),IF($B104 = "Test",VLOOKUP($C104,Tests!$A$2:$L$841,11,FALSE),VLOOKUP($C104,Questions!$A$3:$N$201,13,FALSE)))</f>
        <v xml:space="preserve">add, getValues
</v>
      </c>
      <c r="G104" s="187"/>
      <c r="H104" s="202"/>
      <c r="I104" s="9"/>
      <c r="J104" s="9"/>
      <c r="K104" s="9"/>
      <c r="L104" s="9"/>
      <c r="M104" s="9"/>
    </row>
    <row r="105" spans="2:13" ht="15.75" customHeight="1">
      <c r="B105" s="114" t="s">
        <v>4590</v>
      </c>
      <c r="C105" s="9">
        <v>857</v>
      </c>
      <c r="D105" s="9" t="s">
        <v>2837</v>
      </c>
      <c r="E105" s="9" t="str">
        <f>IF($B105 = "Mutant",VLOOKUP($C105,Mutants!$A$2:$L$560,12,FALSE),IF($B105 = "Test",VLOOKUP($C105,Tests!$A$2:$L$841,12,FALSE),VLOOKUP($C105,Questions!$A$3:$N$201,9,FALSE)))</f>
        <v>Y</v>
      </c>
      <c r="F105" s="187" t="str">
        <f>IF($B105 = "Mutant",VLOOKUP($C105,Mutants!$A$2:$L$560,11,FALSE),IF($B105 = "Test",VLOOKUP($C105,Tests!$A$2:$L$841,11,FALSE),VLOOKUP($C105,Questions!$A$3:$N$201,13,FALSE)))</f>
        <v xml:space="preserve">add, getValues
</v>
      </c>
      <c r="G105" s="187"/>
      <c r="H105" s="202"/>
      <c r="I105" s="9"/>
      <c r="J105" s="9"/>
      <c r="K105" s="9"/>
      <c r="L105" s="9"/>
      <c r="M105" s="9"/>
    </row>
    <row r="106" spans="2:13" ht="15.75" customHeight="1">
      <c r="B106" s="114" t="s">
        <v>4589</v>
      </c>
      <c r="C106" s="9">
        <v>640</v>
      </c>
      <c r="D106" s="9" t="s">
        <v>2906</v>
      </c>
      <c r="E106" s="9" t="str">
        <f>IF($B106 = "Mutant",VLOOKUP($C106,Mutants!$A$2:$L$560,12,FALSE),IF($B106 = "Test",VLOOKUP($C106,Tests!$A$2:$L$841,12,FALSE),VLOOKUP($C106,Questions!$A$3:$N$201,9,FALSE)))</f>
        <v>N</v>
      </c>
      <c r="F106" s="187" t="str">
        <f>IF($B106 = "Mutant",VLOOKUP($C106,Mutants!$A$2:$L$560,11,FALSE),IF($B106 = "Test",VLOOKUP($C106,Tests!$A$2:$L$841,11,FALSE),VLOOKUP($C106,Questions!$A$3:$N$201,13,FALSE)))</f>
        <v xml:space="preserve">
</v>
      </c>
      <c r="G106" s="187"/>
      <c r="H106" s="202"/>
      <c r="I106" s="9"/>
      <c r="J106" s="9"/>
      <c r="K106" s="9"/>
      <c r="L106" s="9"/>
      <c r="M106" s="9"/>
    </row>
    <row r="107" spans="2:13" ht="15.75" customHeight="1">
      <c r="B107" s="114" t="s">
        <v>4589</v>
      </c>
      <c r="C107" s="9">
        <v>644</v>
      </c>
      <c r="D107" s="9" t="s">
        <v>4546</v>
      </c>
      <c r="E107" s="9" t="str">
        <f>IF($B107 = "Mutant",VLOOKUP($C107,Mutants!$A$2:$L$560,12,FALSE),IF($B107 = "Test",VLOOKUP($C107,Tests!$A$2:$L$841,12,FALSE),VLOOKUP($C107,Questions!$A$3:$N$201,9,FALSE)))</f>
        <v>N</v>
      </c>
      <c r="F107" s="187" t="str">
        <f>IF($B107 = "Mutant",VLOOKUP($C107,Mutants!$A$2:$L$560,11,FALSE),IF($B107 = "Test",VLOOKUP($C107,Tests!$A$2:$L$841,11,FALSE),VLOOKUP($C107,Questions!$A$3:$N$201,13,FALSE)))</f>
        <v xml:space="preserve">
</v>
      </c>
      <c r="G107" s="187"/>
      <c r="H107" s="202"/>
      <c r="I107" s="9"/>
      <c r="J107" s="9"/>
      <c r="K107" s="9"/>
      <c r="L107" s="9"/>
      <c r="M107" s="9"/>
    </row>
    <row r="108" spans="2:13" ht="15.75" customHeight="1">
      <c r="B108" s="133" t="s">
        <v>4589</v>
      </c>
      <c r="C108" s="130">
        <v>649</v>
      </c>
      <c r="D108" s="130" t="s">
        <v>3009</v>
      </c>
      <c r="E108" s="130" t="str">
        <f>IF($B108 = "Mutant",VLOOKUP($C108,Mutants!$A$2:$L$560,12,FALSE),IF($B108 = "Test",VLOOKUP($C108,Tests!$A$2:$L$841,12,FALSE),VLOOKUP($C108,Questions!$A$3:$N$201,9,FALSE)))</f>
        <v>Y</v>
      </c>
      <c r="F108" s="203" t="str">
        <f>IF($B108 = "Mutant",VLOOKUP($C108,Mutants!$A$2:$L$560,11,FALSE),IF($B108 = "Test",VLOOKUP($C108,Tests!$A$2:$L$841,11,FALSE),VLOOKUP($C108,Questions!$A$3:$N$201,13,FALSE)))</f>
        <v xml:space="preserve">toString
</v>
      </c>
      <c r="G108" s="203"/>
      <c r="H108" s="204"/>
      <c r="I108" s="9"/>
      <c r="J108" s="9"/>
      <c r="K108" s="9"/>
      <c r="L108" s="9"/>
      <c r="M108" s="9"/>
    </row>
  </sheetData>
  <mergeCells count="85">
    <mergeCell ref="B11:C11"/>
    <mergeCell ref="B5:C5"/>
    <mergeCell ref="B6:C6"/>
    <mergeCell ref="B7:C7"/>
    <mergeCell ref="B8:C8"/>
    <mergeCell ref="B82:C82"/>
    <mergeCell ref="B49:C49"/>
    <mergeCell ref="B31:C31"/>
    <mergeCell ref="F32:H32"/>
    <mergeCell ref="F50:H50"/>
    <mergeCell ref="F48:H48"/>
    <mergeCell ref="F49:H49"/>
    <mergeCell ref="F51:H51"/>
    <mergeCell ref="F52:H52"/>
    <mergeCell ref="F53:H53"/>
    <mergeCell ref="F54:H54"/>
    <mergeCell ref="F55:H55"/>
    <mergeCell ref="F56:H56"/>
    <mergeCell ref="F57:H57"/>
    <mergeCell ref="F58:H58"/>
    <mergeCell ref="F59:H59"/>
    <mergeCell ref="F43:H43"/>
    <mergeCell ref="F44:H44"/>
    <mergeCell ref="F45:H45"/>
    <mergeCell ref="F46:H46"/>
    <mergeCell ref="F47:H47"/>
    <mergeCell ref="F38:H38"/>
    <mergeCell ref="F39:H39"/>
    <mergeCell ref="F40:H40"/>
    <mergeCell ref="F41:H41"/>
    <mergeCell ref="F42:H42"/>
    <mergeCell ref="F33:H33"/>
    <mergeCell ref="F34:H34"/>
    <mergeCell ref="F35:H35"/>
    <mergeCell ref="F36:H36"/>
    <mergeCell ref="F37:H37"/>
    <mergeCell ref="F60:H60"/>
    <mergeCell ref="F61:H61"/>
    <mergeCell ref="F62:H62"/>
    <mergeCell ref="F63:H63"/>
    <mergeCell ref="F64:H64"/>
    <mergeCell ref="F65:H65"/>
    <mergeCell ref="F66:H66"/>
    <mergeCell ref="F67:H67"/>
    <mergeCell ref="F68:H68"/>
    <mergeCell ref="F69:H69"/>
    <mergeCell ref="F70:H70"/>
    <mergeCell ref="F71:H71"/>
    <mergeCell ref="F72:H72"/>
    <mergeCell ref="F73:H73"/>
    <mergeCell ref="F74:H74"/>
    <mergeCell ref="F75:H75"/>
    <mergeCell ref="F76:H76"/>
    <mergeCell ref="F77:H77"/>
    <mergeCell ref="F78:H78"/>
    <mergeCell ref="F79:H79"/>
    <mergeCell ref="F80:H80"/>
    <mergeCell ref="F81:H81"/>
    <mergeCell ref="F82:H82"/>
    <mergeCell ref="F84:H84"/>
    <mergeCell ref="F85:H85"/>
    <mergeCell ref="F83:H83"/>
    <mergeCell ref="F86:H86"/>
    <mergeCell ref="F87:H87"/>
    <mergeCell ref="F88:H88"/>
    <mergeCell ref="F89:H89"/>
    <mergeCell ref="F90:H90"/>
    <mergeCell ref="F91:H91"/>
    <mergeCell ref="F92:H92"/>
    <mergeCell ref="F93:H93"/>
    <mergeCell ref="F94:H94"/>
    <mergeCell ref="F95:H95"/>
    <mergeCell ref="F96:H96"/>
    <mergeCell ref="F97:H97"/>
    <mergeCell ref="F98:H98"/>
    <mergeCell ref="F99:H99"/>
    <mergeCell ref="F100:H100"/>
    <mergeCell ref="F106:H106"/>
    <mergeCell ref="F107:H107"/>
    <mergeCell ref="F108:H108"/>
    <mergeCell ref="F101:H101"/>
    <mergeCell ref="F102:H102"/>
    <mergeCell ref="F103:H103"/>
    <mergeCell ref="F104:H104"/>
    <mergeCell ref="F105:H105"/>
  </mergeCells>
  <conditionalFormatting sqref="A31:B31">
    <cfRule type="cellIs" dxfId="83" priority="10" operator="equal">
      <formula>"NO_KILL"</formula>
    </cfRule>
    <cfRule type="cellIs" dxfId="82" priority="11" operator="equal">
      <formula>"KILL"</formula>
    </cfRule>
    <cfRule type="cellIs" dxfId="81" priority="12" operator="equal">
      <formula>"ERROR"</formula>
    </cfRule>
  </conditionalFormatting>
  <conditionalFormatting sqref="A49:B49">
    <cfRule type="cellIs" dxfId="80" priority="17" operator="equal">
      <formula>"KILL"</formula>
    </cfRule>
    <cfRule type="cellIs" dxfId="79" priority="18" operator="equal">
      <formula>"ERROR"</formula>
    </cfRule>
    <cfRule type="cellIs" dxfId="78" priority="16" operator="equal">
      <formula>"NO_KILL"</formula>
    </cfRule>
  </conditionalFormatting>
  <conditionalFormatting sqref="A82:B82">
    <cfRule type="cellIs" dxfId="77" priority="23" operator="equal">
      <formula>"KILL"</formula>
    </cfRule>
    <cfRule type="cellIs" dxfId="76" priority="22" operator="equal">
      <formula>"NO_KILL"</formula>
    </cfRule>
    <cfRule type="cellIs" dxfId="75" priority="24" operator="equal">
      <formula>"ERROR"</formula>
    </cfRule>
  </conditionalFormatting>
  <conditionalFormatting sqref="A32:F48">
    <cfRule type="cellIs" dxfId="74" priority="7" operator="equal">
      <formula>"NO_KILL"</formula>
    </cfRule>
    <cfRule type="cellIs" dxfId="73" priority="8" operator="equal">
      <formula>"KILL"</formula>
    </cfRule>
    <cfRule type="cellIs" dxfId="72" priority="9" operator="equal">
      <formula>"ERROR"</formula>
    </cfRule>
  </conditionalFormatting>
  <conditionalFormatting sqref="A50:F81">
    <cfRule type="cellIs" dxfId="71" priority="4" operator="equal">
      <formula>"NO_KILL"</formula>
    </cfRule>
    <cfRule type="cellIs" dxfId="70" priority="5" operator="equal">
      <formula>"KILL"</formula>
    </cfRule>
    <cfRule type="cellIs" dxfId="69" priority="6" operator="equal">
      <formula>"ERROR"</formula>
    </cfRule>
  </conditionalFormatting>
  <conditionalFormatting sqref="A83:F108">
    <cfRule type="cellIs" dxfId="68" priority="3" operator="equal">
      <formula>"ERROR"</formula>
    </cfRule>
    <cfRule type="cellIs" dxfId="67" priority="1" operator="equal">
      <formula>"NO_KILL"</formula>
    </cfRule>
    <cfRule type="cellIs" dxfId="66" priority="2" operator="equal">
      <formula>"KILL"</formula>
    </cfRule>
  </conditionalFormatting>
  <conditionalFormatting sqref="A1:Z4 A5:B8 D5:Z8 A9:Z30 D31:Z31 I32:Z108 D49:F49 D82:F82 A109:Z1054">
    <cfRule type="cellIs" dxfId="65" priority="28" operator="equal">
      <formula>"NO_KILL"</formula>
    </cfRule>
    <cfRule type="cellIs" dxfId="64" priority="29" operator="equal">
      <formula>"KILL"</formula>
    </cfRule>
    <cfRule type="cellIs" dxfId="63" priority="30" operator="equal">
      <formula>"ERROR"</formula>
    </cfRule>
  </conditionalFormatting>
  <conditionalFormatting sqref="B29:B1054">
    <cfRule type="cellIs" dxfId="62" priority="14" operator="equal">
      <formula>"Mutant"</formula>
    </cfRule>
    <cfRule type="cellIs" dxfId="61" priority="13" operator="equal">
      <formula>"Test"</formula>
    </cfRule>
    <cfRule type="cellIs" dxfId="60" priority="15" operator="equal">
      <formula>"Question"</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B2:W152"/>
  <sheetViews>
    <sheetView topLeftCell="A34" workbookViewId="0">
      <selection activeCell="B40" sqref="B40:H59"/>
    </sheetView>
  </sheetViews>
  <sheetFormatPr defaultColWidth="12.5703125" defaultRowHeight="15.75" customHeight="1"/>
  <cols>
    <col min="4" max="4" width="18.140625" bestFit="1" customWidth="1"/>
    <col min="6" max="6" width="23.42578125" customWidth="1"/>
    <col min="14" max="14" width="13.42578125" customWidth="1"/>
  </cols>
  <sheetData>
    <row r="2" spans="2:23" ht="12.75">
      <c r="B2" s="29" t="s">
        <v>4</v>
      </c>
      <c r="C2" s="29" t="s">
        <v>45</v>
      </c>
      <c r="D2" s="29" t="s">
        <v>46</v>
      </c>
    </row>
    <row r="3" spans="2:23" ht="12.75">
      <c r="B3" s="29">
        <v>125</v>
      </c>
      <c r="C3" s="29" t="s">
        <v>60</v>
      </c>
      <c r="D3" s="127" t="s">
        <v>18</v>
      </c>
    </row>
    <row r="5" spans="2:23" ht="12.75">
      <c r="B5" s="221" t="s">
        <v>3</v>
      </c>
      <c r="C5" s="222"/>
      <c r="D5" s="44" t="s">
        <v>5</v>
      </c>
      <c r="E5" s="43" t="s">
        <v>6</v>
      </c>
      <c r="F5" s="43" t="s">
        <v>7</v>
      </c>
      <c r="G5" s="43" t="s">
        <v>8</v>
      </c>
      <c r="H5" s="44" t="s">
        <v>9</v>
      </c>
      <c r="I5" s="43" t="s">
        <v>10</v>
      </c>
      <c r="J5" s="43" t="s">
        <v>11</v>
      </c>
      <c r="K5" s="44" t="s">
        <v>12</v>
      </c>
      <c r="L5" s="43" t="s">
        <v>13</v>
      </c>
      <c r="M5" s="43" t="s">
        <v>14</v>
      </c>
      <c r="N5" s="61" t="s">
        <v>15</v>
      </c>
    </row>
    <row r="6" spans="2:23" ht="12.75">
      <c r="B6" s="223">
        <v>238</v>
      </c>
      <c r="C6" s="224"/>
      <c r="D6" s="47">
        <f ca="1">COUNTIF(Valid_questions!F$1:F1094, B6)</f>
        <v>5</v>
      </c>
      <c r="E6" s="40">
        <v>0</v>
      </c>
      <c r="F6" s="40">
        <v>2</v>
      </c>
      <c r="G6" s="40">
        <v>0</v>
      </c>
      <c r="H6" s="47">
        <v>2</v>
      </c>
      <c r="I6" s="40">
        <f>COUNTIFS(Tests!E$1:E1094,B6,Tests!D$1:D1094,"&lt;&gt;\N")</f>
        <v>5</v>
      </c>
      <c r="J6" s="40">
        <f>COUNTIFS(Tests!E$1:E1094,B6,Tests!D$1:D1094,"=\N")</f>
        <v>5</v>
      </c>
      <c r="K6" s="47">
        <v>4</v>
      </c>
      <c r="L6" s="40">
        <f>COUNTIFS(Mutants!E$1:E1094,B6,Mutants!D$1:D1094,"&lt;&gt;\N")</f>
        <v>3</v>
      </c>
      <c r="M6" s="40">
        <f>COUNTIFS(Mutants!E$1:E1094,B6,Mutants!D$1:D1094,"=\N")</f>
        <v>2</v>
      </c>
      <c r="N6" s="45">
        <v>3</v>
      </c>
    </row>
    <row r="7" spans="2:23" ht="12.75">
      <c r="B7" s="225">
        <v>239</v>
      </c>
      <c r="C7" s="226"/>
      <c r="D7" s="10">
        <f ca="1">COUNTIF(Valid_questions!F$1:F1094, B7)</f>
        <v>5</v>
      </c>
      <c r="E7" s="9">
        <v>0</v>
      </c>
      <c r="F7" s="9">
        <v>2</v>
      </c>
      <c r="G7" s="9">
        <v>0</v>
      </c>
      <c r="H7" s="10">
        <v>2</v>
      </c>
      <c r="I7" s="9">
        <f>COUNTIFS(Tests!E$1:E1094,B7,Tests!D$1:D1094,"&lt;&gt;\N")</f>
        <v>9</v>
      </c>
      <c r="J7" s="9">
        <f>COUNTIFS(Tests!E$1:E1094,B7,Tests!D$1:D1094,"=\N")</f>
        <v>11</v>
      </c>
      <c r="K7" s="10">
        <v>2</v>
      </c>
      <c r="L7" s="9">
        <f>COUNTIFS(Mutants!E$1:E1094,B7,Mutants!D$1:D1094,"&lt;&gt;\N")</f>
        <v>1</v>
      </c>
      <c r="M7" s="9">
        <f>COUNTIFS(Mutants!E$1:E1094,B7,Mutants!D$1:D1094,"=\N")</f>
        <v>0</v>
      </c>
      <c r="N7" s="14">
        <v>1</v>
      </c>
    </row>
    <row r="8" spans="2:23" ht="12.75">
      <c r="B8" s="225">
        <v>240</v>
      </c>
      <c r="C8" s="226"/>
      <c r="D8" s="10">
        <f ca="1">COUNTIF(Valid_questions!F$1:F1094, B8)</f>
        <v>0</v>
      </c>
      <c r="E8" s="9">
        <v>6</v>
      </c>
      <c r="F8" s="9">
        <v>1</v>
      </c>
      <c r="G8" s="9">
        <v>0</v>
      </c>
      <c r="H8" s="10">
        <v>7</v>
      </c>
      <c r="I8" s="9">
        <f>COUNTIFS(Tests!E$1:E1094,B8,Tests!D$1:D1094,"&lt;&gt;\N")</f>
        <v>3</v>
      </c>
      <c r="J8" s="9">
        <f>COUNTIFS(Tests!E$1:E1094,B8,Tests!D$1:D1094,"=\N")</f>
        <v>5</v>
      </c>
      <c r="K8" s="10">
        <v>3</v>
      </c>
      <c r="L8" s="9">
        <f>COUNTIFS(Mutants!E$1:E1094,B8,Mutants!D$1:D1094,"&lt;&gt;\N")</f>
        <v>11</v>
      </c>
      <c r="M8" s="9">
        <f>COUNTIFS(Mutants!E$1:E1094,B8,Mutants!D$1:D1094,"=\N")</f>
        <v>1</v>
      </c>
      <c r="N8" s="14">
        <v>6</v>
      </c>
    </row>
    <row r="9" spans="2:23" ht="12.75">
      <c r="B9" s="227">
        <v>241</v>
      </c>
      <c r="C9" s="228"/>
      <c r="D9" s="22">
        <f ca="1">COUNTIF(Valid_questions!F$1:F1094, B9)</f>
        <v>5</v>
      </c>
      <c r="E9" s="21">
        <v>1</v>
      </c>
      <c r="F9" s="21">
        <v>11</v>
      </c>
      <c r="G9" s="21">
        <v>0</v>
      </c>
      <c r="H9" s="22">
        <v>12</v>
      </c>
      <c r="I9" s="21">
        <f>COUNTIFS(Tests!E$1:E1094,B9,Tests!D$1:D1094,"&lt;&gt;\N")</f>
        <v>19</v>
      </c>
      <c r="J9" s="21">
        <f>COUNTIFS(Tests!E$1:E1094,B9,Tests!D$1:D1094,"=\N")</f>
        <v>6</v>
      </c>
      <c r="K9" s="22">
        <v>5</v>
      </c>
      <c r="L9" s="21">
        <f>COUNTIFS(Mutants!E$1:E1094,B9,Mutants!D$1:D1094,"&lt;&gt;\N")</f>
        <v>5</v>
      </c>
      <c r="M9" s="21">
        <f>COUNTIFS(Mutants!E$1:E1094,B9,Mutants!D$1:D1094,"=\N")</f>
        <v>0</v>
      </c>
      <c r="N9" s="38">
        <v>4</v>
      </c>
    </row>
    <row r="12" spans="2:23" ht="27" customHeight="1">
      <c r="B12" s="220" t="s">
        <v>4588</v>
      </c>
      <c r="C12" s="173"/>
    </row>
    <row r="14" spans="2:23" ht="12.75">
      <c r="C14" s="29" t="s">
        <v>4589</v>
      </c>
    </row>
    <row r="15" spans="2:23" ht="12.75">
      <c r="B15" s="29" t="s">
        <v>4590</v>
      </c>
      <c r="C15" s="29"/>
      <c r="D15" s="43">
        <v>570</v>
      </c>
      <c r="E15" s="43">
        <v>591</v>
      </c>
      <c r="F15" s="43">
        <v>625</v>
      </c>
      <c r="G15" s="43">
        <v>633</v>
      </c>
      <c r="H15" s="43">
        <v>635</v>
      </c>
      <c r="I15" s="43">
        <v>659</v>
      </c>
      <c r="J15" s="43">
        <v>706</v>
      </c>
      <c r="K15" s="43">
        <v>719</v>
      </c>
      <c r="L15" s="43">
        <v>727</v>
      </c>
      <c r="M15" s="43">
        <v>755</v>
      </c>
      <c r="N15" s="43">
        <v>757</v>
      </c>
      <c r="O15" s="43">
        <v>777</v>
      </c>
      <c r="P15" s="43">
        <v>783</v>
      </c>
      <c r="Q15" s="43">
        <v>788</v>
      </c>
      <c r="R15" s="43">
        <v>789</v>
      </c>
      <c r="S15" s="43">
        <v>799</v>
      </c>
      <c r="T15" s="43">
        <v>828</v>
      </c>
      <c r="U15" s="43">
        <v>849</v>
      </c>
      <c r="V15" s="43">
        <v>913</v>
      </c>
      <c r="W15" s="61">
        <v>922</v>
      </c>
    </row>
    <row r="16" spans="2:23" ht="12.75">
      <c r="B16" s="9"/>
      <c r="C16" s="81">
        <v>374</v>
      </c>
      <c r="D16" s="9" t="s">
        <v>4595</v>
      </c>
      <c r="E16" s="9" t="s">
        <v>4595</v>
      </c>
      <c r="F16" s="9" t="s">
        <v>4591</v>
      </c>
      <c r="G16" s="9" t="s">
        <v>4591</v>
      </c>
      <c r="H16" s="9" t="s">
        <v>4595</v>
      </c>
      <c r="I16" s="9" t="s">
        <v>4595</v>
      </c>
      <c r="J16" s="9" t="s">
        <v>4591</v>
      </c>
      <c r="K16" s="9" t="s">
        <v>4591</v>
      </c>
      <c r="L16" s="9" t="s">
        <v>4591</v>
      </c>
      <c r="M16" s="9" t="s">
        <v>4591</v>
      </c>
      <c r="N16" s="9" t="s">
        <v>4591</v>
      </c>
      <c r="O16" s="9" t="s">
        <v>4591</v>
      </c>
      <c r="P16" s="9" t="s">
        <v>4591</v>
      </c>
      <c r="Q16" s="9" t="s">
        <v>4591</v>
      </c>
      <c r="R16" s="9" t="s">
        <v>4591</v>
      </c>
      <c r="S16" s="9" t="s">
        <v>4591</v>
      </c>
      <c r="T16" s="9" t="s">
        <v>4591</v>
      </c>
      <c r="U16" s="9" t="s">
        <v>4591</v>
      </c>
      <c r="V16" s="9" t="s">
        <v>4591</v>
      </c>
      <c r="W16" s="14" t="s">
        <v>4591</v>
      </c>
    </row>
    <row r="17" spans="2:23" ht="12.75">
      <c r="B17" s="9"/>
      <c r="C17" s="81">
        <v>382</v>
      </c>
      <c r="D17" s="9" t="s">
        <v>4595</v>
      </c>
      <c r="E17" s="9" t="s">
        <v>4595</v>
      </c>
      <c r="F17" s="9" t="s">
        <v>4595</v>
      </c>
      <c r="G17" s="9" t="s">
        <v>4592</v>
      </c>
      <c r="H17" s="9" t="s">
        <v>4593</v>
      </c>
      <c r="I17" s="9" t="s">
        <v>4592</v>
      </c>
      <c r="J17" s="9" t="s">
        <v>4593</v>
      </c>
      <c r="K17" s="9" t="s">
        <v>4593</v>
      </c>
      <c r="L17" s="9" t="s">
        <v>4592</v>
      </c>
      <c r="M17" s="9" t="s">
        <v>4593</v>
      </c>
      <c r="N17" s="9" t="s">
        <v>4591</v>
      </c>
      <c r="O17" s="9" t="s">
        <v>4595</v>
      </c>
      <c r="P17" s="9" t="s">
        <v>4591</v>
      </c>
      <c r="Q17" s="9" t="s">
        <v>4595</v>
      </c>
      <c r="R17" s="9" t="s">
        <v>4592</v>
      </c>
      <c r="S17" s="9" t="s">
        <v>4595</v>
      </c>
      <c r="T17" s="9" t="s">
        <v>4595</v>
      </c>
      <c r="U17" s="9" t="s">
        <v>4592</v>
      </c>
      <c r="V17" s="9" t="s">
        <v>4591</v>
      </c>
      <c r="W17" s="14" t="s">
        <v>4593</v>
      </c>
    </row>
    <row r="18" spans="2:23" ht="12.75">
      <c r="B18" s="9"/>
      <c r="C18" s="81">
        <v>391</v>
      </c>
      <c r="D18" s="9" t="s">
        <v>4591</v>
      </c>
      <c r="E18" s="9" t="s">
        <v>4591</v>
      </c>
      <c r="F18" s="9" t="s">
        <v>4591</v>
      </c>
      <c r="G18" s="9" t="s">
        <v>4591</v>
      </c>
      <c r="H18" s="9" t="s">
        <v>4591</v>
      </c>
      <c r="I18" s="9" t="s">
        <v>4593</v>
      </c>
      <c r="J18" s="9" t="s">
        <v>4591</v>
      </c>
      <c r="K18" s="9" t="s">
        <v>4591</v>
      </c>
      <c r="L18" s="9" t="s">
        <v>4591</v>
      </c>
      <c r="M18" s="9" t="s">
        <v>4591</v>
      </c>
      <c r="N18" s="9" t="s">
        <v>4591</v>
      </c>
      <c r="O18" s="9" t="s">
        <v>4591</v>
      </c>
      <c r="P18" s="9" t="s">
        <v>4591</v>
      </c>
      <c r="Q18" s="9" t="s">
        <v>4591</v>
      </c>
      <c r="R18" s="9" t="s">
        <v>4591</v>
      </c>
      <c r="S18" s="9" t="s">
        <v>4591</v>
      </c>
      <c r="T18" s="9" t="s">
        <v>4591</v>
      </c>
      <c r="U18" s="9" t="s">
        <v>4591</v>
      </c>
      <c r="V18" s="9" t="s">
        <v>4591</v>
      </c>
      <c r="W18" s="14" t="s">
        <v>4591</v>
      </c>
    </row>
    <row r="19" spans="2:23" ht="12.75">
      <c r="B19" s="9"/>
      <c r="C19" s="81">
        <v>430</v>
      </c>
      <c r="D19" s="9" t="s">
        <v>4591</v>
      </c>
      <c r="E19" s="9" t="s">
        <v>4591</v>
      </c>
      <c r="F19" s="9" t="s">
        <v>4591</v>
      </c>
      <c r="G19" s="9" t="s">
        <v>4591</v>
      </c>
      <c r="H19" s="9" t="s">
        <v>4591</v>
      </c>
      <c r="I19" s="9" t="s">
        <v>4591</v>
      </c>
      <c r="J19" s="9" t="s">
        <v>4591</v>
      </c>
      <c r="K19" s="9" t="s">
        <v>4591</v>
      </c>
      <c r="L19" s="9" t="s">
        <v>4592</v>
      </c>
      <c r="M19" s="9" t="s">
        <v>4591</v>
      </c>
      <c r="N19" s="9" t="s">
        <v>4591</v>
      </c>
      <c r="O19" s="9" t="s">
        <v>4591</v>
      </c>
      <c r="P19" s="9" t="s">
        <v>4591</v>
      </c>
      <c r="Q19" s="9" t="s">
        <v>4591</v>
      </c>
      <c r="R19" s="9" t="s">
        <v>4592</v>
      </c>
      <c r="S19" s="9" t="s">
        <v>4591</v>
      </c>
      <c r="T19" s="9" t="s">
        <v>4591</v>
      </c>
      <c r="U19" s="9" t="s">
        <v>4591</v>
      </c>
      <c r="V19" s="9" t="s">
        <v>4591</v>
      </c>
      <c r="W19" s="14" t="s">
        <v>4592</v>
      </c>
    </row>
    <row r="20" spans="2:23" ht="12.75">
      <c r="B20" s="9"/>
      <c r="C20" s="81">
        <v>446</v>
      </c>
      <c r="D20" s="9" t="s">
        <v>4591</v>
      </c>
      <c r="E20" s="9" t="s">
        <v>4595</v>
      </c>
      <c r="F20" s="9" t="s">
        <v>4591</v>
      </c>
      <c r="G20" s="9" t="s">
        <v>4595</v>
      </c>
      <c r="H20" s="9" t="s">
        <v>4591</v>
      </c>
      <c r="I20" s="9" t="s">
        <v>4591</v>
      </c>
      <c r="J20" s="9" t="s">
        <v>4591</v>
      </c>
      <c r="K20" s="9" t="s">
        <v>4591</v>
      </c>
      <c r="L20" s="9" t="s">
        <v>4591</v>
      </c>
      <c r="M20" s="9" t="s">
        <v>4595</v>
      </c>
      <c r="N20" s="9" t="s">
        <v>4591</v>
      </c>
      <c r="O20" s="9" t="s">
        <v>4591</v>
      </c>
      <c r="P20" s="9" t="s">
        <v>4591</v>
      </c>
      <c r="Q20" s="9" t="s">
        <v>4591</v>
      </c>
      <c r="R20" s="9" t="s">
        <v>4591</v>
      </c>
      <c r="S20" s="9" t="s">
        <v>4591</v>
      </c>
      <c r="T20" s="9" t="s">
        <v>4591</v>
      </c>
      <c r="U20" s="9" t="s">
        <v>4591</v>
      </c>
      <c r="V20" s="9" t="s">
        <v>4591</v>
      </c>
      <c r="W20" s="14" t="s">
        <v>4591</v>
      </c>
    </row>
    <row r="21" spans="2:23" ht="12.75">
      <c r="B21" s="9"/>
      <c r="C21" s="81">
        <v>448</v>
      </c>
      <c r="D21" s="9" t="s">
        <v>4591</v>
      </c>
      <c r="E21" s="9" t="s">
        <v>4591</v>
      </c>
      <c r="F21" s="9" t="s">
        <v>4591</v>
      </c>
      <c r="G21" s="9" t="s">
        <v>4591</v>
      </c>
      <c r="H21" s="9" t="s">
        <v>4591</v>
      </c>
      <c r="I21" s="9" t="s">
        <v>4591</v>
      </c>
      <c r="J21" s="9" t="s">
        <v>4591</v>
      </c>
      <c r="K21" s="9" t="s">
        <v>4591</v>
      </c>
      <c r="L21" s="9" t="s">
        <v>4591</v>
      </c>
      <c r="M21" s="9" t="s">
        <v>4591</v>
      </c>
      <c r="N21" s="9" t="s">
        <v>4591</v>
      </c>
      <c r="O21" s="9" t="s">
        <v>4595</v>
      </c>
      <c r="P21" s="9" t="s">
        <v>4591</v>
      </c>
      <c r="Q21" s="9" t="s">
        <v>4591</v>
      </c>
      <c r="R21" s="9" t="s">
        <v>4591</v>
      </c>
      <c r="S21" s="9" t="s">
        <v>4591</v>
      </c>
      <c r="T21" s="9" t="s">
        <v>4591</v>
      </c>
      <c r="U21" s="9" t="s">
        <v>4591</v>
      </c>
      <c r="V21" s="9" t="s">
        <v>4591</v>
      </c>
      <c r="W21" s="14" t="s">
        <v>4591</v>
      </c>
    </row>
    <row r="22" spans="2:23" ht="12.75">
      <c r="B22" s="9"/>
      <c r="C22" s="81">
        <v>457</v>
      </c>
      <c r="D22" s="9" t="s">
        <v>4591</v>
      </c>
      <c r="E22" s="9" t="s">
        <v>4591</v>
      </c>
      <c r="F22" s="9" t="s">
        <v>4591</v>
      </c>
      <c r="G22" s="9" t="s">
        <v>4591</v>
      </c>
      <c r="H22" s="9" t="s">
        <v>4591</v>
      </c>
      <c r="I22" s="9" t="s">
        <v>4591</v>
      </c>
      <c r="J22" s="9" t="s">
        <v>4591</v>
      </c>
      <c r="K22" s="9" t="s">
        <v>4591</v>
      </c>
      <c r="L22" s="9" t="s">
        <v>4593</v>
      </c>
      <c r="M22" s="9" t="s">
        <v>4591</v>
      </c>
      <c r="N22" s="9" t="s">
        <v>4591</v>
      </c>
      <c r="O22" s="9" t="s">
        <v>4591</v>
      </c>
      <c r="P22" s="9" t="s">
        <v>4591</v>
      </c>
      <c r="Q22" s="9" t="s">
        <v>4591</v>
      </c>
      <c r="R22" s="9" t="s">
        <v>4593</v>
      </c>
      <c r="S22" s="9" t="s">
        <v>4591</v>
      </c>
      <c r="T22" s="9" t="s">
        <v>4591</v>
      </c>
      <c r="U22" s="9" t="s">
        <v>4591</v>
      </c>
      <c r="V22" s="9" t="s">
        <v>4591</v>
      </c>
      <c r="W22" s="14" t="s">
        <v>4592</v>
      </c>
    </row>
    <row r="23" spans="2:23" ht="12.75">
      <c r="B23" s="9"/>
      <c r="C23" s="81">
        <v>473</v>
      </c>
      <c r="D23" s="9" t="s">
        <v>4591</v>
      </c>
      <c r="E23" s="9" t="s">
        <v>4592</v>
      </c>
      <c r="F23" s="9" t="s">
        <v>4591</v>
      </c>
      <c r="G23" s="9" t="s">
        <v>4593</v>
      </c>
      <c r="H23" s="9" t="s">
        <v>4591</v>
      </c>
      <c r="I23" s="9" t="s">
        <v>4591</v>
      </c>
      <c r="J23" s="9" t="s">
        <v>4591</v>
      </c>
      <c r="K23" s="9" t="s">
        <v>4591</v>
      </c>
      <c r="L23" s="9" t="s">
        <v>4591</v>
      </c>
      <c r="M23" s="9" t="s">
        <v>4593</v>
      </c>
      <c r="N23" s="9" t="s">
        <v>4591</v>
      </c>
      <c r="O23" s="9" t="s">
        <v>4591</v>
      </c>
      <c r="P23" s="9" t="s">
        <v>4591</v>
      </c>
      <c r="Q23" s="9" t="s">
        <v>4591</v>
      </c>
      <c r="R23" s="9" t="s">
        <v>4591</v>
      </c>
      <c r="S23" s="9" t="s">
        <v>4591</v>
      </c>
      <c r="T23" s="9" t="s">
        <v>4591</v>
      </c>
      <c r="U23" s="9" t="s">
        <v>4591</v>
      </c>
      <c r="V23" s="9" t="s">
        <v>4591</v>
      </c>
      <c r="W23" s="14" t="s">
        <v>4591</v>
      </c>
    </row>
    <row r="24" spans="2:23" ht="12.75">
      <c r="B24" s="9"/>
      <c r="C24" s="81">
        <v>476</v>
      </c>
      <c r="D24" s="9" t="s">
        <v>4591</v>
      </c>
      <c r="E24" s="9" t="s">
        <v>4591</v>
      </c>
      <c r="F24" s="9" t="s">
        <v>4591</v>
      </c>
      <c r="G24" s="9" t="s">
        <v>4591</v>
      </c>
      <c r="H24" s="9" t="s">
        <v>4591</v>
      </c>
      <c r="I24" s="9" t="s">
        <v>4591</v>
      </c>
      <c r="J24" s="9" t="s">
        <v>4591</v>
      </c>
      <c r="K24" s="9" t="s">
        <v>4591</v>
      </c>
      <c r="L24" s="9" t="s">
        <v>4591</v>
      </c>
      <c r="M24" s="9" t="s">
        <v>4591</v>
      </c>
      <c r="N24" s="9" t="s">
        <v>4591</v>
      </c>
      <c r="O24" s="9" t="s">
        <v>4591</v>
      </c>
      <c r="P24" s="9" t="s">
        <v>4591</v>
      </c>
      <c r="Q24" s="9" t="s">
        <v>4591</v>
      </c>
      <c r="R24" s="9" t="s">
        <v>4591</v>
      </c>
      <c r="S24" s="9" t="s">
        <v>4595</v>
      </c>
      <c r="T24" s="9" t="s">
        <v>4591</v>
      </c>
      <c r="U24" s="9" t="s">
        <v>4592</v>
      </c>
      <c r="V24" s="9" t="s">
        <v>4591</v>
      </c>
      <c r="W24" s="14" t="s">
        <v>4591</v>
      </c>
    </row>
    <row r="25" spans="2:23" ht="12.75">
      <c r="B25" s="9"/>
      <c r="C25" s="81">
        <v>481</v>
      </c>
      <c r="D25" s="9" t="s">
        <v>4591</v>
      </c>
      <c r="E25" s="9" t="s">
        <v>4592</v>
      </c>
      <c r="F25" s="9" t="s">
        <v>4591</v>
      </c>
      <c r="G25" s="9" t="s">
        <v>4593</v>
      </c>
      <c r="H25" s="9" t="s">
        <v>4591</v>
      </c>
      <c r="I25" s="9" t="s">
        <v>4591</v>
      </c>
      <c r="J25" s="9" t="s">
        <v>4591</v>
      </c>
      <c r="K25" s="9" t="s">
        <v>4591</v>
      </c>
      <c r="L25" s="9" t="s">
        <v>4591</v>
      </c>
      <c r="M25" s="9" t="s">
        <v>4593</v>
      </c>
      <c r="N25" s="9" t="s">
        <v>4591</v>
      </c>
      <c r="O25" s="9" t="s">
        <v>4591</v>
      </c>
      <c r="P25" s="9" t="s">
        <v>4591</v>
      </c>
      <c r="Q25" s="9" t="s">
        <v>4591</v>
      </c>
      <c r="R25" s="9" t="s">
        <v>4591</v>
      </c>
      <c r="S25" s="9" t="s">
        <v>4591</v>
      </c>
      <c r="T25" s="9" t="s">
        <v>4591</v>
      </c>
      <c r="U25" s="9" t="s">
        <v>4591</v>
      </c>
      <c r="V25" s="9" t="s">
        <v>4591</v>
      </c>
      <c r="W25" s="14" t="s">
        <v>4591</v>
      </c>
    </row>
    <row r="26" spans="2:23" ht="12.75">
      <c r="B26" s="9"/>
      <c r="C26" s="81">
        <v>486</v>
      </c>
      <c r="D26" s="9" t="s">
        <v>4591</v>
      </c>
      <c r="E26" s="9" t="s">
        <v>4591</v>
      </c>
      <c r="F26" s="9" t="s">
        <v>4591</v>
      </c>
      <c r="G26" s="9" t="s">
        <v>4591</v>
      </c>
      <c r="H26" s="9" t="s">
        <v>4591</v>
      </c>
      <c r="I26" s="9" t="s">
        <v>4591</v>
      </c>
      <c r="J26" s="9" t="s">
        <v>4591</v>
      </c>
      <c r="K26" s="9" t="s">
        <v>4591</v>
      </c>
      <c r="L26" s="9" t="s">
        <v>4591</v>
      </c>
      <c r="M26" s="9" t="s">
        <v>4591</v>
      </c>
      <c r="N26" s="9" t="s">
        <v>4591</v>
      </c>
      <c r="O26" s="9" t="s">
        <v>4591</v>
      </c>
      <c r="P26" s="9" t="s">
        <v>4591</v>
      </c>
      <c r="Q26" s="9" t="s">
        <v>4592</v>
      </c>
      <c r="R26" s="9" t="s">
        <v>4591</v>
      </c>
      <c r="S26" s="9" t="s">
        <v>4591</v>
      </c>
      <c r="T26" s="9" t="s">
        <v>4591</v>
      </c>
      <c r="U26" s="9" t="s">
        <v>4591</v>
      </c>
      <c r="V26" s="9" t="s">
        <v>4591</v>
      </c>
      <c r="W26" s="14" t="s">
        <v>4591</v>
      </c>
    </row>
    <row r="27" spans="2:23" ht="12.75">
      <c r="B27" s="9"/>
      <c r="C27" s="81">
        <v>488</v>
      </c>
      <c r="D27" s="9" t="s">
        <v>4591</v>
      </c>
      <c r="E27" s="9" t="s">
        <v>4591</v>
      </c>
      <c r="F27" s="9" t="s">
        <v>4591</v>
      </c>
      <c r="G27" s="9" t="s">
        <v>4591</v>
      </c>
      <c r="H27" s="9" t="s">
        <v>4591</v>
      </c>
      <c r="I27" s="9" t="s">
        <v>4591</v>
      </c>
      <c r="J27" s="9" t="s">
        <v>4593</v>
      </c>
      <c r="K27" s="9" t="s">
        <v>4591</v>
      </c>
      <c r="L27" s="9" t="s">
        <v>4591</v>
      </c>
      <c r="M27" s="9" t="s">
        <v>4591</v>
      </c>
      <c r="N27" s="9" t="s">
        <v>4593</v>
      </c>
      <c r="O27" s="9" t="s">
        <v>4591</v>
      </c>
      <c r="P27" s="9" t="s">
        <v>4593</v>
      </c>
      <c r="Q27" s="9" t="s">
        <v>4591</v>
      </c>
      <c r="R27" s="9" t="s">
        <v>4591</v>
      </c>
      <c r="S27" s="9" t="s">
        <v>4591</v>
      </c>
      <c r="T27" s="9" t="s">
        <v>4591</v>
      </c>
      <c r="U27" s="9" t="s">
        <v>4591</v>
      </c>
      <c r="V27" s="9" t="s">
        <v>4591</v>
      </c>
      <c r="W27" s="14" t="s">
        <v>4591</v>
      </c>
    </row>
    <row r="28" spans="2:23" ht="12.75">
      <c r="B28" s="9"/>
      <c r="C28" s="81">
        <v>490</v>
      </c>
      <c r="D28" s="9" t="s">
        <v>4591</v>
      </c>
      <c r="E28" s="9" t="s">
        <v>4591</v>
      </c>
      <c r="F28" s="9" t="s">
        <v>4591</v>
      </c>
      <c r="G28" s="9" t="s">
        <v>4591</v>
      </c>
      <c r="H28" s="9" t="s">
        <v>4591</v>
      </c>
      <c r="I28" s="9" t="s">
        <v>4591</v>
      </c>
      <c r="J28" s="9" t="s">
        <v>4591</v>
      </c>
      <c r="K28" s="9" t="s">
        <v>4591</v>
      </c>
      <c r="L28" s="9" t="s">
        <v>4591</v>
      </c>
      <c r="M28" s="9" t="s">
        <v>4591</v>
      </c>
      <c r="N28" s="9" t="s">
        <v>4591</v>
      </c>
      <c r="O28" s="9" t="s">
        <v>4591</v>
      </c>
      <c r="P28" s="9" t="s">
        <v>4591</v>
      </c>
      <c r="Q28" s="9" t="s">
        <v>4595</v>
      </c>
      <c r="R28" s="9" t="s">
        <v>4591</v>
      </c>
      <c r="S28" s="9" t="s">
        <v>4591</v>
      </c>
      <c r="T28" s="9" t="s">
        <v>4591</v>
      </c>
      <c r="U28" s="9" t="s">
        <v>4591</v>
      </c>
      <c r="V28" s="9" t="s">
        <v>4591</v>
      </c>
      <c r="W28" s="14" t="s">
        <v>4591</v>
      </c>
    </row>
    <row r="29" spans="2:23" ht="12.75">
      <c r="B29" s="9"/>
      <c r="C29" s="81">
        <v>494</v>
      </c>
      <c r="D29" s="9" t="s">
        <v>4591</v>
      </c>
      <c r="E29" s="9" t="s">
        <v>4591</v>
      </c>
      <c r="F29" s="9" t="s">
        <v>4595</v>
      </c>
      <c r="G29" s="9" t="s">
        <v>4591</v>
      </c>
      <c r="H29" s="9" t="s">
        <v>4591</v>
      </c>
      <c r="I29" s="9" t="s">
        <v>4591</v>
      </c>
      <c r="J29" s="9" t="s">
        <v>4591</v>
      </c>
      <c r="K29" s="9" t="s">
        <v>4591</v>
      </c>
      <c r="L29" s="9" t="s">
        <v>4591</v>
      </c>
      <c r="M29" s="9" t="s">
        <v>4593</v>
      </c>
      <c r="N29" s="9" t="s">
        <v>4591</v>
      </c>
      <c r="O29" s="9" t="s">
        <v>4591</v>
      </c>
      <c r="P29" s="9" t="s">
        <v>4591</v>
      </c>
      <c r="Q29" s="9" t="s">
        <v>4591</v>
      </c>
      <c r="R29" s="9" t="s">
        <v>4591</v>
      </c>
      <c r="S29" s="9" t="s">
        <v>4591</v>
      </c>
      <c r="T29" s="9" t="s">
        <v>4591</v>
      </c>
      <c r="U29" s="9" t="s">
        <v>4591</v>
      </c>
      <c r="V29" s="9" t="s">
        <v>4591</v>
      </c>
      <c r="W29" s="14" t="s">
        <v>4591</v>
      </c>
    </row>
    <row r="30" spans="2:23" ht="12.75">
      <c r="B30" s="9"/>
      <c r="C30" s="81">
        <v>496</v>
      </c>
      <c r="D30" s="9" t="s">
        <v>4591</v>
      </c>
      <c r="E30" s="9" t="s">
        <v>4591</v>
      </c>
      <c r="F30" s="9" t="s">
        <v>4591</v>
      </c>
      <c r="G30" s="9" t="s">
        <v>4591</v>
      </c>
      <c r="H30" s="9" t="s">
        <v>4591</v>
      </c>
      <c r="I30" s="9" t="s">
        <v>4591</v>
      </c>
      <c r="J30" s="9" t="s">
        <v>4591</v>
      </c>
      <c r="K30" s="9" t="s">
        <v>4591</v>
      </c>
      <c r="L30" s="9" t="s">
        <v>4591</v>
      </c>
      <c r="M30" s="9" t="s">
        <v>4591</v>
      </c>
      <c r="N30" s="9" t="s">
        <v>4591</v>
      </c>
      <c r="O30" s="9" t="s">
        <v>4591</v>
      </c>
      <c r="P30" s="9" t="s">
        <v>4591</v>
      </c>
      <c r="Q30" s="9" t="s">
        <v>4595</v>
      </c>
      <c r="R30" s="9" t="s">
        <v>4591</v>
      </c>
      <c r="S30" s="9" t="s">
        <v>4591</v>
      </c>
      <c r="T30" s="9" t="s">
        <v>4591</v>
      </c>
      <c r="U30" s="9" t="s">
        <v>4591</v>
      </c>
      <c r="V30" s="9" t="s">
        <v>4591</v>
      </c>
      <c r="W30" s="14" t="s">
        <v>4591</v>
      </c>
    </row>
    <row r="31" spans="2:23" ht="12.75">
      <c r="B31" s="9"/>
      <c r="C31" s="81">
        <v>507</v>
      </c>
      <c r="D31" s="9" t="s">
        <v>4591</v>
      </c>
      <c r="E31" s="9" t="s">
        <v>4591</v>
      </c>
      <c r="F31" s="9" t="s">
        <v>4595</v>
      </c>
      <c r="G31" s="9" t="s">
        <v>4592</v>
      </c>
      <c r="H31" s="9" t="s">
        <v>4591</v>
      </c>
      <c r="I31" s="9" t="s">
        <v>4591</v>
      </c>
      <c r="J31" s="9" t="s">
        <v>4591</v>
      </c>
      <c r="K31" s="9" t="s">
        <v>4591</v>
      </c>
      <c r="L31" s="9" t="s">
        <v>4592</v>
      </c>
      <c r="M31" s="9" t="s">
        <v>4593</v>
      </c>
      <c r="N31" s="9" t="s">
        <v>4591</v>
      </c>
      <c r="O31" s="9" t="s">
        <v>4591</v>
      </c>
      <c r="P31" s="9" t="s">
        <v>4591</v>
      </c>
      <c r="Q31" s="9" t="s">
        <v>4591</v>
      </c>
      <c r="R31" s="9" t="s">
        <v>4592</v>
      </c>
      <c r="S31" s="9" t="s">
        <v>4591</v>
      </c>
      <c r="T31" s="9" t="s">
        <v>4591</v>
      </c>
      <c r="U31" s="9" t="s">
        <v>4591</v>
      </c>
      <c r="V31" s="9" t="s">
        <v>4591</v>
      </c>
      <c r="W31" s="14" t="s">
        <v>4591</v>
      </c>
    </row>
    <row r="32" spans="2:23" ht="12.75">
      <c r="B32" s="9"/>
      <c r="C32" s="81">
        <v>604</v>
      </c>
      <c r="D32" s="9" t="s">
        <v>4591</v>
      </c>
      <c r="E32" s="9" t="s">
        <v>4591</v>
      </c>
      <c r="F32" s="9" t="s">
        <v>4591</v>
      </c>
      <c r="G32" s="9" t="s">
        <v>4591</v>
      </c>
      <c r="H32" s="9" t="s">
        <v>4591</v>
      </c>
      <c r="I32" s="9" t="s">
        <v>4591</v>
      </c>
      <c r="J32" s="9" t="s">
        <v>4591</v>
      </c>
      <c r="K32" s="9" t="s">
        <v>4591</v>
      </c>
      <c r="L32" s="9" t="s">
        <v>4591</v>
      </c>
      <c r="M32" s="9" t="s">
        <v>4591</v>
      </c>
      <c r="N32" s="9" t="s">
        <v>4591</v>
      </c>
      <c r="O32" s="9" t="s">
        <v>4591</v>
      </c>
      <c r="P32" s="9" t="s">
        <v>4591</v>
      </c>
      <c r="Q32" s="9" t="s">
        <v>4591</v>
      </c>
      <c r="R32" s="9" t="s">
        <v>4591</v>
      </c>
      <c r="S32" s="9" t="s">
        <v>4595</v>
      </c>
      <c r="T32" s="9" t="s">
        <v>4591</v>
      </c>
      <c r="U32" s="9" t="s">
        <v>4592</v>
      </c>
      <c r="V32" s="9" t="s">
        <v>4591</v>
      </c>
      <c r="W32" s="14" t="s">
        <v>4591</v>
      </c>
    </row>
    <row r="33" spans="2:23" ht="12.75">
      <c r="B33" s="9"/>
      <c r="C33" s="81">
        <v>606</v>
      </c>
      <c r="D33" s="9" t="s">
        <v>4591</v>
      </c>
      <c r="E33" s="9" t="s">
        <v>4591</v>
      </c>
      <c r="F33" s="9" t="s">
        <v>4591</v>
      </c>
      <c r="G33" s="9" t="s">
        <v>4591</v>
      </c>
      <c r="H33" s="9" t="s">
        <v>4591</v>
      </c>
      <c r="I33" s="9" t="s">
        <v>4591</v>
      </c>
      <c r="J33" s="9" t="s">
        <v>4591</v>
      </c>
      <c r="K33" s="9" t="s">
        <v>4591</v>
      </c>
      <c r="L33" s="9" t="s">
        <v>4591</v>
      </c>
      <c r="M33" s="9" t="s">
        <v>4591</v>
      </c>
      <c r="N33" s="9" t="s">
        <v>4591</v>
      </c>
      <c r="O33" s="9" t="s">
        <v>4591</v>
      </c>
      <c r="P33" s="9" t="s">
        <v>4591</v>
      </c>
      <c r="Q33" s="9" t="s">
        <v>4591</v>
      </c>
      <c r="R33" s="9" t="s">
        <v>4591</v>
      </c>
      <c r="S33" s="9" t="s">
        <v>4591</v>
      </c>
      <c r="T33" s="9" t="s">
        <v>4595</v>
      </c>
      <c r="U33" s="9" t="s">
        <v>4591</v>
      </c>
      <c r="V33" s="9" t="s">
        <v>4591</v>
      </c>
      <c r="W33" s="14" t="s">
        <v>4591</v>
      </c>
    </row>
    <row r="34" spans="2:23" ht="12.75">
      <c r="B34" s="9"/>
      <c r="C34" s="81">
        <v>635</v>
      </c>
      <c r="D34" s="9" t="s">
        <v>4591</v>
      </c>
      <c r="E34" s="9" t="s">
        <v>4591</v>
      </c>
      <c r="F34" s="9" t="s">
        <v>4591</v>
      </c>
      <c r="G34" s="9" t="s">
        <v>4591</v>
      </c>
      <c r="H34" s="9" t="s">
        <v>4591</v>
      </c>
      <c r="I34" s="9" t="s">
        <v>4591</v>
      </c>
      <c r="J34" s="9" t="s">
        <v>4592</v>
      </c>
      <c r="K34" s="9" t="s">
        <v>4591</v>
      </c>
      <c r="L34" s="9" t="s">
        <v>4591</v>
      </c>
      <c r="M34" s="9" t="s">
        <v>4591</v>
      </c>
      <c r="N34" s="9" t="s">
        <v>4593</v>
      </c>
      <c r="O34" s="9" t="s">
        <v>4591</v>
      </c>
      <c r="P34" s="9" t="s">
        <v>4593</v>
      </c>
      <c r="Q34" s="9" t="s">
        <v>4591</v>
      </c>
      <c r="R34" s="9" t="s">
        <v>4591</v>
      </c>
      <c r="S34" s="9" t="s">
        <v>4591</v>
      </c>
      <c r="T34" s="9" t="s">
        <v>4591</v>
      </c>
      <c r="U34" s="9" t="s">
        <v>4591</v>
      </c>
      <c r="V34" s="9" t="s">
        <v>4591</v>
      </c>
      <c r="W34" s="14" t="s">
        <v>4591</v>
      </c>
    </row>
    <row r="35" spans="2:23" ht="12.75">
      <c r="B35" s="9"/>
      <c r="C35" s="82">
        <v>658</v>
      </c>
      <c r="D35" s="21" t="s">
        <v>4591</v>
      </c>
      <c r="E35" s="21" t="s">
        <v>4591</v>
      </c>
      <c r="F35" s="21" t="s">
        <v>4591</v>
      </c>
      <c r="G35" s="21" t="s">
        <v>4591</v>
      </c>
      <c r="H35" s="21" t="s">
        <v>4591</v>
      </c>
      <c r="I35" s="21" t="s">
        <v>4591</v>
      </c>
      <c r="J35" s="21" t="s">
        <v>4591</v>
      </c>
      <c r="K35" s="21" t="s">
        <v>4591</v>
      </c>
      <c r="L35" s="21" t="s">
        <v>4591</v>
      </c>
      <c r="M35" s="21" t="s">
        <v>4591</v>
      </c>
      <c r="N35" s="21" t="s">
        <v>4591</v>
      </c>
      <c r="O35" s="21" t="s">
        <v>4591</v>
      </c>
      <c r="P35" s="21" t="s">
        <v>4591</v>
      </c>
      <c r="Q35" s="21" t="s">
        <v>4591</v>
      </c>
      <c r="R35" s="21" t="s">
        <v>4591</v>
      </c>
      <c r="S35" s="21" t="s">
        <v>4591</v>
      </c>
      <c r="T35" s="21" t="s">
        <v>4591</v>
      </c>
      <c r="U35" s="21" t="s">
        <v>4591</v>
      </c>
      <c r="V35" s="21" t="s">
        <v>4591</v>
      </c>
      <c r="W35" s="38" t="s">
        <v>4591</v>
      </c>
    </row>
    <row r="38" spans="2:23" ht="15.75" customHeight="1" thickBot="1">
      <c r="B38" s="219" t="s">
        <v>4604</v>
      </c>
      <c r="C38" s="201"/>
      <c r="D38" s="45">
        <v>238</v>
      </c>
    </row>
    <row r="39" spans="2:23" ht="15.75" customHeight="1" thickTop="1">
      <c r="B39" s="134" t="s">
        <v>4594</v>
      </c>
      <c r="C39" s="135" t="s">
        <v>44</v>
      </c>
      <c r="D39" s="135" t="s">
        <v>110</v>
      </c>
      <c r="E39" s="136" t="s">
        <v>2</v>
      </c>
      <c r="F39" s="229" t="s">
        <v>4612</v>
      </c>
      <c r="G39" s="229"/>
      <c r="H39" s="230"/>
      <c r="I39" s="9"/>
      <c r="J39" s="9"/>
      <c r="K39" s="9"/>
      <c r="L39" s="9"/>
      <c r="M39" s="9"/>
      <c r="O39" s="9"/>
      <c r="P39" s="9"/>
    </row>
    <row r="40" spans="2:23" ht="15.75" customHeight="1">
      <c r="B40" s="137" t="s">
        <v>4589</v>
      </c>
      <c r="C40" s="93">
        <v>411</v>
      </c>
      <c r="D40" s="93" t="s">
        <v>3948</v>
      </c>
      <c r="E40" s="93" t="str">
        <f>IF($B40 = "Mutant",VLOOKUP($C40,Mutants!$A$2:$L$560,12,FALSE),IF($B40 = "Test",VLOOKUP($C40,Tests!$A$2:$L$841,12,FALSE),VLOOKUP($C40,Questions!$A$3:$N$201,9,FALSE)))</f>
        <v>N</v>
      </c>
      <c r="F40" s="205" t="str">
        <f>IF($B40 = "Mutant",VLOOKUP($C40,Mutants!$A$2:$L$560,11,FALSE),IF($B40 = "Test",VLOOKUP($C40,Tests!$A$2:$L$841,11,FALSE),VLOOKUP($C40,Questions!$A$3:$N$201,13,FALSE)))</f>
        <v xml:space="preserve">
</v>
      </c>
      <c r="G40" s="205"/>
      <c r="H40" s="206"/>
      <c r="I40" s="9"/>
      <c r="J40" s="9"/>
      <c r="K40" s="9"/>
      <c r="L40" s="9"/>
      <c r="M40" s="9"/>
    </row>
    <row r="41" spans="2:23" ht="15.75" customHeight="1">
      <c r="B41" s="114" t="s">
        <v>4589</v>
      </c>
      <c r="C41" s="9">
        <v>434</v>
      </c>
      <c r="D41" s="9" t="s">
        <v>4005</v>
      </c>
      <c r="E41" s="9" t="str">
        <f>IF($B41 = "Mutant",VLOOKUP($C41,Mutants!$A$2:$L$560,12,FALSE),IF($B41 = "Test",VLOOKUP($C41,Tests!$A$2:$L$841,12,FALSE),VLOOKUP($C41,Questions!$A$3:$N$201,9,FALSE)))</f>
        <v>N</v>
      </c>
      <c r="F41" s="187" t="str">
        <f>IF($B41 = "Mutant",VLOOKUP($C41,Mutants!$A$2:$L$560,11,FALSE),IF($B41 = "Test",VLOOKUP($C41,Tests!$A$2:$L$841,11,FALSE),VLOOKUP($C41,Questions!$A$3:$N$201,13,FALSE)))</f>
        <v xml:space="preserve">
</v>
      </c>
      <c r="G41" s="187"/>
      <c r="H41" s="202"/>
      <c r="I41" s="9"/>
      <c r="J41" s="9"/>
      <c r="K41" s="9"/>
      <c r="L41" s="9"/>
      <c r="M41" s="9"/>
    </row>
    <row r="42" spans="2:23" ht="15.75" customHeight="1">
      <c r="B42" s="114" t="s">
        <v>4589</v>
      </c>
      <c r="C42" s="9">
        <v>448</v>
      </c>
      <c r="D42" s="9" t="s">
        <v>4044</v>
      </c>
      <c r="E42" s="9" t="str">
        <f>IF($B42 = "Mutant",VLOOKUP($C42,Mutants!$A$2:$L$560,12,FALSE),IF($B42 = "Test",VLOOKUP($C42,Tests!$A$2:$L$841,12,FALSE),VLOOKUP($C42,Questions!$A$3:$N$201,9,FALSE)))</f>
        <v>Y</v>
      </c>
      <c r="F42" s="187" t="str">
        <f>IF($B42 = "Mutant",VLOOKUP($C42,Mutants!$A$2:$L$560,11,FALSE),IF($B42 = "Test",VLOOKUP($C42,Tests!$A$2:$L$841,11,FALSE),VLOOKUP($C42,Questions!$A$3:$N$201,13,FALSE)))</f>
        <v xml:space="preserve">getBinaryValue
</v>
      </c>
      <c r="G42" s="187"/>
      <c r="H42" s="202"/>
      <c r="I42" s="9"/>
      <c r="J42" s="9"/>
      <c r="K42" s="9"/>
      <c r="L42" s="9"/>
      <c r="M42" s="9"/>
    </row>
    <row r="43" spans="2:23" ht="15.75" customHeight="1">
      <c r="B43" s="114" t="s">
        <v>4589</v>
      </c>
      <c r="C43" s="9">
        <v>476</v>
      </c>
      <c r="D43" s="9" t="s">
        <v>4118</v>
      </c>
      <c r="E43" s="9" t="str">
        <f>IF($B43 = "Mutant",VLOOKUP($C43,Mutants!$A$2:$L$560,12,FALSE),IF($B43 = "Test",VLOOKUP($C43,Tests!$A$2:$L$841,12,FALSE),VLOOKUP($C43,Questions!$A$3:$N$201,9,FALSE)))</f>
        <v>Y</v>
      </c>
      <c r="F43" s="187" t="str">
        <f>IF($B43 = "Mutant",VLOOKUP($C43,Mutants!$A$2:$L$560,11,FALSE),IF($B43 = "Test",VLOOKUP($C43,Tests!$A$2:$L$841,11,FALSE),VLOOKUP($C43,Questions!$A$3:$N$201,13,FALSE)))</f>
        <v xml:space="preserve">getFields_1
</v>
      </c>
      <c r="G43" s="187"/>
      <c r="H43" s="202"/>
      <c r="I43" s="9"/>
      <c r="J43" s="9"/>
      <c r="K43" s="9"/>
      <c r="L43" s="9"/>
      <c r="M43" s="9"/>
    </row>
    <row r="44" spans="2:23" ht="15.75" customHeight="1">
      <c r="B44" s="114" t="s">
        <v>4589</v>
      </c>
      <c r="C44" s="9">
        <v>488</v>
      </c>
      <c r="D44" s="9" t="s">
        <v>4151</v>
      </c>
      <c r="E44" s="9" t="str">
        <f>IF($B44 = "Mutant",VLOOKUP($C44,Mutants!$A$2:$L$560,12,FALSE),IF($B44 = "Test",VLOOKUP($C44,Tests!$A$2:$L$841,12,FALSE),VLOOKUP($C44,Questions!$A$3:$N$201,9,FALSE)))</f>
        <v>Y</v>
      </c>
      <c r="F44" s="187" t="str">
        <f>IF($B44 = "Mutant",VLOOKUP($C44,Mutants!$A$2:$L$560,11,FALSE),IF($B44 = "Test",VLOOKUP($C44,Tests!$A$2:$L$841,11,FALSE),VLOOKUP($C44,Questions!$A$3:$N$201,13,FALSE)))</f>
        <v xml:space="preserve">toString
</v>
      </c>
      <c r="G44" s="187"/>
      <c r="H44" s="202"/>
      <c r="I44" s="9"/>
      <c r="J44" s="9"/>
      <c r="K44" s="9"/>
      <c r="L44" s="9"/>
      <c r="M44" s="9"/>
    </row>
    <row r="45" spans="2:23" ht="15.75" customHeight="1">
      <c r="B45" s="114" t="s">
        <v>107</v>
      </c>
      <c r="C45" s="9">
        <v>103</v>
      </c>
      <c r="D45" s="9" t="s">
        <v>570</v>
      </c>
      <c r="E45" s="9" t="str">
        <f>IF($B45 = "Mutant",VLOOKUP($C45,Mutants!$A$2:$L$560,12,FALSE),IF($B45 = "Test",VLOOKUP($C45,Tests!$A$2:$L$841,12,FALSE),VLOOKUP($C45,Questions!$A$3:$N$201,9,FALSE)))</f>
        <v>Y</v>
      </c>
      <c r="F45" s="187" t="str">
        <f>IF($B45 = "Mutant",VLOOKUP($C45,Mutants!$A$2:$L$560,11,FALSE),IF($B45 = "Test",VLOOKUP($C45,Tests!$A$2:$L$841,11,FALSE),VLOOKUP($C45,Questions!$A$3:$N$201,13,FALSE)))</f>
        <v xml:space="preserve">removeFields
</v>
      </c>
      <c r="G45" s="187"/>
      <c r="H45" s="202"/>
      <c r="I45" s="9"/>
      <c r="J45" s="9"/>
      <c r="K45" s="9"/>
      <c r="L45" s="9"/>
      <c r="M45" s="9"/>
      <c r="N45" s="9"/>
    </row>
    <row r="46" spans="2:23" ht="15.75" customHeight="1">
      <c r="B46" s="114" t="s">
        <v>4590</v>
      </c>
      <c r="C46" s="9">
        <v>490</v>
      </c>
      <c r="D46" s="9" t="s">
        <v>1808</v>
      </c>
      <c r="E46" s="9" t="str">
        <f>IF($B46 = "Mutant",VLOOKUP($C46,Mutants!$A$2:$L$560,12,FALSE),IF($B46 = "Test",VLOOKUP($C46,Tests!$A$2:$L$841,12,FALSE),VLOOKUP($C46,Questions!$A$3:$N$201,9,FALSE)))</f>
        <v>N</v>
      </c>
      <c r="F46" s="187" t="str">
        <f>IF($B46 = "Mutant",VLOOKUP($C46,Mutants!$A$2:$L$560,11,FALSE),IF($B46 = "Test",VLOOKUP($C46,Tests!$A$2:$L$841,11,FALSE),VLOOKUP($C46,Questions!$A$3:$N$201,13,FALSE)))</f>
        <v xml:space="preserve">
</v>
      </c>
      <c r="G46" s="187"/>
      <c r="H46" s="202"/>
      <c r="I46" s="9"/>
      <c r="J46" s="9"/>
      <c r="K46" s="9"/>
      <c r="L46" s="9"/>
      <c r="M46" s="9"/>
    </row>
    <row r="47" spans="2:23" ht="15.75" customHeight="1">
      <c r="B47" s="114" t="s">
        <v>4590</v>
      </c>
      <c r="C47" s="9">
        <v>684</v>
      </c>
      <c r="D47" s="9" t="s">
        <v>2373</v>
      </c>
      <c r="E47" s="9" t="str">
        <f>IF($B47 = "Mutant",VLOOKUP($C47,Mutants!$A$2:$L$560,12,FALSE),IF($B47 = "Test",VLOOKUP($C47,Tests!$A$2:$L$841,12,FALSE),VLOOKUP($C47,Questions!$A$3:$N$201,9,FALSE)))</f>
        <v>N</v>
      </c>
      <c r="F47" s="187" t="str">
        <f>IF($B47 = "Mutant",VLOOKUP($C47,Mutants!$A$2:$L$560,11,FALSE),IF($B47 = "Test",VLOOKUP($C47,Tests!$A$2:$L$841,11,FALSE),VLOOKUP($C47,Questions!$A$3:$N$201,13,FALSE)))</f>
        <v xml:space="preserve">
</v>
      </c>
      <c r="G47" s="187"/>
      <c r="H47" s="202"/>
      <c r="I47" s="9"/>
      <c r="J47" s="9"/>
      <c r="K47" s="9"/>
      <c r="L47" s="9"/>
      <c r="M47" s="9"/>
    </row>
    <row r="48" spans="2:23" ht="15.75" customHeight="1">
      <c r="B48" s="114" t="s">
        <v>4590</v>
      </c>
      <c r="C48" s="9">
        <v>710</v>
      </c>
      <c r="D48" s="9" t="s">
        <v>2433</v>
      </c>
      <c r="E48" s="9" t="str">
        <f>IF($B48 = "Mutant",VLOOKUP($C48,Mutants!$A$2:$L$560,12,FALSE),IF($B48 = "Test",VLOOKUP($C48,Tests!$A$2:$L$841,12,FALSE),VLOOKUP($C48,Questions!$A$3:$N$201,9,FALSE)))</f>
        <v>N</v>
      </c>
      <c r="F48" s="187" t="str">
        <f>IF($B48 = "Mutant",VLOOKUP($C48,Mutants!$A$2:$L$560,11,FALSE),IF($B48 = "Test",VLOOKUP($C48,Tests!$A$2:$L$841,11,FALSE),VLOOKUP($C48,Questions!$A$3:$N$201,13,FALSE)))</f>
        <v xml:space="preserve">
</v>
      </c>
      <c r="G48" s="187"/>
      <c r="H48" s="202"/>
      <c r="I48" s="9"/>
      <c r="J48" s="9"/>
      <c r="K48" s="9"/>
      <c r="L48" s="9"/>
      <c r="M48" s="9"/>
    </row>
    <row r="49" spans="2:14" ht="15.75" customHeight="1">
      <c r="B49" s="114" t="s">
        <v>4590</v>
      </c>
      <c r="C49" s="9">
        <v>719</v>
      </c>
      <c r="D49" s="9" t="s">
        <v>2460</v>
      </c>
      <c r="E49" s="9" t="str">
        <f>IF($B49 = "Mutant",VLOOKUP($C49,Mutants!$A$2:$L$560,12,FALSE),IF($B49 = "Test",VLOOKUP($C49,Tests!$A$2:$L$841,12,FALSE),VLOOKUP($C49,Questions!$A$3:$N$201,9,FALSE)))</f>
        <v>Y</v>
      </c>
      <c r="F49" s="187" t="str">
        <f>IF($B49 = "Mutant",VLOOKUP($C49,Mutants!$A$2:$L$560,11,FALSE),IF($B49 = "Test",VLOOKUP($C49,Tests!$A$2:$L$841,11,FALSE),VLOOKUP($C49,Questions!$A$3:$N$201,13,FALSE)))</f>
        <v xml:space="preserve">add, getFields_2
</v>
      </c>
      <c r="G49" s="187"/>
      <c r="H49" s="202"/>
      <c r="I49" s="9"/>
      <c r="J49" s="9"/>
      <c r="K49" s="9"/>
      <c r="L49" s="9"/>
      <c r="M49" s="9"/>
    </row>
    <row r="50" spans="2:14" ht="15.75" customHeight="1">
      <c r="B50" s="114" t="s">
        <v>107</v>
      </c>
      <c r="C50" s="9">
        <v>159</v>
      </c>
      <c r="D50" s="9" t="s">
        <v>573</v>
      </c>
      <c r="E50" s="9" t="str">
        <f>IF($B50 = "Mutant",VLOOKUP($C50,Mutants!$A$2:$L$560,12,FALSE),IF($B50 = "Test",VLOOKUP($C50,Tests!$A$2:$L$841,12,FALSE),VLOOKUP($C50,Questions!$A$3:$N$201,9,FALSE)))</f>
        <v>Y</v>
      </c>
      <c r="F50" s="187" t="str">
        <f>IF($B50 = "Mutant",VLOOKUP($C50,Mutants!$A$2:$L$560,11,FALSE),IF($B50 = "Test",VLOOKUP($C50,Tests!$A$2:$L$841,11,FALSE),VLOOKUP($C50,Questions!$A$3:$N$201,13,FALSE)))</f>
        <v xml:space="preserve">removeFields
</v>
      </c>
      <c r="G50" s="187"/>
      <c r="H50" s="202"/>
      <c r="I50" s="9"/>
      <c r="J50" s="9"/>
      <c r="K50" s="9"/>
      <c r="L50" s="9"/>
      <c r="M50" s="9"/>
      <c r="N50" s="9"/>
    </row>
    <row r="51" spans="2:14" ht="15.75" customHeight="1">
      <c r="B51" s="114" t="s">
        <v>4590</v>
      </c>
      <c r="C51" s="9">
        <v>749</v>
      </c>
      <c r="D51" s="9" t="s">
        <v>2542</v>
      </c>
      <c r="E51" s="9" t="str">
        <f>IF($B51 = "Mutant",VLOOKUP($C51,Mutants!$A$2:$L$560,12,FALSE),IF($B51 = "Test",VLOOKUP($C51,Tests!$A$2:$L$841,12,FALSE),VLOOKUP($C51,Questions!$A$3:$N$201,9,FALSE)))</f>
        <v>N</v>
      </c>
      <c r="F51" s="187" t="str">
        <f>IF($B51 = "Mutant",VLOOKUP($C51,Mutants!$A$2:$L$560,11,FALSE),IF($B51 = "Test",VLOOKUP($C51,Tests!$A$2:$L$841,11,FALSE),VLOOKUP($C51,Questions!$A$3:$N$201,13,FALSE)))</f>
        <v xml:space="preserve">
</v>
      </c>
      <c r="G51" s="187"/>
      <c r="H51" s="202"/>
      <c r="I51" s="9"/>
      <c r="J51" s="9"/>
      <c r="K51" s="9"/>
      <c r="L51" s="9"/>
      <c r="M51" s="9"/>
    </row>
    <row r="52" spans="2:14" ht="15.75" customHeight="1">
      <c r="B52" s="114" t="s">
        <v>4590</v>
      </c>
      <c r="C52" s="9">
        <v>755</v>
      </c>
      <c r="D52" s="9" t="s">
        <v>2557</v>
      </c>
      <c r="E52" s="9" t="str">
        <f>IF($B52 = "Mutant",VLOOKUP($C52,Mutants!$A$2:$L$560,12,FALSE),IF($B52 = "Test",VLOOKUP($C52,Tests!$A$2:$L$841,12,FALSE),VLOOKUP($C52,Questions!$A$3:$N$201,9,FALSE)))</f>
        <v>Y</v>
      </c>
      <c r="F52" s="187" t="str">
        <f>IF($B52 = "Mutant",VLOOKUP($C52,Mutants!$A$2:$L$560,11,FALSE),IF($B52 = "Test",VLOOKUP($C52,Tests!$A$2:$L$841,11,FALSE),VLOOKUP($C52,Questions!$A$3:$N$201,13,FALSE)))</f>
        <v xml:space="preserve">add, removeFields, getField
</v>
      </c>
      <c r="G52" s="187"/>
      <c r="H52" s="202"/>
      <c r="I52" s="9"/>
      <c r="J52" s="9"/>
      <c r="K52" s="9"/>
      <c r="L52" s="9"/>
      <c r="M52" s="9"/>
    </row>
    <row r="53" spans="2:14" ht="15.75" customHeight="1">
      <c r="B53" s="114" t="s">
        <v>107</v>
      </c>
      <c r="C53" s="9">
        <v>168</v>
      </c>
      <c r="D53" s="9" t="s">
        <v>576</v>
      </c>
      <c r="E53" s="9" t="str">
        <f>IF($B53 = "Mutant",VLOOKUP($C53,Mutants!$A$2:$L$560,12,FALSE),IF($B53 = "Test",VLOOKUP($C53,Tests!$A$2:$L$841,12,FALSE),VLOOKUP($C53,Questions!$A$3:$N$201,9,FALSE)))</f>
        <v>Y</v>
      </c>
      <c r="F53" s="187" t="str">
        <f>IF($B53 = "Mutant",VLOOKUP($C53,Mutants!$A$2:$L$560,11,FALSE),IF($B53 = "Test",VLOOKUP($C53,Tests!$A$2:$L$841,11,FALSE),VLOOKUP($C53,Questions!$A$3:$N$201,13,FALSE)))</f>
        <v xml:space="preserve">removeField
</v>
      </c>
      <c r="G53" s="187"/>
      <c r="H53" s="202"/>
      <c r="I53" s="9"/>
      <c r="J53" s="9"/>
      <c r="K53" s="9"/>
      <c r="L53" s="9"/>
      <c r="M53" s="9"/>
      <c r="N53" s="9"/>
    </row>
    <row r="54" spans="2:14" ht="15.75" customHeight="1">
      <c r="B54" s="114" t="s">
        <v>4590</v>
      </c>
      <c r="C54" s="9">
        <v>789</v>
      </c>
      <c r="D54" s="9" t="s">
        <v>2657</v>
      </c>
      <c r="E54" s="9" t="str">
        <f>IF($B54 = "Mutant",VLOOKUP($C54,Mutants!$A$2:$L$560,12,FALSE),IF($B54 = "Test",VLOOKUP($C54,Tests!$A$2:$L$841,12,FALSE),VLOOKUP($C54,Questions!$A$3:$N$201,9,FALSE)))</f>
        <v>Y</v>
      </c>
      <c r="F54" s="187" t="str">
        <f>IF($B54 = "Mutant",VLOOKUP($C54,Mutants!$A$2:$L$560,11,FALSE),IF($B54 = "Test",VLOOKUP($C54,Tests!$A$2:$L$841,11,FALSE),VLOOKUP($C54,Questions!$A$3:$N$201,13,FALSE)))</f>
        <v xml:space="preserve">add, removeField, getField
</v>
      </c>
      <c r="G54" s="187"/>
      <c r="H54" s="202"/>
      <c r="I54" s="9"/>
      <c r="J54" s="9"/>
      <c r="K54" s="9"/>
      <c r="L54" s="9"/>
      <c r="M54" s="9"/>
    </row>
    <row r="55" spans="2:14" ht="15.75" customHeight="1">
      <c r="B55" s="114" t="s">
        <v>107</v>
      </c>
      <c r="C55" s="9">
        <v>175</v>
      </c>
      <c r="D55" s="9" t="s">
        <v>579</v>
      </c>
      <c r="E55" s="9" t="str">
        <f>IF($B55 = "Mutant",VLOOKUP($C55,Mutants!$A$2:$L$560,12,FALSE),IF($B55 = "Test",VLOOKUP($C55,Tests!$A$2:$L$841,12,FALSE),VLOOKUP($C55,Questions!$A$3:$N$201,9,FALSE)))</f>
        <v>Y</v>
      </c>
      <c r="F55" s="187" t="str">
        <f>IF($B55 = "Mutant",VLOOKUP($C55,Mutants!$A$2:$L$560,11,FALSE),IF($B55 = "Test",VLOOKUP($C55,Tests!$A$2:$L$841,11,FALSE),VLOOKUP($C55,Questions!$A$3:$N$201,13,FALSE)))</f>
        <v xml:space="preserve">getFields_1
</v>
      </c>
      <c r="G55" s="187"/>
      <c r="H55" s="202"/>
      <c r="I55" s="9"/>
      <c r="J55" s="9"/>
      <c r="K55" s="9"/>
      <c r="L55" s="9"/>
      <c r="M55" s="9"/>
      <c r="N55" s="9"/>
    </row>
    <row r="56" spans="2:14" ht="15.75" customHeight="1">
      <c r="B56" s="114" t="s">
        <v>4590</v>
      </c>
      <c r="C56" s="9">
        <v>849</v>
      </c>
      <c r="D56" s="9" t="s">
        <v>2815</v>
      </c>
      <c r="E56" s="9" t="str">
        <f>IF($B56 = "Mutant",VLOOKUP($C56,Mutants!$A$2:$L$560,12,FALSE),IF($B56 = "Test",VLOOKUP($C56,Tests!$A$2:$L$841,12,FALSE),VLOOKUP($C56,Questions!$A$3:$N$201,9,FALSE)))</f>
        <v>Y</v>
      </c>
      <c r="F56" s="187" t="str">
        <f>IF($B56 = "Mutant",VLOOKUP($C56,Mutants!$A$2:$L$560,11,FALSE),IF($B56 = "Test",VLOOKUP($C56,Tests!$A$2:$L$841,11,FALSE),VLOOKUP($C56,Questions!$A$3:$N$201,13,FALSE)))</f>
        <v xml:space="preserve">add, getFields_1
</v>
      </c>
      <c r="G56" s="187"/>
      <c r="H56" s="202"/>
      <c r="I56" s="9"/>
      <c r="J56" s="9"/>
      <c r="K56" s="9"/>
      <c r="L56" s="9"/>
      <c r="M56" s="9"/>
    </row>
    <row r="57" spans="2:14" ht="15.75" customHeight="1">
      <c r="B57" s="114" t="s">
        <v>107</v>
      </c>
      <c r="C57" s="9">
        <v>193</v>
      </c>
      <c r="D57" s="9" t="s">
        <v>582</v>
      </c>
      <c r="E57" s="9" t="str">
        <f>IF($B57 = "Mutant",VLOOKUP($C57,Mutants!$A$2:$L$560,12,FALSE),IF($B57 = "Test",VLOOKUP($C57,Tests!$A$2:$L$841,12,FALSE),VLOOKUP($C57,Questions!$A$3:$N$201,9,FALSE)))</f>
        <v>Y</v>
      </c>
      <c r="F57" s="187" t="str">
        <f>IF($B57 = "Mutant",VLOOKUP($C57,Mutants!$A$2:$L$560,11,FALSE),IF($B57 = "Test",VLOOKUP($C57,Tests!$A$2:$L$841,11,FALSE),VLOOKUP($C57,Questions!$A$3:$N$201,13,FALSE)))</f>
        <v xml:space="preserve">getFields_1
</v>
      </c>
      <c r="G57" s="187"/>
      <c r="H57" s="202"/>
      <c r="I57" s="9"/>
      <c r="J57" s="9"/>
      <c r="K57" s="9"/>
      <c r="L57" s="9"/>
      <c r="M57" s="9"/>
      <c r="N57" s="9"/>
    </row>
    <row r="58" spans="2:14" ht="15.75" customHeight="1">
      <c r="B58" s="114" t="s">
        <v>4590</v>
      </c>
      <c r="C58" s="9">
        <v>926</v>
      </c>
      <c r="D58" s="9" t="s">
        <v>3042</v>
      </c>
      <c r="E58" s="9" t="str">
        <f>IF($B58 = "Mutant",VLOOKUP($C58,Mutants!$A$2:$L$560,12,FALSE),IF($B58 = "Test",VLOOKUP($C58,Tests!$A$2:$L$841,12,FALSE),VLOOKUP($C58,Questions!$A$3:$N$201,9,FALSE)))</f>
        <v>N</v>
      </c>
      <c r="F58" s="187" t="str">
        <f>IF($B58 = "Mutant",VLOOKUP($C58,Mutants!$A$2:$L$560,11,FALSE),IF($B58 = "Test",VLOOKUP($C58,Tests!$A$2:$L$841,11,FALSE),VLOOKUP($C58,Questions!$A$3:$N$201,13,FALSE)))</f>
        <v xml:space="preserve">
</v>
      </c>
      <c r="G58" s="187"/>
      <c r="H58" s="202"/>
      <c r="I58" s="9"/>
      <c r="J58" s="9"/>
      <c r="K58" s="9"/>
      <c r="L58" s="9"/>
      <c r="M58" s="9"/>
    </row>
    <row r="59" spans="2:14" ht="15.75" customHeight="1">
      <c r="B59" s="133" t="s">
        <v>4590</v>
      </c>
      <c r="C59" s="130">
        <v>941</v>
      </c>
      <c r="D59" s="130" t="s">
        <v>3083</v>
      </c>
      <c r="E59" s="130" t="str">
        <f>IF($B59 = "Mutant",VLOOKUP($C59,Mutants!$A$2:$L$560,12,FALSE),IF($B59 = "Test",VLOOKUP($C59,Tests!$A$2:$L$841,12,FALSE),VLOOKUP($C59,Questions!$A$3:$N$201,9,FALSE)))</f>
        <v>Y</v>
      </c>
      <c r="F59" s="203" t="str">
        <f>IF($B59 = "Mutant",VLOOKUP($C59,Mutants!$A$2:$L$560,11,FALSE),IF($B59 = "Test",VLOOKUP($C59,Tests!$A$2:$L$841,11,FALSE),VLOOKUP($C59,Questions!$A$3:$N$201,13,FALSE)))</f>
        <v xml:space="preserve">add, getFields_1
</v>
      </c>
      <c r="G59" s="203"/>
      <c r="H59" s="204"/>
      <c r="I59" s="9"/>
      <c r="J59" s="9"/>
      <c r="K59" s="9"/>
      <c r="L59" s="9"/>
      <c r="M59" s="9"/>
    </row>
    <row r="60" spans="2:14" ht="15.75" customHeight="1">
      <c r="F60" s="188"/>
      <c r="G60" s="188"/>
      <c r="H60" s="188"/>
    </row>
    <row r="61" spans="2:14" ht="15.75" customHeight="1">
      <c r="F61" s="188"/>
      <c r="G61" s="188"/>
      <c r="H61" s="188"/>
    </row>
    <row r="62" spans="2:14" ht="15.75" customHeight="1" thickBot="1">
      <c r="B62" s="219" t="s">
        <v>4604</v>
      </c>
      <c r="C62" s="201"/>
      <c r="D62" s="45">
        <v>239</v>
      </c>
      <c r="F62" s="207"/>
      <c r="G62" s="207"/>
      <c r="H62" s="207"/>
    </row>
    <row r="63" spans="2:14" ht="15.75" customHeight="1" thickTop="1">
      <c r="B63" s="134" t="s">
        <v>4594</v>
      </c>
      <c r="C63" s="135" t="s">
        <v>44</v>
      </c>
      <c r="D63" s="135" t="s">
        <v>110</v>
      </c>
      <c r="E63" s="136" t="s">
        <v>2</v>
      </c>
      <c r="F63" s="229" t="s">
        <v>4612</v>
      </c>
      <c r="G63" s="229"/>
      <c r="H63" s="230"/>
      <c r="I63" s="9"/>
      <c r="J63" s="9"/>
      <c r="K63" s="9"/>
      <c r="L63" s="9"/>
      <c r="M63" s="9"/>
    </row>
    <row r="64" spans="2:14" ht="15.75" customHeight="1">
      <c r="B64" s="137" t="s">
        <v>4589</v>
      </c>
      <c r="C64" s="93">
        <v>391</v>
      </c>
      <c r="D64" s="93" t="s">
        <v>3896</v>
      </c>
      <c r="E64" s="93" t="str">
        <f>IF($B64 = "Mutant",VLOOKUP($C64,Mutants!$A$2:$L$560,12,FALSE),IF($B64 = "Test",VLOOKUP($C64,Tests!$A$2:$L$841,12,FALSE),VLOOKUP($C64,Questions!$A$3:$N$201,9,FALSE)))</f>
        <v>Y</v>
      </c>
      <c r="F64" s="205" t="str">
        <f>IF($B64 = "Mutant",VLOOKUP($C64,Mutants!$A$2:$L$560,11,FALSE),IF($B64 = "Test",VLOOKUP($C64,Tests!$A$2:$L$841,11,FALSE),VLOOKUP($C64,Questions!$A$3:$N$201,13,FALSE)))</f>
        <v xml:space="preserve">clear
</v>
      </c>
      <c r="G64" s="205"/>
      <c r="H64" s="206"/>
      <c r="I64" s="9"/>
      <c r="J64" s="9"/>
      <c r="K64" s="9"/>
      <c r="L64" s="9"/>
      <c r="M64" s="9"/>
    </row>
    <row r="65" spans="2:14" ht="15.75" customHeight="1">
      <c r="B65" s="114" t="s">
        <v>107</v>
      </c>
      <c r="C65" s="9">
        <v>97</v>
      </c>
      <c r="D65" s="9" t="s">
        <v>585</v>
      </c>
      <c r="E65" s="9" t="str">
        <f>IF($B65 = "Mutant",VLOOKUP($C65,Mutants!$A$2:$L$560,12,FALSE),IF($B65 = "Test",VLOOKUP($C65,Tests!$A$2:$L$841,12,FALSE),VLOOKUP($C65,Questions!$A$3:$N$201,9,FALSE)))</f>
        <v>Y</v>
      </c>
      <c r="F65" s="187" t="str">
        <f>IF($B65 = "Mutant",VLOOKUP($C65,Mutants!$A$2:$L$560,11,FALSE),IF($B65 = "Test",VLOOKUP($C65,Tests!$A$2:$L$841,11,FALSE),VLOOKUP($C65,Questions!$A$3:$N$201,13,FALSE)))</f>
        <v xml:space="preserve"> </v>
      </c>
      <c r="G65" s="187"/>
      <c r="H65" s="202"/>
      <c r="I65" s="9"/>
      <c r="J65" s="9"/>
      <c r="K65" s="9"/>
      <c r="L65" s="9"/>
      <c r="M65" s="9"/>
    </row>
    <row r="66" spans="2:14" ht="15.75" customHeight="1">
      <c r="B66" s="114" t="s">
        <v>107</v>
      </c>
      <c r="C66" s="9">
        <v>100</v>
      </c>
      <c r="D66" s="9" t="s">
        <v>588</v>
      </c>
      <c r="E66" s="9" t="str">
        <f>IF($B66 = "Mutant",VLOOKUP($C66,Mutants!$A$2:$L$560,12,FALSE),IF($B66 = "Test",VLOOKUP($C66,Tests!$A$2:$L$841,12,FALSE),VLOOKUP($C66,Questions!$A$3:$N$201,9,FALSE)))</f>
        <v>Y</v>
      </c>
      <c r="F66" s="187" t="str">
        <f>IF($B66 = "Mutant",VLOOKUP($C66,Mutants!$A$2:$L$560,11,FALSE),IF($B66 = "Test",VLOOKUP($C66,Tests!$A$2:$L$841,11,FALSE),VLOOKUP($C66,Questions!$A$3:$N$201,13,FALSE)))</f>
        <v>getBinaryValue</v>
      </c>
      <c r="G66" s="187"/>
      <c r="H66" s="202"/>
      <c r="I66" s="9"/>
      <c r="J66" s="9"/>
      <c r="K66" s="9"/>
      <c r="L66" s="9"/>
      <c r="M66" s="9"/>
      <c r="N66" s="9"/>
    </row>
    <row r="67" spans="2:14" ht="15.75" customHeight="1">
      <c r="B67" s="114" t="s">
        <v>4590</v>
      </c>
      <c r="C67" s="9">
        <v>483</v>
      </c>
      <c r="D67" s="9" t="s">
        <v>1784</v>
      </c>
      <c r="E67" s="9" t="str">
        <f>IF($B67 = "Mutant",VLOOKUP($C67,Mutants!$A$2:$L$560,12,FALSE),IF($B67 = "Test",VLOOKUP($C67,Tests!$A$2:$L$841,12,FALSE),VLOOKUP($C67,Questions!$A$3:$N$201,9,FALSE)))</f>
        <v>N</v>
      </c>
      <c r="F67" s="187" t="str">
        <f>IF($B67 = "Mutant",VLOOKUP($C67,Mutants!$A$2:$L$560,11,FALSE),IF($B67 = "Test",VLOOKUP($C67,Tests!$A$2:$L$841,11,FALSE),VLOOKUP($C67,Questions!$A$3:$N$201,13,FALSE)))</f>
        <v xml:space="preserve">
</v>
      </c>
      <c r="G67" s="187"/>
      <c r="H67" s="202"/>
      <c r="I67" s="9"/>
      <c r="J67" s="9"/>
      <c r="K67" s="9"/>
      <c r="L67" s="9"/>
      <c r="M67" s="9"/>
    </row>
    <row r="68" spans="2:14" ht="15.75" customHeight="1">
      <c r="B68" s="114" t="s">
        <v>107</v>
      </c>
      <c r="C68" s="9">
        <v>104</v>
      </c>
      <c r="D68" s="9" t="s">
        <v>591</v>
      </c>
      <c r="E68" s="9" t="str">
        <f>IF($B68 = "Mutant",VLOOKUP($C68,Mutants!$A$2:$L$560,12,FALSE),IF($B68 = "Test",VLOOKUP($C68,Tests!$A$2:$L$841,12,FALSE),VLOOKUP($C68,Questions!$A$3:$N$201,9,FALSE)))</f>
        <v>Y</v>
      </c>
      <c r="F68" s="187" t="str">
        <f>IF($B68 = "Mutant",VLOOKUP($C68,Mutants!$A$2:$L$560,11,FALSE),IF($B68 = "Test",VLOOKUP($C68,Tests!$A$2:$L$841,11,FALSE),VLOOKUP($C68,Questions!$A$3:$N$201,13,FALSE)))</f>
        <v>getBinaryValue</v>
      </c>
      <c r="G68" s="187"/>
      <c r="H68" s="202"/>
      <c r="I68" s="9"/>
      <c r="J68" s="9"/>
      <c r="K68" s="9"/>
      <c r="L68" s="9"/>
      <c r="M68" s="9"/>
      <c r="N68" s="9"/>
    </row>
    <row r="69" spans="2:14" ht="15.75" customHeight="1">
      <c r="B69" s="114" t="s">
        <v>4590</v>
      </c>
      <c r="C69" s="9">
        <v>491</v>
      </c>
      <c r="D69" s="9" t="s">
        <v>1810</v>
      </c>
      <c r="E69" s="9" t="str">
        <f>IF($B69 = "Mutant",VLOOKUP($C69,Mutants!$A$2:$L$560,12,FALSE),IF($B69 = "Test",VLOOKUP($C69,Tests!$A$2:$L$841,12,FALSE),VLOOKUP($C69,Questions!$A$3:$N$201,9,FALSE)))</f>
        <v>N</v>
      </c>
      <c r="F69" s="187" t="str">
        <f>IF($B69 = "Mutant",VLOOKUP($C69,Mutants!$A$2:$L$560,11,FALSE),IF($B69 = "Test",VLOOKUP($C69,Tests!$A$2:$L$841,11,FALSE),VLOOKUP($C69,Questions!$A$3:$N$201,13,FALSE)))</f>
        <v xml:space="preserve">
</v>
      </c>
      <c r="G69" s="187"/>
      <c r="H69" s="202"/>
      <c r="I69" s="9"/>
      <c r="J69" s="9"/>
      <c r="K69" s="9"/>
      <c r="L69" s="9"/>
      <c r="M69" s="9"/>
    </row>
    <row r="70" spans="2:14" ht="15.75" customHeight="1">
      <c r="B70" s="114" t="s">
        <v>4590</v>
      </c>
      <c r="C70" s="9">
        <v>496</v>
      </c>
      <c r="D70" s="9" t="s">
        <v>1829</v>
      </c>
      <c r="E70" s="9" t="str">
        <f>IF($B70 = "Mutant",VLOOKUP($C70,Mutants!$A$2:$L$560,12,FALSE),IF($B70 = "Test",VLOOKUP($C70,Tests!$A$2:$L$841,12,FALSE),VLOOKUP($C70,Questions!$A$3:$N$201,9,FALSE)))</f>
        <v>Y</v>
      </c>
      <c r="F70" s="187" t="str">
        <f>IF($B70 = "Mutant",VLOOKUP($C70,Mutants!$A$2:$L$560,11,FALSE),IF($B70 = "Test",VLOOKUP($C70,Tests!$A$2:$L$841,11,FALSE),VLOOKUP($C70,Questions!$A$3:$N$201,13,FALSE)))</f>
        <v xml:space="preserve">
</v>
      </c>
      <c r="G70" s="187"/>
      <c r="H70" s="202"/>
      <c r="I70" s="9"/>
      <c r="J70" s="9"/>
      <c r="K70" s="9"/>
      <c r="L70" s="9"/>
      <c r="M70" s="9"/>
    </row>
    <row r="71" spans="2:14" ht="15.75" customHeight="1">
      <c r="B71" s="114" t="s">
        <v>4590</v>
      </c>
      <c r="C71" s="9">
        <v>535</v>
      </c>
      <c r="D71" s="9" t="s">
        <v>1952</v>
      </c>
      <c r="E71" s="9" t="str">
        <f>IF($B71 = "Mutant",VLOOKUP($C71,Mutants!$A$2:$L$560,12,FALSE),IF($B71 = "Test",VLOOKUP($C71,Tests!$A$2:$L$841,12,FALSE),VLOOKUP($C71,Questions!$A$3:$N$201,9,FALSE)))</f>
        <v>N</v>
      </c>
      <c r="F71" s="187" t="str">
        <f>IF($B71 = "Mutant",VLOOKUP($C71,Mutants!$A$2:$L$560,11,FALSE),IF($B71 = "Test",VLOOKUP($C71,Tests!$A$2:$L$841,11,FALSE),VLOOKUP($C71,Questions!$A$3:$N$201,13,FALSE)))</f>
        <v xml:space="preserve">
</v>
      </c>
      <c r="G71" s="187"/>
      <c r="H71" s="202"/>
      <c r="I71" s="9"/>
      <c r="J71" s="9"/>
      <c r="K71" s="9"/>
      <c r="L71" s="9"/>
      <c r="M71" s="9"/>
    </row>
    <row r="72" spans="2:14" ht="15.75" customHeight="1">
      <c r="B72" s="114" t="s">
        <v>4590</v>
      </c>
      <c r="C72" s="9">
        <v>538</v>
      </c>
      <c r="D72" s="9" t="s">
        <v>1962</v>
      </c>
      <c r="E72" s="9" t="str">
        <f>IF($B72 = "Mutant",VLOOKUP($C72,Mutants!$A$2:$L$560,12,FALSE),IF($B72 = "Test",VLOOKUP($C72,Tests!$A$2:$L$841,12,FALSE),VLOOKUP($C72,Questions!$A$3:$N$201,9,FALSE)))</f>
        <v>N</v>
      </c>
      <c r="F72" s="187" t="str">
        <f>IF($B72 = "Mutant",VLOOKUP($C72,Mutants!$A$2:$L$560,11,FALSE),IF($B72 = "Test",VLOOKUP($C72,Tests!$A$2:$L$841,11,FALSE),VLOOKUP($C72,Questions!$A$3:$N$201,13,FALSE)))</f>
        <v xml:space="preserve">
</v>
      </c>
      <c r="G72" s="187"/>
      <c r="H72" s="202"/>
      <c r="I72" s="9"/>
      <c r="J72" s="9"/>
      <c r="K72" s="9"/>
      <c r="L72" s="9"/>
      <c r="M72" s="9"/>
    </row>
    <row r="73" spans="2:14" ht="15.75" customHeight="1">
      <c r="B73" s="114" t="s">
        <v>4590</v>
      </c>
      <c r="C73" s="9">
        <v>564</v>
      </c>
      <c r="D73" s="9" t="s">
        <v>2038</v>
      </c>
      <c r="E73" s="9" t="str">
        <f>IF($B73 = "Mutant",VLOOKUP($C73,Mutants!$A$2:$L$560,12,FALSE),IF($B73 = "Test",VLOOKUP($C73,Tests!$A$2:$L$841,12,FALSE),VLOOKUP($C73,Questions!$A$3:$N$201,9,FALSE)))</f>
        <v>N</v>
      </c>
      <c r="F73" s="187" t="str">
        <f>IF($B73 = "Mutant",VLOOKUP($C73,Mutants!$A$2:$L$560,11,FALSE),IF($B73 = "Test",VLOOKUP($C73,Tests!$A$2:$L$841,11,FALSE),VLOOKUP($C73,Questions!$A$3:$N$201,13,FALSE)))</f>
        <v xml:space="preserve">
</v>
      </c>
      <c r="G73" s="187"/>
      <c r="H73" s="202"/>
      <c r="I73" s="9"/>
      <c r="J73" s="9"/>
      <c r="K73" s="9"/>
      <c r="L73" s="9"/>
      <c r="M73" s="9"/>
    </row>
    <row r="74" spans="2:14" ht="15.75" customHeight="1">
      <c r="B74" s="114" t="s">
        <v>4590</v>
      </c>
      <c r="C74" s="9">
        <v>569</v>
      </c>
      <c r="D74" s="9" t="s">
        <v>2055</v>
      </c>
      <c r="E74" s="9" t="str">
        <f>IF($B74 = "Mutant",VLOOKUP($C74,Mutants!$A$2:$L$560,12,FALSE),IF($B74 = "Test",VLOOKUP($C74,Tests!$A$2:$L$841,12,FALSE),VLOOKUP($C74,Questions!$A$3:$N$201,9,FALSE)))</f>
        <v>Y</v>
      </c>
      <c r="F74" s="187" t="str">
        <f>IF($B74 = "Mutant",VLOOKUP($C74,Mutants!$A$2:$L$560,11,FALSE),IF($B74 = "Test",VLOOKUP($C74,Tests!$A$2:$L$841,11,FALSE),VLOOKUP($C74,Questions!$A$3:$N$201,13,FALSE)))</f>
        <v xml:space="preserve">
</v>
      </c>
      <c r="G74" s="187"/>
      <c r="H74" s="202"/>
      <c r="I74" s="9"/>
      <c r="J74" s="9"/>
      <c r="K74" s="9"/>
      <c r="L74" s="9"/>
      <c r="M74" s="9"/>
    </row>
    <row r="75" spans="2:14" ht="15.75" customHeight="1">
      <c r="B75" s="114" t="s">
        <v>4590</v>
      </c>
      <c r="C75" s="9">
        <v>582</v>
      </c>
      <c r="D75" s="9" t="s">
        <v>2094</v>
      </c>
      <c r="E75" s="9" t="str">
        <f>IF($B75 = "Mutant",VLOOKUP($C75,Mutants!$A$2:$L$560,12,FALSE),IF($B75 = "Test",VLOOKUP($C75,Tests!$A$2:$L$841,12,FALSE),VLOOKUP($C75,Questions!$A$3:$N$201,9,FALSE)))</f>
        <v>N</v>
      </c>
      <c r="F75" s="187" t="str">
        <f>IF($B75 = "Mutant",VLOOKUP($C75,Mutants!$A$2:$L$560,11,FALSE),IF($B75 = "Test",VLOOKUP($C75,Tests!$A$2:$L$841,11,FALSE),VLOOKUP($C75,Questions!$A$3:$N$201,13,FALSE)))</f>
        <v xml:space="preserve">
</v>
      </c>
      <c r="G75" s="187"/>
      <c r="H75" s="202"/>
      <c r="I75" s="9"/>
      <c r="J75" s="9"/>
      <c r="K75" s="9"/>
      <c r="L75" s="9"/>
      <c r="M75" s="9"/>
    </row>
    <row r="76" spans="2:14" ht="15.75" customHeight="1">
      <c r="B76" s="114" t="s">
        <v>4590</v>
      </c>
      <c r="C76" s="9">
        <v>603</v>
      </c>
      <c r="D76" s="9" t="s">
        <v>2151</v>
      </c>
      <c r="E76" s="9" t="str">
        <f>IF($B76 = "Mutant",VLOOKUP($C76,Mutants!$A$2:$L$560,12,FALSE),IF($B76 = "Test",VLOOKUP($C76,Tests!$A$2:$L$841,12,FALSE),VLOOKUP($C76,Questions!$A$3:$N$201,9,FALSE)))</f>
        <v>N</v>
      </c>
      <c r="F76" s="187" t="str">
        <f>IF($B76 = "Mutant",VLOOKUP($C76,Mutants!$A$2:$L$560,11,FALSE),IF($B76 = "Test",VLOOKUP($C76,Tests!$A$2:$L$841,11,FALSE),VLOOKUP($C76,Questions!$A$3:$N$201,13,FALSE)))</f>
        <v xml:space="preserve">
</v>
      </c>
      <c r="G76" s="187"/>
      <c r="H76" s="202"/>
      <c r="I76" s="9"/>
      <c r="J76" s="9"/>
      <c r="K76" s="9"/>
      <c r="L76" s="9"/>
      <c r="M76" s="9"/>
    </row>
    <row r="77" spans="2:14" ht="15.75" customHeight="1">
      <c r="B77" s="114" t="s">
        <v>4590</v>
      </c>
      <c r="C77" s="9">
        <v>608</v>
      </c>
      <c r="D77" s="9" t="s">
        <v>2164</v>
      </c>
      <c r="E77" s="9" t="str">
        <f>IF($B77 = "Mutant",VLOOKUP($C77,Mutants!$A$2:$L$560,12,FALSE),IF($B77 = "Test",VLOOKUP($C77,Tests!$A$2:$L$841,12,FALSE),VLOOKUP($C77,Questions!$A$3:$N$201,9,FALSE)))</f>
        <v>Y</v>
      </c>
      <c r="F77" s="187" t="str">
        <f>IF($B77 = "Mutant",VLOOKUP($C77,Mutants!$A$2:$L$560,11,FALSE),IF($B77 = "Test",VLOOKUP($C77,Tests!$A$2:$L$841,11,FALSE),VLOOKUP($C77,Questions!$A$3:$N$201,13,FALSE)))</f>
        <v xml:space="preserve">
</v>
      </c>
      <c r="G77" s="187"/>
      <c r="H77" s="202"/>
      <c r="I77" s="9"/>
      <c r="J77" s="9"/>
      <c r="K77" s="9"/>
      <c r="L77" s="9"/>
      <c r="M77" s="9"/>
    </row>
    <row r="78" spans="2:14" ht="15.75" customHeight="1">
      <c r="B78" s="114" t="s">
        <v>4590</v>
      </c>
      <c r="C78" s="9">
        <v>614</v>
      </c>
      <c r="D78" s="9" t="s">
        <v>2179</v>
      </c>
      <c r="E78" s="9" t="str">
        <f>IF($B78 = "Mutant",VLOOKUP($C78,Mutants!$A$2:$L$560,12,FALSE),IF($B78 = "Test",VLOOKUP($C78,Tests!$A$2:$L$841,12,FALSE),VLOOKUP($C78,Questions!$A$3:$N$201,9,FALSE)))</f>
        <v>Y</v>
      </c>
      <c r="F78" s="187" t="str">
        <f>IF($B78 = "Mutant",VLOOKUP($C78,Mutants!$A$2:$L$560,11,FALSE),IF($B78 = "Test",VLOOKUP($C78,Tests!$A$2:$L$841,11,FALSE),VLOOKUP($C78,Questions!$A$3:$N$201,13,FALSE)))</f>
        <v xml:space="preserve">
</v>
      </c>
      <c r="G78" s="187"/>
      <c r="H78" s="202"/>
      <c r="I78" s="9"/>
      <c r="J78" s="9"/>
      <c r="K78" s="9"/>
      <c r="L78" s="9"/>
      <c r="M78" s="9"/>
    </row>
    <row r="79" spans="2:14" ht="15.75" customHeight="1">
      <c r="B79" s="114" t="s">
        <v>4590</v>
      </c>
      <c r="C79" s="9">
        <v>623</v>
      </c>
      <c r="D79" s="9" t="s">
        <v>2202</v>
      </c>
      <c r="E79" s="9" t="str">
        <f>IF($B79 = "Mutant",VLOOKUP($C79,Mutants!$A$2:$L$560,12,FALSE),IF($B79 = "Test",VLOOKUP($C79,Tests!$A$2:$L$841,12,FALSE),VLOOKUP($C79,Questions!$A$3:$N$201,9,FALSE)))</f>
        <v>Y</v>
      </c>
      <c r="F79" s="187" t="str">
        <f>IF($B79 = "Mutant",VLOOKUP($C79,Mutants!$A$2:$L$560,11,FALSE),IF($B79 = "Test",VLOOKUP($C79,Tests!$A$2:$L$841,11,FALSE),VLOOKUP($C79,Questions!$A$3:$N$201,13,FALSE)))</f>
        <v xml:space="preserve">
</v>
      </c>
      <c r="G79" s="187"/>
      <c r="H79" s="202"/>
      <c r="I79" s="9"/>
      <c r="J79" s="9"/>
      <c r="K79" s="9"/>
      <c r="L79" s="9"/>
      <c r="M79" s="9"/>
    </row>
    <row r="80" spans="2:14" ht="15.75" customHeight="1">
      <c r="B80" s="114" t="s">
        <v>107</v>
      </c>
      <c r="C80" s="9">
        <v>138</v>
      </c>
      <c r="D80" s="9" t="s">
        <v>594</v>
      </c>
      <c r="E80" s="9" t="str">
        <f>IF($B80 = "Mutant",VLOOKUP($C80,Mutants!$A$2:$L$560,12,FALSE),IF($B80 = "Test",VLOOKUP($C80,Tests!$A$2:$L$841,12,FALSE),VLOOKUP($C80,Questions!$A$3:$N$201,9,FALSE)))</f>
        <v>Y</v>
      </c>
      <c r="F80" s="187" t="str">
        <f>IF($B80 = "Mutant",VLOOKUP($C80,Mutants!$A$2:$L$560,11,FALSE),IF($B80 = "Test",VLOOKUP($C80,Tests!$A$2:$L$841,11,FALSE),VLOOKUP($C80,Questions!$A$3:$N$201,13,FALSE)))</f>
        <v xml:space="preserve"> </v>
      </c>
      <c r="G80" s="187"/>
      <c r="H80" s="202"/>
      <c r="I80" s="9"/>
      <c r="J80" s="9"/>
      <c r="K80" s="9"/>
      <c r="L80" s="9"/>
      <c r="M80" s="9"/>
    </row>
    <row r="81" spans="2:13" ht="15.75" customHeight="1">
      <c r="B81" s="114" t="s">
        <v>4590</v>
      </c>
      <c r="C81" s="9">
        <v>657</v>
      </c>
      <c r="D81" s="9" t="s">
        <v>2303</v>
      </c>
      <c r="E81" s="9" t="str">
        <f>IF($B81 = "Mutant",VLOOKUP($C81,Mutants!$A$2:$L$560,12,FALSE),IF($B81 = "Test",VLOOKUP($C81,Tests!$A$2:$L$841,12,FALSE),VLOOKUP($C81,Questions!$A$3:$N$201,9,FALSE)))</f>
        <v>Y</v>
      </c>
      <c r="F81" s="187" t="str">
        <f>IF($B81 = "Mutant",VLOOKUP($C81,Mutants!$A$2:$L$560,11,FALSE),IF($B81 = "Test",VLOOKUP($C81,Tests!$A$2:$L$841,11,FALSE),VLOOKUP($C81,Questions!$A$3:$N$201,13,FALSE)))</f>
        <v xml:space="preserve">
</v>
      </c>
      <c r="G81" s="187"/>
      <c r="H81" s="202"/>
      <c r="I81" s="9"/>
      <c r="J81" s="9"/>
      <c r="K81" s="9"/>
      <c r="L81" s="9"/>
      <c r="M81" s="9"/>
    </row>
    <row r="82" spans="2:13" ht="15.75" customHeight="1">
      <c r="B82" s="114" t="s">
        <v>107</v>
      </c>
      <c r="C82" s="9">
        <v>144</v>
      </c>
      <c r="D82" s="9" t="s">
        <v>597</v>
      </c>
      <c r="E82" s="9" t="str">
        <f>IF($B82 = "Mutant",VLOOKUP($C82,Mutants!$A$2:$L$560,12,FALSE),IF($B82 = "Test",VLOOKUP($C82,Tests!$A$2:$L$841,12,FALSE),VLOOKUP($C82,Questions!$A$3:$N$201,9,FALSE)))</f>
        <v>Y</v>
      </c>
      <c r="F82" s="187" t="str">
        <f>IF($B82 = "Mutant",VLOOKUP($C82,Mutants!$A$2:$L$560,11,FALSE),IF($B82 = "Test",VLOOKUP($C82,Tests!$A$2:$L$841,11,FALSE),VLOOKUP($C82,Questions!$A$3:$N$201,13,FALSE)))</f>
        <v xml:space="preserve"> </v>
      </c>
      <c r="G82" s="187"/>
      <c r="H82" s="202"/>
      <c r="I82" s="9"/>
      <c r="J82" s="9"/>
      <c r="K82" s="9"/>
      <c r="L82" s="9"/>
      <c r="M82" s="9"/>
    </row>
    <row r="83" spans="2:13" ht="15.75" customHeight="1">
      <c r="B83" s="114" t="s">
        <v>4590</v>
      </c>
      <c r="C83" s="9">
        <v>690</v>
      </c>
      <c r="D83" s="9" t="s">
        <v>2390</v>
      </c>
      <c r="E83" s="9" t="str">
        <f>IF($B83 = "Mutant",VLOOKUP($C83,Mutants!$A$2:$L$560,12,FALSE),IF($B83 = "Test",VLOOKUP($C83,Tests!$A$2:$L$841,12,FALSE),VLOOKUP($C83,Questions!$A$3:$N$201,9,FALSE)))</f>
        <v>Y</v>
      </c>
      <c r="F83" s="187" t="str">
        <f>IF($B83 = "Mutant",VLOOKUP($C83,Mutants!$A$2:$L$560,11,FALSE),IF($B83 = "Test",VLOOKUP($C83,Tests!$A$2:$L$841,11,FALSE),VLOOKUP($C83,Questions!$A$3:$N$201,13,FALSE)))</f>
        <v xml:space="preserve">
</v>
      </c>
      <c r="G83" s="187"/>
      <c r="H83" s="202"/>
      <c r="I83" s="9"/>
      <c r="J83" s="9"/>
      <c r="K83" s="9"/>
      <c r="L83" s="9"/>
      <c r="M83" s="9"/>
    </row>
    <row r="84" spans="2:13" ht="15.75" customHeight="1">
      <c r="B84" s="114" t="s">
        <v>4590</v>
      </c>
      <c r="C84" s="9">
        <v>736</v>
      </c>
      <c r="D84" s="9" t="s">
        <v>2508</v>
      </c>
      <c r="E84" s="9" t="str">
        <f>IF($B84 = "Mutant",VLOOKUP($C84,Mutants!$A$2:$L$560,12,FALSE),IF($B84 = "Test",VLOOKUP($C84,Tests!$A$2:$L$841,12,FALSE),VLOOKUP($C84,Questions!$A$3:$N$201,9,FALSE)))</f>
        <v>N</v>
      </c>
      <c r="F84" s="187" t="str">
        <f>IF($B84 = "Mutant",VLOOKUP($C84,Mutants!$A$2:$L$560,11,FALSE),IF($B84 = "Test",VLOOKUP($C84,Tests!$A$2:$L$841,11,FALSE),VLOOKUP($C84,Questions!$A$3:$N$201,13,FALSE)))</f>
        <v xml:space="preserve">
</v>
      </c>
      <c r="G84" s="187"/>
      <c r="H84" s="202"/>
      <c r="I84" s="9"/>
      <c r="J84" s="9"/>
      <c r="K84" s="9"/>
      <c r="L84" s="9"/>
      <c r="M84" s="9"/>
    </row>
    <row r="85" spans="2:13" ht="15.75" customHeight="1">
      <c r="B85" s="114" t="s">
        <v>4590</v>
      </c>
      <c r="C85" s="9">
        <v>747</v>
      </c>
      <c r="D85" s="9" t="s">
        <v>2539</v>
      </c>
      <c r="E85" s="9" t="str">
        <f>IF($B85 = "Mutant",VLOOKUP($C85,Mutants!$A$2:$L$560,12,FALSE),IF($B85 = "Test",VLOOKUP($C85,Tests!$A$2:$L$841,12,FALSE),VLOOKUP($C85,Questions!$A$3:$N$201,9,FALSE)))</f>
        <v>N</v>
      </c>
      <c r="F85" s="187" t="str">
        <f>IF($B85 = "Mutant",VLOOKUP($C85,Mutants!$A$2:$L$560,11,FALSE),IF($B85 = "Test",VLOOKUP($C85,Tests!$A$2:$L$841,11,FALSE),VLOOKUP($C85,Questions!$A$3:$N$201,13,FALSE)))</f>
        <v xml:space="preserve">
</v>
      </c>
      <c r="G85" s="187"/>
      <c r="H85" s="202"/>
      <c r="I85" s="9"/>
      <c r="J85" s="9"/>
      <c r="K85" s="9"/>
      <c r="L85" s="9"/>
      <c r="M85" s="9"/>
    </row>
    <row r="86" spans="2:13" ht="15.75" customHeight="1">
      <c r="B86" s="114" t="s">
        <v>4590</v>
      </c>
      <c r="C86" s="9">
        <v>757</v>
      </c>
      <c r="D86" s="9" t="s">
        <v>2564</v>
      </c>
      <c r="E86" s="9" t="str">
        <f>IF($B86 = "Mutant",VLOOKUP($C86,Mutants!$A$2:$L$560,12,FALSE),IF($B86 = "Test",VLOOKUP($C86,Tests!$A$2:$L$841,12,FALSE),VLOOKUP($C86,Questions!$A$3:$N$201,9,FALSE)))</f>
        <v>Y</v>
      </c>
      <c r="F86" s="187" t="str">
        <f>IF($B86 = "Mutant",VLOOKUP($C86,Mutants!$A$2:$L$560,11,FALSE),IF($B86 = "Test",VLOOKUP($C86,Tests!$A$2:$L$841,11,FALSE),VLOOKUP($C86,Questions!$A$3:$N$201,13,FALSE)))</f>
        <v xml:space="preserve">toString
</v>
      </c>
      <c r="G86" s="187"/>
      <c r="H86" s="202"/>
      <c r="I86" s="9"/>
      <c r="J86" s="9"/>
      <c r="K86" s="9"/>
      <c r="L86" s="9"/>
      <c r="M86" s="9"/>
    </row>
    <row r="87" spans="2:13" ht="15.75" customHeight="1">
      <c r="B87" s="114" t="s">
        <v>4590</v>
      </c>
      <c r="C87" s="9">
        <v>914</v>
      </c>
      <c r="D87" s="9" t="s">
        <v>3009</v>
      </c>
      <c r="E87" s="9" t="str">
        <f>IF($B87 = "Mutant",VLOOKUP($C87,Mutants!$A$2:$L$560,12,FALSE),IF($B87 = "Test",VLOOKUP($C87,Tests!$A$2:$L$841,12,FALSE),VLOOKUP($C87,Questions!$A$3:$N$201,9,FALSE)))</f>
        <v>N</v>
      </c>
      <c r="F87" s="187" t="str">
        <f>IF($B87 = "Mutant",VLOOKUP($C87,Mutants!$A$2:$L$560,11,FALSE),IF($B87 = "Test",VLOOKUP($C87,Tests!$A$2:$L$841,11,FALSE),VLOOKUP($C87,Questions!$A$3:$N$201,13,FALSE)))</f>
        <v xml:space="preserve">
</v>
      </c>
      <c r="G87" s="187"/>
      <c r="H87" s="202"/>
      <c r="I87" s="9"/>
      <c r="J87" s="9"/>
      <c r="K87" s="9"/>
      <c r="L87" s="9"/>
      <c r="M87" s="9"/>
    </row>
    <row r="88" spans="2:13" ht="15.75" customHeight="1">
      <c r="B88" s="114" t="s">
        <v>4590</v>
      </c>
      <c r="C88" s="9">
        <v>918</v>
      </c>
      <c r="D88" s="9" t="s">
        <v>3022</v>
      </c>
      <c r="E88" s="9" t="str">
        <f>IF($B88 = "Mutant",VLOOKUP($C88,Mutants!$A$2:$L$560,12,FALSE),IF($B88 = "Test",VLOOKUP($C88,Tests!$A$2:$L$841,12,FALSE),VLOOKUP($C88,Questions!$A$3:$N$201,9,FALSE)))</f>
        <v>N</v>
      </c>
      <c r="F88" s="187" t="str">
        <f>IF($B88 = "Mutant",VLOOKUP($C88,Mutants!$A$2:$L$560,11,FALSE),IF($B88 = "Test",VLOOKUP($C88,Tests!$A$2:$L$841,11,FALSE),VLOOKUP($C88,Questions!$A$3:$N$201,13,FALSE)))</f>
        <v xml:space="preserve">
</v>
      </c>
      <c r="G88" s="187"/>
      <c r="H88" s="202"/>
      <c r="I88" s="9"/>
      <c r="J88" s="9"/>
      <c r="K88" s="9"/>
      <c r="L88" s="9"/>
      <c r="M88" s="9"/>
    </row>
    <row r="89" spans="2:13" ht="15.75" customHeight="1">
      <c r="B89" s="133" t="s">
        <v>4590</v>
      </c>
      <c r="C89" s="130">
        <v>922</v>
      </c>
      <c r="D89" s="130" t="s">
        <v>3031</v>
      </c>
      <c r="E89" s="130" t="str">
        <f>IF($B89 = "Mutant",VLOOKUP($C89,Mutants!$A$2:$L$560,12,FALSE),IF($B89 = "Test",VLOOKUP($C89,Tests!$A$2:$L$841,12,FALSE),VLOOKUP($C89,Questions!$A$3:$N$201,9,FALSE)))</f>
        <v>Y</v>
      </c>
      <c r="F89" s="203" t="str">
        <f>IF($B89 = "Mutant",VLOOKUP($C89,Mutants!$A$2:$L$560,11,FALSE),IF($B89 = "Test",VLOOKUP($C89,Tests!$A$2:$L$841,11,FALSE),VLOOKUP($C89,Questions!$A$3:$N$201,13,FALSE)))</f>
        <v xml:space="preserve">add, removeField, get
</v>
      </c>
      <c r="G89" s="203"/>
      <c r="H89" s="204"/>
      <c r="I89" s="9"/>
      <c r="J89" s="9"/>
      <c r="K89" s="9"/>
      <c r="L89" s="9"/>
      <c r="M89" s="9"/>
    </row>
    <row r="90" spans="2:13" ht="15.75" customHeight="1">
      <c r="F90" s="188"/>
      <c r="G90" s="188"/>
      <c r="H90" s="188"/>
    </row>
    <row r="91" spans="2:13" ht="15.75" customHeight="1">
      <c r="F91" s="188"/>
      <c r="G91" s="188"/>
      <c r="H91" s="188"/>
    </row>
    <row r="92" spans="2:13" ht="15.75" customHeight="1" thickBot="1">
      <c r="B92" s="219" t="s">
        <v>4604</v>
      </c>
      <c r="C92" s="201"/>
      <c r="D92" s="45">
        <v>240</v>
      </c>
      <c r="F92" s="207"/>
      <c r="G92" s="207"/>
      <c r="H92" s="207"/>
    </row>
    <row r="93" spans="2:13" ht="15.75" customHeight="1" thickTop="1">
      <c r="B93" s="134" t="s">
        <v>4594</v>
      </c>
      <c r="C93" s="135" t="s">
        <v>44</v>
      </c>
      <c r="D93" s="135" t="s">
        <v>110</v>
      </c>
      <c r="E93" s="136" t="s">
        <v>2</v>
      </c>
      <c r="F93" s="229" t="s">
        <v>4612</v>
      </c>
      <c r="G93" s="229"/>
      <c r="H93" s="230"/>
      <c r="I93" s="9"/>
      <c r="J93" s="9"/>
      <c r="K93" s="9"/>
      <c r="L93" s="9"/>
      <c r="M93" s="9"/>
    </row>
    <row r="94" spans="2:13" ht="15.75" customHeight="1">
      <c r="B94" s="137" t="s">
        <v>4589</v>
      </c>
      <c r="C94" s="93">
        <v>374</v>
      </c>
      <c r="D94" s="93" t="s">
        <v>3846</v>
      </c>
      <c r="E94" s="93" t="str">
        <f>IF($B94 = "Mutant",VLOOKUP($C94,Mutants!$A$2:$L$560,12,FALSE),IF($B94 = "Test",VLOOKUP($C94,Tests!$A$2:$L$841,12,FALSE),VLOOKUP($C94,Questions!$A$3:$N$201,9,FALSE)))</f>
        <v>Y</v>
      </c>
      <c r="F94" s="205" t="str">
        <f>IF($B94 = "Mutant",VLOOKUP($C94,Mutants!$A$2:$L$560,11,FALSE),IF($B94 = "Test",VLOOKUP($C94,Tests!$A$2:$L$841,11,FALSE),VLOOKUP($C94,Questions!$A$3:$N$201,13,FALSE)))</f>
        <v xml:space="preserve">iterator
</v>
      </c>
      <c r="G94" s="205"/>
      <c r="H94" s="206"/>
      <c r="I94" s="9"/>
      <c r="J94" s="9"/>
      <c r="K94" s="9"/>
      <c r="L94" s="9"/>
      <c r="M94" s="9"/>
    </row>
    <row r="95" spans="2:13" ht="15.75" customHeight="1">
      <c r="B95" s="114" t="s">
        <v>4589</v>
      </c>
      <c r="C95" s="9">
        <v>382</v>
      </c>
      <c r="D95" s="9" t="s">
        <v>3871</v>
      </c>
      <c r="E95" s="9" t="str">
        <f>IF($B95 = "Mutant",VLOOKUP($C95,Mutants!$A$2:$L$560,12,FALSE),IF($B95 = "Test",VLOOKUP($C95,Tests!$A$2:$L$841,12,FALSE),VLOOKUP($C95,Questions!$A$3:$N$201,9,FALSE)))</f>
        <v>Y</v>
      </c>
      <c r="F95" s="187" t="str">
        <f>IF($B95 = "Mutant",VLOOKUP($C95,Mutants!$A$2:$L$560,11,FALSE),IF($B95 = "Test",VLOOKUP($C95,Tests!$A$2:$L$841,11,FALSE),VLOOKUP($C95,Questions!$A$3:$N$201,13,FALSE)))</f>
        <v xml:space="preserve">add
</v>
      </c>
      <c r="G95" s="187"/>
      <c r="H95" s="202"/>
      <c r="I95" s="9"/>
      <c r="J95" s="9"/>
      <c r="K95" s="9"/>
      <c r="L95" s="9"/>
      <c r="M95" s="9"/>
    </row>
    <row r="96" spans="2:13" ht="15.75" customHeight="1">
      <c r="B96" s="114" t="s">
        <v>4589</v>
      </c>
      <c r="C96" s="9">
        <v>394</v>
      </c>
      <c r="D96" s="9" t="s">
        <v>3902</v>
      </c>
      <c r="E96" s="9" t="str">
        <f>IF($B96 = "Mutant",VLOOKUP($C96,Mutants!$A$2:$L$560,12,FALSE),IF($B96 = "Test",VLOOKUP($C96,Tests!$A$2:$L$841,12,FALSE),VLOOKUP($C96,Questions!$A$3:$N$201,9,FALSE)))</f>
        <v>N</v>
      </c>
      <c r="F96" s="187" t="str">
        <f>IF($B96 = "Mutant",VLOOKUP($C96,Mutants!$A$2:$L$560,11,FALSE),IF($B96 = "Test",VLOOKUP($C96,Tests!$A$2:$L$841,11,FALSE),VLOOKUP($C96,Questions!$A$3:$N$201,13,FALSE)))</f>
        <v xml:space="preserve">
</v>
      </c>
      <c r="G96" s="187"/>
      <c r="H96" s="202"/>
      <c r="I96" s="9"/>
      <c r="J96" s="9"/>
      <c r="K96" s="9"/>
      <c r="L96" s="9"/>
      <c r="M96" s="9"/>
    </row>
    <row r="97" spans="2:13" ht="15.75" customHeight="1">
      <c r="B97" s="114" t="s">
        <v>4589</v>
      </c>
      <c r="C97" s="9">
        <v>430</v>
      </c>
      <c r="D97" s="9" t="s">
        <v>3995</v>
      </c>
      <c r="E97" s="9" t="str">
        <f>IF($B97 = "Mutant",VLOOKUP($C97,Mutants!$A$2:$L$560,12,FALSE),IF($B97 = "Test",VLOOKUP($C97,Tests!$A$2:$L$841,12,FALSE),VLOOKUP($C97,Questions!$A$3:$N$201,9,FALSE)))</f>
        <v>Y</v>
      </c>
      <c r="F97" s="187" t="str">
        <f>IF($B97 = "Mutant",VLOOKUP($C97,Mutants!$A$2:$L$560,11,FALSE),IF($B97 = "Test",VLOOKUP($C97,Tests!$A$2:$L$841,11,FALSE),VLOOKUP($C97,Questions!$A$3:$N$201,13,FALSE)))</f>
        <v xml:space="preserve">removeField
</v>
      </c>
      <c r="G97" s="187"/>
      <c r="H97" s="202"/>
      <c r="I97" s="9"/>
      <c r="J97" s="9"/>
      <c r="K97" s="9"/>
      <c r="L97" s="9"/>
      <c r="M97" s="9"/>
    </row>
    <row r="98" spans="2:13" ht="15.75" customHeight="1">
      <c r="B98" s="114" t="s">
        <v>4589</v>
      </c>
      <c r="C98" s="9">
        <v>446</v>
      </c>
      <c r="D98" s="9" t="s">
        <v>4038</v>
      </c>
      <c r="E98" s="9" t="str">
        <f>IF($B98 = "Mutant",VLOOKUP($C98,Mutants!$A$2:$L$560,12,FALSE),IF($B98 = "Test",VLOOKUP($C98,Tests!$A$2:$L$841,12,FALSE),VLOOKUP($C98,Questions!$A$3:$N$201,9,FALSE)))</f>
        <v>Y</v>
      </c>
      <c r="F98" s="187" t="str">
        <f>IF($B98 = "Mutant",VLOOKUP($C98,Mutants!$A$2:$L$560,11,FALSE),IF($B98 = "Test",VLOOKUP($C98,Tests!$A$2:$L$841,11,FALSE),VLOOKUP($C98,Questions!$A$3:$N$201,13,FALSE)))</f>
        <v xml:space="preserve">removeFields
</v>
      </c>
      <c r="G98" s="187"/>
      <c r="H98" s="202"/>
      <c r="I98" s="9"/>
      <c r="J98" s="9"/>
      <c r="K98" s="9"/>
      <c r="L98" s="9"/>
      <c r="M98" s="9"/>
    </row>
    <row r="99" spans="2:13" ht="15.75" customHeight="1">
      <c r="B99" s="114" t="s">
        <v>4589</v>
      </c>
      <c r="C99" s="9">
        <v>457</v>
      </c>
      <c r="D99" s="9" t="s">
        <v>4069</v>
      </c>
      <c r="E99" s="9" t="str">
        <f>IF($B99 = "Mutant",VLOOKUP($C99,Mutants!$A$2:$L$560,12,FALSE),IF($B99 = "Test",VLOOKUP($C99,Tests!$A$2:$L$841,12,FALSE),VLOOKUP($C99,Questions!$A$3:$N$201,9,FALSE)))</f>
        <v>Y</v>
      </c>
      <c r="F99" s="187" t="str">
        <f>IF($B99 = "Mutant",VLOOKUP($C99,Mutants!$A$2:$L$560,11,FALSE),IF($B99 = "Test",VLOOKUP($C99,Tests!$A$2:$L$841,11,FALSE),VLOOKUP($C99,Questions!$A$3:$N$201,13,FALSE)))</f>
        <v xml:space="preserve">removeField
</v>
      </c>
      <c r="G99" s="187"/>
      <c r="H99" s="202"/>
      <c r="I99" s="9"/>
      <c r="J99" s="9"/>
      <c r="K99" s="9"/>
      <c r="L99" s="9"/>
      <c r="M99" s="9"/>
    </row>
    <row r="100" spans="2:13" ht="15.75" customHeight="1">
      <c r="B100" s="114" t="s">
        <v>4589</v>
      </c>
      <c r="C100" s="9">
        <v>473</v>
      </c>
      <c r="D100" s="9" t="s">
        <v>4108</v>
      </c>
      <c r="E100" s="9" t="str">
        <f>IF($B100 = "Mutant",VLOOKUP($C100,Mutants!$A$2:$L$560,12,FALSE),IF($B100 = "Test",VLOOKUP($C100,Tests!$A$2:$L$841,12,FALSE),VLOOKUP($C100,Questions!$A$3:$N$201,9,FALSE)))</f>
        <v>Y</v>
      </c>
      <c r="F100" s="187" t="str">
        <f>IF($B100 = "Mutant",VLOOKUP($C100,Mutants!$A$2:$L$560,11,FALSE),IF($B100 = "Test",VLOOKUP($C100,Tests!$A$2:$L$841,11,FALSE),VLOOKUP($C100,Questions!$A$3:$N$201,13,FALSE)))</f>
        <v xml:space="preserve">removeFields
</v>
      </c>
      <c r="G100" s="187"/>
      <c r="H100" s="202"/>
      <c r="I100" s="9"/>
      <c r="J100" s="9"/>
      <c r="K100" s="9"/>
      <c r="L100" s="9"/>
      <c r="M100" s="9"/>
    </row>
    <row r="101" spans="2:13" ht="15.75" customHeight="1">
      <c r="B101" s="114" t="s">
        <v>4589</v>
      </c>
      <c r="C101" s="9">
        <v>486</v>
      </c>
      <c r="D101" s="9" t="s">
        <v>4145</v>
      </c>
      <c r="E101" s="9" t="str">
        <f>IF($B101 = "Mutant",VLOOKUP($C101,Mutants!$A$2:$L$560,12,FALSE),IF($B101 = "Test",VLOOKUP($C101,Tests!$A$2:$L$841,12,FALSE),VLOOKUP($C101,Questions!$A$3:$N$201,9,FALSE)))</f>
        <v>Y</v>
      </c>
      <c r="F101" s="187" t="str">
        <f>IF($B101 = "Mutant",VLOOKUP($C101,Mutants!$A$2:$L$560,11,FALSE),IF($B101 = "Test",VLOOKUP($C101,Tests!$A$2:$L$841,11,FALSE),VLOOKUP($C101,Questions!$A$3:$N$201,13,FALSE)))</f>
        <v xml:space="preserve">getBinaryValues
</v>
      </c>
      <c r="G101" s="187"/>
      <c r="H101" s="202"/>
      <c r="I101" s="9"/>
      <c r="J101" s="9"/>
      <c r="K101" s="9"/>
      <c r="L101" s="9"/>
      <c r="M101" s="9"/>
    </row>
    <row r="102" spans="2:13" ht="15.75" customHeight="1">
      <c r="B102" s="114" t="s">
        <v>4589</v>
      </c>
      <c r="C102" s="9">
        <v>496</v>
      </c>
      <c r="D102" s="9" t="s">
        <v>4171</v>
      </c>
      <c r="E102" s="9" t="str">
        <f>IF($B102 = "Mutant",VLOOKUP($C102,Mutants!$A$2:$L$560,12,FALSE),IF($B102 = "Test",VLOOKUP($C102,Tests!$A$2:$L$841,12,FALSE),VLOOKUP($C102,Questions!$A$3:$N$201,9,FALSE)))</f>
        <v>Y</v>
      </c>
      <c r="F102" s="187" t="str">
        <f>IF($B102 = "Mutant",VLOOKUP($C102,Mutants!$A$2:$L$560,11,FALSE),IF($B102 = "Test",VLOOKUP($C102,Tests!$A$2:$L$841,11,FALSE),VLOOKUP($C102,Questions!$A$3:$N$201,13,FALSE)))</f>
        <v xml:space="preserve">getBinaryValues
</v>
      </c>
      <c r="G102" s="187"/>
      <c r="H102" s="202"/>
      <c r="I102" s="9"/>
      <c r="J102" s="9"/>
      <c r="K102" s="9"/>
      <c r="L102" s="9"/>
      <c r="M102" s="9"/>
    </row>
    <row r="103" spans="2:13" ht="15.75" customHeight="1">
      <c r="B103" s="114" t="s">
        <v>4589</v>
      </c>
      <c r="C103" s="9">
        <v>507</v>
      </c>
      <c r="D103" s="9" t="s">
        <v>4201</v>
      </c>
      <c r="E103" s="9" t="str">
        <f>IF($B103 = "Mutant",VLOOKUP($C103,Mutants!$A$2:$L$560,12,FALSE),IF($B103 = "Test",VLOOKUP($C103,Tests!$A$2:$L$841,12,FALSE),VLOOKUP($C103,Questions!$A$3:$N$201,9,FALSE)))</f>
        <v>Y</v>
      </c>
      <c r="F103" s="187" t="str">
        <f>IF($B103 = "Mutant",VLOOKUP($C103,Mutants!$A$2:$L$560,11,FALSE),IF($B103 = "Test",VLOOKUP($C103,Tests!$A$2:$L$841,11,FALSE),VLOOKUP($C103,Questions!$A$3:$N$201,13,FALSE)))</f>
        <v xml:space="preserve">getField
</v>
      </c>
      <c r="G103" s="187"/>
      <c r="H103" s="202"/>
      <c r="I103" s="9"/>
      <c r="J103" s="9"/>
      <c r="K103" s="9"/>
      <c r="L103" s="9"/>
      <c r="M103" s="9"/>
    </row>
    <row r="104" spans="2:13" ht="15.75" customHeight="1">
      <c r="B104" s="114" t="s">
        <v>4590</v>
      </c>
      <c r="C104" s="9">
        <v>566</v>
      </c>
      <c r="D104" s="9" t="s">
        <v>2043</v>
      </c>
      <c r="E104" s="9" t="str">
        <f>IF($B104 = "Mutant",VLOOKUP($C104,Mutants!$A$2:$L$560,12,FALSE),IF($B104 = "Test",VLOOKUP($C104,Tests!$A$2:$L$841,12,FALSE),VLOOKUP($C104,Questions!$A$3:$N$201,9,FALSE)))</f>
        <v>N</v>
      </c>
      <c r="F104" s="187" t="str">
        <f>IF($B104 = "Mutant",VLOOKUP($C104,Mutants!$A$2:$L$560,11,FALSE),IF($B104 = "Test",VLOOKUP($C104,Tests!$A$2:$L$841,11,FALSE),VLOOKUP($C104,Questions!$A$3:$N$201,13,FALSE)))</f>
        <v xml:space="preserve">
</v>
      </c>
      <c r="G104" s="187"/>
      <c r="H104" s="202"/>
      <c r="I104" s="9"/>
      <c r="J104" s="9"/>
      <c r="K104" s="9"/>
      <c r="L104" s="9"/>
      <c r="M104" s="9"/>
    </row>
    <row r="105" spans="2:13" ht="15.75" customHeight="1">
      <c r="B105" s="114" t="s">
        <v>4590</v>
      </c>
      <c r="C105" s="9">
        <v>574</v>
      </c>
      <c r="D105" s="9" t="s">
        <v>2069</v>
      </c>
      <c r="E105" s="9" t="str">
        <f>IF($B105 = "Mutant",VLOOKUP($C105,Mutants!$A$2:$L$560,12,FALSE),IF($B105 = "Test",VLOOKUP($C105,Tests!$A$2:$L$841,12,FALSE),VLOOKUP($C105,Questions!$A$3:$N$201,9,FALSE)))</f>
        <v>N</v>
      </c>
      <c r="F105" s="187" t="str">
        <f>IF($B105 = "Mutant",VLOOKUP($C105,Mutants!$A$2:$L$560,11,FALSE),IF($B105 = "Test",VLOOKUP($C105,Tests!$A$2:$L$841,11,FALSE),VLOOKUP($C105,Questions!$A$3:$N$201,13,FALSE)))</f>
        <v xml:space="preserve">
</v>
      </c>
      <c r="G105" s="187"/>
      <c r="H105" s="202"/>
      <c r="I105" s="9"/>
      <c r="J105" s="9"/>
      <c r="K105" s="9"/>
      <c r="L105" s="9"/>
      <c r="M105" s="9"/>
    </row>
    <row r="106" spans="2:13" ht="15.75" customHeight="1">
      <c r="B106" s="114" t="s">
        <v>4590</v>
      </c>
      <c r="C106" s="9">
        <v>596</v>
      </c>
      <c r="D106" s="9" t="s">
        <v>2131</v>
      </c>
      <c r="E106" s="9" t="str">
        <f>IF($B106 = "Mutant",VLOOKUP($C106,Mutants!$A$2:$L$560,12,FALSE),IF($B106 = "Test",VLOOKUP($C106,Tests!$A$2:$L$841,12,FALSE),VLOOKUP($C106,Questions!$A$3:$N$201,9,FALSE)))</f>
        <v>N</v>
      </c>
      <c r="F106" s="187" t="str">
        <f>IF($B106 = "Mutant",VLOOKUP($C106,Mutants!$A$2:$L$560,11,FALSE),IF($B106 = "Test",VLOOKUP($C106,Tests!$A$2:$L$841,11,FALSE),VLOOKUP($C106,Questions!$A$3:$N$201,13,FALSE)))</f>
        <v xml:space="preserve">
</v>
      </c>
      <c r="G106" s="187"/>
      <c r="H106" s="202"/>
      <c r="I106" s="9"/>
      <c r="J106" s="9"/>
      <c r="K106" s="9"/>
      <c r="L106" s="9"/>
      <c r="M106" s="9"/>
    </row>
    <row r="107" spans="2:13" ht="15.75" customHeight="1">
      <c r="B107" s="114" t="s">
        <v>4590</v>
      </c>
      <c r="C107" s="9">
        <v>604</v>
      </c>
      <c r="D107" s="9" t="s">
        <v>2153</v>
      </c>
      <c r="E107" s="9" t="str">
        <f>IF($B107 = "Mutant",VLOOKUP($C107,Mutants!$A$2:$L$560,12,FALSE),IF($B107 = "Test",VLOOKUP($C107,Tests!$A$2:$L$841,12,FALSE),VLOOKUP($C107,Questions!$A$3:$N$201,9,FALSE)))</f>
        <v>N</v>
      </c>
      <c r="F107" s="187" t="str">
        <f>IF($B107 = "Mutant",VLOOKUP($C107,Mutants!$A$2:$L$560,11,FALSE),IF($B107 = "Test",VLOOKUP($C107,Tests!$A$2:$L$841,11,FALSE),VLOOKUP($C107,Questions!$A$3:$N$201,13,FALSE)))</f>
        <v xml:space="preserve">
</v>
      </c>
      <c r="G107" s="187"/>
      <c r="H107" s="202"/>
      <c r="I107" s="9"/>
      <c r="J107" s="9"/>
      <c r="K107" s="9"/>
      <c r="L107" s="9"/>
      <c r="M107" s="9"/>
    </row>
    <row r="108" spans="2:13" ht="15.75" customHeight="1">
      <c r="B108" s="114" t="s">
        <v>4590</v>
      </c>
      <c r="C108" s="9">
        <v>635</v>
      </c>
      <c r="D108" s="9" t="s">
        <v>2245</v>
      </c>
      <c r="E108" s="9" t="str">
        <f>IF($B108 = "Mutant",VLOOKUP($C108,Mutants!$A$2:$L$560,12,FALSE),IF($B108 = "Test",VLOOKUP($C108,Tests!$A$2:$L$841,12,FALSE),VLOOKUP($C108,Questions!$A$3:$N$201,9,FALSE)))</f>
        <v>Y</v>
      </c>
      <c r="F108" s="187" t="str">
        <f>IF($B108 = "Mutant",VLOOKUP($C108,Mutants!$A$2:$L$560,11,FALSE),IF($B108 = "Test",VLOOKUP($C108,Tests!$A$2:$L$841,11,FALSE),VLOOKUP($C108,Questions!$A$3:$N$201,13,FALSE)))</f>
        <v xml:space="preserve">iterator, add
</v>
      </c>
      <c r="G108" s="187"/>
      <c r="H108" s="202"/>
      <c r="I108" s="9"/>
      <c r="J108" s="9"/>
      <c r="K108" s="9"/>
      <c r="L108" s="9"/>
      <c r="M108" s="9"/>
    </row>
    <row r="109" spans="2:13" ht="15.75" customHeight="1">
      <c r="B109" s="114" t="s">
        <v>4590</v>
      </c>
      <c r="C109" s="9">
        <v>653</v>
      </c>
      <c r="D109" s="9" t="s">
        <v>2294</v>
      </c>
      <c r="E109" s="9" t="str">
        <f>IF($B109 = "Mutant",VLOOKUP($C109,Mutants!$A$2:$L$560,12,FALSE),IF($B109 = "Test",VLOOKUP($C109,Tests!$A$2:$L$841,12,FALSE),VLOOKUP($C109,Questions!$A$3:$N$201,9,FALSE)))</f>
        <v>N</v>
      </c>
      <c r="F109" s="187" t="str">
        <f>IF($B109 = "Mutant",VLOOKUP($C109,Mutants!$A$2:$L$560,11,FALSE),IF($B109 = "Test",VLOOKUP($C109,Tests!$A$2:$L$841,11,FALSE),VLOOKUP($C109,Questions!$A$3:$N$201,13,FALSE)))</f>
        <v xml:space="preserve">
</v>
      </c>
      <c r="G109" s="187"/>
      <c r="H109" s="202"/>
      <c r="I109" s="9"/>
      <c r="J109" s="9"/>
      <c r="K109" s="9"/>
      <c r="L109" s="9"/>
      <c r="M109" s="9"/>
    </row>
    <row r="110" spans="2:13" ht="15.75" customHeight="1">
      <c r="B110" s="114" t="s">
        <v>4590</v>
      </c>
      <c r="C110" s="9">
        <v>659</v>
      </c>
      <c r="D110" s="9" t="s">
        <v>2309</v>
      </c>
      <c r="E110" s="9" t="str">
        <f>IF($B110 = "Mutant",VLOOKUP($C110,Mutants!$A$2:$L$560,12,FALSE),IF($B110 = "Test",VLOOKUP($C110,Tests!$A$2:$L$841,12,FALSE),VLOOKUP($C110,Questions!$A$3:$N$201,9,FALSE)))</f>
        <v>Y</v>
      </c>
      <c r="F110" s="187" t="str">
        <f>IF($B110 = "Mutant",VLOOKUP($C110,Mutants!$A$2:$L$560,11,FALSE),IF($B110 = "Test",VLOOKUP($C110,Tests!$A$2:$L$841,11,FALSE),VLOOKUP($C110,Questions!$A$3:$N$201,13,FALSE)))</f>
        <v xml:space="preserve">iterator, add, clear
</v>
      </c>
      <c r="G110" s="187"/>
      <c r="H110" s="202"/>
      <c r="I110" s="9"/>
      <c r="J110" s="9"/>
      <c r="K110" s="9"/>
      <c r="L110" s="9"/>
      <c r="M110" s="9"/>
    </row>
    <row r="111" spans="2:13" ht="15.75" customHeight="1">
      <c r="B111" s="114" t="s">
        <v>4590</v>
      </c>
      <c r="C111" s="9">
        <v>783</v>
      </c>
      <c r="D111" s="9" t="s">
        <v>638</v>
      </c>
      <c r="E111" s="9" t="str">
        <f>IF($B111 = "Mutant",VLOOKUP($C111,Mutants!$A$2:$L$560,12,FALSE),IF($B111 = "Test",VLOOKUP($C111,Tests!$A$2:$L$841,12,FALSE),VLOOKUP($C111,Questions!$A$3:$N$201,9,FALSE)))</f>
        <v>Y</v>
      </c>
      <c r="F111" s="187" t="str">
        <f>IF($B111 = "Mutant",VLOOKUP($C111,Mutants!$A$2:$L$560,11,FALSE),IF($B111 = "Test",VLOOKUP($C111,Tests!$A$2:$L$841,11,FALSE),VLOOKUP($C111,Questions!$A$3:$N$201,13,FALSE)))</f>
        <v xml:space="preserve">toString
</v>
      </c>
      <c r="G111" s="187"/>
      <c r="H111" s="202"/>
      <c r="I111" s="9"/>
      <c r="J111" s="9"/>
      <c r="K111" s="9"/>
      <c r="L111" s="9"/>
      <c r="M111" s="9"/>
    </row>
    <row r="112" spans="2:13" ht="15.75" customHeight="1">
      <c r="B112" s="114" t="s">
        <v>4589</v>
      </c>
      <c r="C112" s="9">
        <v>635</v>
      </c>
      <c r="D112" s="9" t="s">
        <v>4527</v>
      </c>
      <c r="E112" s="9" t="str">
        <f>IF($B112 = "Mutant",VLOOKUP($C112,Mutants!$A$2:$L$560,12,FALSE),IF($B112 = "Test",VLOOKUP($C112,Tests!$A$2:$L$841,12,FALSE),VLOOKUP($C112,Questions!$A$3:$N$201,9,FALSE)))</f>
        <v>Y</v>
      </c>
      <c r="F112" s="187" t="str">
        <f>IF($B112 = "Mutant",VLOOKUP($C112,Mutants!$A$2:$L$560,11,FALSE),IF($B112 = "Test",VLOOKUP($C112,Tests!$A$2:$L$841,11,FALSE),VLOOKUP($C112,Questions!$A$3:$N$201,13,FALSE)))</f>
        <v xml:space="preserve">toString
</v>
      </c>
      <c r="G112" s="187"/>
      <c r="H112" s="202"/>
      <c r="I112" s="9"/>
      <c r="J112" s="9"/>
      <c r="K112" s="9"/>
      <c r="L112" s="9"/>
      <c r="M112" s="9"/>
    </row>
    <row r="113" spans="2:13" ht="15.75" customHeight="1">
      <c r="B113" s="133" t="s">
        <v>4589</v>
      </c>
      <c r="C113" s="130">
        <v>658</v>
      </c>
      <c r="D113" s="130" t="s">
        <v>4581</v>
      </c>
      <c r="E113" s="130" t="str">
        <f>IF($B113 = "Mutant",VLOOKUP($C113,Mutants!$A$2:$L$560,12,FALSE),IF($B113 = "Test",VLOOKUP($C113,Tests!$A$2:$L$841,12,FALSE),VLOOKUP($C113,Questions!$A$3:$N$201,9,FALSE)))</f>
        <v>Y</v>
      </c>
      <c r="F113" s="203" t="str">
        <f>IF($B113 = "Mutant",VLOOKUP($C113,Mutants!$A$2:$L$560,11,FALSE),IF($B113 = "Test",VLOOKUP($C113,Tests!$A$2:$L$841,11,FALSE),VLOOKUP($C113,Questions!$A$3:$N$201,13,FALSE)))</f>
        <v xml:space="preserve">toString
</v>
      </c>
      <c r="G113" s="203"/>
      <c r="H113" s="204"/>
      <c r="I113" s="9"/>
      <c r="J113" s="9"/>
      <c r="K113" s="9"/>
      <c r="L113" s="9"/>
      <c r="M113" s="9"/>
    </row>
    <row r="114" spans="2:13" ht="15.75" customHeight="1">
      <c r="F114" s="188"/>
      <c r="G114" s="188"/>
      <c r="H114" s="188"/>
    </row>
    <row r="115" spans="2:13" ht="15.75" customHeight="1">
      <c r="F115" s="188"/>
      <c r="G115" s="188"/>
      <c r="H115" s="188"/>
    </row>
    <row r="116" spans="2:13" ht="15.75" customHeight="1" thickBot="1">
      <c r="B116" s="219" t="s">
        <v>4604</v>
      </c>
      <c r="C116" s="201"/>
      <c r="D116" s="45">
        <v>241</v>
      </c>
      <c r="F116" s="207"/>
      <c r="G116" s="207"/>
      <c r="H116" s="207"/>
    </row>
    <row r="117" spans="2:13" ht="15.75" customHeight="1" thickTop="1">
      <c r="B117" s="134" t="s">
        <v>4594</v>
      </c>
      <c r="C117" s="135" t="s">
        <v>44</v>
      </c>
      <c r="D117" s="135" t="s">
        <v>110</v>
      </c>
      <c r="E117" s="136" t="s">
        <v>2</v>
      </c>
      <c r="F117" s="229" t="s">
        <v>4612</v>
      </c>
      <c r="G117" s="229"/>
      <c r="H117" s="230"/>
      <c r="I117" s="9"/>
      <c r="J117" s="9"/>
      <c r="K117" s="9"/>
      <c r="L117" s="9"/>
      <c r="M117" s="9"/>
    </row>
    <row r="118" spans="2:13" ht="15.75" customHeight="1">
      <c r="B118" s="137" t="s">
        <v>107</v>
      </c>
      <c r="C118" s="93">
        <v>96</v>
      </c>
      <c r="D118" s="93" t="s">
        <v>600</v>
      </c>
      <c r="E118" s="93" t="str">
        <f>IF($B118 = "Mutant",VLOOKUP($C118,Mutants!$A$2:$L$560,12,FALSE),IF($B118 = "Test",VLOOKUP($C118,Tests!$A$2:$L$841,12,FALSE),VLOOKUP($C118,Questions!$A$3:$N$201,9,FALSE)))</f>
        <v>Y</v>
      </c>
      <c r="F118" s="205" t="str">
        <f>IF($B118 = "Mutant",VLOOKUP($C118,Mutants!$A$2:$L$560,11,FALSE),IF($B118 = "Test",VLOOKUP($C118,Tests!$A$2:$L$841,11,FALSE),VLOOKUP($C118,Questions!$A$3:$N$201,13,FALSE)))</f>
        <v xml:space="preserve"> </v>
      </c>
      <c r="G118" s="205"/>
      <c r="H118" s="206"/>
      <c r="I118" s="9"/>
      <c r="J118" s="9"/>
      <c r="K118" s="9"/>
      <c r="L118" s="9"/>
      <c r="M118" s="9"/>
    </row>
    <row r="119" spans="2:13" ht="15.75" customHeight="1">
      <c r="B119" s="114" t="s">
        <v>4589</v>
      </c>
      <c r="C119" s="9">
        <v>481</v>
      </c>
      <c r="D119" s="9" t="s">
        <v>4132</v>
      </c>
      <c r="E119" s="9" t="str">
        <f>IF($B119 = "Mutant",VLOOKUP($C119,Mutants!$A$2:$L$560,12,FALSE),IF($B119 = "Test",VLOOKUP($C119,Tests!$A$2:$L$841,12,FALSE),VLOOKUP($C119,Questions!$A$3:$N$201,9,FALSE)))</f>
        <v>Y</v>
      </c>
      <c r="F119" s="187" t="str">
        <f>IF($B119 = "Mutant",VLOOKUP($C119,Mutants!$A$2:$L$560,11,FALSE),IF($B119 = "Test",VLOOKUP($C119,Tests!$A$2:$L$841,11,FALSE),VLOOKUP($C119,Questions!$A$3:$N$201,13,FALSE)))</f>
        <v xml:space="preserve">removeFields
</v>
      </c>
      <c r="G119" s="187"/>
      <c r="H119" s="202"/>
      <c r="I119" s="9"/>
      <c r="J119" s="9"/>
      <c r="K119" s="9"/>
      <c r="L119" s="9"/>
      <c r="M119" s="9"/>
    </row>
    <row r="120" spans="2:13" ht="15.75" customHeight="1">
      <c r="B120" s="114" t="s">
        <v>4589</v>
      </c>
      <c r="C120" s="9">
        <v>490</v>
      </c>
      <c r="D120" s="9" t="s">
        <v>4156</v>
      </c>
      <c r="E120" s="9" t="str">
        <f>IF($B120 = "Mutant",VLOOKUP($C120,Mutants!$A$2:$L$560,12,FALSE),IF($B120 = "Test",VLOOKUP($C120,Tests!$A$2:$L$841,12,FALSE),VLOOKUP($C120,Questions!$A$3:$N$201,9,FALSE)))</f>
        <v>Y</v>
      </c>
      <c r="F120" s="187" t="str">
        <f>IF($B120 = "Mutant",VLOOKUP($C120,Mutants!$A$2:$L$560,11,FALSE),IF($B120 = "Test",VLOOKUP($C120,Tests!$A$2:$L$841,11,FALSE),VLOOKUP($C120,Questions!$A$3:$N$201,13,FALSE)))</f>
        <v xml:space="preserve">getBinaryValues
</v>
      </c>
      <c r="G120" s="187"/>
      <c r="H120" s="202"/>
      <c r="I120" s="9"/>
      <c r="J120" s="9"/>
      <c r="K120" s="9"/>
      <c r="L120" s="9"/>
      <c r="M120" s="9"/>
    </row>
    <row r="121" spans="2:13" ht="15.75" customHeight="1">
      <c r="B121" s="114" t="s">
        <v>4589</v>
      </c>
      <c r="C121" s="9">
        <v>494</v>
      </c>
      <c r="D121" s="9" t="s">
        <v>4167</v>
      </c>
      <c r="E121" s="9" t="str">
        <f>IF($B121 = "Mutant",VLOOKUP($C121,Mutants!$A$2:$L$560,12,FALSE),IF($B121 = "Test",VLOOKUP($C121,Tests!$A$2:$L$841,12,FALSE),VLOOKUP($C121,Questions!$A$3:$N$201,9,FALSE)))</f>
        <v>Y</v>
      </c>
      <c r="F121" s="187" t="str">
        <f>IF($B121 = "Mutant",VLOOKUP($C121,Mutants!$A$2:$L$560,11,FALSE),IF($B121 = "Test",VLOOKUP($C121,Tests!$A$2:$L$841,11,FALSE),VLOOKUP($C121,Questions!$A$3:$N$201,13,FALSE)))</f>
        <v xml:space="preserve">getField
</v>
      </c>
      <c r="G121" s="187"/>
      <c r="H121" s="202"/>
      <c r="I121" s="9"/>
      <c r="J121" s="9"/>
      <c r="K121" s="9"/>
      <c r="L121" s="9"/>
      <c r="M121" s="9"/>
    </row>
    <row r="122" spans="2:13" ht="15.75" customHeight="1">
      <c r="B122" s="114" t="s">
        <v>107</v>
      </c>
      <c r="C122" s="9">
        <v>107</v>
      </c>
      <c r="D122" s="9" t="s">
        <v>603</v>
      </c>
      <c r="E122" s="9" t="str">
        <f>IF($B122 = "Mutant",VLOOKUP($C122,Mutants!$A$2:$L$560,12,FALSE),IF($B122 = "Test",VLOOKUP($C122,Tests!$A$2:$L$841,12,FALSE),VLOOKUP($C122,Questions!$A$3:$N$201,9,FALSE)))</f>
        <v>Y</v>
      </c>
      <c r="F122" s="187" t="str">
        <f>IF($B122 = "Mutant",VLOOKUP($C122,Mutants!$A$2:$L$560,11,FALSE),IF($B122 = "Test",VLOOKUP($C122,Tests!$A$2:$L$841,11,FALSE),VLOOKUP($C122,Questions!$A$3:$N$201,13,FALSE)))</f>
        <v xml:space="preserve"> </v>
      </c>
      <c r="G122" s="187"/>
      <c r="H122" s="202"/>
      <c r="I122" s="9"/>
      <c r="J122" s="9"/>
      <c r="K122" s="9"/>
      <c r="L122" s="9"/>
      <c r="M122" s="9"/>
    </row>
    <row r="123" spans="2:13" ht="15.75" customHeight="1">
      <c r="B123" s="114" t="s">
        <v>4590</v>
      </c>
      <c r="C123" s="9">
        <v>570</v>
      </c>
      <c r="D123" s="9" t="s">
        <v>2058</v>
      </c>
      <c r="E123" s="9" t="str">
        <f>IF($B123 = "Mutant",VLOOKUP($C123,Mutants!$A$2:$L$560,12,FALSE),IF($B123 = "Test",VLOOKUP($C123,Tests!$A$2:$L$841,12,FALSE),VLOOKUP($C123,Questions!$A$3:$N$201,9,FALSE)))</f>
        <v>Y</v>
      </c>
      <c r="F123" s="187" t="str">
        <f>IF($B123 = "Mutant",VLOOKUP($C123,Mutants!$A$2:$L$560,11,FALSE),IF($B123 = "Test",VLOOKUP($C123,Tests!$A$2:$L$841,11,FALSE),VLOOKUP($C123,Questions!$A$3:$N$201,13,FALSE)))</f>
        <v xml:space="preserve">iterator, add
</v>
      </c>
      <c r="G123" s="187"/>
      <c r="H123" s="202"/>
      <c r="I123" s="9"/>
      <c r="J123" s="9"/>
      <c r="K123" s="9"/>
      <c r="L123" s="9"/>
      <c r="M123" s="9"/>
    </row>
    <row r="124" spans="2:13" ht="15.75" customHeight="1">
      <c r="B124" s="114" t="s">
        <v>4590</v>
      </c>
      <c r="C124" s="9">
        <v>591</v>
      </c>
      <c r="D124" s="9" t="s">
        <v>523</v>
      </c>
      <c r="E124" s="9" t="str">
        <f>IF($B124 = "Mutant",VLOOKUP($C124,Mutants!$A$2:$L$560,12,FALSE),IF($B124 = "Test",VLOOKUP($C124,Tests!$A$2:$L$841,12,FALSE),VLOOKUP($C124,Questions!$A$3:$N$201,9,FALSE)))</f>
        <v>Y</v>
      </c>
      <c r="F124" s="187" t="str">
        <f>IF($B124 = "Mutant",VLOOKUP($C124,Mutants!$A$2:$L$560,11,FALSE),IF($B124 = "Test",VLOOKUP($C124,Tests!$A$2:$L$841,11,FALSE),VLOOKUP($C124,Questions!$A$3:$N$201,13,FALSE)))</f>
        <v xml:space="preserve">iterator, add, removeFields
</v>
      </c>
      <c r="G124" s="187"/>
      <c r="H124" s="202"/>
      <c r="I124" s="9"/>
      <c r="J124" s="9"/>
      <c r="K124" s="9"/>
      <c r="L124" s="9"/>
      <c r="M124" s="9"/>
    </row>
    <row r="125" spans="2:13" ht="15.75" customHeight="1">
      <c r="B125" s="114" t="s">
        <v>4590</v>
      </c>
      <c r="C125" s="9">
        <v>625</v>
      </c>
      <c r="D125" s="9" t="s">
        <v>2207</v>
      </c>
      <c r="E125" s="9" t="str">
        <f>IF($B125 = "Mutant",VLOOKUP($C125,Mutants!$A$2:$L$560,12,FALSE),IF($B125 = "Test",VLOOKUP($C125,Tests!$A$2:$L$841,12,FALSE),VLOOKUP($C125,Questions!$A$3:$N$201,9,FALSE)))</f>
        <v>Y</v>
      </c>
      <c r="F125" s="187" t="str">
        <f>IF($B125 = "Mutant",VLOOKUP($C125,Mutants!$A$2:$L$560,11,FALSE),IF($B125 = "Test",VLOOKUP($C125,Tests!$A$2:$L$841,11,FALSE),VLOOKUP($C125,Questions!$A$3:$N$201,13,FALSE)))</f>
        <v xml:space="preserve">add, getField
</v>
      </c>
      <c r="G125" s="187"/>
      <c r="H125" s="202"/>
      <c r="I125" s="9"/>
      <c r="J125" s="9"/>
      <c r="K125" s="9"/>
      <c r="L125" s="9"/>
      <c r="M125" s="9"/>
    </row>
    <row r="126" spans="2:13" ht="15.75" customHeight="1">
      <c r="B126" s="114" t="s">
        <v>4590</v>
      </c>
      <c r="C126" s="9">
        <v>633</v>
      </c>
      <c r="D126" s="9" t="s">
        <v>2234</v>
      </c>
      <c r="E126" s="9" t="str">
        <f>IF($B126 = "Mutant",VLOOKUP($C126,Mutants!$A$2:$L$560,12,FALSE),IF($B126 = "Test",VLOOKUP($C126,Tests!$A$2:$L$841,12,FALSE),VLOOKUP($C126,Questions!$A$3:$N$201,9,FALSE)))</f>
        <v>Y</v>
      </c>
      <c r="F126" s="187" t="str">
        <f>IF($B126 = "Mutant",VLOOKUP($C126,Mutants!$A$2:$L$560,11,FALSE),IF($B126 = "Test",VLOOKUP($C126,Tests!$A$2:$L$841,11,FALSE),VLOOKUP($C126,Questions!$A$3:$N$201,13,FALSE)))</f>
        <v xml:space="preserve">add, removeFields, getField
</v>
      </c>
      <c r="G126" s="187"/>
      <c r="H126" s="202"/>
      <c r="I126" s="9"/>
      <c r="J126" s="9"/>
      <c r="K126" s="9"/>
      <c r="L126" s="9"/>
      <c r="M126" s="9"/>
    </row>
    <row r="127" spans="2:13" ht="15.75" customHeight="1">
      <c r="B127" s="114" t="s">
        <v>4590</v>
      </c>
      <c r="C127" s="9">
        <v>645</v>
      </c>
      <c r="D127" s="9" t="s">
        <v>2272</v>
      </c>
      <c r="E127" s="9" t="str">
        <f>IF($B127 = "Mutant",VLOOKUP($C127,Mutants!$A$2:$L$560,12,FALSE),IF($B127 = "Test",VLOOKUP($C127,Tests!$A$2:$L$841,12,FALSE),VLOOKUP($C127,Questions!$A$3:$N$201,9,FALSE)))</f>
        <v>Y</v>
      </c>
      <c r="F127" s="187" t="str">
        <f>IF($B127 = "Mutant",VLOOKUP($C127,Mutants!$A$2:$L$560,11,FALSE),IF($B127 = "Test",VLOOKUP($C127,Tests!$A$2:$L$841,11,FALSE),VLOOKUP($C127,Questions!$A$3:$N$201,13,FALSE)))</f>
        <v xml:space="preserve">add, toString
</v>
      </c>
      <c r="G127" s="187"/>
      <c r="H127" s="202"/>
      <c r="I127" s="9"/>
      <c r="J127" s="9"/>
      <c r="K127" s="9"/>
      <c r="L127" s="9"/>
      <c r="M127" s="9"/>
    </row>
    <row r="128" spans="2:13" ht="15.75" customHeight="1">
      <c r="B128" s="114" t="s">
        <v>4590</v>
      </c>
      <c r="C128" s="9">
        <v>663</v>
      </c>
      <c r="D128" s="9" t="s">
        <v>2321</v>
      </c>
      <c r="E128" s="9" t="str">
        <f>IF($B128 = "Mutant",VLOOKUP($C128,Mutants!$A$2:$L$560,12,FALSE),IF($B128 = "Test",VLOOKUP($C128,Tests!$A$2:$L$841,12,FALSE),VLOOKUP($C128,Questions!$A$3:$N$201,9,FALSE)))</f>
        <v>Y</v>
      </c>
      <c r="F128" s="187" t="str">
        <f>IF($B128 = "Mutant",VLOOKUP($C128,Mutants!$A$2:$L$560,11,FALSE),IF($B128 = "Test",VLOOKUP($C128,Tests!$A$2:$L$841,11,FALSE),VLOOKUP($C128,Questions!$A$3:$N$201,13,FALSE)))</f>
        <v xml:space="preserve">add, toString
</v>
      </c>
      <c r="G128" s="187"/>
      <c r="H128" s="202"/>
      <c r="I128" s="9"/>
      <c r="J128" s="9"/>
      <c r="K128" s="9"/>
      <c r="L128" s="9"/>
      <c r="M128" s="9"/>
    </row>
    <row r="129" spans="2:13" ht="15.75" customHeight="1">
      <c r="B129" s="114" t="s">
        <v>4590</v>
      </c>
      <c r="C129" s="9">
        <v>667</v>
      </c>
      <c r="D129" s="9" t="s">
        <v>2331</v>
      </c>
      <c r="E129" s="9" t="str">
        <f>IF($B129 = "Mutant",VLOOKUP($C129,Mutants!$A$2:$L$560,12,FALSE),IF($B129 = "Test",VLOOKUP($C129,Tests!$A$2:$L$841,12,FALSE),VLOOKUP($C129,Questions!$A$3:$N$201,9,FALSE)))</f>
        <v>N</v>
      </c>
      <c r="F129" s="187" t="str">
        <f>IF($B129 = "Mutant",VLOOKUP($C129,Mutants!$A$2:$L$560,11,FALSE),IF($B129 = "Test",VLOOKUP($C129,Tests!$A$2:$L$841,11,FALSE),VLOOKUP($C129,Questions!$A$3:$N$201,13,FALSE)))</f>
        <v xml:space="preserve">
</v>
      </c>
      <c r="G129" s="187"/>
      <c r="H129" s="202"/>
      <c r="I129" s="9"/>
      <c r="J129" s="9"/>
      <c r="K129" s="9"/>
      <c r="L129" s="9"/>
      <c r="M129" s="9"/>
    </row>
    <row r="130" spans="2:13" ht="15.75" customHeight="1">
      <c r="B130" s="114" t="s">
        <v>4590</v>
      </c>
      <c r="C130" s="9">
        <v>673</v>
      </c>
      <c r="D130" s="9" t="s">
        <v>2348</v>
      </c>
      <c r="E130" s="9" t="str">
        <f>IF($B130 = "Mutant",VLOOKUP($C130,Mutants!$A$2:$L$560,12,FALSE),IF($B130 = "Test",VLOOKUP($C130,Tests!$A$2:$L$841,12,FALSE),VLOOKUP($C130,Questions!$A$3:$N$201,9,FALSE)))</f>
        <v>Y</v>
      </c>
      <c r="F130" s="187" t="str">
        <f>IF($B130 = "Mutant",VLOOKUP($C130,Mutants!$A$2:$L$560,11,FALSE),IF($B130 = "Test",VLOOKUP($C130,Tests!$A$2:$L$841,11,FALSE),VLOOKUP($C130,Questions!$A$3:$N$201,13,FALSE)))</f>
        <v xml:space="preserve">add, toString
</v>
      </c>
      <c r="G130" s="187"/>
      <c r="H130" s="202"/>
      <c r="I130" s="9"/>
      <c r="J130" s="9"/>
      <c r="K130" s="9"/>
      <c r="L130" s="9"/>
      <c r="M130" s="9"/>
    </row>
    <row r="131" spans="2:13" ht="15.75" customHeight="1">
      <c r="B131" s="114" t="s">
        <v>4590</v>
      </c>
      <c r="C131" s="9">
        <v>683</v>
      </c>
      <c r="D131" s="9" t="s">
        <v>2371</v>
      </c>
      <c r="E131" s="9" t="str">
        <f>IF($B131 = "Mutant",VLOOKUP($C131,Mutants!$A$2:$L$560,12,FALSE),IF($B131 = "Test",VLOOKUP($C131,Tests!$A$2:$L$841,12,FALSE),VLOOKUP($C131,Questions!$A$3:$N$201,9,FALSE)))</f>
        <v>Y</v>
      </c>
      <c r="F131" s="187" t="str">
        <f>IF($B131 = "Mutant",VLOOKUP($C131,Mutants!$A$2:$L$560,11,FALSE),IF($B131 = "Test",VLOOKUP($C131,Tests!$A$2:$L$841,11,FALSE),VLOOKUP($C131,Questions!$A$3:$N$201,13,FALSE)))</f>
        <v xml:space="preserve">add, toString
</v>
      </c>
      <c r="G131" s="187"/>
      <c r="H131" s="202"/>
      <c r="I131" s="9"/>
      <c r="J131" s="9"/>
      <c r="K131" s="9"/>
      <c r="L131" s="9"/>
      <c r="M131" s="9"/>
    </row>
    <row r="132" spans="2:13" ht="15.75" customHeight="1">
      <c r="B132" s="114" t="s">
        <v>4590</v>
      </c>
      <c r="C132" s="9">
        <v>697</v>
      </c>
      <c r="D132" s="9" t="s">
        <v>535</v>
      </c>
      <c r="E132" s="9" t="str">
        <f>IF($B132 = "Mutant",VLOOKUP($C132,Mutants!$A$2:$L$560,12,FALSE),IF($B132 = "Test",VLOOKUP($C132,Tests!$A$2:$L$841,12,FALSE),VLOOKUP($C132,Questions!$A$3:$N$201,9,FALSE)))</f>
        <v>N</v>
      </c>
      <c r="F132" s="187" t="str">
        <f>IF($B132 = "Mutant",VLOOKUP($C132,Mutants!$A$2:$L$560,11,FALSE),IF($B132 = "Test",VLOOKUP($C132,Tests!$A$2:$L$841,11,FALSE),VLOOKUP($C132,Questions!$A$3:$N$201,13,FALSE)))</f>
        <v xml:space="preserve">
</v>
      </c>
      <c r="G132" s="187"/>
      <c r="H132" s="202"/>
      <c r="I132" s="9"/>
      <c r="J132" s="9"/>
      <c r="K132" s="9"/>
      <c r="L132" s="9"/>
      <c r="M132" s="9"/>
    </row>
    <row r="133" spans="2:13" ht="15.75" customHeight="1">
      <c r="B133" s="114" t="s">
        <v>4590</v>
      </c>
      <c r="C133" s="9">
        <v>699</v>
      </c>
      <c r="D133" s="9" t="s">
        <v>2410</v>
      </c>
      <c r="E133" s="9" t="str">
        <f>IF($B133 = "Mutant",VLOOKUP($C133,Mutants!$A$2:$L$560,12,FALSE),IF($B133 = "Test",VLOOKUP($C133,Tests!$A$2:$L$841,12,FALSE),VLOOKUP($C133,Questions!$A$3:$N$201,9,FALSE)))</f>
        <v>Y</v>
      </c>
      <c r="F133" s="187" t="str">
        <f>IF($B133 = "Mutant",VLOOKUP($C133,Mutants!$A$2:$L$560,11,FALSE),IF($B133 = "Test",VLOOKUP($C133,Tests!$A$2:$L$841,11,FALSE),VLOOKUP($C133,Questions!$A$3:$N$201,13,FALSE)))</f>
        <v xml:space="preserve">add, toString
</v>
      </c>
      <c r="G133" s="187"/>
      <c r="H133" s="202"/>
      <c r="I133" s="9"/>
      <c r="J133" s="9"/>
      <c r="K133" s="9"/>
      <c r="L133" s="9"/>
      <c r="M133" s="9"/>
    </row>
    <row r="134" spans="2:13" ht="15.75" customHeight="1">
      <c r="B134" s="114" t="s">
        <v>4590</v>
      </c>
      <c r="C134" s="9">
        <v>706</v>
      </c>
      <c r="D134" s="9" t="s">
        <v>2427</v>
      </c>
      <c r="E134" s="9" t="str">
        <f>IF($B134 = "Mutant",VLOOKUP($C134,Mutants!$A$2:$L$560,12,FALSE),IF($B134 = "Test",VLOOKUP($C134,Tests!$A$2:$L$841,12,FALSE),VLOOKUP($C134,Questions!$A$3:$N$201,9,FALSE)))</f>
        <v>Y</v>
      </c>
      <c r="F134" s="187" t="str">
        <f>IF($B134 = "Mutant",VLOOKUP($C134,Mutants!$A$2:$L$560,11,FALSE),IF($B134 = "Test",VLOOKUP($C134,Tests!$A$2:$L$841,11,FALSE),VLOOKUP($C134,Questions!$A$3:$N$201,13,FALSE)))</f>
        <v xml:space="preserve">add, toString
</v>
      </c>
      <c r="G134" s="187"/>
      <c r="H134" s="202"/>
      <c r="I134" s="9"/>
      <c r="J134" s="9"/>
      <c r="K134" s="9"/>
      <c r="L134" s="9"/>
      <c r="M134" s="9"/>
    </row>
    <row r="135" spans="2:13" ht="15.75" customHeight="1">
      <c r="B135" s="114" t="s">
        <v>4590</v>
      </c>
      <c r="C135" s="9">
        <v>724</v>
      </c>
      <c r="D135" s="9" t="s">
        <v>2476</v>
      </c>
      <c r="E135" s="9" t="str">
        <f>IF($B135 = "Mutant",VLOOKUP($C135,Mutants!$A$2:$L$560,12,FALSE),IF($B135 = "Test",VLOOKUP($C135,Tests!$A$2:$L$841,12,FALSE),VLOOKUP($C135,Questions!$A$3:$N$201,9,FALSE)))</f>
        <v>N</v>
      </c>
      <c r="F135" s="187" t="str">
        <f>IF($B135 = "Mutant",VLOOKUP($C135,Mutants!$A$2:$L$560,11,FALSE),IF($B135 = "Test",VLOOKUP($C135,Tests!$A$2:$L$841,11,FALSE),VLOOKUP($C135,Questions!$A$3:$N$201,13,FALSE)))</f>
        <v xml:space="preserve">
</v>
      </c>
      <c r="G135" s="187"/>
      <c r="H135" s="202"/>
      <c r="I135" s="9"/>
      <c r="J135" s="9"/>
      <c r="K135" s="9"/>
      <c r="L135" s="9"/>
      <c r="M135" s="9"/>
    </row>
    <row r="136" spans="2:13" ht="15.75" customHeight="1">
      <c r="B136" s="114" t="s">
        <v>4590</v>
      </c>
      <c r="C136" s="9">
        <v>727</v>
      </c>
      <c r="D136" s="9" t="s">
        <v>2486</v>
      </c>
      <c r="E136" s="9" t="str">
        <f>IF($B136 = "Mutant",VLOOKUP($C136,Mutants!$A$2:$L$560,12,FALSE),IF($B136 = "Test",VLOOKUP($C136,Tests!$A$2:$L$841,12,FALSE),VLOOKUP($C136,Questions!$A$3:$N$201,9,FALSE)))</f>
        <v>Y</v>
      </c>
      <c r="F136" s="187" t="str">
        <f>IF($B136 = "Mutant",VLOOKUP($C136,Mutants!$A$2:$L$560,11,FALSE),IF($B136 = "Test",VLOOKUP($C136,Tests!$A$2:$L$841,11,FALSE),VLOOKUP($C136,Questions!$A$3:$N$201,13,FALSE)))</f>
        <v xml:space="preserve">add, removeField, getField
</v>
      </c>
      <c r="G136" s="187"/>
      <c r="H136" s="202"/>
      <c r="I136" s="9"/>
      <c r="J136" s="9"/>
      <c r="K136" s="9"/>
      <c r="L136" s="9"/>
      <c r="M136" s="9"/>
    </row>
    <row r="137" spans="2:13" ht="15.75" customHeight="1">
      <c r="B137" s="114" t="s">
        <v>4589</v>
      </c>
      <c r="C137" s="9">
        <v>604</v>
      </c>
      <c r="D137" s="9" t="s">
        <v>2512</v>
      </c>
      <c r="E137" s="9" t="str">
        <f>IF($B137 = "Mutant",VLOOKUP($C137,Mutants!$A$2:$L$560,12,FALSE),IF($B137 = "Test",VLOOKUP($C137,Tests!$A$2:$L$841,12,FALSE),VLOOKUP($C137,Questions!$A$3:$N$201,9,FALSE)))</f>
        <v>Y</v>
      </c>
      <c r="F137" s="187" t="str">
        <f>IF($B137 = "Mutant",VLOOKUP($C137,Mutants!$A$2:$L$560,11,FALSE),IF($B137 = "Test",VLOOKUP($C137,Tests!$A$2:$L$841,11,FALSE),VLOOKUP($C137,Questions!$A$3:$N$201,13,FALSE)))</f>
        <v xml:space="preserve">getFields_1
</v>
      </c>
      <c r="G137" s="187"/>
      <c r="H137" s="202"/>
      <c r="I137" s="9"/>
      <c r="J137" s="9"/>
      <c r="K137" s="9"/>
      <c r="L137" s="9"/>
      <c r="M137" s="9"/>
    </row>
    <row r="138" spans="2:13" ht="15.75" customHeight="1">
      <c r="B138" s="114" t="s">
        <v>4589</v>
      </c>
      <c r="C138" s="9">
        <v>606</v>
      </c>
      <c r="D138" s="9" t="s">
        <v>4453</v>
      </c>
      <c r="E138" s="9" t="str">
        <f>IF($B138 = "Mutant",VLOOKUP($C138,Mutants!$A$2:$L$560,12,FALSE),IF($B138 = "Test",VLOOKUP($C138,Tests!$A$2:$L$841,12,FALSE),VLOOKUP($C138,Questions!$A$3:$N$201,9,FALSE)))</f>
        <v>Y</v>
      </c>
      <c r="F138" s="187" t="str">
        <f>IF($B138 = "Mutant",VLOOKUP($C138,Mutants!$A$2:$L$560,11,FALSE),IF($B138 = "Test",VLOOKUP($C138,Tests!$A$2:$L$841,11,FALSE),VLOOKUP($C138,Questions!$A$3:$N$201,13,FALSE)))</f>
        <v xml:space="preserve">getValues
</v>
      </c>
      <c r="G138" s="187"/>
      <c r="H138" s="202"/>
      <c r="I138" s="9"/>
      <c r="J138" s="9"/>
      <c r="K138" s="9"/>
      <c r="L138" s="9"/>
      <c r="M138" s="9"/>
    </row>
    <row r="139" spans="2:13" ht="15.75" customHeight="1">
      <c r="B139" s="114" t="s">
        <v>4590</v>
      </c>
      <c r="C139" s="9">
        <v>773</v>
      </c>
      <c r="D139" s="9" t="s">
        <v>2613</v>
      </c>
      <c r="E139" s="9" t="str">
        <f>IF($B139 = "Mutant",VLOOKUP($C139,Mutants!$A$2:$L$560,12,FALSE),IF($B139 = "Test",VLOOKUP($C139,Tests!$A$2:$L$841,12,FALSE),VLOOKUP($C139,Questions!$A$3:$N$201,9,FALSE)))</f>
        <v>N</v>
      </c>
      <c r="F139" s="187" t="str">
        <f>IF($B139 = "Mutant",VLOOKUP($C139,Mutants!$A$2:$L$560,11,FALSE),IF($B139 = "Test",VLOOKUP($C139,Tests!$A$2:$L$841,11,FALSE),VLOOKUP($C139,Questions!$A$3:$N$201,13,FALSE)))</f>
        <v xml:space="preserve">
</v>
      </c>
      <c r="G139" s="187"/>
      <c r="H139" s="202"/>
      <c r="I139" s="9"/>
      <c r="J139" s="9"/>
      <c r="K139" s="9"/>
      <c r="L139" s="9"/>
      <c r="M139" s="9"/>
    </row>
    <row r="140" spans="2:13" ht="15.75" customHeight="1">
      <c r="B140" s="114" t="s">
        <v>4590</v>
      </c>
      <c r="C140" s="9">
        <v>777</v>
      </c>
      <c r="D140" s="9" t="s">
        <v>2623</v>
      </c>
      <c r="E140" s="9" t="str">
        <f>IF($B140 = "Mutant",VLOOKUP($C140,Mutants!$A$2:$L$560,12,FALSE),IF($B140 = "Test",VLOOKUP($C140,Tests!$A$2:$L$841,12,FALSE),VLOOKUP($C140,Questions!$A$3:$N$201,9,FALSE)))</f>
        <v>Y</v>
      </c>
      <c r="F140" s="187" t="str">
        <f>IF($B140 = "Mutant",VLOOKUP($C140,Mutants!$A$2:$L$560,11,FALSE),IF($B140 = "Test",VLOOKUP($C140,Tests!$A$2:$L$841,11,FALSE),VLOOKUP($C140,Questions!$A$3:$N$201,13,FALSE)))</f>
        <v xml:space="preserve">add, getBinaryValue
</v>
      </c>
      <c r="G140" s="187"/>
      <c r="H140" s="202"/>
      <c r="I140" s="9"/>
      <c r="J140" s="9"/>
      <c r="K140" s="9"/>
      <c r="L140" s="9"/>
      <c r="M140" s="9"/>
    </row>
    <row r="141" spans="2:13" ht="15.75" customHeight="1">
      <c r="B141" s="114" t="s">
        <v>4590</v>
      </c>
      <c r="C141" s="9">
        <v>788</v>
      </c>
      <c r="D141" s="9" t="s">
        <v>2654</v>
      </c>
      <c r="E141" s="9" t="str">
        <f>IF($B141 = "Mutant",VLOOKUP($C141,Mutants!$A$2:$L$560,12,FALSE),IF($B141 = "Test",VLOOKUP($C141,Tests!$A$2:$L$841,12,FALSE),VLOOKUP($C141,Questions!$A$3:$N$201,9,FALSE)))</f>
        <v>Y</v>
      </c>
      <c r="F141" s="187" t="str">
        <f>IF($B141 = "Mutant",VLOOKUP($C141,Mutants!$A$2:$L$560,11,FALSE),IF($B141 = "Test",VLOOKUP($C141,Tests!$A$2:$L$841,11,FALSE),VLOOKUP($C141,Questions!$A$3:$N$201,13,FALSE)))</f>
        <v xml:space="preserve">add, getBinaryValues
</v>
      </c>
      <c r="G141" s="187"/>
      <c r="H141" s="202"/>
      <c r="I141" s="9"/>
      <c r="J141" s="9"/>
      <c r="K141" s="9"/>
      <c r="L141" s="9"/>
      <c r="M141" s="9"/>
    </row>
    <row r="142" spans="2:13" ht="15.75" customHeight="1">
      <c r="B142" s="114" t="s">
        <v>4590</v>
      </c>
      <c r="C142" s="9">
        <v>799</v>
      </c>
      <c r="D142" s="9" t="s">
        <v>2683</v>
      </c>
      <c r="E142" s="9" t="str">
        <f>IF($B142 = "Mutant",VLOOKUP($C142,Mutants!$A$2:$L$560,12,FALSE),IF($B142 = "Test",VLOOKUP($C142,Tests!$A$2:$L$841,12,FALSE),VLOOKUP($C142,Questions!$A$3:$N$201,9,FALSE)))</f>
        <v>Y</v>
      </c>
      <c r="F142" s="187" t="str">
        <f>IF($B142 = "Mutant",VLOOKUP($C142,Mutants!$A$2:$L$560,11,FALSE),IF($B142 = "Test",VLOOKUP($C142,Tests!$A$2:$L$841,11,FALSE),VLOOKUP($C142,Questions!$A$3:$N$201,13,FALSE)))</f>
        <v xml:space="preserve">add, getFields_1
</v>
      </c>
      <c r="G142" s="187"/>
      <c r="H142" s="202"/>
      <c r="I142" s="9"/>
      <c r="J142" s="9"/>
      <c r="K142" s="9"/>
      <c r="L142" s="9"/>
      <c r="M142" s="9"/>
    </row>
    <row r="143" spans="2:13" ht="15.75" customHeight="1">
      <c r="B143" s="114" t="s">
        <v>4590</v>
      </c>
      <c r="C143" s="9">
        <v>820</v>
      </c>
      <c r="D143" s="9" t="s">
        <v>579</v>
      </c>
      <c r="E143" s="9" t="str">
        <f>IF($B143 = "Mutant",VLOOKUP($C143,Mutants!$A$2:$L$560,12,FALSE),IF($B143 = "Test",VLOOKUP($C143,Tests!$A$2:$L$841,12,FALSE),VLOOKUP($C143,Questions!$A$3:$N$201,9,FALSE)))</f>
        <v>Y</v>
      </c>
      <c r="F143" s="187" t="str">
        <f>IF($B143 = "Mutant",VLOOKUP($C143,Mutants!$A$2:$L$560,11,FALSE),IF($B143 = "Test",VLOOKUP($C143,Tests!$A$2:$L$841,11,FALSE),VLOOKUP($C143,Questions!$A$3:$N$201,13,FALSE)))</f>
        <v xml:space="preserve">add, getValues
</v>
      </c>
      <c r="G143" s="187"/>
      <c r="H143" s="202"/>
      <c r="I143" s="9"/>
      <c r="J143" s="9"/>
      <c r="K143" s="9"/>
      <c r="L143" s="9"/>
      <c r="M143" s="9"/>
    </row>
    <row r="144" spans="2:13" ht="15.75" customHeight="1">
      <c r="B144" s="114" t="s">
        <v>4590</v>
      </c>
      <c r="C144" s="9">
        <v>828</v>
      </c>
      <c r="D144" s="9" t="s">
        <v>2756</v>
      </c>
      <c r="E144" s="9" t="str">
        <f>IF($B144 = "Mutant",VLOOKUP($C144,Mutants!$A$2:$L$560,12,FALSE),IF($B144 = "Test",VLOOKUP($C144,Tests!$A$2:$L$841,12,FALSE),VLOOKUP($C144,Questions!$A$3:$N$201,9,FALSE)))</f>
        <v>Y</v>
      </c>
      <c r="F144" s="187" t="str">
        <f>IF($B144 = "Mutant",VLOOKUP($C144,Mutants!$A$2:$L$560,11,FALSE),IF($B144 = "Test",VLOOKUP($C144,Tests!$A$2:$L$841,11,FALSE),VLOOKUP($C144,Questions!$A$3:$N$201,13,FALSE)))</f>
        <v xml:space="preserve">add, getValues
</v>
      </c>
      <c r="G144" s="187"/>
      <c r="H144" s="202"/>
      <c r="I144" s="9"/>
      <c r="J144" s="9"/>
      <c r="K144" s="9"/>
      <c r="L144" s="9"/>
      <c r="M144" s="9"/>
    </row>
    <row r="145" spans="2:14" ht="15.75" customHeight="1">
      <c r="B145" s="114" t="s">
        <v>4590</v>
      </c>
      <c r="C145" s="9">
        <v>846</v>
      </c>
      <c r="D145" s="9" t="s">
        <v>2803</v>
      </c>
      <c r="E145" s="9" t="str">
        <f>IF($B145 = "Mutant",VLOOKUP($C145,Mutants!$A$2:$L$560,12,FALSE),IF($B145 = "Test",VLOOKUP($C145,Tests!$A$2:$L$841,12,FALSE),VLOOKUP($C145,Questions!$A$3:$N$201,9,FALSE)))</f>
        <v>Y</v>
      </c>
      <c r="F145" s="187" t="str">
        <f>IF($B145 = "Mutant",VLOOKUP($C145,Mutants!$A$2:$L$560,11,FALSE),IF($B145 = "Test",VLOOKUP($C145,Tests!$A$2:$L$841,11,FALSE),VLOOKUP($C145,Questions!$A$3:$N$201,13,FALSE)))</f>
        <v xml:space="preserve">add, removeField, getValues
</v>
      </c>
      <c r="G145" s="187"/>
      <c r="H145" s="202"/>
      <c r="I145" s="9"/>
      <c r="J145" s="9"/>
      <c r="K145" s="9"/>
      <c r="L145" s="9"/>
      <c r="M145" s="9"/>
    </row>
    <row r="146" spans="2:14" ht="15.75" customHeight="1">
      <c r="B146" s="114" t="s">
        <v>4590</v>
      </c>
      <c r="C146" s="9">
        <v>854</v>
      </c>
      <c r="D146" s="9" t="s">
        <v>555</v>
      </c>
      <c r="E146" s="9" t="str">
        <f>IF($B146 = "Mutant",VLOOKUP($C146,Mutants!$A$2:$L$560,12,FALSE),IF($B146 = "Test",VLOOKUP($C146,Tests!$A$2:$L$841,12,FALSE),VLOOKUP($C146,Questions!$A$3:$N$201,9,FALSE)))</f>
        <v>Y</v>
      </c>
      <c r="F146" s="187" t="str">
        <f>IF($B146 = "Mutant",VLOOKUP($C146,Mutants!$A$2:$L$560,11,FALSE),IF($B146 = "Test",VLOOKUP($C146,Tests!$A$2:$L$841,11,FALSE),VLOOKUP($C146,Questions!$A$3:$N$201,13,FALSE)))</f>
        <v xml:space="preserve">getValues
</v>
      </c>
      <c r="G146" s="187"/>
      <c r="H146" s="202"/>
      <c r="I146" s="9"/>
      <c r="J146" s="9"/>
      <c r="K146" s="9"/>
      <c r="L146" s="9"/>
      <c r="M146" s="9"/>
    </row>
    <row r="147" spans="2:14" ht="15.75" customHeight="1">
      <c r="B147" s="114" t="s">
        <v>4590</v>
      </c>
      <c r="C147" s="9">
        <v>863</v>
      </c>
      <c r="D147" s="9" t="s">
        <v>2858</v>
      </c>
      <c r="E147" s="9" t="str">
        <f>IF($B147 = "Mutant",VLOOKUP($C147,Mutants!$A$2:$L$560,12,FALSE),IF($B147 = "Test",VLOOKUP($C147,Tests!$A$2:$L$841,12,FALSE),VLOOKUP($C147,Questions!$A$3:$N$201,9,FALSE)))</f>
        <v>N</v>
      </c>
      <c r="F147" s="187" t="str">
        <f>IF($B147 = "Mutant",VLOOKUP($C147,Mutants!$A$2:$L$560,11,FALSE),IF($B147 = "Test",VLOOKUP($C147,Tests!$A$2:$L$841,11,FALSE),VLOOKUP($C147,Questions!$A$3:$N$201,13,FALSE)))</f>
        <v xml:space="preserve">
</v>
      </c>
      <c r="G147" s="187"/>
      <c r="H147" s="202"/>
      <c r="I147" s="9"/>
      <c r="J147" s="9"/>
      <c r="K147" s="9"/>
      <c r="L147" s="9"/>
      <c r="M147" s="9"/>
    </row>
    <row r="148" spans="2:14" ht="15.75" customHeight="1">
      <c r="B148" s="114" t="s">
        <v>107</v>
      </c>
      <c r="C148" s="9">
        <v>191</v>
      </c>
      <c r="D148" s="9" t="s">
        <v>606</v>
      </c>
      <c r="E148" s="9" t="str">
        <f>IF($B148 = "Mutant",VLOOKUP($C148,Mutants!$A$2:$L$560,12,FALSE),IF($B148 = "Test",VLOOKUP($C148,Tests!$A$2:$L$841,12,FALSE),VLOOKUP($C148,Questions!$A$3:$N$201,9,FALSE)))</f>
        <v>Y</v>
      </c>
      <c r="F148" s="187" t="str">
        <f>IF($B148 = "Mutant",VLOOKUP($C148,Mutants!$A$2:$L$560,11,FALSE),IF($B148 = "Test",VLOOKUP($C148,Tests!$A$2:$L$841,11,FALSE),VLOOKUP($C148,Questions!$A$3:$N$201,13,FALSE)))</f>
        <v xml:space="preserve">getBinaryValue
</v>
      </c>
      <c r="G148" s="187"/>
      <c r="H148" s="202"/>
      <c r="I148" s="9"/>
      <c r="J148" s="9"/>
      <c r="K148" s="9"/>
      <c r="L148" s="9"/>
      <c r="M148" s="9"/>
      <c r="N148" s="9"/>
    </row>
    <row r="149" spans="2:14" ht="15.75" customHeight="1">
      <c r="B149" s="114" t="s">
        <v>107</v>
      </c>
      <c r="C149" s="9">
        <v>195</v>
      </c>
      <c r="D149" s="9" t="s">
        <v>441</v>
      </c>
      <c r="E149" s="9" t="str">
        <f>IF($B149 = "Mutant",VLOOKUP($C149,Mutants!$A$2:$L$560,12,FALSE),IF($B149 = "Test",VLOOKUP($C149,Tests!$A$2:$L$841,12,FALSE),VLOOKUP($C149,Questions!$A$3:$N$201,9,FALSE)))</f>
        <v>Y</v>
      </c>
      <c r="F149" s="187" t="str">
        <f>IF($B149 = "Mutant",VLOOKUP($C149,Mutants!$A$2:$L$560,11,FALSE),IF($B149 = "Test",VLOOKUP($C149,Tests!$A$2:$L$841,11,FALSE),VLOOKUP($C149,Questions!$A$3:$N$201,13,FALSE)))</f>
        <v xml:space="preserve">removeField
</v>
      </c>
      <c r="G149" s="187"/>
      <c r="H149" s="202"/>
      <c r="I149" s="9"/>
      <c r="J149" s="9"/>
      <c r="K149" s="9"/>
      <c r="L149" s="9"/>
      <c r="M149" s="9"/>
      <c r="N149" s="9"/>
    </row>
    <row r="150" spans="2:14" ht="15.75" customHeight="1">
      <c r="B150" s="114" t="s">
        <v>4590</v>
      </c>
      <c r="C150" s="9">
        <v>908</v>
      </c>
      <c r="D150" s="9" t="s">
        <v>2997</v>
      </c>
      <c r="E150" s="9" t="str">
        <f>IF($B150 = "Mutant",VLOOKUP($C150,Mutants!$A$2:$L$560,12,FALSE),IF($B150 = "Test",VLOOKUP($C150,Tests!$A$2:$L$841,12,FALSE),VLOOKUP($C150,Questions!$A$3:$N$201,9,FALSE)))</f>
        <v>N</v>
      </c>
      <c r="F150" s="187" t="str">
        <f>IF($B150 = "Mutant",VLOOKUP($C150,Mutants!$A$2:$L$560,11,FALSE),IF($B150 = "Test",VLOOKUP($C150,Tests!$A$2:$L$841,11,FALSE),VLOOKUP($C150,Questions!$A$3:$N$201,13,FALSE)))</f>
        <v xml:space="preserve">
</v>
      </c>
      <c r="G150" s="187"/>
      <c r="H150" s="202"/>
      <c r="I150" s="9"/>
      <c r="J150" s="9"/>
      <c r="K150" s="9"/>
      <c r="L150" s="9"/>
      <c r="M150" s="9"/>
    </row>
    <row r="151" spans="2:14" ht="15.75" customHeight="1">
      <c r="B151" s="114" t="s">
        <v>4590</v>
      </c>
      <c r="C151" s="9">
        <v>913</v>
      </c>
      <c r="D151" s="9" t="s">
        <v>3009</v>
      </c>
      <c r="E151" s="9" t="str">
        <f>IF($B151 = "Mutant",VLOOKUP($C151,Mutants!$A$2:$L$560,12,FALSE),IF($B151 = "Test",VLOOKUP($C151,Tests!$A$2:$L$841,12,FALSE),VLOOKUP($C151,Questions!$A$3:$N$201,9,FALSE)))</f>
        <v>Y</v>
      </c>
      <c r="F151" s="187" t="str">
        <f>IF($B151 = "Mutant",VLOOKUP($C151,Mutants!$A$2:$L$560,11,FALSE),IF($B151 = "Test",VLOOKUP($C151,Tests!$A$2:$L$841,11,FALSE),VLOOKUP($C151,Questions!$A$3:$N$201,13,FALSE)))</f>
        <v xml:space="preserve">getValues
</v>
      </c>
      <c r="G151" s="187"/>
      <c r="H151" s="202"/>
      <c r="I151" s="9"/>
      <c r="J151" s="9"/>
      <c r="K151" s="9"/>
      <c r="L151" s="9"/>
      <c r="M151" s="9"/>
    </row>
    <row r="152" spans="2:14" ht="15.75" customHeight="1">
      <c r="B152" s="133" t="s">
        <v>107</v>
      </c>
      <c r="C152" s="130">
        <v>204</v>
      </c>
      <c r="D152" s="130" t="s">
        <v>611</v>
      </c>
      <c r="E152" s="130" t="str">
        <f>IF($B152 = "Mutant",VLOOKUP($C152,Mutants!$A$2:$L$560,12,FALSE),IF($B152 = "Test",VLOOKUP($C152,Tests!$A$2:$L$841,12,FALSE),VLOOKUP($C152,Questions!$A$3:$N$201,9,FALSE)))</f>
        <v>Y</v>
      </c>
      <c r="F152" s="203" t="str">
        <f>IF($B152 = "Mutant",VLOOKUP($C152,Mutants!$A$2:$L$560,11,FALSE),IF($B152 = "Test",VLOOKUP($C152,Tests!$A$2:$L$841,11,FALSE),VLOOKUP($C152,Questions!$A$3:$N$201,13,FALSE)))</f>
        <v xml:space="preserve">getFields_1
</v>
      </c>
      <c r="G152" s="203"/>
      <c r="H152" s="204"/>
      <c r="I152" s="9"/>
      <c r="J152" s="9"/>
      <c r="K152" s="9"/>
      <c r="L152" s="9"/>
      <c r="M152" s="9"/>
      <c r="N152" s="9"/>
    </row>
  </sheetData>
  <mergeCells count="124">
    <mergeCell ref="B12:C12"/>
    <mergeCell ref="B5:C5"/>
    <mergeCell ref="B6:C6"/>
    <mergeCell ref="B7:C7"/>
    <mergeCell ref="B8:C8"/>
    <mergeCell ref="B9:C9"/>
    <mergeCell ref="B116:C116"/>
    <mergeCell ref="B92:C92"/>
    <mergeCell ref="B62:C62"/>
    <mergeCell ref="B38:C38"/>
    <mergeCell ref="F39:H39"/>
    <mergeCell ref="F63:H63"/>
    <mergeCell ref="F93:H93"/>
    <mergeCell ref="F55:H55"/>
    <mergeCell ref="F56:H56"/>
    <mergeCell ref="F57:H57"/>
    <mergeCell ref="F58:H58"/>
    <mergeCell ref="F59:H59"/>
    <mergeCell ref="F60:H60"/>
    <mergeCell ref="F61:H61"/>
    <mergeCell ref="F62:H62"/>
    <mergeCell ref="F64:H64"/>
    <mergeCell ref="F65:H65"/>
    <mergeCell ref="F66:H66"/>
    <mergeCell ref="F67:H67"/>
    <mergeCell ref="F68:H68"/>
    <mergeCell ref="F69:H69"/>
    <mergeCell ref="F117:H117"/>
    <mergeCell ref="F40:H40"/>
    <mergeCell ref="F41:H41"/>
    <mergeCell ref="F42:H42"/>
    <mergeCell ref="F43:H43"/>
    <mergeCell ref="F44:H44"/>
    <mergeCell ref="F45:H45"/>
    <mergeCell ref="F46:H46"/>
    <mergeCell ref="F47:H47"/>
    <mergeCell ref="F48:H48"/>
    <mergeCell ref="F49:H49"/>
    <mergeCell ref="F50:H50"/>
    <mergeCell ref="F51:H51"/>
    <mergeCell ref="F52:H52"/>
    <mergeCell ref="F53:H53"/>
    <mergeCell ref="F54:H54"/>
    <mergeCell ref="F75:H75"/>
    <mergeCell ref="F76:H76"/>
    <mergeCell ref="F77:H77"/>
    <mergeCell ref="F78:H78"/>
    <mergeCell ref="F79:H79"/>
    <mergeCell ref="F70:H70"/>
    <mergeCell ref="F71:H71"/>
    <mergeCell ref="F72:H72"/>
    <mergeCell ref="F73:H73"/>
    <mergeCell ref="F74:H74"/>
    <mergeCell ref="F85:H85"/>
    <mergeCell ref="F86:H86"/>
    <mergeCell ref="F87:H87"/>
    <mergeCell ref="F88:H88"/>
    <mergeCell ref="F89:H89"/>
    <mergeCell ref="F80:H80"/>
    <mergeCell ref="F81:H81"/>
    <mergeCell ref="F82:H82"/>
    <mergeCell ref="F83:H83"/>
    <mergeCell ref="F84:H84"/>
    <mergeCell ref="F96:H96"/>
    <mergeCell ref="F97:H97"/>
    <mergeCell ref="F98:H98"/>
    <mergeCell ref="F99:H99"/>
    <mergeCell ref="F100:H100"/>
    <mergeCell ref="F90:H90"/>
    <mergeCell ref="F91:H91"/>
    <mergeCell ref="F92:H92"/>
    <mergeCell ref="F94:H94"/>
    <mergeCell ref="F95:H95"/>
    <mergeCell ref="F106:H106"/>
    <mergeCell ref="F107:H107"/>
    <mergeCell ref="F108:H108"/>
    <mergeCell ref="F109:H109"/>
    <mergeCell ref="F110:H110"/>
    <mergeCell ref="F101:H101"/>
    <mergeCell ref="F102:H102"/>
    <mergeCell ref="F103:H103"/>
    <mergeCell ref="F104:H104"/>
    <mergeCell ref="F105:H105"/>
    <mergeCell ref="F116:H116"/>
    <mergeCell ref="F118:H118"/>
    <mergeCell ref="F119:H119"/>
    <mergeCell ref="F120:H120"/>
    <mergeCell ref="F121:H121"/>
    <mergeCell ref="F111:H111"/>
    <mergeCell ref="F112:H112"/>
    <mergeCell ref="F113:H113"/>
    <mergeCell ref="F114:H114"/>
    <mergeCell ref="F115:H115"/>
    <mergeCell ref="F127:H127"/>
    <mergeCell ref="F128:H128"/>
    <mergeCell ref="F129:H129"/>
    <mergeCell ref="F130:H130"/>
    <mergeCell ref="F131:H131"/>
    <mergeCell ref="F122:H122"/>
    <mergeCell ref="F123:H123"/>
    <mergeCell ref="F124:H124"/>
    <mergeCell ref="F125:H125"/>
    <mergeCell ref="F126:H126"/>
    <mergeCell ref="F137:H137"/>
    <mergeCell ref="F138:H138"/>
    <mergeCell ref="F139:H139"/>
    <mergeCell ref="F140:H140"/>
    <mergeCell ref="F141:H141"/>
    <mergeCell ref="F132:H132"/>
    <mergeCell ref="F133:H133"/>
    <mergeCell ref="F134:H134"/>
    <mergeCell ref="F135:H135"/>
    <mergeCell ref="F136:H136"/>
    <mergeCell ref="F152:H152"/>
    <mergeCell ref="F147:H147"/>
    <mergeCell ref="F148:H148"/>
    <mergeCell ref="F149:H149"/>
    <mergeCell ref="F150:H150"/>
    <mergeCell ref="F151:H151"/>
    <mergeCell ref="F142:H142"/>
    <mergeCell ref="F143:H143"/>
    <mergeCell ref="F144:H144"/>
    <mergeCell ref="F145:H145"/>
    <mergeCell ref="F146:H146"/>
  </mergeCells>
  <conditionalFormatting sqref="A38:B38">
    <cfRule type="cellIs" dxfId="59" priority="13" operator="equal">
      <formula>"NO_KILL"</formula>
    </cfRule>
    <cfRule type="cellIs" dxfId="58" priority="14" operator="equal">
      <formula>"KILL"</formula>
    </cfRule>
    <cfRule type="cellIs" dxfId="57" priority="15" operator="equal">
      <formula>"ERROR"</formula>
    </cfRule>
  </conditionalFormatting>
  <conditionalFormatting sqref="A62:B62">
    <cfRule type="cellIs" dxfId="56" priority="19" operator="equal">
      <formula>"NO_KILL"</formula>
    </cfRule>
    <cfRule type="cellIs" dxfId="55" priority="20" operator="equal">
      <formula>"KILL"</formula>
    </cfRule>
    <cfRule type="cellIs" dxfId="54" priority="21" operator="equal">
      <formula>"ERROR"</formula>
    </cfRule>
  </conditionalFormatting>
  <conditionalFormatting sqref="A92:B92">
    <cfRule type="cellIs" dxfId="53" priority="26" operator="equal">
      <formula>"KILL"</formula>
    </cfRule>
    <cfRule type="cellIs" dxfId="52" priority="27" operator="equal">
      <formula>"ERROR"</formula>
    </cfRule>
    <cfRule type="cellIs" dxfId="51" priority="25" operator="equal">
      <formula>"NO_KILL"</formula>
    </cfRule>
  </conditionalFormatting>
  <conditionalFormatting sqref="A116:B116">
    <cfRule type="cellIs" dxfId="50" priority="31" operator="equal">
      <formula>"NO_KILL"</formula>
    </cfRule>
    <cfRule type="cellIs" dxfId="49" priority="32" operator="equal">
      <formula>"KILL"</formula>
    </cfRule>
    <cfRule type="cellIs" dxfId="48" priority="33" operator="equal">
      <formula>"ERROR"</formula>
    </cfRule>
  </conditionalFormatting>
  <conditionalFormatting sqref="A39:F61">
    <cfRule type="cellIs" dxfId="47" priority="11" operator="equal">
      <formula>"KILL"</formula>
    </cfRule>
    <cfRule type="cellIs" dxfId="46" priority="10" operator="equal">
      <formula>"NO_KILL"</formula>
    </cfRule>
    <cfRule type="cellIs" dxfId="45" priority="12" operator="equal">
      <formula>"ERROR"</formula>
    </cfRule>
  </conditionalFormatting>
  <conditionalFormatting sqref="A63:F91">
    <cfRule type="cellIs" dxfId="44" priority="7" operator="equal">
      <formula>"NO_KILL"</formula>
    </cfRule>
    <cfRule type="cellIs" dxfId="43" priority="8" operator="equal">
      <formula>"KILL"</formula>
    </cfRule>
    <cfRule type="cellIs" dxfId="42" priority="9" operator="equal">
      <formula>"ERROR"</formula>
    </cfRule>
  </conditionalFormatting>
  <conditionalFormatting sqref="A93:F115">
    <cfRule type="cellIs" dxfId="41" priority="4" operator="equal">
      <formula>"NO_KILL"</formula>
    </cfRule>
    <cfRule type="cellIs" dxfId="40" priority="5" operator="equal">
      <formula>"KILL"</formula>
    </cfRule>
    <cfRule type="cellIs" dxfId="39" priority="6" operator="equal">
      <formula>"ERROR"</formula>
    </cfRule>
  </conditionalFormatting>
  <conditionalFormatting sqref="A117:F152">
    <cfRule type="cellIs" dxfId="38" priority="2" operator="equal">
      <formula>"KILL"</formula>
    </cfRule>
    <cfRule type="cellIs" dxfId="37" priority="3" operator="equal">
      <formula>"ERROR"</formula>
    </cfRule>
    <cfRule type="cellIs" dxfId="36" priority="1" operator="equal">
      <formula>"NO_KILL"</formula>
    </cfRule>
  </conditionalFormatting>
  <conditionalFormatting sqref="A1:Z4 A5:B9 D5:Z9 A10:Z37 D38:Z38 I39:Z152 D62:F62 D92:F92 D116:F116 A153:Z1094">
    <cfRule type="cellIs" dxfId="35" priority="37" operator="equal">
      <formula>"NO_KILL"</formula>
    </cfRule>
    <cfRule type="cellIs" dxfId="34" priority="38" operator="equal">
      <formula>"KILL"</formula>
    </cfRule>
    <cfRule type="cellIs" dxfId="33" priority="39" operator="equal">
      <formula>"ERROR"</formula>
    </cfRule>
  </conditionalFormatting>
  <conditionalFormatting sqref="B36:B1094">
    <cfRule type="cellIs" dxfId="32" priority="18" operator="equal">
      <formula>"Question"</formula>
    </cfRule>
    <cfRule type="cellIs" dxfId="31" priority="17" operator="equal">
      <formula>"Mutant"</formula>
    </cfRule>
    <cfRule type="cellIs" dxfId="30" priority="16" operator="equal">
      <formula>"Test"</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B2:P186"/>
  <sheetViews>
    <sheetView topLeftCell="A46" workbookViewId="0">
      <selection activeCell="J82" sqref="J82"/>
    </sheetView>
  </sheetViews>
  <sheetFormatPr defaultColWidth="12.5703125" defaultRowHeight="15.75" customHeight="1"/>
  <cols>
    <col min="4" max="4" width="18.140625" bestFit="1" customWidth="1"/>
    <col min="6" max="6" width="24.42578125" customWidth="1"/>
    <col min="14" max="14" width="13.42578125" customWidth="1"/>
  </cols>
  <sheetData>
    <row r="2" spans="2:14" ht="12.75">
      <c r="B2" s="29" t="s">
        <v>4</v>
      </c>
      <c r="C2" s="29" t="s">
        <v>45</v>
      </c>
      <c r="D2" s="29" t="s">
        <v>46</v>
      </c>
    </row>
    <row r="3" spans="2:14" ht="12.75">
      <c r="B3" s="29">
        <v>126</v>
      </c>
      <c r="C3" s="29" t="s">
        <v>60</v>
      </c>
      <c r="D3" s="127" t="s">
        <v>18</v>
      </c>
    </row>
    <row r="5" spans="2:14" ht="12.75">
      <c r="B5" s="221" t="s">
        <v>3</v>
      </c>
      <c r="C5" s="222"/>
      <c r="D5" s="44" t="s">
        <v>5</v>
      </c>
      <c r="E5" s="43" t="s">
        <v>6</v>
      </c>
      <c r="F5" s="43" t="s">
        <v>7</v>
      </c>
      <c r="G5" s="43" t="s">
        <v>8</v>
      </c>
      <c r="H5" s="44" t="s">
        <v>9</v>
      </c>
      <c r="I5" s="43" t="s">
        <v>10</v>
      </c>
      <c r="J5" s="43" t="s">
        <v>11</v>
      </c>
      <c r="K5" s="44" t="s">
        <v>12</v>
      </c>
      <c r="L5" s="43" t="s">
        <v>13</v>
      </c>
      <c r="M5" s="43" t="s">
        <v>14</v>
      </c>
      <c r="N5" s="61" t="s">
        <v>15</v>
      </c>
    </row>
    <row r="6" spans="2:14" ht="12.75">
      <c r="B6" s="223">
        <v>244</v>
      </c>
      <c r="C6" s="224"/>
      <c r="D6" s="47">
        <f ca="1">COUNTIF(Valid_questions!F$1:F1128, B6)</f>
        <v>12</v>
      </c>
      <c r="E6" s="40">
        <v>0</v>
      </c>
      <c r="F6" s="40">
        <v>8</v>
      </c>
      <c r="G6" s="40">
        <v>0</v>
      </c>
      <c r="H6" s="47">
        <v>8</v>
      </c>
      <c r="I6" s="40">
        <f>COUNTIFS(Tests!E$1:E1128,B6,Tests!D$1:D1128,"&lt;&gt;\N")</f>
        <v>8</v>
      </c>
      <c r="J6" s="40">
        <f>COUNTIFS(Tests!E$1:E1128,B6,Tests!D$1:D1128,"=\N")</f>
        <v>3</v>
      </c>
      <c r="K6" s="47">
        <v>4</v>
      </c>
      <c r="L6" s="40">
        <f>COUNTIFS(Mutants!E$1:E1128,B6,Mutants!D$1:D1128,"&lt;&gt;\N")</f>
        <v>2</v>
      </c>
      <c r="M6" s="40">
        <f>COUNTIFS(Mutants!E$1:E1128,B6,Mutants!D$1:D1128,"=\N")</f>
        <v>0</v>
      </c>
      <c r="N6" s="45">
        <v>1</v>
      </c>
    </row>
    <row r="7" spans="2:14" ht="12.75">
      <c r="B7" s="225">
        <v>245</v>
      </c>
      <c r="C7" s="226"/>
      <c r="D7" s="10">
        <f ca="1">COUNTIF(Valid_questions!F$1:F1128, B7)</f>
        <v>4</v>
      </c>
      <c r="E7" s="9">
        <v>1</v>
      </c>
      <c r="F7" s="9">
        <v>4</v>
      </c>
      <c r="G7" s="9">
        <v>0</v>
      </c>
      <c r="H7" s="10">
        <v>5</v>
      </c>
      <c r="I7" s="9">
        <f>COUNTIFS(Tests!E$1:E1128,B7,Tests!D$1:D1128,"&lt;&gt;\N")</f>
        <v>2</v>
      </c>
      <c r="J7" s="9">
        <f>COUNTIFS(Tests!E$1:E1128,B7,Tests!D$1:D1128,"=\N")</f>
        <v>2</v>
      </c>
      <c r="K7" s="10">
        <v>2</v>
      </c>
      <c r="L7" s="9">
        <f>COUNTIFS(Mutants!E$1:E1128,B7,Mutants!D$1:D1128,"&lt;&gt;\N")</f>
        <v>10</v>
      </c>
      <c r="M7" s="9">
        <f>COUNTIFS(Mutants!E$1:E1128,B7,Mutants!D$1:D1128,"=\N")</f>
        <v>0</v>
      </c>
      <c r="N7" s="14">
        <v>9</v>
      </c>
    </row>
    <row r="8" spans="2:14" ht="12.75">
      <c r="B8" s="225">
        <v>246</v>
      </c>
      <c r="C8" s="226"/>
      <c r="D8" s="10">
        <f ca="1">COUNTIF(Valid_questions!F$1:F1128, B8)</f>
        <v>5</v>
      </c>
      <c r="E8" s="9">
        <v>1</v>
      </c>
      <c r="F8" s="9">
        <v>0</v>
      </c>
      <c r="G8" s="9">
        <v>0</v>
      </c>
      <c r="H8" s="10">
        <v>1</v>
      </c>
      <c r="I8" s="9">
        <f>COUNTIFS(Tests!E$1:E1128,B8,Tests!D$1:D1128,"&lt;&gt;\N")</f>
        <v>0</v>
      </c>
      <c r="J8" s="9">
        <f>COUNTIFS(Tests!E$1:E1128,B8,Tests!D$1:D1128,"=\N")</f>
        <v>5</v>
      </c>
      <c r="K8" s="10">
        <v>0</v>
      </c>
      <c r="L8" s="9">
        <f>COUNTIFS(Mutants!E$1:E1128,B8,Mutants!D$1:D1128,"&lt;&gt;\N")</f>
        <v>15</v>
      </c>
      <c r="M8" s="9">
        <f>COUNTIFS(Mutants!E$1:E1128,B8,Mutants!D$1:D1128,"=\N")</f>
        <v>1</v>
      </c>
      <c r="N8" s="14">
        <v>11</v>
      </c>
    </row>
    <row r="9" spans="2:14" ht="12.75">
      <c r="B9" s="227">
        <v>247</v>
      </c>
      <c r="C9" s="228"/>
      <c r="D9" s="22">
        <f ca="1">COUNTIF(Valid_questions!F$1:F1128, B9)</f>
        <v>3</v>
      </c>
      <c r="E9" s="21">
        <v>2</v>
      </c>
      <c r="F9" s="21">
        <v>5</v>
      </c>
      <c r="G9" s="21">
        <v>0</v>
      </c>
      <c r="H9" s="22">
        <v>7</v>
      </c>
      <c r="I9" s="21">
        <f>COUNTIFS(Tests!E$1:E1128,B9,Tests!D$1:D1128,"&lt;&gt;\N")</f>
        <v>9</v>
      </c>
      <c r="J9" s="21">
        <f>COUNTIFS(Tests!E$1:E1128,B9,Tests!D$1:D1128,"=\N")</f>
        <v>9</v>
      </c>
      <c r="K9" s="22">
        <v>4</v>
      </c>
      <c r="L9" s="21">
        <f>COUNTIFS(Mutants!E$1:E1128,B9,Mutants!D$1:D1128,"&lt;&gt;\N")</f>
        <v>16</v>
      </c>
      <c r="M9" s="21">
        <f>COUNTIFS(Mutants!E$1:E1128,B9,Mutants!D$1:D1128,"=\N")</f>
        <v>3</v>
      </c>
      <c r="N9" s="38">
        <v>10</v>
      </c>
    </row>
    <row r="12" spans="2:14" ht="27" customHeight="1">
      <c r="B12" s="220" t="s">
        <v>4588</v>
      </c>
      <c r="C12" s="173"/>
    </row>
    <row r="14" spans="2:14" ht="12.75">
      <c r="C14" s="29" t="s">
        <v>4589</v>
      </c>
    </row>
    <row r="15" spans="2:14" ht="12.75">
      <c r="B15" s="29" t="s">
        <v>4590</v>
      </c>
      <c r="C15" s="29"/>
      <c r="D15" s="43">
        <v>650</v>
      </c>
      <c r="E15" s="43">
        <v>688</v>
      </c>
      <c r="F15" s="43">
        <v>722</v>
      </c>
      <c r="G15" s="43">
        <v>737</v>
      </c>
      <c r="H15" s="43">
        <v>746</v>
      </c>
      <c r="I15" s="43">
        <v>807</v>
      </c>
      <c r="J15" s="43">
        <v>830</v>
      </c>
      <c r="K15" s="43">
        <v>837</v>
      </c>
      <c r="L15" s="43">
        <v>847</v>
      </c>
      <c r="M15" s="43">
        <v>848</v>
      </c>
      <c r="N15" s="61">
        <v>934</v>
      </c>
    </row>
    <row r="16" spans="2:14" ht="12.75">
      <c r="B16" s="9"/>
      <c r="C16" s="81">
        <v>369</v>
      </c>
      <c r="D16" s="9" t="s">
        <v>4591</v>
      </c>
      <c r="E16" s="9" t="s">
        <v>4591</v>
      </c>
      <c r="F16" s="9" t="s">
        <v>4591</v>
      </c>
      <c r="G16" s="9" t="s">
        <v>4592</v>
      </c>
      <c r="H16" s="9" t="s">
        <v>4591</v>
      </c>
      <c r="I16" s="9" t="s">
        <v>4591</v>
      </c>
      <c r="J16" s="9" t="s">
        <v>4591</v>
      </c>
      <c r="K16" s="9" t="s">
        <v>4592</v>
      </c>
      <c r="L16" s="9" t="s">
        <v>4591</v>
      </c>
      <c r="M16" s="9" t="s">
        <v>4591</v>
      </c>
      <c r="N16" s="14" t="s">
        <v>4591</v>
      </c>
    </row>
    <row r="17" spans="2:14" ht="12.75">
      <c r="B17" s="9"/>
      <c r="C17" s="81">
        <v>380</v>
      </c>
      <c r="D17" s="9" t="s">
        <v>4591</v>
      </c>
      <c r="E17" s="9" t="s">
        <v>4591</v>
      </c>
      <c r="F17" s="9" t="s">
        <v>4591</v>
      </c>
      <c r="G17" s="9" t="s">
        <v>4591</v>
      </c>
      <c r="H17" s="9" t="s">
        <v>4591</v>
      </c>
      <c r="I17" s="9" t="s">
        <v>4591</v>
      </c>
      <c r="J17" s="9" t="s">
        <v>4591</v>
      </c>
      <c r="K17" s="9" t="s">
        <v>4591</v>
      </c>
      <c r="L17" s="9" t="s">
        <v>4591</v>
      </c>
      <c r="M17" s="9" t="s">
        <v>4591</v>
      </c>
      <c r="N17" s="14" t="s">
        <v>4591</v>
      </c>
    </row>
    <row r="18" spans="2:14" ht="12.75">
      <c r="B18" s="9"/>
      <c r="C18" s="81">
        <v>381</v>
      </c>
      <c r="D18" s="9" t="s">
        <v>4591</v>
      </c>
      <c r="E18" s="9" t="s">
        <v>4591</v>
      </c>
      <c r="F18" s="9" t="s">
        <v>4591</v>
      </c>
      <c r="G18" s="9" t="s">
        <v>4593</v>
      </c>
      <c r="H18" s="9" t="s">
        <v>4591</v>
      </c>
      <c r="I18" s="9" t="s">
        <v>4591</v>
      </c>
      <c r="J18" s="9" t="s">
        <v>4591</v>
      </c>
      <c r="K18" s="9" t="s">
        <v>4593</v>
      </c>
      <c r="L18" s="9" t="s">
        <v>4591</v>
      </c>
      <c r="M18" s="9" t="s">
        <v>4591</v>
      </c>
      <c r="N18" s="14" t="s">
        <v>4591</v>
      </c>
    </row>
    <row r="19" spans="2:14" ht="12.75">
      <c r="B19" s="9"/>
      <c r="C19" s="81">
        <v>390</v>
      </c>
      <c r="D19" s="9" t="s">
        <v>4591</v>
      </c>
      <c r="E19" s="9" t="s">
        <v>4591</v>
      </c>
      <c r="F19" s="9" t="s">
        <v>4591</v>
      </c>
      <c r="G19" s="9" t="s">
        <v>4591</v>
      </c>
      <c r="H19" s="9" t="s">
        <v>4591</v>
      </c>
      <c r="I19" s="9" t="s">
        <v>4593</v>
      </c>
      <c r="J19" s="9" t="s">
        <v>4592</v>
      </c>
      <c r="K19" s="9" t="s">
        <v>4591</v>
      </c>
      <c r="L19" s="9" t="s">
        <v>4592</v>
      </c>
      <c r="M19" s="9" t="s">
        <v>4591</v>
      </c>
      <c r="N19" s="14" t="s">
        <v>4591</v>
      </c>
    </row>
    <row r="20" spans="2:14" ht="12.75">
      <c r="B20" s="9"/>
      <c r="C20" s="81">
        <v>396</v>
      </c>
      <c r="D20" s="9" t="s">
        <v>4591</v>
      </c>
      <c r="E20" s="9" t="s">
        <v>4591</v>
      </c>
      <c r="F20" s="9" t="s">
        <v>4591</v>
      </c>
      <c r="G20" s="9" t="s">
        <v>4593</v>
      </c>
      <c r="H20" s="9" t="s">
        <v>4591</v>
      </c>
      <c r="I20" s="9" t="s">
        <v>4593</v>
      </c>
      <c r="J20" s="9" t="s">
        <v>4593</v>
      </c>
      <c r="K20" s="9" t="s">
        <v>4593</v>
      </c>
      <c r="L20" s="9" t="s">
        <v>4593</v>
      </c>
      <c r="M20" s="9" t="s">
        <v>4591</v>
      </c>
      <c r="N20" s="14" t="s">
        <v>4591</v>
      </c>
    </row>
    <row r="21" spans="2:14" ht="12.75">
      <c r="B21" s="9"/>
      <c r="C21" s="81">
        <v>409</v>
      </c>
      <c r="D21" s="9" t="s">
        <v>4591</v>
      </c>
      <c r="E21" s="9" t="s">
        <v>4593</v>
      </c>
      <c r="F21" s="9" t="s">
        <v>4591</v>
      </c>
      <c r="G21" s="9" t="s">
        <v>4591</v>
      </c>
      <c r="H21" s="9" t="s">
        <v>4591</v>
      </c>
      <c r="I21" s="9" t="s">
        <v>4591</v>
      </c>
      <c r="J21" s="9" t="s">
        <v>4591</v>
      </c>
      <c r="K21" s="9" t="s">
        <v>4591</v>
      </c>
      <c r="L21" s="9" t="s">
        <v>4591</v>
      </c>
      <c r="M21" s="9" t="s">
        <v>4593</v>
      </c>
      <c r="N21" s="14" t="s">
        <v>4591</v>
      </c>
    </row>
    <row r="22" spans="2:14" ht="12.75">
      <c r="B22" s="9"/>
      <c r="C22" s="81">
        <v>410</v>
      </c>
      <c r="D22" s="9" t="s">
        <v>4591</v>
      </c>
      <c r="E22" s="9" t="s">
        <v>4591</v>
      </c>
      <c r="F22" s="9" t="s">
        <v>4591</v>
      </c>
      <c r="G22" s="9" t="s">
        <v>4593</v>
      </c>
      <c r="H22" s="9" t="s">
        <v>4591</v>
      </c>
      <c r="I22" s="9" t="s">
        <v>4591</v>
      </c>
      <c r="J22" s="9" t="s">
        <v>4591</v>
      </c>
      <c r="K22" s="9" t="s">
        <v>4593</v>
      </c>
      <c r="L22" s="9" t="s">
        <v>4591</v>
      </c>
      <c r="M22" s="9" t="s">
        <v>4591</v>
      </c>
      <c r="N22" s="14" t="s">
        <v>4591</v>
      </c>
    </row>
    <row r="23" spans="2:14" ht="12.75">
      <c r="B23" s="9"/>
      <c r="C23" s="81">
        <v>418</v>
      </c>
      <c r="D23" s="9" t="s">
        <v>4591</v>
      </c>
      <c r="E23" s="9" t="s">
        <v>4591</v>
      </c>
      <c r="F23" s="9" t="s">
        <v>4591</v>
      </c>
      <c r="G23" s="9" t="s">
        <v>4591</v>
      </c>
      <c r="H23" s="9" t="s">
        <v>4591</v>
      </c>
      <c r="I23" s="9" t="s">
        <v>4591</v>
      </c>
      <c r="J23" s="9" t="s">
        <v>4591</v>
      </c>
      <c r="K23" s="9" t="s">
        <v>4591</v>
      </c>
      <c r="L23" s="9" t="s">
        <v>4591</v>
      </c>
      <c r="M23" s="9" t="s">
        <v>4591</v>
      </c>
      <c r="N23" s="14" t="s">
        <v>4593</v>
      </c>
    </row>
    <row r="24" spans="2:14" ht="12.75">
      <c r="B24" s="9"/>
      <c r="C24" s="81">
        <v>424</v>
      </c>
      <c r="D24" s="9" t="s">
        <v>4591</v>
      </c>
      <c r="E24" s="9" t="s">
        <v>4591</v>
      </c>
      <c r="F24" s="9" t="s">
        <v>4591</v>
      </c>
      <c r="G24" s="9" t="s">
        <v>4591</v>
      </c>
      <c r="H24" s="9" t="s">
        <v>4591</v>
      </c>
      <c r="I24" s="9" t="s">
        <v>4591</v>
      </c>
      <c r="J24" s="9" t="s">
        <v>4591</v>
      </c>
      <c r="K24" s="9" t="s">
        <v>4591</v>
      </c>
      <c r="L24" s="9" t="s">
        <v>4591</v>
      </c>
      <c r="M24" s="9" t="s">
        <v>4591</v>
      </c>
      <c r="N24" s="14" t="s">
        <v>4591</v>
      </c>
    </row>
    <row r="25" spans="2:14" ht="12.75">
      <c r="B25" s="9"/>
      <c r="C25" s="81">
        <v>427</v>
      </c>
      <c r="D25" s="9" t="s">
        <v>4591</v>
      </c>
      <c r="E25" s="9" t="s">
        <v>4591</v>
      </c>
      <c r="F25" s="9" t="s">
        <v>4591</v>
      </c>
      <c r="G25" s="9" t="s">
        <v>4591</v>
      </c>
      <c r="H25" s="9" t="s">
        <v>4591</v>
      </c>
      <c r="I25" s="9" t="s">
        <v>4591</v>
      </c>
      <c r="J25" s="9" t="s">
        <v>4591</v>
      </c>
      <c r="K25" s="9" t="s">
        <v>4591</v>
      </c>
      <c r="L25" s="9" t="s">
        <v>4591</v>
      </c>
      <c r="M25" s="9" t="s">
        <v>4591</v>
      </c>
      <c r="N25" s="14" t="s">
        <v>4593</v>
      </c>
    </row>
    <row r="26" spans="2:14" ht="12.75">
      <c r="B26" s="9"/>
      <c r="C26" s="81">
        <v>439</v>
      </c>
      <c r="D26" s="9" t="s">
        <v>4591</v>
      </c>
      <c r="E26" s="9" t="s">
        <v>4591</v>
      </c>
      <c r="F26" s="9" t="s">
        <v>4593</v>
      </c>
      <c r="G26" s="9" t="s">
        <v>4591</v>
      </c>
      <c r="H26" s="9" t="s">
        <v>4591</v>
      </c>
      <c r="I26" s="9" t="s">
        <v>4591</v>
      </c>
      <c r="J26" s="9" t="s">
        <v>4591</v>
      </c>
      <c r="K26" s="9" t="s">
        <v>4591</v>
      </c>
      <c r="L26" s="9" t="s">
        <v>4591</v>
      </c>
      <c r="M26" s="9" t="s">
        <v>4591</v>
      </c>
      <c r="N26" s="14" t="s">
        <v>4591</v>
      </c>
    </row>
    <row r="27" spans="2:14" ht="12.75">
      <c r="B27" s="9"/>
      <c r="C27" s="81">
        <v>440</v>
      </c>
      <c r="D27" s="9" t="s">
        <v>4591</v>
      </c>
      <c r="E27" s="9" t="s">
        <v>4591</v>
      </c>
      <c r="F27" s="9" t="s">
        <v>4591</v>
      </c>
      <c r="G27" s="9" t="s">
        <v>4591</v>
      </c>
      <c r="H27" s="9" t="s">
        <v>4591</v>
      </c>
      <c r="I27" s="9" t="s">
        <v>4591</v>
      </c>
      <c r="J27" s="9" t="s">
        <v>4591</v>
      </c>
      <c r="K27" s="9" t="s">
        <v>4591</v>
      </c>
      <c r="L27" s="9" t="s">
        <v>4591</v>
      </c>
      <c r="M27" s="9" t="s">
        <v>4591</v>
      </c>
      <c r="N27" s="14" t="s">
        <v>4591</v>
      </c>
    </row>
    <row r="28" spans="2:14" ht="12.75">
      <c r="B28" s="9"/>
      <c r="C28" s="81">
        <v>444</v>
      </c>
      <c r="D28" s="9" t="s">
        <v>4591</v>
      </c>
      <c r="E28" s="9" t="s">
        <v>4591</v>
      </c>
      <c r="F28" s="9" t="s">
        <v>4591</v>
      </c>
      <c r="G28" s="9" t="s">
        <v>4591</v>
      </c>
      <c r="H28" s="9" t="s">
        <v>4591</v>
      </c>
      <c r="I28" s="9" t="s">
        <v>4591</v>
      </c>
      <c r="J28" s="9" t="s">
        <v>4591</v>
      </c>
      <c r="K28" s="9" t="s">
        <v>4591</v>
      </c>
      <c r="L28" s="9" t="s">
        <v>4591</v>
      </c>
      <c r="M28" s="9" t="s">
        <v>4591</v>
      </c>
      <c r="N28" s="14" t="s">
        <v>4593</v>
      </c>
    </row>
    <row r="29" spans="2:14" ht="12.75">
      <c r="B29" s="9"/>
      <c r="C29" s="81">
        <v>445</v>
      </c>
      <c r="D29" s="9" t="s">
        <v>4591</v>
      </c>
      <c r="E29" s="9" t="s">
        <v>4591</v>
      </c>
      <c r="F29" s="9" t="s">
        <v>4591</v>
      </c>
      <c r="G29" s="9" t="s">
        <v>4591</v>
      </c>
      <c r="H29" s="9" t="s">
        <v>4591</v>
      </c>
      <c r="I29" s="9" t="s">
        <v>4591</v>
      </c>
      <c r="J29" s="9" t="s">
        <v>4591</v>
      </c>
      <c r="K29" s="9" t="s">
        <v>4591</v>
      </c>
      <c r="L29" s="9" t="s">
        <v>4591</v>
      </c>
      <c r="M29" s="9" t="s">
        <v>4591</v>
      </c>
      <c r="N29" s="14" t="s">
        <v>4593</v>
      </c>
    </row>
    <row r="30" spans="2:14" ht="12.75">
      <c r="B30" s="9"/>
      <c r="C30" s="81">
        <v>447</v>
      </c>
      <c r="D30" s="9" t="s">
        <v>4591</v>
      </c>
      <c r="E30" s="9" t="s">
        <v>4591</v>
      </c>
      <c r="F30" s="9" t="s">
        <v>4591</v>
      </c>
      <c r="G30" s="9" t="s">
        <v>4591</v>
      </c>
      <c r="H30" s="9" t="s">
        <v>4591</v>
      </c>
      <c r="I30" s="9" t="s">
        <v>4591</v>
      </c>
      <c r="J30" s="9" t="s">
        <v>4591</v>
      </c>
      <c r="K30" s="9" t="s">
        <v>4591</v>
      </c>
      <c r="L30" s="9" t="s">
        <v>4591</v>
      </c>
      <c r="M30" s="9" t="s">
        <v>4591</v>
      </c>
      <c r="N30" s="14" t="s">
        <v>4591</v>
      </c>
    </row>
    <row r="31" spans="2:14" ht="12.75">
      <c r="B31" s="9"/>
      <c r="C31" s="81">
        <v>450</v>
      </c>
      <c r="D31" s="9" t="s">
        <v>4591</v>
      </c>
      <c r="E31" s="9" t="s">
        <v>4591</v>
      </c>
      <c r="F31" s="9" t="s">
        <v>4591</v>
      </c>
      <c r="G31" s="9" t="s">
        <v>4591</v>
      </c>
      <c r="H31" s="9" t="s">
        <v>4591</v>
      </c>
      <c r="I31" s="9" t="s">
        <v>4591</v>
      </c>
      <c r="J31" s="9" t="s">
        <v>4591</v>
      </c>
      <c r="K31" s="9" t="s">
        <v>4591</v>
      </c>
      <c r="L31" s="9" t="s">
        <v>4591</v>
      </c>
      <c r="M31" s="9" t="s">
        <v>4591</v>
      </c>
      <c r="N31" s="14" t="s">
        <v>4591</v>
      </c>
    </row>
    <row r="32" spans="2:14" ht="12.75">
      <c r="B32" s="9"/>
      <c r="C32" s="81">
        <v>453</v>
      </c>
      <c r="D32" s="9" t="s">
        <v>4591</v>
      </c>
      <c r="E32" s="9" t="s">
        <v>4591</v>
      </c>
      <c r="F32" s="9" t="s">
        <v>4591</v>
      </c>
      <c r="G32" s="9" t="s">
        <v>4591</v>
      </c>
      <c r="H32" s="9" t="s">
        <v>4592</v>
      </c>
      <c r="I32" s="9" t="s">
        <v>4591</v>
      </c>
      <c r="J32" s="9" t="s">
        <v>4591</v>
      </c>
      <c r="K32" s="9" t="s">
        <v>4591</v>
      </c>
      <c r="L32" s="9" t="s">
        <v>4591</v>
      </c>
      <c r="M32" s="9" t="s">
        <v>4591</v>
      </c>
      <c r="N32" s="14" t="s">
        <v>4591</v>
      </c>
    </row>
    <row r="33" spans="2:14" ht="12.75">
      <c r="B33" s="9"/>
      <c r="C33" s="81">
        <v>454</v>
      </c>
      <c r="D33" s="9" t="s">
        <v>4591</v>
      </c>
      <c r="E33" s="9" t="s">
        <v>4591</v>
      </c>
      <c r="F33" s="9" t="s">
        <v>4591</v>
      </c>
      <c r="G33" s="9" t="s">
        <v>4591</v>
      </c>
      <c r="H33" s="9" t="s">
        <v>4591</v>
      </c>
      <c r="I33" s="9" t="s">
        <v>4591</v>
      </c>
      <c r="J33" s="9" t="s">
        <v>4591</v>
      </c>
      <c r="K33" s="9" t="s">
        <v>4591</v>
      </c>
      <c r="L33" s="9" t="s">
        <v>4591</v>
      </c>
      <c r="M33" s="9" t="s">
        <v>4591</v>
      </c>
      <c r="N33" s="14" t="s">
        <v>4591</v>
      </c>
    </row>
    <row r="34" spans="2:14" ht="12.75">
      <c r="B34" s="9"/>
      <c r="C34" s="81">
        <v>462</v>
      </c>
      <c r="D34" s="9" t="s">
        <v>4591</v>
      </c>
      <c r="E34" s="9" t="s">
        <v>4591</v>
      </c>
      <c r="F34" s="9" t="s">
        <v>4591</v>
      </c>
      <c r="G34" s="9" t="s">
        <v>4591</v>
      </c>
      <c r="H34" s="9" t="s">
        <v>4591</v>
      </c>
      <c r="I34" s="9" t="s">
        <v>4591</v>
      </c>
      <c r="J34" s="9" t="s">
        <v>4591</v>
      </c>
      <c r="K34" s="9" t="s">
        <v>4591</v>
      </c>
      <c r="L34" s="9" t="s">
        <v>4591</v>
      </c>
      <c r="M34" s="9" t="s">
        <v>4591</v>
      </c>
      <c r="N34" s="14" t="s">
        <v>4591</v>
      </c>
    </row>
    <row r="35" spans="2:14" ht="12.75">
      <c r="B35" s="9"/>
      <c r="C35" s="81">
        <v>463</v>
      </c>
      <c r="D35" s="9" t="s">
        <v>4591</v>
      </c>
      <c r="E35" s="9" t="s">
        <v>4591</v>
      </c>
      <c r="F35" s="9" t="s">
        <v>4591</v>
      </c>
      <c r="G35" s="9" t="s">
        <v>4591</v>
      </c>
      <c r="H35" s="9" t="s">
        <v>4591</v>
      </c>
      <c r="I35" s="9" t="s">
        <v>4591</v>
      </c>
      <c r="J35" s="9" t="s">
        <v>4591</v>
      </c>
      <c r="K35" s="9" t="s">
        <v>4591</v>
      </c>
      <c r="L35" s="9" t="s">
        <v>4591</v>
      </c>
      <c r="M35" s="9" t="s">
        <v>4591</v>
      </c>
      <c r="N35" s="14" t="s">
        <v>4591</v>
      </c>
    </row>
    <row r="36" spans="2:14" ht="12.75">
      <c r="B36" s="9"/>
      <c r="C36" s="81">
        <v>467</v>
      </c>
      <c r="D36" s="9" t="s">
        <v>4591</v>
      </c>
      <c r="E36" s="9" t="s">
        <v>4591</v>
      </c>
      <c r="F36" s="9" t="s">
        <v>4591</v>
      </c>
      <c r="G36" s="9" t="s">
        <v>4592</v>
      </c>
      <c r="H36" s="9" t="s">
        <v>4591</v>
      </c>
      <c r="I36" s="9" t="s">
        <v>4591</v>
      </c>
      <c r="J36" s="9" t="s">
        <v>4591</v>
      </c>
      <c r="K36" s="9" t="s">
        <v>4593</v>
      </c>
      <c r="L36" s="9" t="s">
        <v>4591</v>
      </c>
      <c r="M36" s="9" t="s">
        <v>4591</v>
      </c>
      <c r="N36" s="14" t="s">
        <v>4591</v>
      </c>
    </row>
    <row r="37" spans="2:14" ht="12.75">
      <c r="B37" s="9"/>
      <c r="C37" s="81">
        <v>474</v>
      </c>
      <c r="D37" s="9" t="s">
        <v>4591</v>
      </c>
      <c r="E37" s="9" t="s">
        <v>4591</v>
      </c>
      <c r="F37" s="9" t="s">
        <v>4591</v>
      </c>
      <c r="G37" s="9" t="s">
        <v>4591</v>
      </c>
      <c r="H37" s="9" t="s">
        <v>4591</v>
      </c>
      <c r="I37" s="9" t="s">
        <v>4591</v>
      </c>
      <c r="J37" s="9" t="s">
        <v>4591</v>
      </c>
      <c r="K37" s="9" t="s">
        <v>4591</v>
      </c>
      <c r="L37" s="9" t="s">
        <v>4591</v>
      </c>
      <c r="M37" s="9" t="s">
        <v>4591</v>
      </c>
      <c r="N37" s="14" t="s">
        <v>4591</v>
      </c>
    </row>
    <row r="38" spans="2:14" ht="12.75">
      <c r="B38" s="9"/>
      <c r="C38" s="81">
        <v>482</v>
      </c>
      <c r="D38" s="9" t="s">
        <v>4592</v>
      </c>
      <c r="E38" s="9" t="s">
        <v>4591</v>
      </c>
      <c r="F38" s="9" t="s">
        <v>4592</v>
      </c>
      <c r="G38" s="9" t="s">
        <v>4593</v>
      </c>
      <c r="H38" s="9" t="s">
        <v>4591</v>
      </c>
      <c r="I38" s="9" t="s">
        <v>4591</v>
      </c>
      <c r="J38" s="9" t="s">
        <v>4592</v>
      </c>
      <c r="K38" s="9" t="s">
        <v>4593</v>
      </c>
      <c r="L38" s="9" t="s">
        <v>4593</v>
      </c>
      <c r="M38" s="9" t="s">
        <v>4591</v>
      </c>
      <c r="N38" s="14" t="s">
        <v>4591</v>
      </c>
    </row>
    <row r="39" spans="2:14" ht="12.75">
      <c r="B39" s="9"/>
      <c r="C39" s="81">
        <v>487</v>
      </c>
      <c r="D39" s="9" t="s">
        <v>4591</v>
      </c>
      <c r="E39" s="9" t="s">
        <v>4593</v>
      </c>
      <c r="F39" s="9" t="s">
        <v>4591</v>
      </c>
      <c r="G39" s="9" t="s">
        <v>4591</v>
      </c>
      <c r="H39" s="9" t="s">
        <v>4591</v>
      </c>
      <c r="I39" s="9" t="s">
        <v>4591</v>
      </c>
      <c r="J39" s="9" t="s">
        <v>4591</v>
      </c>
      <c r="K39" s="9" t="s">
        <v>4591</v>
      </c>
      <c r="L39" s="9" t="s">
        <v>4591</v>
      </c>
      <c r="M39" s="9" t="s">
        <v>4593</v>
      </c>
      <c r="N39" s="14" t="s">
        <v>4591</v>
      </c>
    </row>
    <row r="40" spans="2:14" ht="12.75">
      <c r="B40" s="9"/>
      <c r="C40" s="81">
        <v>491</v>
      </c>
      <c r="D40" s="9" t="s">
        <v>4591</v>
      </c>
      <c r="E40" s="9" t="s">
        <v>4591</v>
      </c>
      <c r="F40" s="9" t="s">
        <v>4591</v>
      </c>
      <c r="G40" s="9" t="s">
        <v>4591</v>
      </c>
      <c r="H40" s="9" t="s">
        <v>4591</v>
      </c>
      <c r="I40" s="9" t="s">
        <v>4591</v>
      </c>
      <c r="J40" s="9" t="s">
        <v>4591</v>
      </c>
      <c r="K40" s="9" t="s">
        <v>4591</v>
      </c>
      <c r="L40" s="9" t="s">
        <v>4591</v>
      </c>
      <c r="M40" s="9" t="s">
        <v>4591</v>
      </c>
      <c r="N40" s="14" t="s">
        <v>4591</v>
      </c>
    </row>
    <row r="41" spans="2:14" ht="12.75">
      <c r="B41" s="9"/>
      <c r="C41" s="81">
        <v>498</v>
      </c>
      <c r="D41" s="9" t="s">
        <v>4591</v>
      </c>
      <c r="E41" s="9" t="s">
        <v>4591</v>
      </c>
      <c r="F41" s="9" t="s">
        <v>4591</v>
      </c>
      <c r="G41" s="9" t="s">
        <v>4591</v>
      </c>
      <c r="H41" s="9" t="s">
        <v>4593</v>
      </c>
      <c r="I41" s="9" t="s">
        <v>4591</v>
      </c>
      <c r="J41" s="9" t="s">
        <v>4591</v>
      </c>
      <c r="K41" s="9" t="s">
        <v>4591</v>
      </c>
      <c r="L41" s="9" t="s">
        <v>4591</v>
      </c>
      <c r="M41" s="9" t="s">
        <v>4591</v>
      </c>
      <c r="N41" s="14" t="s">
        <v>4591</v>
      </c>
    </row>
    <row r="42" spans="2:14" ht="12.75">
      <c r="B42" s="9"/>
      <c r="C42" s="81">
        <v>499</v>
      </c>
      <c r="D42" s="9" t="s">
        <v>4591</v>
      </c>
      <c r="E42" s="9" t="s">
        <v>4591</v>
      </c>
      <c r="F42" s="9" t="s">
        <v>4591</v>
      </c>
      <c r="G42" s="9" t="s">
        <v>4591</v>
      </c>
      <c r="H42" s="9" t="s">
        <v>4591</v>
      </c>
      <c r="I42" s="9" t="s">
        <v>4591</v>
      </c>
      <c r="J42" s="9" t="s">
        <v>4591</v>
      </c>
      <c r="K42" s="9" t="s">
        <v>4591</v>
      </c>
      <c r="L42" s="9" t="s">
        <v>4591</v>
      </c>
      <c r="M42" s="9" t="s">
        <v>4591</v>
      </c>
      <c r="N42" s="14" t="s">
        <v>4591</v>
      </c>
    </row>
    <row r="43" spans="2:14" ht="12.75">
      <c r="B43" s="9"/>
      <c r="C43" s="81">
        <v>513</v>
      </c>
      <c r="D43" s="9" t="s">
        <v>4592</v>
      </c>
      <c r="E43" s="9" t="s">
        <v>4593</v>
      </c>
      <c r="F43" s="9" t="s">
        <v>4592</v>
      </c>
      <c r="G43" s="9" t="s">
        <v>4593</v>
      </c>
      <c r="H43" s="9" t="s">
        <v>4591</v>
      </c>
      <c r="I43" s="9" t="s">
        <v>4593</v>
      </c>
      <c r="J43" s="9" t="s">
        <v>4592</v>
      </c>
      <c r="K43" s="9" t="s">
        <v>4593</v>
      </c>
      <c r="L43" s="9" t="s">
        <v>4593</v>
      </c>
      <c r="M43" s="9" t="s">
        <v>4593</v>
      </c>
      <c r="N43" s="14" t="s">
        <v>4593</v>
      </c>
    </row>
    <row r="44" spans="2:14" ht="12.75">
      <c r="B44" s="9"/>
      <c r="C44" s="81">
        <v>514</v>
      </c>
      <c r="D44" s="9" t="s">
        <v>4591</v>
      </c>
      <c r="E44" s="9" t="s">
        <v>4591</v>
      </c>
      <c r="F44" s="9" t="s">
        <v>4591</v>
      </c>
      <c r="G44" s="9" t="s">
        <v>4591</v>
      </c>
      <c r="H44" s="9" t="s">
        <v>4591</v>
      </c>
      <c r="I44" s="9" t="s">
        <v>4591</v>
      </c>
      <c r="J44" s="9" t="s">
        <v>4591</v>
      </c>
      <c r="K44" s="9" t="s">
        <v>4591</v>
      </c>
      <c r="L44" s="9" t="s">
        <v>4591</v>
      </c>
      <c r="M44" s="9" t="s">
        <v>4591</v>
      </c>
      <c r="N44" s="14" t="s">
        <v>4591</v>
      </c>
    </row>
    <row r="45" spans="2:14" ht="12.75">
      <c r="B45" s="9"/>
      <c r="C45" s="81">
        <v>519</v>
      </c>
      <c r="D45" s="9" t="s">
        <v>4591</v>
      </c>
      <c r="E45" s="9" t="s">
        <v>4591</v>
      </c>
      <c r="F45" s="9" t="s">
        <v>4591</v>
      </c>
      <c r="G45" s="9" t="s">
        <v>4591</v>
      </c>
      <c r="H45" s="9" t="s">
        <v>4591</v>
      </c>
      <c r="I45" s="9" t="s">
        <v>4591</v>
      </c>
      <c r="J45" s="9" t="s">
        <v>4591</v>
      </c>
      <c r="K45" s="9" t="s">
        <v>4591</v>
      </c>
      <c r="L45" s="9" t="s">
        <v>4591</v>
      </c>
      <c r="M45" s="9" t="s">
        <v>4591</v>
      </c>
      <c r="N45" s="14" t="s">
        <v>4591</v>
      </c>
    </row>
    <row r="46" spans="2:14" ht="12.75">
      <c r="B46" s="9"/>
      <c r="C46" s="81">
        <v>526</v>
      </c>
      <c r="D46" s="9" t="s">
        <v>4591</v>
      </c>
      <c r="E46" s="9" t="s">
        <v>4591</v>
      </c>
      <c r="F46" s="9" t="s">
        <v>4591</v>
      </c>
      <c r="G46" s="9" t="s">
        <v>4591</v>
      </c>
      <c r="H46" s="9" t="s">
        <v>4591</v>
      </c>
      <c r="I46" s="9" t="s">
        <v>4591</v>
      </c>
      <c r="J46" s="9" t="s">
        <v>4591</v>
      </c>
      <c r="K46" s="9" t="s">
        <v>4591</v>
      </c>
      <c r="L46" s="9" t="s">
        <v>4591</v>
      </c>
      <c r="M46" s="9" t="s">
        <v>4591</v>
      </c>
      <c r="N46" s="14" t="s">
        <v>4591</v>
      </c>
    </row>
    <row r="47" spans="2:14" ht="12.75">
      <c r="B47" s="9"/>
      <c r="C47" s="81">
        <v>528</v>
      </c>
      <c r="D47" s="9" t="s">
        <v>4591</v>
      </c>
      <c r="E47" s="9" t="s">
        <v>4591</v>
      </c>
      <c r="F47" s="9" t="s">
        <v>4591</v>
      </c>
      <c r="G47" s="9" t="s">
        <v>4591</v>
      </c>
      <c r="H47" s="9" t="s">
        <v>4591</v>
      </c>
      <c r="I47" s="9" t="s">
        <v>4591</v>
      </c>
      <c r="J47" s="9" t="s">
        <v>4591</v>
      </c>
      <c r="K47" s="9" t="s">
        <v>4591</v>
      </c>
      <c r="L47" s="9" t="s">
        <v>4591</v>
      </c>
      <c r="M47" s="9" t="s">
        <v>4591</v>
      </c>
      <c r="N47" s="14" t="s">
        <v>4591</v>
      </c>
    </row>
    <row r="48" spans="2:14" ht="12.75">
      <c r="B48" s="9"/>
      <c r="C48" s="81">
        <v>548</v>
      </c>
      <c r="D48" s="9" t="s">
        <v>4591</v>
      </c>
      <c r="E48" s="9" t="s">
        <v>4591</v>
      </c>
      <c r="F48" s="9" t="s">
        <v>4591</v>
      </c>
      <c r="G48" s="9" t="s">
        <v>4591</v>
      </c>
      <c r="H48" s="9" t="s">
        <v>4593</v>
      </c>
      <c r="I48" s="9" t="s">
        <v>4591</v>
      </c>
      <c r="J48" s="9" t="s">
        <v>4591</v>
      </c>
      <c r="K48" s="9" t="s">
        <v>4591</v>
      </c>
      <c r="L48" s="9" t="s">
        <v>4591</v>
      </c>
      <c r="M48" s="9" t="s">
        <v>4591</v>
      </c>
      <c r="N48" s="14" t="s">
        <v>4591</v>
      </c>
    </row>
    <row r="49" spans="2:16" ht="12.75">
      <c r="B49" s="9"/>
      <c r="C49" s="81">
        <v>552</v>
      </c>
      <c r="D49" s="9" t="s">
        <v>4591</v>
      </c>
      <c r="E49" s="9" t="s">
        <v>4591</v>
      </c>
      <c r="F49" s="9" t="s">
        <v>4591</v>
      </c>
      <c r="G49" s="9" t="s">
        <v>4591</v>
      </c>
      <c r="H49" s="9" t="s">
        <v>4591</v>
      </c>
      <c r="I49" s="9" t="s">
        <v>4591</v>
      </c>
      <c r="J49" s="9" t="s">
        <v>4591</v>
      </c>
      <c r="K49" s="9" t="s">
        <v>4591</v>
      </c>
      <c r="L49" s="9" t="s">
        <v>4591</v>
      </c>
      <c r="M49" s="9" t="s">
        <v>4591</v>
      </c>
      <c r="N49" s="14" t="s">
        <v>4591</v>
      </c>
    </row>
    <row r="50" spans="2:16" ht="12.75">
      <c r="B50" s="9"/>
      <c r="C50" s="81">
        <v>553</v>
      </c>
      <c r="D50" s="9" t="s">
        <v>4591</v>
      </c>
      <c r="E50" s="9" t="s">
        <v>4591</v>
      </c>
      <c r="F50" s="9" t="s">
        <v>4591</v>
      </c>
      <c r="G50" s="9" t="s">
        <v>4593</v>
      </c>
      <c r="H50" s="9" t="s">
        <v>4591</v>
      </c>
      <c r="I50" s="9" t="s">
        <v>4591</v>
      </c>
      <c r="J50" s="9" t="s">
        <v>4591</v>
      </c>
      <c r="K50" s="9" t="s">
        <v>4593</v>
      </c>
      <c r="L50" s="9" t="s">
        <v>4591</v>
      </c>
      <c r="M50" s="9" t="s">
        <v>4591</v>
      </c>
      <c r="N50" s="14" t="s">
        <v>4591</v>
      </c>
    </row>
    <row r="51" spans="2:16" ht="12.75">
      <c r="B51" s="9"/>
      <c r="C51" s="81">
        <v>554</v>
      </c>
      <c r="D51" s="9" t="s">
        <v>4591</v>
      </c>
      <c r="E51" s="9" t="s">
        <v>4591</v>
      </c>
      <c r="F51" s="9" t="s">
        <v>4591</v>
      </c>
      <c r="G51" s="9" t="s">
        <v>4591</v>
      </c>
      <c r="H51" s="9" t="s">
        <v>4591</v>
      </c>
      <c r="I51" s="9" t="s">
        <v>4591</v>
      </c>
      <c r="J51" s="9" t="s">
        <v>4591</v>
      </c>
      <c r="K51" s="9" t="s">
        <v>4591</v>
      </c>
      <c r="L51" s="9" t="s">
        <v>4591</v>
      </c>
      <c r="M51" s="9" t="s">
        <v>4591</v>
      </c>
      <c r="N51" s="14" t="s">
        <v>4591</v>
      </c>
    </row>
    <row r="52" spans="2:16" ht="12.75">
      <c r="B52" s="9"/>
      <c r="C52" s="81">
        <v>558</v>
      </c>
      <c r="D52" s="9" t="s">
        <v>4591</v>
      </c>
      <c r="E52" s="9" t="s">
        <v>4591</v>
      </c>
      <c r="F52" s="9" t="s">
        <v>4591</v>
      </c>
      <c r="G52" s="9" t="s">
        <v>4591</v>
      </c>
      <c r="H52" s="9" t="s">
        <v>4591</v>
      </c>
      <c r="I52" s="9" t="s">
        <v>4591</v>
      </c>
      <c r="J52" s="9" t="s">
        <v>4591</v>
      </c>
      <c r="K52" s="9" t="s">
        <v>4591</v>
      </c>
      <c r="L52" s="9" t="s">
        <v>4591</v>
      </c>
      <c r="M52" s="9" t="s">
        <v>4591</v>
      </c>
      <c r="N52" s="14" t="s">
        <v>4591</v>
      </c>
    </row>
    <row r="53" spans="2:16" ht="12.75">
      <c r="B53" s="9"/>
      <c r="C53" s="81">
        <v>561</v>
      </c>
      <c r="D53" s="9" t="s">
        <v>4591</v>
      </c>
      <c r="E53" s="9" t="s">
        <v>4591</v>
      </c>
      <c r="F53" s="9" t="s">
        <v>4591</v>
      </c>
      <c r="G53" s="9" t="s">
        <v>4591</v>
      </c>
      <c r="H53" s="9" t="s">
        <v>4591</v>
      </c>
      <c r="I53" s="9" t="s">
        <v>4591</v>
      </c>
      <c r="J53" s="9" t="s">
        <v>4591</v>
      </c>
      <c r="K53" s="9" t="s">
        <v>4591</v>
      </c>
      <c r="L53" s="9" t="s">
        <v>4591</v>
      </c>
      <c r="M53" s="9" t="s">
        <v>4591</v>
      </c>
      <c r="N53" s="14" t="s">
        <v>4591</v>
      </c>
    </row>
    <row r="54" spans="2:16" ht="12.75">
      <c r="B54" s="9"/>
      <c r="C54" s="81">
        <v>610</v>
      </c>
      <c r="D54" s="9" t="s">
        <v>4591</v>
      </c>
      <c r="E54" s="9" t="s">
        <v>4591</v>
      </c>
      <c r="F54" s="9" t="s">
        <v>4591</v>
      </c>
      <c r="G54" s="9" t="s">
        <v>4591</v>
      </c>
      <c r="H54" s="9" t="s">
        <v>4591</v>
      </c>
      <c r="I54" s="9" t="s">
        <v>4593</v>
      </c>
      <c r="J54" s="9" t="s">
        <v>4593</v>
      </c>
      <c r="K54" s="9" t="s">
        <v>4591</v>
      </c>
      <c r="L54" s="9" t="s">
        <v>4593</v>
      </c>
      <c r="M54" s="9" t="s">
        <v>4591</v>
      </c>
      <c r="N54" s="14" t="s">
        <v>4591</v>
      </c>
    </row>
    <row r="55" spans="2:16" ht="12.75">
      <c r="B55" s="9"/>
      <c r="C55" s="81">
        <v>616</v>
      </c>
      <c r="D55" s="9" t="s">
        <v>4591</v>
      </c>
      <c r="E55" s="9" t="s">
        <v>4591</v>
      </c>
      <c r="F55" s="9" t="s">
        <v>4591</v>
      </c>
      <c r="G55" s="9" t="s">
        <v>4591</v>
      </c>
      <c r="H55" s="9" t="s">
        <v>4591</v>
      </c>
      <c r="I55" s="9" t="s">
        <v>4591</v>
      </c>
      <c r="J55" s="9" t="s">
        <v>4591</v>
      </c>
      <c r="K55" s="9" t="s">
        <v>4591</v>
      </c>
      <c r="L55" s="9" t="s">
        <v>4591</v>
      </c>
      <c r="M55" s="9" t="s">
        <v>4591</v>
      </c>
      <c r="N55" s="14" t="s">
        <v>4591</v>
      </c>
    </row>
    <row r="56" spans="2:16" ht="12.75">
      <c r="B56" s="9"/>
      <c r="C56" s="81">
        <v>630</v>
      </c>
      <c r="D56" s="9" t="s">
        <v>4591</v>
      </c>
      <c r="E56" s="9" t="s">
        <v>4592</v>
      </c>
      <c r="F56" s="9" t="s">
        <v>4591</v>
      </c>
      <c r="G56" s="9" t="s">
        <v>4591</v>
      </c>
      <c r="H56" s="9" t="s">
        <v>4591</v>
      </c>
      <c r="I56" s="9" t="s">
        <v>4591</v>
      </c>
      <c r="J56" s="9" t="s">
        <v>4591</v>
      </c>
      <c r="K56" s="9" t="s">
        <v>4591</v>
      </c>
      <c r="L56" s="9" t="s">
        <v>4591</v>
      </c>
      <c r="M56" s="9" t="s">
        <v>4593</v>
      </c>
      <c r="N56" s="14" t="s">
        <v>4591</v>
      </c>
    </row>
    <row r="57" spans="2:16" ht="12.75">
      <c r="B57" s="9"/>
      <c r="C57" s="81">
        <v>656</v>
      </c>
      <c r="D57" s="9" t="s">
        <v>4591</v>
      </c>
      <c r="E57" s="9" t="s">
        <v>4591</v>
      </c>
      <c r="F57" s="9" t="s">
        <v>4591</v>
      </c>
      <c r="G57" s="9" t="s">
        <v>4591</v>
      </c>
      <c r="H57" s="9" t="s">
        <v>4591</v>
      </c>
      <c r="I57" s="9" t="s">
        <v>4591</v>
      </c>
      <c r="J57" s="9" t="s">
        <v>4591</v>
      </c>
      <c r="K57" s="9" t="s">
        <v>4591</v>
      </c>
      <c r="L57" s="9" t="s">
        <v>4591</v>
      </c>
      <c r="M57" s="9" t="s">
        <v>4591</v>
      </c>
      <c r="N57" s="14" t="s">
        <v>4591</v>
      </c>
    </row>
    <row r="58" spans="2:16" ht="12.75">
      <c r="B58" s="9"/>
      <c r="C58" s="82">
        <v>659</v>
      </c>
      <c r="D58" s="21" t="s">
        <v>4591</v>
      </c>
      <c r="E58" s="21" t="s">
        <v>4591</v>
      </c>
      <c r="F58" s="21" t="s">
        <v>4591</v>
      </c>
      <c r="G58" s="21" t="s">
        <v>4591</v>
      </c>
      <c r="H58" s="21" t="s">
        <v>4591</v>
      </c>
      <c r="I58" s="21" t="s">
        <v>4591</v>
      </c>
      <c r="J58" s="21" t="s">
        <v>4591</v>
      </c>
      <c r="K58" s="21" t="s">
        <v>4591</v>
      </c>
      <c r="L58" s="21" t="s">
        <v>4591</v>
      </c>
      <c r="M58" s="21" t="s">
        <v>4591</v>
      </c>
      <c r="N58" s="38" t="s">
        <v>4591</v>
      </c>
    </row>
    <row r="61" spans="2:16" ht="15.75" customHeight="1" thickBot="1">
      <c r="B61" s="219" t="s">
        <v>4604</v>
      </c>
      <c r="C61" s="201"/>
      <c r="D61" s="45">
        <v>244</v>
      </c>
    </row>
    <row r="62" spans="2:16" ht="15.75" customHeight="1" thickTop="1">
      <c r="B62" s="134" t="s">
        <v>4594</v>
      </c>
      <c r="C62" s="135" t="s">
        <v>44</v>
      </c>
      <c r="D62" s="135" t="s">
        <v>110</v>
      </c>
      <c r="E62" s="136" t="s">
        <v>2</v>
      </c>
      <c r="F62" s="229" t="s">
        <v>4612</v>
      </c>
      <c r="G62" s="229"/>
      <c r="H62" s="230"/>
      <c r="I62" s="9"/>
      <c r="J62" s="9"/>
      <c r="K62" s="9"/>
      <c r="L62" s="9"/>
      <c r="M62" s="9"/>
      <c r="O62" s="9"/>
      <c r="P62" s="9"/>
    </row>
    <row r="63" spans="2:16" ht="15.75" customHeight="1">
      <c r="B63" s="137" t="s">
        <v>107</v>
      </c>
      <c r="C63" s="93">
        <v>95</v>
      </c>
      <c r="D63" s="93" t="s">
        <v>614</v>
      </c>
      <c r="E63" s="93" t="str">
        <f>IF($B63 = "Mutant",VLOOKUP($C63,Mutants!$A$2:$L$560,12,FALSE),IF($B63 = "Test",VLOOKUP($C63,Tests!$A$2:$L$841,12,FALSE),VLOOKUP($C63,Questions!$A$3:$N$201,9,FALSE)))</f>
        <v>Y</v>
      </c>
      <c r="F63" s="205" t="str">
        <f>IF($B63 = "Mutant",VLOOKUP($C63,Mutants!$A$2:$L$560,11,FALSE),IF($B63 = "Test",VLOOKUP($C63,Tests!$A$2:$L$841,11,FALSE),VLOOKUP($C63,Questions!$A$3:$N$201,13,FALSE)))</f>
        <v>removeField</v>
      </c>
      <c r="G63" s="205"/>
      <c r="H63" s="206"/>
      <c r="I63" s="9"/>
      <c r="J63" s="9"/>
      <c r="K63" s="9"/>
      <c r="L63" s="9"/>
      <c r="M63" s="9"/>
    </row>
    <row r="64" spans="2:16" ht="15.75" customHeight="1">
      <c r="B64" s="114" t="s">
        <v>107</v>
      </c>
      <c r="C64" s="9">
        <v>98</v>
      </c>
      <c r="D64" s="9" t="s">
        <v>617</v>
      </c>
      <c r="E64" s="9" t="str">
        <f>IF($B64 = "Mutant",VLOOKUP($C64,Mutants!$A$2:$L$560,12,FALSE),IF($B64 = "Test",VLOOKUP($C64,Tests!$A$2:$L$841,12,FALSE),VLOOKUP($C64,Questions!$A$3:$N$201,9,FALSE)))</f>
        <v>Y</v>
      </c>
      <c r="F64" s="187" t="str">
        <f>IF($B64 = "Mutant",VLOOKUP($C64,Mutants!$A$2:$L$560,11,FALSE),IF($B64 = "Test",VLOOKUP($C64,Tests!$A$2:$L$841,11,FALSE),VLOOKUP($C64,Questions!$A$3:$N$201,13,FALSE)))</f>
        <v>removeField</v>
      </c>
      <c r="G64" s="187"/>
      <c r="H64" s="202"/>
      <c r="I64" s="9"/>
      <c r="J64" s="9"/>
      <c r="K64" s="9"/>
      <c r="L64" s="9"/>
      <c r="M64" s="9"/>
    </row>
    <row r="65" spans="2:14" ht="15.75" customHeight="1">
      <c r="B65" s="114" t="s">
        <v>4589</v>
      </c>
      <c r="C65" s="9">
        <v>467</v>
      </c>
      <c r="D65" s="9" t="s">
        <v>4095</v>
      </c>
      <c r="E65" s="9" t="str">
        <f>IF($B65 = "Mutant",VLOOKUP($C65,Mutants!$A$2:$L$560,12,FALSE),IF($B65 = "Test",VLOOKUP($C65,Tests!$A$2:$L$841,12,FALSE),VLOOKUP($C65,Questions!$A$3:$N$201,9,FALSE)))</f>
        <v>Y</v>
      </c>
      <c r="F65" s="187" t="str">
        <f>IF($B65 = "Mutant",VLOOKUP($C65,Mutants!$A$2:$L$560,11,FALSE),IF($B65 = "Test",VLOOKUP($C65,Tests!$A$2:$L$841,11,FALSE),VLOOKUP($C65,Questions!$A$3:$N$201,13,FALSE)))</f>
        <v xml:space="preserve">removeField
</v>
      </c>
      <c r="G65" s="187"/>
      <c r="H65" s="202"/>
      <c r="I65" s="9"/>
      <c r="J65" s="9"/>
      <c r="K65" s="9"/>
      <c r="L65" s="9"/>
      <c r="M65" s="9"/>
    </row>
    <row r="66" spans="2:14" ht="15.75" customHeight="1">
      <c r="B66" s="114" t="s">
        <v>4589</v>
      </c>
      <c r="C66" s="9">
        <v>487</v>
      </c>
      <c r="D66" s="9" t="s">
        <v>4148</v>
      </c>
      <c r="E66" s="9" t="str">
        <f>IF($B66 = "Mutant",VLOOKUP($C66,Mutants!$A$2:$L$560,12,FALSE),IF($B66 = "Test",VLOOKUP($C66,Tests!$A$2:$L$841,12,FALSE),VLOOKUP($C66,Questions!$A$3:$N$201,9,FALSE)))</f>
        <v>Y</v>
      </c>
      <c r="F66" s="187" t="str">
        <f>IF($B66 = "Mutant",VLOOKUP($C66,Mutants!$A$2:$L$560,11,FALSE),IF($B66 = "Test",VLOOKUP($C66,Tests!$A$2:$L$841,11,FALSE),VLOOKUP($C66,Questions!$A$3:$N$201,13,FALSE)))</f>
        <v xml:space="preserve">getField
</v>
      </c>
      <c r="G66" s="187"/>
      <c r="H66" s="202"/>
      <c r="I66" s="9"/>
      <c r="J66" s="9"/>
      <c r="K66" s="9"/>
      <c r="L66" s="9"/>
      <c r="M66" s="9"/>
    </row>
    <row r="67" spans="2:14" ht="15.75" customHeight="1">
      <c r="B67" s="114" t="s">
        <v>107</v>
      </c>
      <c r="C67" s="9">
        <v>102</v>
      </c>
      <c r="D67" s="9" t="s">
        <v>620</v>
      </c>
      <c r="E67" s="9" t="str">
        <f>IF($B67 = "Mutant",VLOOKUP($C67,Mutants!$A$2:$L$560,12,FALSE),IF($B67 = "Test",VLOOKUP($C67,Tests!$A$2:$L$841,12,FALSE),VLOOKUP($C67,Questions!$A$3:$N$201,9,FALSE)))</f>
        <v>Y</v>
      </c>
      <c r="F67" s="187" t="str">
        <f>IF($B67 = "Mutant",VLOOKUP($C67,Mutants!$A$2:$L$560,11,FALSE),IF($B67 = "Test",VLOOKUP($C67,Tests!$A$2:$L$841,11,FALSE),VLOOKUP($C67,Questions!$A$3:$N$201,13,FALSE)))</f>
        <v>iterator</v>
      </c>
      <c r="G67" s="187"/>
      <c r="H67" s="202"/>
      <c r="I67" s="9"/>
      <c r="J67" s="9"/>
      <c r="K67" s="9"/>
      <c r="L67" s="9"/>
      <c r="M67" s="9"/>
      <c r="N67" s="9"/>
    </row>
    <row r="68" spans="2:14" ht="15.75" customHeight="1">
      <c r="B68" s="114" t="s">
        <v>4590</v>
      </c>
      <c r="C68" s="9">
        <v>509</v>
      </c>
      <c r="D68" s="9" t="s">
        <v>1866</v>
      </c>
      <c r="E68" s="9" t="str">
        <f>IF($B68 = "Mutant",VLOOKUP($C68,Mutants!$A$2:$L$560,12,FALSE),IF($B68 = "Test",VLOOKUP($C68,Tests!$A$2:$L$841,12,FALSE),VLOOKUP($C68,Questions!$A$3:$N$201,9,FALSE)))</f>
        <v>N</v>
      </c>
      <c r="F68" s="187" t="str">
        <f>IF($B68 = "Mutant",VLOOKUP($C68,Mutants!$A$2:$L$560,11,FALSE),IF($B68 = "Test",VLOOKUP($C68,Tests!$A$2:$L$841,11,FALSE),VLOOKUP($C68,Questions!$A$3:$N$201,13,FALSE)))</f>
        <v xml:space="preserve">
</v>
      </c>
      <c r="G68" s="187"/>
      <c r="H68" s="202"/>
      <c r="I68" s="9"/>
      <c r="J68" s="9"/>
      <c r="K68" s="9"/>
      <c r="L68" s="9"/>
      <c r="M68" s="9"/>
    </row>
    <row r="69" spans="2:14" ht="15.75" customHeight="1">
      <c r="B69" s="114" t="s">
        <v>107</v>
      </c>
      <c r="C69" s="9">
        <v>115</v>
      </c>
      <c r="D69" s="9" t="s">
        <v>623</v>
      </c>
      <c r="E69" s="9" t="str">
        <f>IF($B69 = "Mutant",VLOOKUP($C69,Mutants!$A$2:$L$560,12,FALSE),IF($B69 = "Test",VLOOKUP($C69,Tests!$A$2:$L$841,12,FALSE),VLOOKUP($C69,Questions!$A$3:$N$201,9,FALSE)))</f>
        <v>Y</v>
      </c>
      <c r="F69" s="187" t="str">
        <f>IF($B69 = "Mutant",VLOOKUP($C69,Mutants!$A$2:$L$560,11,FALSE),IF($B69 = "Test",VLOOKUP($C69,Tests!$A$2:$L$841,11,FALSE),VLOOKUP($C69,Questions!$A$3:$N$201,13,FALSE)))</f>
        <v xml:space="preserve">add
</v>
      </c>
      <c r="G69" s="187"/>
      <c r="H69" s="202"/>
      <c r="I69" s="9"/>
      <c r="J69" s="9"/>
      <c r="K69" s="9"/>
      <c r="L69" s="9"/>
      <c r="M69" s="9"/>
      <c r="N69" s="9"/>
    </row>
    <row r="70" spans="2:14" ht="15.75" customHeight="1">
      <c r="B70" s="114" t="s">
        <v>107</v>
      </c>
      <c r="C70" s="9">
        <v>117</v>
      </c>
      <c r="D70" s="9" t="s">
        <v>626</v>
      </c>
      <c r="E70" s="9" t="str">
        <f>IF($B70 = "Mutant",VLOOKUP($C70,Mutants!$A$2:$L$560,12,FALSE),IF($B70 = "Test",VLOOKUP($C70,Tests!$A$2:$L$841,12,FALSE),VLOOKUP($C70,Questions!$A$3:$N$201,9,FALSE)))</f>
        <v>Y</v>
      </c>
      <c r="F70" s="187" t="str">
        <f>IF($B70 = "Mutant",VLOOKUP($C70,Mutants!$A$2:$L$560,11,FALSE),IF($B70 = "Test",VLOOKUP($C70,Tests!$A$2:$L$841,11,FALSE),VLOOKUP($C70,Questions!$A$3:$N$201,13,FALSE)))</f>
        <v xml:space="preserve">add
</v>
      </c>
      <c r="G70" s="187"/>
      <c r="H70" s="202"/>
      <c r="I70" s="9"/>
      <c r="J70" s="9"/>
      <c r="K70" s="9"/>
      <c r="L70" s="9"/>
      <c r="M70" s="9"/>
      <c r="N70" s="9"/>
    </row>
    <row r="71" spans="2:14" ht="15.75" customHeight="1">
      <c r="B71" s="114" t="s">
        <v>107</v>
      </c>
      <c r="C71" s="9">
        <v>127</v>
      </c>
      <c r="D71" s="9" t="s">
        <v>629</v>
      </c>
      <c r="E71" s="9" t="str">
        <f>IF($B71 = "Mutant",VLOOKUP($C71,Mutants!$A$2:$L$560,12,FALSE),IF($B71 = "Test",VLOOKUP($C71,Tests!$A$2:$L$841,12,FALSE),VLOOKUP($C71,Questions!$A$3:$N$201,9,FALSE)))</f>
        <v>Y</v>
      </c>
      <c r="F71" s="187" t="str">
        <f>IF($B71 = "Mutant",VLOOKUP($C71,Mutants!$A$2:$L$560,11,FALSE),IF($B71 = "Test",VLOOKUP($C71,Tests!$A$2:$L$841,11,FALSE),VLOOKUP($C71,Questions!$A$3:$N$201,13,FALSE)))</f>
        <v xml:space="preserve">add
</v>
      </c>
      <c r="G71" s="187"/>
      <c r="H71" s="202"/>
      <c r="I71" s="9"/>
      <c r="J71" s="9"/>
      <c r="K71" s="9"/>
      <c r="L71" s="9"/>
      <c r="M71" s="9"/>
      <c r="N71" s="9"/>
    </row>
    <row r="72" spans="2:14" ht="15.75" customHeight="1">
      <c r="B72" s="114" t="s">
        <v>107</v>
      </c>
      <c r="C72" s="9">
        <v>134</v>
      </c>
      <c r="D72" s="9" t="s">
        <v>632</v>
      </c>
      <c r="E72" s="9" t="str">
        <f>IF($B72 = "Mutant",VLOOKUP($C72,Mutants!$A$2:$L$560,12,FALSE),IF($B72 = "Test",VLOOKUP($C72,Tests!$A$2:$L$841,12,FALSE),VLOOKUP($C72,Questions!$A$3:$N$201,9,FALSE)))</f>
        <v>Y</v>
      </c>
      <c r="F72" s="187" t="str">
        <f>IF($B72 = "Mutant",VLOOKUP($C72,Mutants!$A$2:$L$560,11,FALSE),IF($B72 = "Test",VLOOKUP($C72,Tests!$A$2:$L$841,11,FALSE),VLOOKUP($C72,Questions!$A$3:$N$201,13,FALSE)))</f>
        <v xml:space="preserve">add
</v>
      </c>
      <c r="G72" s="187"/>
      <c r="H72" s="202"/>
      <c r="I72" s="9"/>
      <c r="J72" s="9"/>
      <c r="K72" s="9"/>
      <c r="L72" s="9"/>
      <c r="M72" s="9"/>
      <c r="N72" s="9"/>
    </row>
    <row r="73" spans="2:14" ht="15.75" customHeight="1">
      <c r="B73" s="114" t="s">
        <v>4590</v>
      </c>
      <c r="C73" s="9">
        <v>632</v>
      </c>
      <c r="D73" s="9" t="s">
        <v>2231</v>
      </c>
      <c r="E73" s="9" t="str">
        <f>IF($B73 = "Mutant",VLOOKUP($C73,Mutants!$A$2:$L$560,12,FALSE),IF($B73 = "Test",VLOOKUP($C73,Tests!$A$2:$L$841,12,FALSE),VLOOKUP($C73,Questions!$A$3:$N$201,9,FALSE)))</f>
        <v>N</v>
      </c>
      <c r="F73" s="187" t="str">
        <f>IF($B73 = "Mutant",VLOOKUP($C73,Mutants!$A$2:$L$560,11,FALSE),IF($B73 = "Test",VLOOKUP($C73,Tests!$A$2:$L$841,11,FALSE),VLOOKUP($C73,Questions!$A$3:$N$201,13,FALSE)))</f>
        <v xml:space="preserve">
</v>
      </c>
      <c r="G73" s="187"/>
      <c r="H73" s="202"/>
      <c r="I73" s="9"/>
      <c r="J73" s="9"/>
      <c r="K73" s="9"/>
      <c r="L73" s="9"/>
      <c r="M73" s="9"/>
    </row>
    <row r="74" spans="2:14" ht="15.75" customHeight="1">
      <c r="B74" s="114" t="s">
        <v>4590</v>
      </c>
      <c r="C74" s="9">
        <v>636</v>
      </c>
      <c r="D74" s="9" t="s">
        <v>2247</v>
      </c>
      <c r="E74" s="9" t="str">
        <f>IF($B74 = "Mutant",VLOOKUP($C74,Mutants!$A$2:$L$560,12,FALSE),IF($B74 = "Test",VLOOKUP($C74,Tests!$A$2:$L$841,12,FALSE),VLOOKUP($C74,Questions!$A$3:$N$201,9,FALSE)))</f>
        <v>N</v>
      </c>
      <c r="F74" s="187" t="str">
        <f>IF($B74 = "Mutant",VLOOKUP($C74,Mutants!$A$2:$L$560,11,FALSE),IF($B74 = "Test",VLOOKUP($C74,Tests!$A$2:$L$841,11,FALSE),VLOOKUP($C74,Questions!$A$3:$N$201,13,FALSE)))</f>
        <v xml:space="preserve">
</v>
      </c>
      <c r="G74" s="187"/>
      <c r="H74" s="202"/>
      <c r="I74" s="9"/>
      <c r="J74" s="9"/>
      <c r="K74" s="9"/>
      <c r="L74" s="9"/>
      <c r="M74" s="9"/>
    </row>
    <row r="75" spans="2:14" ht="15.75" customHeight="1">
      <c r="B75" s="114" t="s">
        <v>4590</v>
      </c>
      <c r="C75" s="9">
        <v>641</v>
      </c>
      <c r="D75" s="9" t="s">
        <v>2260</v>
      </c>
      <c r="E75" s="9" t="str">
        <f>IF($B75 = "Mutant",VLOOKUP($C75,Mutants!$A$2:$L$560,12,FALSE),IF($B75 = "Test",VLOOKUP($C75,Tests!$A$2:$L$841,12,FALSE),VLOOKUP($C75,Questions!$A$3:$N$201,9,FALSE)))</f>
        <v>Y</v>
      </c>
      <c r="F75" s="187" t="str">
        <f>IF($B75 = "Mutant",VLOOKUP($C75,Mutants!$A$2:$L$560,11,FALSE),IF($B75 = "Test",VLOOKUP($C75,Tests!$A$2:$L$841,11,FALSE),VLOOKUP($C75,Questions!$A$3:$N$201,13,FALSE)))</f>
        <v xml:space="preserve">add
</v>
      </c>
      <c r="G75" s="187"/>
      <c r="H75" s="202"/>
      <c r="I75" s="9"/>
      <c r="J75" s="9"/>
      <c r="K75" s="9"/>
      <c r="L75" s="9"/>
      <c r="M75" s="9"/>
    </row>
    <row r="76" spans="2:14" ht="15.75" customHeight="1">
      <c r="B76" s="114" t="s">
        <v>4590</v>
      </c>
      <c r="C76" s="9">
        <v>681</v>
      </c>
      <c r="D76" s="9" t="s">
        <v>2365</v>
      </c>
      <c r="E76" s="9" t="str">
        <f>IF($B76 = "Mutant",VLOOKUP($C76,Mutants!$A$2:$L$560,12,FALSE),IF($B76 = "Test",VLOOKUP($C76,Tests!$A$2:$L$841,12,FALSE),VLOOKUP($C76,Questions!$A$3:$N$201,9,FALSE)))</f>
        <v>Y</v>
      </c>
      <c r="F76" s="187" t="str">
        <f>IF($B76 = "Mutant",VLOOKUP($C76,Mutants!$A$2:$L$560,11,FALSE),IF($B76 = "Test",VLOOKUP($C76,Tests!$A$2:$L$841,11,FALSE),VLOOKUP($C76,Questions!$A$3:$N$201,13,FALSE)))</f>
        <v xml:space="preserve">add
</v>
      </c>
      <c r="G76" s="187"/>
      <c r="H76" s="202"/>
      <c r="I76" s="9"/>
      <c r="J76" s="9"/>
      <c r="K76" s="9"/>
      <c r="L76" s="9"/>
      <c r="M76" s="9"/>
    </row>
    <row r="77" spans="2:14" ht="15.75" customHeight="1">
      <c r="B77" s="114" t="s">
        <v>4590</v>
      </c>
      <c r="C77" s="9">
        <v>688</v>
      </c>
      <c r="D77" s="9" t="s">
        <v>2384</v>
      </c>
      <c r="E77" s="9" t="str">
        <f>IF($B77 = "Mutant",VLOOKUP($C77,Mutants!$A$2:$L$560,12,FALSE),IF($B77 = "Test",VLOOKUP($C77,Tests!$A$2:$L$841,12,FALSE),VLOOKUP($C77,Questions!$A$3:$N$201,9,FALSE)))</f>
        <v>Y</v>
      </c>
      <c r="F77" s="187" t="str">
        <f>IF($B77 = "Mutant",VLOOKUP($C77,Mutants!$A$2:$L$560,11,FALSE),IF($B77 = "Test",VLOOKUP($C77,Tests!$A$2:$L$841,11,FALSE),VLOOKUP($C77,Questions!$A$3:$N$201,13,FALSE)))</f>
        <v xml:space="preserve">add, getField
</v>
      </c>
      <c r="G77" s="187"/>
      <c r="H77" s="202"/>
      <c r="I77" s="9"/>
      <c r="J77" s="9"/>
      <c r="K77" s="9"/>
      <c r="L77" s="9"/>
      <c r="M77" s="9"/>
    </row>
    <row r="78" spans="2:14" ht="15.75" customHeight="1">
      <c r="B78" s="114" t="s">
        <v>107</v>
      </c>
      <c r="C78" s="9">
        <v>154</v>
      </c>
      <c r="D78" s="9" t="s">
        <v>635</v>
      </c>
      <c r="E78" s="9" t="str">
        <f>IF($B78 = "Mutant",VLOOKUP($C78,Mutants!$A$2:$L$560,12,FALSE),IF($B78 = "Test",VLOOKUP($C78,Tests!$A$2:$L$841,12,FALSE),VLOOKUP($C78,Questions!$A$3:$N$201,9,FALSE)))</f>
        <v>Y</v>
      </c>
      <c r="F78" s="187" t="str">
        <f>IF($B78 = "Mutant",VLOOKUP($C78,Mutants!$A$2:$L$560,11,FALSE),IF($B78 = "Test",VLOOKUP($C78,Tests!$A$2:$L$841,11,FALSE),VLOOKUP($C78,Questions!$A$3:$N$201,13,FALSE)))</f>
        <v>removeField</v>
      </c>
      <c r="G78" s="187"/>
      <c r="H78" s="202"/>
      <c r="I78" s="9"/>
      <c r="J78" s="9"/>
      <c r="K78" s="9"/>
      <c r="L78" s="9"/>
      <c r="M78" s="9"/>
      <c r="N78" s="9"/>
    </row>
    <row r="79" spans="2:14" ht="15.75" customHeight="1">
      <c r="B79" s="114" t="s">
        <v>4590</v>
      </c>
      <c r="C79" s="9">
        <v>737</v>
      </c>
      <c r="D79" s="9" t="s">
        <v>2512</v>
      </c>
      <c r="E79" s="9" t="str">
        <f>IF($B79 = "Mutant",VLOOKUP($C79,Mutants!$A$2:$L$560,12,FALSE),IF($B79 = "Test",VLOOKUP($C79,Tests!$A$2:$L$841,12,FALSE),VLOOKUP($C79,Questions!$A$3:$N$201,9,FALSE)))</f>
        <v>Y</v>
      </c>
      <c r="F79" s="187" t="str">
        <f>IF($B79 = "Mutant",VLOOKUP($C79,Mutants!$A$2:$L$560,11,FALSE),IF($B79 = "Test",VLOOKUP($C79,Tests!$A$2:$L$841,11,FALSE),VLOOKUP($C79,Questions!$A$3:$N$201,13,FALSE)))</f>
        <v xml:space="preserve">add, removeField, getFields_2
</v>
      </c>
      <c r="G79" s="187"/>
      <c r="H79" s="202"/>
      <c r="I79" s="9"/>
      <c r="J79" s="9"/>
      <c r="K79" s="9"/>
      <c r="L79" s="9"/>
      <c r="M79" s="9"/>
    </row>
    <row r="80" spans="2:14" ht="15.75" customHeight="1">
      <c r="B80" s="114" t="s">
        <v>107</v>
      </c>
      <c r="C80" s="9">
        <v>169</v>
      </c>
      <c r="D80" s="9" t="s">
        <v>638</v>
      </c>
      <c r="E80" s="9" t="str">
        <f>IF($B80 = "Mutant",VLOOKUP($C80,Mutants!$A$2:$L$560,12,FALSE),IF($B80 = "Test",VLOOKUP($C80,Tests!$A$2:$L$841,12,FALSE),VLOOKUP($C80,Questions!$A$3:$N$201,9,FALSE)))</f>
        <v>Y</v>
      </c>
      <c r="F80" s="187" t="str">
        <f>IF($B80 = "Mutant",VLOOKUP($C80,Mutants!$A$2:$L$560,11,FALSE),IF($B80 = "Test",VLOOKUP($C80,Tests!$A$2:$L$841,11,FALSE),VLOOKUP($C80,Questions!$A$3:$N$201,13,FALSE)))</f>
        <v>removeField</v>
      </c>
      <c r="G80" s="187"/>
      <c r="H80" s="202"/>
      <c r="I80" s="9"/>
      <c r="J80" s="9"/>
      <c r="K80" s="9"/>
      <c r="L80" s="9"/>
      <c r="M80" s="9"/>
      <c r="N80" s="9"/>
    </row>
    <row r="81" spans="2:14" ht="15.75" customHeight="1">
      <c r="B81" s="114" t="s">
        <v>4590</v>
      </c>
      <c r="C81" s="9">
        <v>822</v>
      </c>
      <c r="D81" s="9" t="s">
        <v>2742</v>
      </c>
      <c r="E81" s="9" t="str">
        <f>IF($B81 = "Mutant",VLOOKUP($C81,Mutants!$A$2:$L$560,12,FALSE),IF($B81 = "Test",VLOOKUP($C81,Tests!$A$2:$L$841,12,FALSE),VLOOKUP($C81,Questions!$A$3:$N$201,9,FALSE)))</f>
        <v>Y</v>
      </c>
      <c r="F81" s="187" t="str">
        <f>IF($B81 = "Mutant",VLOOKUP($C81,Mutants!$A$2:$L$560,11,FALSE),IF($B81 = "Test",VLOOKUP($C81,Tests!$A$2:$L$841,11,FALSE),VLOOKUP($C81,Questions!$A$3:$N$201,13,FALSE)))</f>
        <v xml:space="preserve">add, getFields_2
</v>
      </c>
      <c r="G81" s="187"/>
      <c r="H81" s="202"/>
      <c r="I81" s="9"/>
      <c r="J81" s="9"/>
      <c r="K81" s="9"/>
      <c r="L81" s="9"/>
      <c r="M81" s="9"/>
    </row>
    <row r="82" spans="2:14" ht="15.75" customHeight="1">
      <c r="B82" s="114" t="s">
        <v>4590</v>
      </c>
      <c r="C82" s="9">
        <v>837</v>
      </c>
      <c r="D82" s="9" t="s">
        <v>661</v>
      </c>
      <c r="E82" s="9" t="str">
        <f>IF($B82 = "Mutant",VLOOKUP($C82,Mutants!$A$2:$L$560,12,FALSE),IF($B82 = "Test",VLOOKUP($C82,Tests!$A$2:$L$841,12,FALSE),VLOOKUP($C82,Questions!$A$3:$N$201,9,FALSE)))</f>
        <v>Y</v>
      </c>
      <c r="F82" s="187" t="str">
        <f>IF($B82 = "Mutant",VLOOKUP($C82,Mutants!$A$2:$L$560,11,FALSE),IF($B82 = "Test",VLOOKUP($C82,Tests!$A$2:$L$841,11,FALSE),VLOOKUP($C82,Questions!$A$3:$N$201,13,FALSE)))</f>
        <v xml:space="preserve">add, removeField, getFields_2
</v>
      </c>
      <c r="G82" s="187"/>
      <c r="H82" s="202"/>
      <c r="I82" s="9"/>
      <c r="J82" s="9"/>
      <c r="K82" s="9"/>
      <c r="L82" s="9"/>
      <c r="M82" s="9"/>
    </row>
    <row r="83" spans="2:14" ht="15.75" customHeight="1">
      <c r="B83" s="114" t="s">
        <v>4590</v>
      </c>
      <c r="C83" s="9">
        <v>844</v>
      </c>
      <c r="D83" s="9" t="s">
        <v>2796</v>
      </c>
      <c r="E83" s="9" t="str">
        <f>IF($B83 = "Mutant",VLOOKUP($C83,Mutants!$A$2:$L$560,12,FALSE),IF($B83 = "Test",VLOOKUP($C83,Tests!$A$2:$L$841,12,FALSE),VLOOKUP($C83,Questions!$A$3:$N$201,9,FALSE)))</f>
        <v>Y</v>
      </c>
      <c r="F83" s="187" t="str">
        <f>IF($B83 = "Mutant",VLOOKUP($C83,Mutants!$A$2:$L$560,11,FALSE),IF($B83 = "Test",VLOOKUP($C83,Tests!$A$2:$L$841,11,FALSE),VLOOKUP($C83,Questions!$A$3:$N$201,13,FALSE)))</f>
        <v xml:space="preserve">add, getFields_2
</v>
      </c>
      <c r="G83" s="187"/>
      <c r="H83" s="202"/>
      <c r="I83" s="9"/>
      <c r="J83" s="9"/>
      <c r="K83" s="9"/>
      <c r="L83" s="9"/>
      <c r="M83" s="9"/>
    </row>
    <row r="84" spans="2:14" ht="15.75" customHeight="1">
      <c r="B84" s="114" t="s">
        <v>4590</v>
      </c>
      <c r="C84" s="9">
        <v>847</v>
      </c>
      <c r="D84" s="9" t="s">
        <v>2809</v>
      </c>
      <c r="E84" s="9" t="str">
        <f>IF($B84 = "Mutant",VLOOKUP($C84,Mutants!$A$2:$L$560,12,FALSE),IF($B84 = "Test",VLOOKUP($C84,Tests!$A$2:$L$841,12,FALSE),VLOOKUP($C84,Questions!$A$3:$N$201,9,FALSE)))</f>
        <v>Y</v>
      </c>
      <c r="F84" s="187" t="str">
        <f>IF($B84 = "Mutant",VLOOKUP($C84,Mutants!$A$2:$L$560,11,FALSE),IF($B84 = "Test",VLOOKUP($C84,Tests!$A$2:$L$841,11,FALSE),VLOOKUP($C84,Questions!$A$3:$N$201,13,FALSE)))</f>
        <v xml:space="preserve">add, removeFields, getFields_2
</v>
      </c>
      <c r="G84" s="187"/>
      <c r="H84" s="202"/>
      <c r="I84" s="9"/>
      <c r="J84" s="9"/>
      <c r="K84" s="9"/>
      <c r="L84" s="9"/>
      <c r="M84" s="9"/>
    </row>
    <row r="85" spans="2:14" ht="15.75" customHeight="1">
      <c r="B85" s="114" t="s">
        <v>107</v>
      </c>
      <c r="C85" s="9">
        <v>185</v>
      </c>
      <c r="D85" s="9" t="s">
        <v>641</v>
      </c>
      <c r="E85" s="9" t="str">
        <f>IF($B85 = "Mutant",VLOOKUP($C85,Mutants!$A$2:$L$560,12,FALSE),IF($B85 = "Test",VLOOKUP($C85,Tests!$A$2:$L$841,12,FALSE),VLOOKUP($C85,Questions!$A$3:$N$201,9,FALSE)))</f>
        <v>Y</v>
      </c>
      <c r="F85" s="187" t="str">
        <f>IF($B85 = "Mutant",VLOOKUP($C85,Mutants!$A$2:$L$560,11,FALSE),IF($B85 = "Test",VLOOKUP($C85,Tests!$A$2:$L$841,11,FALSE),VLOOKUP($C85,Questions!$A$3:$N$201,13,FALSE)))</f>
        <v>getBinaryValues</v>
      </c>
      <c r="G85" s="187"/>
      <c r="H85" s="202"/>
      <c r="I85" s="9"/>
      <c r="J85" s="9"/>
      <c r="K85" s="9"/>
      <c r="L85" s="9"/>
      <c r="M85" s="9"/>
      <c r="N85" s="9"/>
    </row>
    <row r="86" spans="2:14" ht="15.75" customHeight="1">
      <c r="B86" s="114" t="s">
        <v>107</v>
      </c>
      <c r="C86" s="9">
        <v>192</v>
      </c>
      <c r="D86" s="9" t="s">
        <v>645</v>
      </c>
      <c r="E86" s="9" t="str">
        <f>IF($B86 = "Mutant",VLOOKUP($C86,Mutants!$A$2:$L$560,12,FALSE),IF($B86 = "Test",VLOOKUP($C86,Tests!$A$2:$L$841,12,FALSE),VLOOKUP($C86,Questions!$A$3:$N$201,9,FALSE)))</f>
        <v>Y</v>
      </c>
      <c r="F86" s="187" t="str">
        <f>IF($B86 = "Mutant",VLOOKUP($C86,Mutants!$A$2:$L$560,11,FALSE),IF($B86 = "Test",VLOOKUP($C86,Tests!$A$2:$L$841,11,FALSE),VLOOKUP($C86,Questions!$A$3:$N$201,13,FALSE)))</f>
        <v>removeField</v>
      </c>
      <c r="G86" s="187"/>
      <c r="H86" s="202"/>
      <c r="I86" s="9"/>
      <c r="J86" s="9"/>
      <c r="K86" s="9"/>
      <c r="L86" s="9"/>
      <c r="M86" s="9"/>
      <c r="N86" s="9"/>
    </row>
    <row r="87" spans="2:14" ht="15.75" customHeight="1">
      <c r="B87" s="133" t="s">
        <v>107</v>
      </c>
      <c r="C87" s="130">
        <v>199</v>
      </c>
      <c r="D87" s="130" t="s">
        <v>648</v>
      </c>
      <c r="E87" s="130" t="str">
        <f>IF($B87 = "Mutant",VLOOKUP($C87,Mutants!$A$2:$L$560,12,FALSE),IF($B87 = "Test",VLOOKUP($C87,Tests!$A$2:$L$841,12,FALSE),VLOOKUP($C87,Questions!$A$3:$N$201,9,FALSE)))</f>
        <v>Y</v>
      </c>
      <c r="F87" s="203" t="str">
        <f>IF($B87 = "Mutant",VLOOKUP($C87,Mutants!$A$2:$L$560,11,FALSE),IF($B87 = "Test",VLOOKUP($C87,Tests!$A$2:$L$841,11,FALSE),VLOOKUP($C87,Questions!$A$3:$N$201,13,FALSE)))</f>
        <v>getBinaryValues</v>
      </c>
      <c r="G87" s="203"/>
      <c r="H87" s="204"/>
      <c r="I87" s="9"/>
      <c r="J87" s="9"/>
      <c r="K87" s="9"/>
      <c r="L87" s="9"/>
      <c r="M87" s="9"/>
      <c r="N87" s="9"/>
    </row>
    <row r="88" spans="2:14" ht="15.75" customHeight="1">
      <c r="F88" s="188"/>
      <c r="G88" s="188"/>
      <c r="H88" s="188"/>
    </row>
    <row r="89" spans="2:14" ht="15.75" customHeight="1">
      <c r="F89" s="188"/>
      <c r="G89" s="188"/>
      <c r="H89" s="188"/>
    </row>
    <row r="90" spans="2:14" ht="15.75" customHeight="1" thickBot="1">
      <c r="B90" s="219" t="s">
        <v>4604</v>
      </c>
      <c r="C90" s="201"/>
      <c r="D90" s="45">
        <v>245</v>
      </c>
      <c r="F90" s="207"/>
      <c r="G90" s="207"/>
      <c r="H90" s="207"/>
    </row>
    <row r="91" spans="2:14" ht="15.75" customHeight="1" thickTop="1">
      <c r="B91" s="134" t="s">
        <v>4594</v>
      </c>
      <c r="C91" s="135" t="s">
        <v>44</v>
      </c>
      <c r="D91" s="135" t="s">
        <v>110</v>
      </c>
      <c r="E91" s="136" t="s">
        <v>2</v>
      </c>
      <c r="F91" s="229" t="s">
        <v>4612</v>
      </c>
      <c r="G91" s="229"/>
      <c r="H91" s="230"/>
      <c r="I91" s="9"/>
      <c r="J91" s="9"/>
      <c r="K91" s="9"/>
      <c r="L91" s="9"/>
      <c r="M91" s="9"/>
    </row>
    <row r="92" spans="2:14" ht="15.75" customHeight="1">
      <c r="B92" s="137" t="s">
        <v>4589</v>
      </c>
      <c r="C92" s="93">
        <v>381</v>
      </c>
      <c r="D92" s="93" t="s">
        <v>3868</v>
      </c>
      <c r="E92" s="93" t="str">
        <f>IF($B92 = "Mutant",VLOOKUP($C92,Mutants!$A$2:$L$560,12,FALSE),IF($B92 = "Test",VLOOKUP($C92,Tests!$A$2:$L$841,12,FALSE),VLOOKUP($C92,Questions!$A$3:$N$201,9,FALSE)))</f>
        <v>Y</v>
      </c>
      <c r="F92" s="205" t="str">
        <f>IF($B92 = "Mutant",VLOOKUP($C92,Mutants!$A$2:$L$560,11,FALSE),IF($B92 = "Test",VLOOKUP($C92,Tests!$A$2:$L$841,11,FALSE),VLOOKUP($C92,Questions!$A$3:$N$201,13,FALSE)))</f>
        <v xml:space="preserve">removeField
</v>
      </c>
      <c r="G92" s="205"/>
      <c r="H92" s="206"/>
      <c r="I92" s="9"/>
      <c r="J92" s="9"/>
      <c r="K92" s="9"/>
      <c r="L92" s="9"/>
      <c r="M92" s="9"/>
    </row>
    <row r="93" spans="2:14" ht="15.75" customHeight="1">
      <c r="B93" s="114" t="s">
        <v>4589</v>
      </c>
      <c r="C93" s="9">
        <v>410</v>
      </c>
      <c r="D93" s="9" t="s">
        <v>3944</v>
      </c>
      <c r="E93" s="9" t="str">
        <f>IF($B93 = "Mutant",VLOOKUP($C93,Mutants!$A$2:$L$560,12,FALSE),IF($B93 = "Test",VLOOKUP($C93,Tests!$A$2:$L$841,12,FALSE),VLOOKUP($C93,Questions!$A$3:$N$201,9,FALSE)))</f>
        <v>Y</v>
      </c>
      <c r="F93" s="187" t="str">
        <f>IF($B93 = "Mutant",VLOOKUP($C93,Mutants!$A$2:$L$560,11,FALSE),IF($B93 = "Test",VLOOKUP($C93,Tests!$A$2:$L$841,11,FALSE),VLOOKUP($C93,Questions!$A$3:$N$201,13,FALSE)))</f>
        <v xml:space="preserve">removeField
</v>
      </c>
      <c r="G93" s="187"/>
      <c r="H93" s="202"/>
      <c r="I93" s="9"/>
      <c r="J93" s="9"/>
      <c r="K93" s="9"/>
      <c r="L93" s="9"/>
      <c r="M93" s="9"/>
    </row>
    <row r="94" spans="2:14" ht="15.75" customHeight="1">
      <c r="B94" s="114" t="s">
        <v>4589</v>
      </c>
      <c r="C94" s="9">
        <v>427</v>
      </c>
      <c r="D94" s="9" t="s">
        <v>1766</v>
      </c>
      <c r="E94" s="9" t="str">
        <f>IF($B94 = "Mutant",VLOOKUP($C94,Mutants!$A$2:$L$560,12,FALSE),IF($B94 = "Test",VLOOKUP($C94,Tests!$A$2:$L$841,12,FALSE),VLOOKUP($C94,Questions!$A$3:$N$201,9,FALSE)))</f>
        <v>Y</v>
      </c>
      <c r="F94" s="187" t="str">
        <f>IF($B94 = "Mutant",VLOOKUP($C94,Mutants!$A$2:$L$560,11,FALSE),IF($B94 = "Test",VLOOKUP($C94,Tests!$A$2:$L$841,11,FALSE),VLOOKUP($C94,Questions!$A$3:$N$201,13,FALSE)))</f>
        <v xml:space="preserve">getBinaryValues
</v>
      </c>
      <c r="G94" s="187"/>
      <c r="H94" s="202"/>
      <c r="I94" s="9"/>
      <c r="J94" s="9"/>
      <c r="K94" s="9"/>
      <c r="L94" s="9"/>
      <c r="M94" s="9"/>
    </row>
    <row r="95" spans="2:14" ht="15.75" customHeight="1">
      <c r="B95" s="114" t="s">
        <v>4589</v>
      </c>
      <c r="C95" s="9">
        <v>444</v>
      </c>
      <c r="D95" s="9" t="s">
        <v>4033</v>
      </c>
      <c r="E95" s="9" t="str">
        <f>IF($B95 = "Mutant",VLOOKUP($C95,Mutants!$A$2:$L$560,12,FALSE),IF($B95 = "Test",VLOOKUP($C95,Tests!$A$2:$L$841,12,FALSE),VLOOKUP($C95,Questions!$A$3:$N$201,9,FALSE)))</f>
        <v>Y</v>
      </c>
      <c r="F95" s="187" t="str">
        <f>IF($B95 = "Mutant",VLOOKUP($C95,Mutants!$A$2:$L$560,11,FALSE),IF($B95 = "Test",VLOOKUP($C95,Tests!$A$2:$L$841,11,FALSE),VLOOKUP($C95,Questions!$A$3:$N$201,13,FALSE)))</f>
        <v xml:space="preserve">getBinaryValues
</v>
      </c>
      <c r="G95" s="187"/>
      <c r="H95" s="202"/>
      <c r="I95" s="9"/>
      <c r="J95" s="9"/>
      <c r="K95" s="9"/>
      <c r="L95" s="9"/>
      <c r="M95" s="9"/>
    </row>
    <row r="96" spans="2:14" ht="15.75" customHeight="1">
      <c r="B96" s="114" t="s">
        <v>4589</v>
      </c>
      <c r="C96" s="9">
        <v>454</v>
      </c>
      <c r="D96" s="9" t="s">
        <v>4061</v>
      </c>
      <c r="E96" s="9" t="str">
        <f>IF($B96 = "Mutant",VLOOKUP($C96,Mutants!$A$2:$L$560,12,FALSE),IF($B96 = "Test",VLOOKUP($C96,Tests!$A$2:$L$841,12,FALSE),VLOOKUP($C96,Questions!$A$3:$N$201,9,FALSE)))</f>
        <v>Y</v>
      </c>
      <c r="F96" s="187" t="str">
        <f>IF($B96 = "Mutant",VLOOKUP($C96,Mutants!$A$2:$L$560,11,FALSE),IF($B96 = "Test",VLOOKUP($C96,Tests!$A$2:$L$841,11,FALSE),VLOOKUP($C96,Questions!$A$3:$N$201,13,FALSE)))</f>
        <v xml:space="preserve">getBinaryValue
</v>
      </c>
      <c r="G96" s="187"/>
      <c r="H96" s="202"/>
      <c r="I96" s="9"/>
      <c r="J96" s="9"/>
      <c r="K96" s="9"/>
      <c r="L96" s="9"/>
      <c r="M96" s="9"/>
    </row>
    <row r="97" spans="2:14" ht="15.75" customHeight="1">
      <c r="B97" s="114" t="s">
        <v>4589</v>
      </c>
      <c r="C97" s="9">
        <v>462</v>
      </c>
      <c r="D97" s="9" t="s">
        <v>483</v>
      </c>
      <c r="E97" s="9" t="str">
        <f>IF($B97 = "Mutant",VLOOKUP($C97,Mutants!$A$2:$L$560,12,FALSE),IF($B97 = "Test",VLOOKUP($C97,Tests!$A$2:$L$841,12,FALSE),VLOOKUP($C97,Questions!$A$3:$N$201,9,FALSE)))</f>
        <v>Y</v>
      </c>
      <c r="F97" s="187" t="str">
        <f>IF($B97 = "Mutant",VLOOKUP($C97,Mutants!$A$2:$L$560,11,FALSE),IF($B97 = "Test",VLOOKUP($C97,Tests!$A$2:$L$841,11,FALSE),VLOOKUP($C97,Questions!$A$3:$N$201,13,FALSE)))</f>
        <v xml:space="preserve">getBinaryValue
</v>
      </c>
      <c r="G97" s="187"/>
      <c r="H97" s="202"/>
      <c r="I97" s="9"/>
      <c r="J97" s="9"/>
      <c r="K97" s="9"/>
      <c r="L97" s="9"/>
      <c r="M97" s="9"/>
    </row>
    <row r="98" spans="2:14" ht="15.75" customHeight="1">
      <c r="B98" s="114" t="s">
        <v>4589</v>
      </c>
      <c r="C98" s="9">
        <v>499</v>
      </c>
      <c r="D98" s="9" t="s">
        <v>4180</v>
      </c>
      <c r="E98" s="9" t="str">
        <f>IF($B98 = "Mutant",VLOOKUP($C98,Mutants!$A$2:$L$560,12,FALSE),IF($B98 = "Test",VLOOKUP($C98,Tests!$A$2:$L$841,12,FALSE),VLOOKUP($C98,Questions!$A$3:$N$201,9,FALSE)))</f>
        <v>Y</v>
      </c>
      <c r="F98" s="187" t="str">
        <f>IF($B98 = "Mutant",VLOOKUP($C98,Mutants!$A$2:$L$560,11,FALSE),IF($B98 = "Test",VLOOKUP($C98,Tests!$A$2:$L$841,11,FALSE),VLOOKUP($C98,Questions!$A$3:$N$201,13,FALSE)))</f>
        <v xml:space="preserve">getValues
</v>
      </c>
      <c r="G98" s="187"/>
      <c r="H98" s="202"/>
      <c r="I98" s="9"/>
      <c r="J98" s="9"/>
      <c r="K98" s="9"/>
      <c r="L98" s="9"/>
      <c r="M98" s="9"/>
    </row>
    <row r="99" spans="2:14" ht="15.75" customHeight="1">
      <c r="B99" s="114" t="s">
        <v>4589</v>
      </c>
      <c r="C99" s="9">
        <v>513</v>
      </c>
      <c r="D99" s="9" t="s">
        <v>1808</v>
      </c>
      <c r="E99" s="9" t="str">
        <f>IF($B99 = "Mutant",VLOOKUP($C99,Mutants!$A$2:$L$560,12,FALSE),IF($B99 = "Test",VLOOKUP($C99,Tests!$A$2:$L$841,12,FALSE),VLOOKUP($C99,Questions!$A$3:$N$201,9,FALSE)))</f>
        <v>Y</v>
      </c>
      <c r="F99" s="187" t="str">
        <f>IF($B99 = "Mutant",VLOOKUP($C99,Mutants!$A$2:$L$560,11,FALSE),IF($B99 = "Test",VLOOKUP($C99,Tests!$A$2:$L$841,11,FALSE),VLOOKUP($C99,Questions!$A$3:$N$201,13,FALSE)))</f>
        <v xml:space="preserve">add
</v>
      </c>
      <c r="G99" s="187"/>
      <c r="H99" s="202"/>
      <c r="I99" s="9"/>
      <c r="J99" s="9"/>
      <c r="K99" s="9"/>
      <c r="L99" s="9"/>
      <c r="M99" s="9"/>
    </row>
    <row r="100" spans="2:14" ht="15.75" customHeight="1">
      <c r="B100" s="114" t="s">
        <v>4589</v>
      </c>
      <c r="C100" s="9">
        <v>519</v>
      </c>
      <c r="D100" s="9" t="s">
        <v>4230</v>
      </c>
      <c r="E100" s="9" t="str">
        <f>IF($B100 = "Mutant",VLOOKUP($C100,Mutants!$A$2:$L$560,12,FALSE),IF($B100 = "Test",VLOOKUP($C100,Tests!$A$2:$L$841,12,FALSE),VLOOKUP($C100,Questions!$A$3:$N$201,9,FALSE)))</f>
        <v>Y</v>
      </c>
      <c r="F100" s="187" t="str">
        <f>IF($B100 = "Mutant",VLOOKUP($C100,Mutants!$A$2:$L$560,11,FALSE),IF($B100 = "Test",VLOOKUP($C100,Tests!$A$2:$L$841,11,FALSE),VLOOKUP($C100,Questions!$A$3:$N$201,13,FALSE)))</f>
        <v xml:space="preserve">getFields_1
</v>
      </c>
      <c r="G100" s="187"/>
      <c r="H100" s="202"/>
      <c r="I100" s="9"/>
      <c r="J100" s="9"/>
      <c r="K100" s="9"/>
      <c r="L100" s="9"/>
      <c r="M100" s="9"/>
    </row>
    <row r="101" spans="2:14" ht="15.75" customHeight="1">
      <c r="B101" s="114" t="s">
        <v>4589</v>
      </c>
      <c r="C101" s="9">
        <v>526</v>
      </c>
      <c r="D101" s="9" t="s">
        <v>4249</v>
      </c>
      <c r="E101" s="9" t="str">
        <f>IF($B101 = "Mutant",VLOOKUP($C101,Mutants!$A$2:$L$560,12,FALSE),IF($B101 = "Test",VLOOKUP($C101,Tests!$A$2:$L$841,12,FALSE),VLOOKUP($C101,Questions!$A$3:$N$201,9,FALSE)))</f>
        <v>Y</v>
      </c>
      <c r="F101" s="187" t="str">
        <f>IF($B101 = "Mutant",VLOOKUP($C101,Mutants!$A$2:$L$560,11,FALSE),IF($B101 = "Test",VLOOKUP($C101,Tests!$A$2:$L$841,11,FALSE),VLOOKUP($C101,Questions!$A$3:$N$201,13,FALSE)))</f>
        <v xml:space="preserve">getFields_1
</v>
      </c>
      <c r="G101" s="187"/>
      <c r="H101" s="202"/>
      <c r="I101" s="9"/>
      <c r="J101" s="9"/>
      <c r="K101" s="9"/>
      <c r="L101" s="9"/>
      <c r="M101" s="9"/>
    </row>
    <row r="102" spans="2:14" ht="15.75" customHeight="1">
      <c r="B102" s="114" t="s">
        <v>107</v>
      </c>
      <c r="C102" s="9">
        <v>111</v>
      </c>
      <c r="D102" s="9" t="s">
        <v>651</v>
      </c>
      <c r="E102" s="9" t="str">
        <f>IF($B102 = "Mutant",VLOOKUP($C102,Mutants!$A$2:$L$560,12,FALSE),IF($B102 = "Test",VLOOKUP($C102,Tests!$A$2:$L$841,12,FALSE),VLOOKUP($C102,Questions!$A$3:$N$201,9,FALSE)))</f>
        <v>Y</v>
      </c>
      <c r="F102" s="187" t="str">
        <f>IF($B102 = "Mutant",VLOOKUP($C102,Mutants!$A$2:$L$560,11,FALSE),IF($B102 = "Test",VLOOKUP($C102,Tests!$A$2:$L$841,11,FALSE),VLOOKUP($C102,Questions!$A$3:$N$201,13,FALSE)))</f>
        <v xml:space="preserve">iterator
</v>
      </c>
      <c r="G102" s="187"/>
      <c r="H102" s="202"/>
      <c r="I102" s="9"/>
      <c r="J102" s="9"/>
      <c r="K102" s="9"/>
      <c r="L102" s="9"/>
      <c r="M102" s="9"/>
      <c r="N102" s="9"/>
    </row>
    <row r="103" spans="2:14" ht="15.75" customHeight="1">
      <c r="B103" s="114" t="s">
        <v>4590</v>
      </c>
      <c r="C103" s="9">
        <v>513</v>
      </c>
      <c r="D103" s="9" t="s">
        <v>1879</v>
      </c>
      <c r="E103" s="9" t="str">
        <f>IF($B103 = "Mutant",VLOOKUP($C103,Mutants!$A$2:$L$560,12,FALSE),IF($B103 = "Test",VLOOKUP($C103,Tests!$A$2:$L$841,12,FALSE),VLOOKUP($C103,Questions!$A$3:$N$201,9,FALSE)))</f>
        <v>N</v>
      </c>
      <c r="F103" s="187" t="str">
        <f>IF($B103 = "Mutant",VLOOKUP($C103,Mutants!$A$2:$L$560,11,FALSE),IF($B103 = "Test",VLOOKUP($C103,Tests!$A$2:$L$841,11,FALSE),VLOOKUP($C103,Questions!$A$3:$N$201,13,FALSE)))</f>
        <v xml:space="preserve">
</v>
      </c>
      <c r="G103" s="187"/>
      <c r="H103" s="202"/>
      <c r="I103" s="9"/>
      <c r="J103" s="9"/>
      <c r="K103" s="9"/>
      <c r="L103" s="9"/>
      <c r="M103" s="9"/>
    </row>
    <row r="104" spans="2:14" ht="15.75" customHeight="1">
      <c r="B104" s="114" t="s">
        <v>107</v>
      </c>
      <c r="C104" s="9">
        <v>125</v>
      </c>
      <c r="D104" s="9" t="s">
        <v>654</v>
      </c>
      <c r="E104" s="9" t="str">
        <f>IF($B104 = "Mutant",VLOOKUP($C104,Mutants!$A$2:$L$560,12,FALSE),IF($B104 = "Test",VLOOKUP($C104,Tests!$A$2:$L$841,12,FALSE),VLOOKUP($C104,Questions!$A$3:$N$201,9,FALSE)))</f>
        <v>N</v>
      </c>
      <c r="F104" s="187" t="str">
        <f>IF($B104 = "Mutant",VLOOKUP($C104,Mutants!$A$2:$L$560,11,FALSE),IF($B104 = "Test",VLOOKUP($C104,Tests!$A$2:$L$841,11,FALSE),VLOOKUP($C104,Questions!$A$3:$N$201,13,FALSE)))</f>
        <v xml:space="preserve"> </v>
      </c>
      <c r="G104" s="187"/>
      <c r="H104" s="202"/>
      <c r="I104" s="9"/>
      <c r="J104" s="9"/>
      <c r="K104" s="9"/>
      <c r="L104" s="9"/>
      <c r="M104" s="9"/>
    </row>
    <row r="105" spans="2:14" ht="15.75" customHeight="1">
      <c r="B105" s="114" t="s">
        <v>107</v>
      </c>
      <c r="C105" s="9">
        <v>126</v>
      </c>
      <c r="D105" s="9" t="s">
        <v>629</v>
      </c>
      <c r="E105" s="9" t="str">
        <f>IF($B105 = "Mutant",VLOOKUP($C105,Mutants!$A$2:$L$560,12,FALSE),IF($B105 = "Test",VLOOKUP($C105,Tests!$A$2:$L$841,12,FALSE),VLOOKUP($C105,Questions!$A$3:$N$201,9,FALSE)))</f>
        <v>Y</v>
      </c>
      <c r="F105" s="187" t="str">
        <f>IF($B105 = "Mutant",VLOOKUP($C105,Mutants!$A$2:$L$560,11,FALSE),IF($B105 = "Test",VLOOKUP($C105,Tests!$A$2:$L$841,11,FALSE),VLOOKUP($C105,Questions!$A$3:$N$201,13,FALSE)))</f>
        <v xml:space="preserve">iterator
</v>
      </c>
      <c r="G105" s="187"/>
      <c r="H105" s="202"/>
      <c r="I105" s="9"/>
      <c r="J105" s="9"/>
      <c r="K105" s="9"/>
      <c r="L105" s="9"/>
      <c r="M105" s="9"/>
      <c r="N105" s="9"/>
    </row>
    <row r="106" spans="2:14" ht="15.75" customHeight="1">
      <c r="B106" s="114" t="s">
        <v>107</v>
      </c>
      <c r="C106" s="9">
        <v>150</v>
      </c>
      <c r="D106" s="9" t="s">
        <v>658</v>
      </c>
      <c r="E106" s="9" t="str">
        <f>IF($B106 = "Mutant",VLOOKUP($C106,Mutants!$A$2:$L$560,12,FALSE),IF($B106 = "Test",VLOOKUP($C106,Tests!$A$2:$L$841,12,FALSE),VLOOKUP($C106,Questions!$A$3:$N$201,9,FALSE)))</f>
        <v>Y</v>
      </c>
      <c r="F106" s="187" t="str">
        <f>IF($B106 = "Mutant",VLOOKUP($C106,Mutants!$A$2:$L$560,11,FALSE),IF($B106 = "Test",VLOOKUP($C106,Tests!$A$2:$L$841,11,FALSE),VLOOKUP($C106,Questions!$A$3:$N$201,13,FALSE)))</f>
        <v xml:space="preserve">removeField, removeFields
</v>
      </c>
      <c r="G106" s="187"/>
      <c r="H106" s="202"/>
      <c r="I106" s="9"/>
      <c r="J106" s="9"/>
      <c r="K106" s="9"/>
      <c r="L106" s="9"/>
      <c r="M106" s="9"/>
      <c r="N106" s="9"/>
    </row>
    <row r="107" spans="2:14" ht="15.75" customHeight="1">
      <c r="B107" s="114" t="s">
        <v>4590</v>
      </c>
      <c r="C107" s="9">
        <v>786</v>
      </c>
      <c r="D107" s="9" t="s">
        <v>2649</v>
      </c>
      <c r="E107" s="9" t="str">
        <f>IF($B107 = "Mutant",VLOOKUP($C107,Mutants!$A$2:$L$560,12,FALSE),IF($B107 = "Test",VLOOKUP($C107,Tests!$A$2:$L$841,12,FALSE),VLOOKUP($C107,Questions!$A$3:$N$201,9,FALSE)))</f>
        <v>N</v>
      </c>
      <c r="F107" s="187" t="str">
        <f>IF($B107 = "Mutant",VLOOKUP($C107,Mutants!$A$2:$L$560,11,FALSE),IF($B107 = "Test",VLOOKUP($C107,Tests!$A$2:$L$841,11,FALSE),VLOOKUP($C107,Questions!$A$3:$N$201,13,FALSE)))</f>
        <v xml:space="preserve">
</v>
      </c>
      <c r="G107" s="187"/>
      <c r="H107" s="202"/>
      <c r="I107" s="9"/>
      <c r="J107" s="9"/>
      <c r="K107" s="9"/>
      <c r="L107" s="9"/>
      <c r="M107" s="9"/>
    </row>
    <row r="108" spans="2:14" ht="15.75" customHeight="1">
      <c r="B108" s="114" t="s">
        <v>4590</v>
      </c>
      <c r="C108" s="9">
        <v>807</v>
      </c>
      <c r="D108" s="9" t="s">
        <v>2704</v>
      </c>
      <c r="E108" s="9" t="str">
        <f>IF($B108 = "Mutant",VLOOKUP($C108,Mutants!$A$2:$L$560,12,FALSE),IF($B108 = "Test",VLOOKUP($C108,Tests!$A$2:$L$841,12,FALSE),VLOOKUP($C108,Questions!$A$3:$N$201,9,FALSE)))</f>
        <v>Y</v>
      </c>
      <c r="F108" s="187" t="str">
        <f>IF($B108 = "Mutant",VLOOKUP($C108,Mutants!$A$2:$L$560,11,FALSE),IF($B108 = "Test",VLOOKUP($C108,Tests!$A$2:$L$841,11,FALSE),VLOOKUP($C108,Questions!$A$3:$N$201,13,FALSE)))</f>
        <v xml:space="preserve">add, removeFields
</v>
      </c>
      <c r="G108" s="187"/>
      <c r="H108" s="202"/>
      <c r="I108" s="9"/>
      <c r="J108" s="9"/>
      <c r="K108" s="9"/>
      <c r="L108" s="9"/>
      <c r="M108" s="9"/>
    </row>
    <row r="109" spans="2:14" ht="15.75" customHeight="1">
      <c r="B109" s="114" t="s">
        <v>107</v>
      </c>
      <c r="C109" s="9">
        <v>176</v>
      </c>
      <c r="D109" s="9" t="s">
        <v>661</v>
      </c>
      <c r="E109" s="9" t="str">
        <f>IF($B109 = "Mutant",VLOOKUP($C109,Mutants!$A$2:$L$560,12,FALSE),IF($B109 = "Test",VLOOKUP($C109,Tests!$A$2:$L$841,12,FALSE),VLOOKUP($C109,Questions!$A$3:$N$201,9,FALSE)))</f>
        <v>Y</v>
      </c>
      <c r="F109" s="187" t="str">
        <f>IF($B109 = "Mutant",VLOOKUP($C109,Mutants!$A$2:$L$560,11,FALSE),IF($B109 = "Test",VLOOKUP($C109,Tests!$A$2:$L$841,11,FALSE),VLOOKUP($C109,Questions!$A$3:$N$201,13,FALSE)))</f>
        <v xml:space="preserve">getBinaryValues
</v>
      </c>
      <c r="G109" s="187"/>
      <c r="H109" s="202"/>
      <c r="I109" s="9"/>
      <c r="J109" s="9"/>
      <c r="K109" s="9"/>
      <c r="L109" s="9"/>
      <c r="M109" s="9"/>
      <c r="N109" s="9"/>
    </row>
    <row r="110" spans="2:14" ht="15.75" customHeight="1">
      <c r="B110" s="133" t="s">
        <v>4590</v>
      </c>
      <c r="C110" s="130">
        <v>934</v>
      </c>
      <c r="D110" s="130" t="s">
        <v>3057</v>
      </c>
      <c r="E110" s="130" t="str">
        <f>IF($B110 = "Mutant",VLOOKUP($C110,Mutants!$A$2:$L$560,12,FALSE),IF($B110 = "Test",VLOOKUP($C110,Tests!$A$2:$L$841,12,FALSE),VLOOKUP($C110,Questions!$A$3:$N$201,9,FALSE)))</f>
        <v>Y</v>
      </c>
      <c r="F110" s="203" t="str">
        <f>IF($B110 = "Mutant",VLOOKUP($C110,Mutants!$A$2:$L$560,11,FALSE),IF($B110 = "Test",VLOOKUP($C110,Tests!$A$2:$L$841,11,FALSE),VLOOKUP($C110,Questions!$A$3:$N$201,13,FALSE)))</f>
        <v xml:space="preserve">add, getBinaryValues
</v>
      </c>
      <c r="G110" s="203"/>
      <c r="H110" s="204"/>
      <c r="I110" s="9"/>
      <c r="J110" s="9"/>
      <c r="K110" s="9"/>
      <c r="L110" s="9"/>
      <c r="M110" s="9"/>
    </row>
    <row r="111" spans="2:14" ht="15.75" customHeight="1">
      <c r="F111" s="188"/>
      <c r="G111" s="188"/>
      <c r="H111" s="188"/>
    </row>
    <row r="112" spans="2:14" ht="15.75" customHeight="1">
      <c r="F112" s="188"/>
      <c r="G112" s="188"/>
      <c r="H112" s="188"/>
    </row>
    <row r="113" spans="2:13" ht="15.75" customHeight="1" thickBot="1">
      <c r="B113" s="219" t="s">
        <v>4604</v>
      </c>
      <c r="C113" s="201"/>
      <c r="D113" s="45">
        <v>246</v>
      </c>
      <c r="F113" s="207"/>
      <c r="G113" s="207"/>
      <c r="H113" s="207"/>
    </row>
    <row r="114" spans="2:13" ht="15.75" customHeight="1" thickTop="1">
      <c r="B114" s="134" t="s">
        <v>4594</v>
      </c>
      <c r="C114" s="135" t="s">
        <v>44</v>
      </c>
      <c r="D114" s="135" t="s">
        <v>110</v>
      </c>
      <c r="E114" s="136" t="s">
        <v>2</v>
      </c>
      <c r="F114" s="229" t="s">
        <v>4612</v>
      </c>
      <c r="G114" s="229"/>
      <c r="H114" s="230"/>
      <c r="I114" s="9"/>
      <c r="J114" s="9"/>
      <c r="K114" s="9"/>
      <c r="L114" s="9"/>
      <c r="M114" s="9"/>
    </row>
    <row r="115" spans="2:13" ht="15.75" customHeight="1">
      <c r="B115" s="137" t="s">
        <v>4589</v>
      </c>
      <c r="C115" s="93">
        <v>396</v>
      </c>
      <c r="D115" s="93" t="s">
        <v>3908</v>
      </c>
      <c r="E115" s="93" t="str">
        <f>IF($B115 = "Mutant",VLOOKUP($C115,Mutants!$A$2:$L$560,12,FALSE),IF($B115 = "Test",VLOOKUP($C115,Tests!$A$2:$L$841,12,FALSE),VLOOKUP($C115,Questions!$A$3:$N$201,9,FALSE)))</f>
        <v>Y</v>
      </c>
      <c r="F115" s="205" t="str">
        <f>IF($B115 = "Mutant",VLOOKUP($C115,Mutants!$A$2:$L$560,11,FALSE),IF($B115 = "Test",VLOOKUP($C115,Tests!$A$2:$L$841,11,FALSE),VLOOKUP($C115,Questions!$A$3:$N$201,13,FALSE)))</f>
        <v xml:space="preserve">removeField, removeFields
</v>
      </c>
      <c r="G115" s="205"/>
      <c r="H115" s="206"/>
      <c r="I115" s="9"/>
      <c r="J115" s="9"/>
      <c r="K115" s="9"/>
      <c r="L115" s="9"/>
      <c r="M115" s="9"/>
    </row>
    <row r="116" spans="2:13" ht="15.75" customHeight="1">
      <c r="B116" s="114" t="s">
        <v>4589</v>
      </c>
      <c r="C116" s="9">
        <v>418</v>
      </c>
      <c r="D116" s="9" t="s">
        <v>1756</v>
      </c>
      <c r="E116" s="9" t="str">
        <f>IF($B116 = "Mutant",VLOOKUP($C116,Mutants!$A$2:$L$560,12,FALSE),IF($B116 = "Test",VLOOKUP($C116,Tests!$A$2:$L$841,12,FALSE),VLOOKUP($C116,Questions!$A$3:$N$201,9,FALSE)))</f>
        <v>Y</v>
      </c>
      <c r="F116" s="187" t="str">
        <f>IF($B116 = "Mutant",VLOOKUP($C116,Mutants!$A$2:$L$560,11,FALSE),IF($B116 = "Test",VLOOKUP($C116,Tests!$A$2:$L$841,11,FALSE),VLOOKUP($C116,Questions!$A$3:$N$201,13,FALSE)))</f>
        <v xml:space="preserve">getBinaryValues
</v>
      </c>
      <c r="G116" s="187"/>
      <c r="H116" s="202"/>
      <c r="I116" s="9"/>
      <c r="J116" s="9"/>
      <c r="K116" s="9"/>
      <c r="L116" s="9"/>
      <c r="M116" s="9"/>
    </row>
    <row r="117" spans="2:13" ht="15.75" customHeight="1">
      <c r="B117" s="114" t="s">
        <v>4589</v>
      </c>
      <c r="C117" s="9">
        <v>439</v>
      </c>
      <c r="D117" s="9" t="s">
        <v>4018</v>
      </c>
      <c r="E117" s="9" t="str">
        <f>IF($B117 = "Mutant",VLOOKUP($C117,Mutants!$A$2:$L$560,12,FALSE),IF($B117 = "Test",VLOOKUP($C117,Tests!$A$2:$L$841,12,FALSE),VLOOKUP($C117,Questions!$A$3:$N$201,9,FALSE)))</f>
        <v>Y</v>
      </c>
      <c r="F117" s="187" t="str">
        <f>IF($B117 = "Mutant",VLOOKUP($C117,Mutants!$A$2:$L$560,11,FALSE),IF($B117 = "Test",VLOOKUP($C117,Tests!$A$2:$L$841,11,FALSE),VLOOKUP($C117,Questions!$A$3:$N$201,13,FALSE)))</f>
        <v xml:space="preserve">clear
</v>
      </c>
      <c r="G117" s="187"/>
      <c r="H117" s="202"/>
      <c r="I117" s="9"/>
      <c r="J117" s="9"/>
      <c r="K117" s="9"/>
      <c r="L117" s="9"/>
      <c r="M117" s="9"/>
    </row>
    <row r="118" spans="2:13" ht="15.75" customHeight="1">
      <c r="B118" s="114" t="s">
        <v>4589</v>
      </c>
      <c r="C118" s="9">
        <v>445</v>
      </c>
      <c r="D118" s="9" t="s">
        <v>4033</v>
      </c>
      <c r="E118" s="9" t="str">
        <f>IF($B118 = "Mutant",VLOOKUP($C118,Mutants!$A$2:$L$560,12,FALSE),IF($B118 = "Test",VLOOKUP($C118,Tests!$A$2:$L$841,12,FALSE),VLOOKUP($C118,Questions!$A$3:$N$201,9,FALSE)))</f>
        <v>Y</v>
      </c>
      <c r="F118" s="187" t="str">
        <f>IF($B118 = "Mutant",VLOOKUP($C118,Mutants!$A$2:$L$560,11,FALSE),IF($B118 = "Test",VLOOKUP($C118,Tests!$A$2:$L$841,11,FALSE),VLOOKUP($C118,Questions!$A$3:$N$201,13,FALSE)))</f>
        <v xml:space="preserve">getBinaryValues
</v>
      </c>
      <c r="G118" s="187"/>
      <c r="H118" s="202"/>
      <c r="I118" s="9"/>
      <c r="J118" s="9"/>
      <c r="K118" s="9"/>
      <c r="L118" s="9"/>
      <c r="M118" s="9"/>
    </row>
    <row r="119" spans="2:13" ht="15.75" customHeight="1">
      <c r="B119" s="114" t="s">
        <v>4589</v>
      </c>
      <c r="C119" s="9">
        <v>450</v>
      </c>
      <c r="D119" s="9" t="s">
        <v>4049</v>
      </c>
      <c r="E119" s="9" t="str">
        <f>IF($B119 = "Mutant",VLOOKUP($C119,Mutants!$A$2:$L$560,12,FALSE),IF($B119 = "Test",VLOOKUP($C119,Tests!$A$2:$L$841,12,FALSE),VLOOKUP($C119,Questions!$A$3:$N$201,9,FALSE)))</f>
        <v>Y</v>
      </c>
      <c r="F119" s="187" t="str">
        <f>IF($B119 = "Mutant",VLOOKUP($C119,Mutants!$A$2:$L$560,11,FALSE),IF($B119 = "Test",VLOOKUP($C119,Tests!$A$2:$L$841,11,FALSE),VLOOKUP($C119,Questions!$A$3:$N$201,13,FALSE)))</f>
        <v xml:space="preserve">getBinaryValue
</v>
      </c>
      <c r="G119" s="187"/>
      <c r="H119" s="202"/>
      <c r="I119" s="9"/>
      <c r="J119" s="9"/>
      <c r="K119" s="9"/>
      <c r="L119" s="9"/>
      <c r="M119" s="9"/>
    </row>
    <row r="120" spans="2:13" ht="15.75" customHeight="1">
      <c r="B120" s="114" t="s">
        <v>107</v>
      </c>
      <c r="C120" s="9">
        <v>105</v>
      </c>
      <c r="D120" s="9" t="s">
        <v>664</v>
      </c>
      <c r="E120" s="9" t="str">
        <f>IF($B120 = "Mutant",VLOOKUP($C120,Mutants!$A$2:$L$560,12,FALSE),IF($B120 = "Test",VLOOKUP($C120,Tests!$A$2:$L$841,12,FALSE),VLOOKUP($C120,Questions!$A$3:$N$201,9,FALSE)))</f>
        <v>N</v>
      </c>
      <c r="F120" s="187" t="str">
        <f>IF($B120 = "Mutant",VLOOKUP($C120,Mutants!$A$2:$L$560,11,FALSE),IF($B120 = "Test",VLOOKUP($C120,Tests!$A$2:$L$841,11,FALSE),VLOOKUP($C120,Questions!$A$3:$N$201,13,FALSE)))</f>
        <v xml:space="preserve"> </v>
      </c>
      <c r="G120" s="187"/>
      <c r="H120" s="202"/>
      <c r="I120" s="9"/>
      <c r="J120" s="9"/>
      <c r="K120" s="9"/>
      <c r="L120" s="9"/>
      <c r="M120" s="9"/>
    </row>
    <row r="121" spans="2:13" ht="15.75" customHeight="1">
      <c r="B121" s="114" t="s">
        <v>107</v>
      </c>
      <c r="C121" s="9">
        <v>109</v>
      </c>
      <c r="D121" s="9" t="s">
        <v>665</v>
      </c>
      <c r="E121" s="9" t="str">
        <f>IF($B121 = "Mutant",VLOOKUP($C121,Mutants!$A$2:$L$560,12,FALSE),IF($B121 = "Test",VLOOKUP($C121,Tests!$A$2:$L$841,12,FALSE),VLOOKUP($C121,Questions!$A$3:$N$201,9,FALSE)))</f>
        <v>Y</v>
      </c>
      <c r="F121" s="187" t="str">
        <f>IF($B121 = "Mutant",VLOOKUP($C121,Mutants!$A$2:$L$560,11,FALSE),IF($B121 = "Test",VLOOKUP($C121,Tests!$A$2:$L$841,11,FALSE),VLOOKUP($C121,Questions!$A$3:$N$201,13,FALSE)))</f>
        <v xml:space="preserve"> </v>
      </c>
      <c r="G121" s="187"/>
      <c r="H121" s="202"/>
      <c r="I121" s="9"/>
      <c r="J121" s="9"/>
      <c r="K121" s="9"/>
      <c r="L121" s="9"/>
      <c r="M121" s="9"/>
    </row>
    <row r="122" spans="2:13" ht="15.75" customHeight="1">
      <c r="B122" s="114" t="s">
        <v>4589</v>
      </c>
      <c r="C122" s="9">
        <v>528</v>
      </c>
      <c r="D122" s="9" t="s">
        <v>4255</v>
      </c>
      <c r="E122" s="9" t="str">
        <f>IF($B122 = "Mutant",VLOOKUP($C122,Mutants!$A$2:$L$560,12,FALSE),IF($B122 = "Test",VLOOKUP($C122,Tests!$A$2:$L$841,12,FALSE),VLOOKUP($C122,Questions!$A$3:$N$201,9,FALSE)))</f>
        <v>Y</v>
      </c>
      <c r="F122" s="187" t="str">
        <f>IF($B122 = "Mutant",VLOOKUP($C122,Mutants!$A$2:$L$560,11,FALSE),IF($B122 = "Test",VLOOKUP($C122,Tests!$A$2:$L$841,11,FALSE),VLOOKUP($C122,Questions!$A$3:$N$201,13,FALSE)))</f>
        <v xml:space="preserve">getValues
</v>
      </c>
      <c r="G122" s="187"/>
      <c r="H122" s="202"/>
      <c r="I122" s="9"/>
      <c r="J122" s="9"/>
      <c r="K122" s="9"/>
      <c r="L122" s="9"/>
      <c r="M122" s="9"/>
    </row>
    <row r="123" spans="2:13" ht="15.75" customHeight="1">
      <c r="B123" s="114" t="s">
        <v>4589</v>
      </c>
      <c r="C123" s="9">
        <v>548</v>
      </c>
      <c r="D123" s="9" t="s">
        <v>1905</v>
      </c>
      <c r="E123" s="9" t="str">
        <f>IF($B123 = "Mutant",VLOOKUP($C123,Mutants!$A$2:$L$560,12,FALSE),IF($B123 = "Test",VLOOKUP($C123,Tests!$A$2:$L$841,12,FALSE),VLOOKUP($C123,Questions!$A$3:$N$201,9,FALSE)))</f>
        <v>Y</v>
      </c>
      <c r="F123" s="187" t="str">
        <f>IF($B123 = "Mutant",VLOOKUP($C123,Mutants!$A$2:$L$560,11,FALSE),IF($B123 = "Test",VLOOKUP($C123,Tests!$A$2:$L$841,11,FALSE),VLOOKUP($C123,Questions!$A$3:$N$201,13,FALSE)))</f>
        <v xml:space="preserve">getValues, toString
</v>
      </c>
      <c r="G123" s="187"/>
      <c r="H123" s="202"/>
      <c r="I123" s="9"/>
      <c r="J123" s="9"/>
      <c r="K123" s="9"/>
      <c r="L123" s="9"/>
      <c r="M123" s="9"/>
    </row>
    <row r="124" spans="2:13" ht="15.75" customHeight="1">
      <c r="B124" s="114" t="s">
        <v>4589</v>
      </c>
      <c r="C124" s="9">
        <v>552</v>
      </c>
      <c r="D124" s="9" t="s">
        <v>623</v>
      </c>
      <c r="E124" s="9" t="str">
        <f>IF($B124 = "Mutant",VLOOKUP($C124,Mutants!$A$2:$L$560,12,FALSE),IF($B124 = "Test",VLOOKUP($C124,Tests!$A$2:$L$841,12,FALSE),VLOOKUP($C124,Questions!$A$3:$N$201,9,FALSE)))</f>
        <v>Y</v>
      </c>
      <c r="F124" s="187" t="str">
        <f>IF($B124 = "Mutant",VLOOKUP($C124,Mutants!$A$2:$L$560,11,FALSE),IF($B124 = "Test",VLOOKUP($C124,Tests!$A$2:$L$841,11,FALSE),VLOOKUP($C124,Questions!$A$3:$N$201,13,FALSE)))</f>
        <v xml:space="preserve">toString
</v>
      </c>
      <c r="G124" s="187"/>
      <c r="H124" s="202"/>
      <c r="I124" s="9"/>
      <c r="J124" s="9"/>
      <c r="K124" s="9"/>
      <c r="L124" s="9"/>
      <c r="M124" s="9"/>
    </row>
    <row r="125" spans="2:13" ht="15.75" customHeight="1">
      <c r="B125" s="114" t="s">
        <v>4589</v>
      </c>
      <c r="C125" s="9">
        <v>553</v>
      </c>
      <c r="D125" s="9" t="s">
        <v>4318</v>
      </c>
      <c r="E125" s="9" t="str">
        <f>IF($B125 = "Mutant",VLOOKUP($C125,Mutants!$A$2:$L$560,12,FALSE),IF($B125 = "Test",VLOOKUP($C125,Tests!$A$2:$L$841,12,FALSE),VLOOKUP($C125,Questions!$A$3:$N$201,9,FALSE)))</f>
        <v>Y</v>
      </c>
      <c r="F125" s="187" t="str">
        <f>IF($B125 = "Mutant",VLOOKUP($C125,Mutants!$A$2:$L$560,11,FALSE),IF($B125 = "Test",VLOOKUP($C125,Tests!$A$2:$L$841,11,FALSE),VLOOKUP($C125,Questions!$A$3:$N$201,13,FALSE)))</f>
        <v xml:space="preserve">removeField
</v>
      </c>
      <c r="G125" s="187"/>
      <c r="H125" s="202"/>
      <c r="I125" s="9"/>
      <c r="J125" s="9"/>
      <c r="K125" s="9"/>
      <c r="L125" s="9"/>
      <c r="M125" s="9"/>
    </row>
    <row r="126" spans="2:13" ht="15.75" customHeight="1">
      <c r="B126" s="114" t="s">
        <v>4589</v>
      </c>
      <c r="C126" s="9">
        <v>554</v>
      </c>
      <c r="D126" s="9" t="s">
        <v>490</v>
      </c>
      <c r="E126" s="9" t="str">
        <f>IF($B126 = "Mutant",VLOOKUP($C126,Mutants!$A$2:$L$560,12,FALSE),IF($B126 = "Test",VLOOKUP($C126,Tests!$A$2:$L$841,12,FALSE),VLOOKUP($C126,Questions!$A$3:$N$201,9,FALSE)))</f>
        <v>Y</v>
      </c>
      <c r="F126" s="187" t="str">
        <f>IF($B126 = "Mutant",VLOOKUP($C126,Mutants!$A$2:$L$560,11,FALSE),IF($B126 = "Test",VLOOKUP($C126,Tests!$A$2:$L$841,11,FALSE),VLOOKUP($C126,Questions!$A$3:$N$201,13,FALSE)))</f>
        <v xml:space="preserve">getBinaryValue
</v>
      </c>
      <c r="G126" s="187"/>
      <c r="H126" s="202"/>
      <c r="I126" s="9"/>
      <c r="J126" s="9"/>
      <c r="K126" s="9"/>
      <c r="L126" s="9"/>
      <c r="M126" s="9"/>
    </row>
    <row r="127" spans="2:13" ht="15.75" customHeight="1">
      <c r="B127" s="114" t="s">
        <v>4589</v>
      </c>
      <c r="C127" s="9">
        <v>555</v>
      </c>
      <c r="D127" s="9" t="s">
        <v>4322</v>
      </c>
      <c r="E127" s="9" t="str">
        <f>IF($B127 = "Mutant",VLOOKUP($C127,Mutants!$A$2:$L$560,12,FALSE),IF($B127 = "Test",VLOOKUP($C127,Tests!$A$2:$L$841,12,FALSE),VLOOKUP($C127,Questions!$A$3:$N$201,9,FALSE)))</f>
        <v>N</v>
      </c>
      <c r="F127" s="187" t="str">
        <f>IF($B127 = "Mutant",VLOOKUP($C127,Mutants!$A$2:$L$560,11,FALSE),IF($B127 = "Test",VLOOKUP($C127,Tests!$A$2:$L$841,11,FALSE),VLOOKUP($C127,Questions!$A$3:$N$201,13,FALSE)))</f>
        <v xml:space="preserve">
</v>
      </c>
      <c r="G127" s="187"/>
      <c r="H127" s="202"/>
      <c r="I127" s="9"/>
      <c r="J127" s="9"/>
      <c r="K127" s="9"/>
      <c r="L127" s="9"/>
      <c r="M127" s="9"/>
    </row>
    <row r="128" spans="2:13" ht="15.75" customHeight="1">
      <c r="B128" s="114" t="s">
        <v>4589</v>
      </c>
      <c r="C128" s="9">
        <v>558</v>
      </c>
      <c r="D128" s="9" t="s">
        <v>2022</v>
      </c>
      <c r="E128" s="9" t="str">
        <f>IF($B128 = "Mutant",VLOOKUP($C128,Mutants!$A$2:$L$560,12,FALSE),IF($B128 = "Test",VLOOKUP($C128,Tests!$A$2:$L$841,12,FALSE),VLOOKUP($C128,Questions!$A$3:$N$201,9,FALSE)))</f>
        <v>Y</v>
      </c>
      <c r="F128" s="187" t="str">
        <f>IF($B128 = "Mutant",VLOOKUP($C128,Mutants!$A$2:$L$560,11,FALSE),IF($B128 = "Test",VLOOKUP($C128,Tests!$A$2:$L$841,11,FALSE),VLOOKUP($C128,Questions!$A$3:$N$201,13,FALSE)))</f>
        <v xml:space="preserve">get
</v>
      </c>
      <c r="G128" s="187"/>
      <c r="H128" s="202"/>
      <c r="I128" s="9"/>
      <c r="J128" s="9"/>
      <c r="K128" s="9"/>
      <c r="L128" s="9"/>
      <c r="M128" s="9"/>
    </row>
    <row r="129" spans="2:14" ht="15.75" customHeight="1">
      <c r="B129" s="114" t="s">
        <v>4589</v>
      </c>
      <c r="C129" s="9">
        <v>561</v>
      </c>
      <c r="D129" s="9" t="s">
        <v>4336</v>
      </c>
      <c r="E129" s="9" t="str">
        <f>IF($B129 = "Mutant",VLOOKUP($C129,Mutants!$A$2:$L$560,12,FALSE),IF($B129 = "Test",VLOOKUP($C129,Tests!$A$2:$L$841,12,FALSE),VLOOKUP($C129,Questions!$A$3:$N$201,9,FALSE)))</f>
        <v>Y</v>
      </c>
      <c r="F129" s="187" t="str">
        <f>IF($B129 = "Mutant",VLOOKUP($C129,Mutants!$A$2:$L$560,11,FALSE),IF($B129 = "Test",VLOOKUP($C129,Tests!$A$2:$L$841,11,FALSE),VLOOKUP($C129,Questions!$A$3:$N$201,13,FALSE)))</f>
        <v xml:space="preserve">getValues
</v>
      </c>
      <c r="G129" s="187"/>
      <c r="H129" s="202"/>
      <c r="I129" s="9"/>
      <c r="J129" s="9"/>
      <c r="K129" s="9"/>
      <c r="L129" s="9"/>
      <c r="M129" s="9"/>
    </row>
    <row r="130" spans="2:14" ht="15.75" customHeight="1">
      <c r="B130" s="114" t="s">
        <v>107</v>
      </c>
      <c r="C130" s="9">
        <v>128</v>
      </c>
      <c r="D130" s="9" t="s">
        <v>668</v>
      </c>
      <c r="E130" s="9" t="str">
        <f>IF($B130 = "Mutant",VLOOKUP($C130,Mutants!$A$2:$L$560,12,FALSE),IF($B130 = "Test",VLOOKUP($C130,Tests!$A$2:$L$841,12,FALSE),VLOOKUP($C130,Questions!$A$3:$N$201,9,FALSE)))</f>
        <v>Y</v>
      </c>
      <c r="F130" s="187" t="str">
        <f>IF($B130 = "Mutant",VLOOKUP($C130,Mutants!$A$2:$L$560,11,FALSE),IF($B130 = "Test",VLOOKUP($C130,Tests!$A$2:$L$841,11,FALSE),VLOOKUP($C130,Questions!$A$3:$N$201,13,FALSE)))</f>
        <v xml:space="preserve">add
</v>
      </c>
      <c r="G130" s="187"/>
      <c r="H130" s="202"/>
      <c r="I130" s="9"/>
      <c r="J130" s="9"/>
      <c r="K130" s="9"/>
      <c r="L130" s="9"/>
      <c r="M130" s="9"/>
      <c r="N130" s="9"/>
    </row>
    <row r="131" spans="2:14" ht="15.75" customHeight="1">
      <c r="B131" s="114" t="s">
        <v>107</v>
      </c>
      <c r="C131" s="9">
        <v>131</v>
      </c>
      <c r="D131" s="9" t="s">
        <v>671</v>
      </c>
      <c r="E131" s="9" t="str">
        <f>IF($B131 = "Mutant",VLOOKUP($C131,Mutants!$A$2:$L$560,12,FALSE),IF($B131 = "Test",VLOOKUP($C131,Tests!$A$2:$L$841,12,FALSE),VLOOKUP($C131,Questions!$A$3:$N$201,9,FALSE)))</f>
        <v>Y</v>
      </c>
      <c r="F131" s="187" t="str">
        <f>IF($B131 = "Mutant",VLOOKUP($C131,Mutants!$A$2:$L$560,11,FALSE),IF($B131 = "Test",VLOOKUP($C131,Tests!$A$2:$L$841,11,FALSE),VLOOKUP($C131,Questions!$A$3:$N$201,13,FALSE)))</f>
        <v xml:space="preserve">add
</v>
      </c>
      <c r="G131" s="187"/>
      <c r="H131" s="202"/>
      <c r="I131" s="9"/>
      <c r="J131" s="9"/>
      <c r="K131" s="9"/>
      <c r="L131" s="9"/>
      <c r="M131" s="9"/>
      <c r="N131" s="9"/>
    </row>
    <row r="132" spans="2:14" ht="15.75" customHeight="1">
      <c r="B132" s="114" t="s">
        <v>4590</v>
      </c>
      <c r="C132" s="9">
        <v>609</v>
      </c>
      <c r="D132" s="9" t="s">
        <v>2166</v>
      </c>
      <c r="E132" s="9" t="str">
        <f>IF($B132 = "Mutant",VLOOKUP($C132,Mutants!$A$2:$L$560,12,FALSE),IF($B132 = "Test",VLOOKUP($C132,Tests!$A$2:$L$841,12,FALSE),VLOOKUP($C132,Questions!$A$3:$N$201,9,FALSE)))</f>
        <v>N</v>
      </c>
      <c r="F132" s="187" t="str">
        <f>IF($B132 = "Mutant",VLOOKUP($C132,Mutants!$A$2:$L$560,11,FALSE),IF($B132 = "Test",VLOOKUP($C132,Tests!$A$2:$L$841,11,FALSE),VLOOKUP($C132,Questions!$A$3:$N$201,13,FALSE)))</f>
        <v xml:space="preserve">
</v>
      </c>
      <c r="G132" s="187"/>
      <c r="H132" s="202"/>
      <c r="I132" s="9"/>
      <c r="J132" s="9"/>
      <c r="K132" s="9"/>
      <c r="L132" s="9"/>
      <c r="M132" s="9"/>
    </row>
    <row r="133" spans="2:14" ht="15.75" customHeight="1">
      <c r="B133" s="114" t="s">
        <v>4590</v>
      </c>
      <c r="C133" s="9">
        <v>637</v>
      </c>
      <c r="D133" s="9" t="s">
        <v>2247</v>
      </c>
      <c r="E133" s="9" t="str">
        <f>IF($B133 = "Mutant",VLOOKUP($C133,Mutants!$A$2:$L$560,12,FALSE),IF($B133 = "Test",VLOOKUP($C133,Tests!$A$2:$L$841,12,FALSE),VLOOKUP($C133,Questions!$A$3:$N$201,9,FALSE)))</f>
        <v>N</v>
      </c>
      <c r="F133" s="187" t="str">
        <f>IF($B133 = "Mutant",VLOOKUP($C133,Mutants!$A$2:$L$560,11,FALSE),IF($B133 = "Test",VLOOKUP($C133,Tests!$A$2:$L$841,11,FALSE),VLOOKUP($C133,Questions!$A$3:$N$201,13,FALSE)))</f>
        <v xml:space="preserve">
</v>
      </c>
      <c r="G133" s="187"/>
      <c r="H133" s="202"/>
      <c r="I133" s="9"/>
      <c r="J133" s="9"/>
      <c r="K133" s="9"/>
      <c r="L133" s="9"/>
      <c r="M133" s="9"/>
    </row>
    <row r="134" spans="2:14" ht="15.75" customHeight="1">
      <c r="B134" s="114" t="s">
        <v>4590</v>
      </c>
      <c r="C134" s="9">
        <v>647</v>
      </c>
      <c r="D134" s="9" t="s">
        <v>2276</v>
      </c>
      <c r="E134" s="9" t="str">
        <f>IF($B134 = "Mutant",VLOOKUP($C134,Mutants!$A$2:$L$560,12,FALSE),IF($B134 = "Test",VLOOKUP($C134,Tests!$A$2:$L$841,12,FALSE),VLOOKUP($C134,Questions!$A$3:$N$201,9,FALSE)))</f>
        <v>N</v>
      </c>
      <c r="F134" s="187" t="str">
        <f>IF($B134 = "Mutant",VLOOKUP($C134,Mutants!$A$2:$L$560,11,FALSE),IF($B134 = "Test",VLOOKUP($C134,Tests!$A$2:$L$841,11,FALSE),VLOOKUP($C134,Questions!$A$3:$N$201,13,FALSE)))</f>
        <v xml:space="preserve">
</v>
      </c>
      <c r="G134" s="187"/>
      <c r="H134" s="202"/>
      <c r="I134" s="9"/>
      <c r="J134" s="9"/>
      <c r="K134" s="9"/>
      <c r="L134" s="9"/>
      <c r="M134" s="9"/>
    </row>
    <row r="135" spans="2:14" ht="15.75" customHeight="1">
      <c r="B135" s="114" t="s">
        <v>4590</v>
      </c>
      <c r="C135" s="9">
        <v>671</v>
      </c>
      <c r="D135" s="9" t="s">
        <v>2342</v>
      </c>
      <c r="E135" s="9" t="str">
        <f>IF($B135 = "Mutant",VLOOKUP($C135,Mutants!$A$2:$L$560,12,FALSE),IF($B135 = "Test",VLOOKUP($C135,Tests!$A$2:$L$841,12,FALSE),VLOOKUP($C135,Questions!$A$3:$N$201,9,FALSE)))</f>
        <v>N</v>
      </c>
      <c r="F135" s="187" t="str">
        <f>IF($B135 = "Mutant",VLOOKUP($C135,Mutants!$A$2:$L$560,11,FALSE),IF($B135 = "Test",VLOOKUP($C135,Tests!$A$2:$L$841,11,FALSE),VLOOKUP($C135,Questions!$A$3:$N$201,13,FALSE)))</f>
        <v xml:space="preserve">
</v>
      </c>
      <c r="G135" s="187"/>
      <c r="H135" s="202"/>
      <c r="I135" s="9"/>
      <c r="J135" s="9"/>
      <c r="K135" s="9"/>
      <c r="L135" s="9"/>
      <c r="M135" s="9"/>
    </row>
    <row r="136" spans="2:14" ht="15.75" customHeight="1">
      <c r="B136" s="114" t="s">
        <v>4590</v>
      </c>
      <c r="C136" s="9">
        <v>675</v>
      </c>
      <c r="D136" s="9" t="s">
        <v>2353</v>
      </c>
      <c r="E136" s="9" t="str">
        <f>IF($B136 = "Mutant",VLOOKUP($C136,Mutants!$A$2:$L$560,12,FALSE),IF($B136 = "Test",VLOOKUP($C136,Tests!$A$2:$L$841,12,FALSE),VLOOKUP($C136,Questions!$A$3:$N$201,9,FALSE)))</f>
        <v>N</v>
      </c>
      <c r="F136" s="187" t="str">
        <f>IF($B136 = "Mutant",VLOOKUP($C136,Mutants!$A$2:$L$560,11,FALSE),IF($B136 = "Test",VLOOKUP($C136,Tests!$A$2:$L$841,11,FALSE),VLOOKUP($C136,Questions!$A$3:$N$201,13,FALSE)))</f>
        <v xml:space="preserve">
</v>
      </c>
      <c r="G136" s="187"/>
      <c r="H136" s="202"/>
      <c r="I136" s="9"/>
      <c r="J136" s="9"/>
      <c r="K136" s="9"/>
      <c r="L136" s="9"/>
      <c r="M136" s="9"/>
    </row>
    <row r="137" spans="2:14" ht="15.75" customHeight="1">
      <c r="B137" s="114" t="s">
        <v>107</v>
      </c>
      <c r="C137" s="9">
        <v>147</v>
      </c>
      <c r="D137" s="9" t="s">
        <v>674</v>
      </c>
      <c r="E137" s="9" t="str">
        <f>IF($B137 = "Mutant",VLOOKUP($C137,Mutants!$A$2:$L$560,12,FALSE),IF($B137 = "Test",VLOOKUP($C137,Tests!$A$2:$L$841,12,FALSE),VLOOKUP($C137,Questions!$A$3:$N$201,9,FALSE)))</f>
        <v>Y</v>
      </c>
      <c r="F137" s="187" t="str">
        <f>IF($B137 = "Mutant",VLOOKUP($C137,Mutants!$A$2:$L$560,11,FALSE),IF($B137 = "Test",VLOOKUP($C137,Tests!$A$2:$L$841,11,FALSE),VLOOKUP($C137,Questions!$A$3:$N$201,13,FALSE)))</f>
        <v xml:space="preserve">getBinaryValue
</v>
      </c>
      <c r="G137" s="187"/>
      <c r="H137" s="202"/>
      <c r="I137" s="9"/>
      <c r="J137" s="9"/>
      <c r="K137" s="9"/>
      <c r="L137" s="9"/>
      <c r="M137" s="9"/>
      <c r="N137" s="9"/>
    </row>
    <row r="138" spans="2:14" ht="15.75" customHeight="1">
      <c r="B138" s="114" t="s">
        <v>107</v>
      </c>
      <c r="C138" s="9">
        <v>152</v>
      </c>
      <c r="D138" s="9" t="s">
        <v>677</v>
      </c>
      <c r="E138" s="9" t="str">
        <f>IF($B138 = "Mutant",VLOOKUP($C138,Mutants!$A$2:$L$560,12,FALSE),IF($B138 = "Test",VLOOKUP($C138,Tests!$A$2:$L$841,12,FALSE),VLOOKUP($C138,Questions!$A$3:$N$201,9,FALSE)))</f>
        <v>Y</v>
      </c>
      <c r="F138" s="187" t="str">
        <f>IF($B138 = "Mutant",VLOOKUP($C138,Mutants!$A$2:$L$560,11,FALSE),IF($B138 = "Test",VLOOKUP($C138,Tests!$A$2:$L$841,11,FALSE),VLOOKUP($C138,Questions!$A$3:$N$201,13,FALSE)))</f>
        <v xml:space="preserve">getBinaryValue
</v>
      </c>
      <c r="G138" s="187"/>
      <c r="H138" s="202"/>
      <c r="I138" s="9"/>
      <c r="J138" s="9"/>
      <c r="K138" s="9"/>
      <c r="L138" s="9"/>
      <c r="M138" s="9"/>
      <c r="N138" s="9"/>
    </row>
    <row r="139" spans="2:14" ht="15.75" customHeight="1">
      <c r="B139" s="114" t="s">
        <v>107</v>
      </c>
      <c r="C139" s="9">
        <v>158</v>
      </c>
      <c r="D139" s="9" t="s">
        <v>680</v>
      </c>
      <c r="E139" s="9" t="str">
        <f>IF($B139 = "Mutant",VLOOKUP($C139,Mutants!$A$2:$L$560,12,FALSE),IF($B139 = "Test",VLOOKUP($C139,Tests!$A$2:$L$841,12,FALSE),VLOOKUP($C139,Questions!$A$3:$N$201,9,FALSE)))</f>
        <v>N</v>
      </c>
      <c r="F139" s="187" t="str">
        <f>IF($B139 = "Mutant",VLOOKUP($C139,Mutants!$A$2:$L$560,11,FALSE),IF($B139 = "Test",VLOOKUP($C139,Tests!$A$2:$L$841,11,FALSE),VLOOKUP($C139,Questions!$A$3:$N$201,13,FALSE)))</f>
        <v xml:space="preserve"> </v>
      </c>
      <c r="G139" s="187"/>
      <c r="H139" s="202"/>
      <c r="I139" s="9"/>
      <c r="J139" s="9"/>
      <c r="K139" s="9"/>
      <c r="L139" s="9"/>
      <c r="M139" s="9"/>
    </row>
    <row r="140" spans="2:14" ht="15.75" customHeight="1">
      <c r="B140" s="114" t="s">
        <v>4589</v>
      </c>
      <c r="C140" s="9">
        <v>610</v>
      </c>
      <c r="D140" s="9" t="s">
        <v>2581</v>
      </c>
      <c r="E140" s="9" t="str">
        <f>IF($B140 = "Mutant",VLOOKUP($C140,Mutants!$A$2:$L$560,12,FALSE),IF($B140 = "Test",VLOOKUP($C140,Tests!$A$2:$L$841,12,FALSE),VLOOKUP($C140,Questions!$A$3:$N$201,9,FALSE)))</f>
        <v>Y</v>
      </c>
      <c r="F140" s="187" t="str">
        <f>IF($B140 = "Mutant",VLOOKUP($C140,Mutants!$A$2:$L$560,11,FALSE),IF($B140 = "Test",VLOOKUP($C140,Tests!$A$2:$L$841,11,FALSE),VLOOKUP($C140,Questions!$A$3:$N$201,13,FALSE)))</f>
        <v xml:space="preserve">removeFields
</v>
      </c>
      <c r="G140" s="187"/>
      <c r="H140" s="202"/>
      <c r="I140" s="9"/>
      <c r="J140" s="9"/>
      <c r="K140" s="9"/>
      <c r="L140" s="9"/>
      <c r="M140" s="9"/>
    </row>
    <row r="141" spans="2:14" ht="15.75" customHeight="1">
      <c r="B141" s="114" t="s">
        <v>4589</v>
      </c>
      <c r="C141" s="9">
        <v>616</v>
      </c>
      <c r="D141" s="9" t="s">
        <v>4476</v>
      </c>
      <c r="E141" s="9" t="str">
        <f>IF($B141 = "Mutant",VLOOKUP($C141,Mutants!$A$2:$L$560,12,FALSE),IF($B141 = "Test",VLOOKUP($C141,Tests!$A$2:$L$841,12,FALSE),VLOOKUP($C141,Questions!$A$3:$N$201,9,FALSE)))</f>
        <v>Y</v>
      </c>
      <c r="F141" s="187" t="str">
        <f>IF($B141 = "Mutant",VLOOKUP($C141,Mutants!$A$2:$L$560,11,FALSE),IF($B141 = "Test",VLOOKUP($C141,Tests!$A$2:$L$841,11,FALSE),VLOOKUP($C141,Questions!$A$3:$N$201,13,FALSE)))</f>
        <v xml:space="preserve">
</v>
      </c>
      <c r="G141" s="187"/>
      <c r="H141" s="202"/>
      <c r="I141" s="9"/>
      <c r="J141" s="9"/>
      <c r="K141" s="9"/>
      <c r="L141" s="9"/>
      <c r="M141" s="9"/>
    </row>
    <row r="142" spans="2:14" ht="15.75" customHeight="1">
      <c r="B142" s="133" t="s">
        <v>4589</v>
      </c>
      <c r="C142" s="130">
        <v>630</v>
      </c>
      <c r="D142" s="130" t="s">
        <v>2827</v>
      </c>
      <c r="E142" s="130" t="str">
        <f>IF($B142 = "Mutant",VLOOKUP($C142,Mutants!$A$2:$L$560,12,FALSE),IF($B142 = "Test",VLOOKUP($C142,Tests!$A$2:$L$841,12,FALSE),VLOOKUP($C142,Questions!$A$3:$N$201,9,FALSE)))</f>
        <v>Y</v>
      </c>
      <c r="F142" s="203" t="str">
        <f>IF($B142 = "Mutant",VLOOKUP($C142,Mutants!$A$2:$L$560,11,FALSE),IF($B142 = "Test",VLOOKUP($C142,Tests!$A$2:$L$841,11,FALSE),VLOOKUP($C142,Questions!$A$3:$N$201,13,FALSE)))</f>
        <v xml:space="preserve">getField
</v>
      </c>
      <c r="G142" s="203"/>
      <c r="H142" s="204"/>
      <c r="I142" s="9"/>
      <c r="J142" s="9"/>
      <c r="K142" s="9"/>
      <c r="L142" s="9"/>
      <c r="M142" s="9"/>
    </row>
    <row r="143" spans="2:14" ht="15.75" customHeight="1">
      <c r="F143" s="188"/>
      <c r="G143" s="188"/>
      <c r="H143" s="188"/>
    </row>
    <row r="144" spans="2:14" ht="15.75" customHeight="1">
      <c r="F144" s="188"/>
      <c r="G144" s="188"/>
      <c r="H144" s="188"/>
    </row>
    <row r="145" spans="2:13" ht="15.75" customHeight="1" thickBot="1">
      <c r="B145" s="219" t="s">
        <v>4604</v>
      </c>
      <c r="C145" s="201"/>
      <c r="D145" s="45">
        <v>247</v>
      </c>
      <c r="F145" s="207"/>
      <c r="G145" s="207"/>
      <c r="H145" s="207"/>
    </row>
    <row r="146" spans="2:13" ht="15.75" customHeight="1" thickTop="1">
      <c r="B146" s="134" t="s">
        <v>4594</v>
      </c>
      <c r="C146" s="135" t="s">
        <v>44</v>
      </c>
      <c r="D146" s="135" t="s">
        <v>110</v>
      </c>
      <c r="E146" s="136" t="s">
        <v>2</v>
      </c>
      <c r="F146" s="229" t="s">
        <v>4612</v>
      </c>
      <c r="G146" s="229"/>
      <c r="H146" s="230"/>
      <c r="I146" s="9"/>
      <c r="J146" s="9"/>
      <c r="K146" s="9"/>
      <c r="L146" s="9"/>
      <c r="M146" s="9"/>
    </row>
    <row r="147" spans="2:13" ht="15.75" customHeight="1">
      <c r="B147" s="137" t="s">
        <v>4589</v>
      </c>
      <c r="C147" s="93">
        <v>369</v>
      </c>
      <c r="D147" s="93" t="s">
        <v>3834</v>
      </c>
      <c r="E147" s="93" t="str">
        <f>IF($B147 = "Mutant",VLOOKUP($C147,Mutants!$A$2:$L$560,12,FALSE),IF($B147 = "Test",VLOOKUP($C147,Tests!$A$2:$L$841,12,FALSE),VLOOKUP($C147,Questions!$A$3:$N$201,9,FALSE)))</f>
        <v>Y</v>
      </c>
      <c r="F147" s="205" t="str">
        <f>IF($B147 = "Mutant",VLOOKUP($C147,Mutants!$A$2:$L$560,11,FALSE),IF($B147 = "Test",VLOOKUP($C147,Tests!$A$2:$L$841,11,FALSE),VLOOKUP($C147,Questions!$A$3:$N$201,13,FALSE)))</f>
        <v xml:space="preserve">removeField
</v>
      </c>
      <c r="G147" s="205"/>
      <c r="H147" s="206"/>
      <c r="I147" s="9"/>
      <c r="J147" s="9"/>
      <c r="K147" s="9"/>
      <c r="L147" s="9"/>
      <c r="M147" s="9"/>
    </row>
    <row r="148" spans="2:13" ht="15.75" customHeight="1">
      <c r="B148" s="114" t="s">
        <v>4589</v>
      </c>
      <c r="C148" s="9">
        <v>380</v>
      </c>
      <c r="D148" s="9" t="s">
        <v>3865</v>
      </c>
      <c r="E148" s="9" t="str">
        <f>IF($B148 = "Mutant",VLOOKUP($C148,Mutants!$A$2:$L$560,12,FALSE),IF($B148 = "Test",VLOOKUP($C148,Tests!$A$2:$L$841,12,FALSE),VLOOKUP($C148,Questions!$A$3:$N$201,9,FALSE)))</f>
        <v>Y</v>
      </c>
      <c r="F148" s="187" t="str">
        <f>IF($B148 = "Mutant",VLOOKUP($C148,Mutants!$A$2:$L$560,11,FALSE),IF($B148 = "Test",VLOOKUP($C148,Tests!$A$2:$L$841,11,FALSE),VLOOKUP($C148,Questions!$A$3:$N$201,13,FALSE)))</f>
        <v xml:space="preserve">iterator
</v>
      </c>
      <c r="G148" s="187"/>
      <c r="H148" s="202"/>
      <c r="I148" s="9"/>
      <c r="J148" s="9"/>
      <c r="K148" s="9"/>
      <c r="L148" s="9"/>
      <c r="M148" s="9"/>
    </row>
    <row r="149" spans="2:13" ht="15.75" customHeight="1">
      <c r="B149" s="114" t="s">
        <v>4589</v>
      </c>
      <c r="C149" s="9">
        <v>390</v>
      </c>
      <c r="D149" s="9" t="s">
        <v>3889</v>
      </c>
      <c r="E149" s="9" t="str">
        <f>IF($B149 = "Mutant",VLOOKUP($C149,Mutants!$A$2:$L$560,12,FALSE),IF($B149 = "Test",VLOOKUP($C149,Tests!$A$2:$L$841,12,FALSE),VLOOKUP($C149,Questions!$A$3:$N$201,9,FALSE)))</f>
        <v>Y</v>
      </c>
      <c r="F149" s="187" t="str">
        <f>IF($B149 = "Mutant",VLOOKUP($C149,Mutants!$A$2:$L$560,11,FALSE),IF($B149 = "Test",VLOOKUP($C149,Tests!$A$2:$L$841,11,FALSE),VLOOKUP($C149,Questions!$A$3:$N$201,13,FALSE)))</f>
        <v xml:space="preserve">removeFields
</v>
      </c>
      <c r="G149" s="187"/>
      <c r="H149" s="202"/>
      <c r="I149" s="9"/>
      <c r="J149" s="9"/>
      <c r="K149" s="9"/>
      <c r="L149" s="9"/>
      <c r="M149" s="9"/>
    </row>
    <row r="150" spans="2:13" ht="15.75" customHeight="1">
      <c r="B150" s="114" t="s">
        <v>4589</v>
      </c>
      <c r="C150" s="9">
        <v>409</v>
      </c>
      <c r="D150" s="9" t="s">
        <v>3944</v>
      </c>
      <c r="E150" s="9" t="str">
        <f>IF($B150 = "Mutant",VLOOKUP($C150,Mutants!$A$2:$L$560,12,FALSE),IF($B150 = "Test",VLOOKUP($C150,Tests!$A$2:$L$841,12,FALSE),VLOOKUP($C150,Questions!$A$3:$N$201,9,FALSE)))</f>
        <v>Y</v>
      </c>
      <c r="F150" s="187" t="str">
        <f>IF($B150 = "Mutant",VLOOKUP($C150,Mutants!$A$2:$L$560,11,FALSE),IF($B150 = "Test",VLOOKUP($C150,Tests!$A$2:$L$841,11,FALSE),VLOOKUP($C150,Questions!$A$3:$N$201,13,FALSE)))</f>
        <v xml:space="preserve">getField
</v>
      </c>
      <c r="G150" s="187"/>
      <c r="H150" s="202"/>
      <c r="I150" s="9"/>
      <c r="J150" s="9"/>
      <c r="K150" s="9"/>
      <c r="L150" s="9"/>
      <c r="M150" s="9"/>
    </row>
    <row r="151" spans="2:13" ht="15.75" customHeight="1">
      <c r="B151" s="114" t="s">
        <v>4589</v>
      </c>
      <c r="C151" s="9">
        <v>424</v>
      </c>
      <c r="D151" s="9" t="s">
        <v>3980</v>
      </c>
      <c r="E151" s="9" t="str">
        <f>IF($B151 = "Mutant",VLOOKUP($C151,Mutants!$A$2:$L$560,12,FALSE),IF($B151 = "Test",VLOOKUP($C151,Tests!$A$2:$L$841,12,FALSE),VLOOKUP($C151,Questions!$A$3:$N$201,9,FALSE)))</f>
        <v>Y</v>
      </c>
      <c r="F151" s="187" t="str">
        <f>IF($B151 = "Mutant",VLOOKUP($C151,Mutants!$A$2:$L$560,11,FALSE),IF($B151 = "Test",VLOOKUP($C151,Tests!$A$2:$L$841,11,FALSE),VLOOKUP($C151,Questions!$A$3:$N$201,13,FALSE)))</f>
        <v xml:space="preserve">getValues
</v>
      </c>
      <c r="G151" s="187"/>
      <c r="H151" s="202"/>
      <c r="I151" s="9"/>
      <c r="J151" s="9"/>
      <c r="K151" s="9"/>
      <c r="L151" s="9"/>
      <c r="M151" s="9"/>
    </row>
    <row r="152" spans="2:13" ht="15.75" customHeight="1">
      <c r="B152" s="114" t="s">
        <v>4589</v>
      </c>
      <c r="C152" s="9">
        <v>440</v>
      </c>
      <c r="D152" s="9" t="s">
        <v>4021</v>
      </c>
      <c r="E152" s="9" t="str">
        <f>IF($B152 = "Mutant",VLOOKUP($C152,Mutants!$A$2:$L$560,12,FALSE),IF($B152 = "Test",VLOOKUP($C152,Tests!$A$2:$L$841,12,FALSE),VLOOKUP($C152,Questions!$A$3:$N$201,9,FALSE)))</f>
        <v>Y</v>
      </c>
      <c r="F152" s="187" t="str">
        <f>IF($B152 = "Mutant",VLOOKUP($C152,Mutants!$A$2:$L$560,11,FALSE),IF($B152 = "Test",VLOOKUP($C152,Tests!$A$2:$L$841,11,FALSE),VLOOKUP($C152,Questions!$A$3:$N$201,13,FALSE)))</f>
        <v xml:space="preserve">get
</v>
      </c>
      <c r="G152" s="187"/>
      <c r="H152" s="202"/>
      <c r="I152" s="9"/>
      <c r="J152" s="9"/>
      <c r="K152" s="9"/>
      <c r="L152" s="9"/>
      <c r="M152" s="9"/>
    </row>
    <row r="153" spans="2:13" ht="15.75" customHeight="1">
      <c r="B153" s="114" t="s">
        <v>4589</v>
      </c>
      <c r="C153" s="9">
        <v>447</v>
      </c>
      <c r="D153" s="9" t="s">
        <v>4041</v>
      </c>
      <c r="E153" s="9" t="str">
        <f>IF($B153 = "Mutant",VLOOKUP($C153,Mutants!$A$2:$L$560,12,FALSE),IF($B153 = "Test",VLOOKUP($C153,Tests!$A$2:$L$841,12,FALSE),VLOOKUP($C153,Questions!$A$3:$N$201,9,FALSE)))</f>
        <v>Y</v>
      </c>
      <c r="F153" s="187" t="str">
        <f>IF($B153 = "Mutant",VLOOKUP($C153,Mutants!$A$2:$L$560,11,FALSE),IF($B153 = "Test",VLOOKUP($C153,Tests!$A$2:$L$841,11,FALSE),VLOOKUP($C153,Questions!$A$3:$N$201,13,FALSE)))</f>
        <v xml:space="preserve">toString
</v>
      </c>
      <c r="G153" s="187"/>
      <c r="H153" s="202"/>
      <c r="I153" s="9"/>
      <c r="J153" s="9"/>
      <c r="K153" s="9"/>
      <c r="L153" s="9"/>
      <c r="M153" s="9"/>
    </row>
    <row r="154" spans="2:13" ht="15.75" customHeight="1">
      <c r="B154" s="114" t="s">
        <v>4589</v>
      </c>
      <c r="C154" s="9">
        <v>453</v>
      </c>
      <c r="D154" s="9" t="s">
        <v>4058</v>
      </c>
      <c r="E154" s="9" t="str">
        <f>IF($B154 = "Mutant",VLOOKUP($C154,Mutants!$A$2:$L$560,12,FALSE),IF($B154 = "Test",VLOOKUP($C154,Tests!$A$2:$L$841,12,FALSE),VLOOKUP($C154,Questions!$A$3:$N$201,9,FALSE)))</f>
        <v>Y</v>
      </c>
      <c r="F154" s="187" t="str">
        <f>IF($B154 = "Mutant",VLOOKUP($C154,Mutants!$A$2:$L$560,11,FALSE),IF($B154 = "Test",VLOOKUP($C154,Tests!$A$2:$L$841,11,FALSE),VLOOKUP($C154,Questions!$A$3:$N$201,13,FALSE)))</f>
        <v xml:space="preserve">toString
</v>
      </c>
      <c r="G154" s="187"/>
      <c r="H154" s="202"/>
      <c r="I154" s="9"/>
      <c r="J154" s="9"/>
      <c r="K154" s="9"/>
      <c r="L154" s="9"/>
      <c r="M154" s="9"/>
    </row>
    <row r="155" spans="2:13" ht="15.75" customHeight="1">
      <c r="B155" s="114" t="s">
        <v>4589</v>
      </c>
      <c r="C155" s="9">
        <v>463</v>
      </c>
      <c r="D155" s="9" t="s">
        <v>588</v>
      </c>
      <c r="E155" s="9" t="str">
        <f>IF($B155 = "Mutant",VLOOKUP($C155,Mutants!$A$2:$L$560,12,FALSE),IF($B155 = "Test",VLOOKUP($C155,Tests!$A$2:$L$841,12,FALSE),VLOOKUP($C155,Questions!$A$3:$N$201,9,FALSE)))</f>
        <v>Y</v>
      </c>
      <c r="F155" s="187" t="str">
        <f>IF($B155 = "Mutant",VLOOKUP($C155,Mutants!$A$2:$L$560,11,FALSE),IF($B155 = "Test",VLOOKUP($C155,Tests!$A$2:$L$841,11,FALSE),VLOOKUP($C155,Questions!$A$3:$N$201,13,FALSE)))</f>
        <v xml:space="preserve">getValues
</v>
      </c>
      <c r="G155" s="187"/>
      <c r="H155" s="202"/>
      <c r="I155" s="9"/>
      <c r="J155" s="9"/>
      <c r="K155" s="9"/>
      <c r="L155" s="9"/>
      <c r="M155" s="9"/>
    </row>
    <row r="156" spans="2:13" ht="15.75" customHeight="1">
      <c r="B156" s="114" t="s">
        <v>4589</v>
      </c>
      <c r="C156" s="9">
        <v>474</v>
      </c>
      <c r="D156" s="9" t="s">
        <v>4113</v>
      </c>
      <c r="E156" s="9" t="str">
        <f>IF($B156 = "Mutant",VLOOKUP($C156,Mutants!$A$2:$L$560,12,FALSE),IF($B156 = "Test",VLOOKUP($C156,Tests!$A$2:$L$841,12,FALSE),VLOOKUP($C156,Questions!$A$3:$N$201,9,FALSE)))</f>
        <v>Y</v>
      </c>
      <c r="F156" s="187" t="str">
        <f>IF($B156 = "Mutant",VLOOKUP($C156,Mutants!$A$2:$L$560,11,FALSE),IF($B156 = "Test",VLOOKUP($C156,Tests!$A$2:$L$841,11,FALSE),VLOOKUP($C156,Questions!$A$3:$N$201,13,FALSE)))</f>
        <v xml:space="preserve">getValues
</v>
      </c>
      <c r="G156" s="187"/>
      <c r="H156" s="202"/>
      <c r="I156" s="9"/>
      <c r="J156" s="9"/>
      <c r="K156" s="9"/>
      <c r="L156" s="9"/>
      <c r="M156" s="9"/>
    </row>
    <row r="157" spans="2:13" ht="15.75" customHeight="1">
      <c r="B157" s="114" t="s">
        <v>4589</v>
      </c>
      <c r="C157" s="9">
        <v>482</v>
      </c>
      <c r="D157" s="9" t="s">
        <v>4135</v>
      </c>
      <c r="E157" s="9" t="str">
        <f>IF($B157 = "Mutant",VLOOKUP($C157,Mutants!$A$2:$L$560,12,FALSE),IF($B157 = "Test",VLOOKUP($C157,Tests!$A$2:$L$841,12,FALSE),VLOOKUP($C157,Questions!$A$3:$N$201,9,FALSE)))</f>
        <v>Y</v>
      </c>
      <c r="F157" s="187" t="str">
        <f>IF($B157 = "Mutant",VLOOKUP($C157,Mutants!$A$2:$L$560,11,FALSE),IF($B157 = "Test",VLOOKUP($C157,Tests!$A$2:$L$841,11,FALSE),VLOOKUP($C157,Questions!$A$3:$N$201,13,FALSE)))</f>
        <v xml:space="preserve">getFields_2
</v>
      </c>
      <c r="G157" s="187"/>
      <c r="H157" s="202"/>
      <c r="I157" s="9"/>
      <c r="J157" s="9"/>
      <c r="K157" s="9"/>
      <c r="L157" s="9"/>
      <c r="M157" s="9"/>
    </row>
    <row r="158" spans="2:13" ht="15.75" customHeight="1">
      <c r="B158" s="114" t="s">
        <v>4589</v>
      </c>
      <c r="C158" s="9">
        <v>491</v>
      </c>
      <c r="D158" s="9" t="s">
        <v>4159</v>
      </c>
      <c r="E158" s="9" t="str">
        <f>IF($B158 = "Mutant",VLOOKUP($C158,Mutants!$A$2:$L$560,12,FALSE),IF($B158 = "Test",VLOOKUP($C158,Tests!$A$2:$L$841,12,FALSE),VLOOKUP($C158,Questions!$A$3:$N$201,9,FALSE)))</f>
        <v>Y</v>
      </c>
      <c r="F158" s="187" t="str">
        <f>IF($B158 = "Mutant",VLOOKUP($C158,Mutants!$A$2:$L$560,11,FALSE),IF($B158 = "Test",VLOOKUP($C158,Tests!$A$2:$L$841,11,FALSE),VLOOKUP($C158,Questions!$A$3:$N$201,13,FALSE)))</f>
        <v xml:space="preserve">getValues
</v>
      </c>
      <c r="G158" s="187"/>
      <c r="H158" s="202"/>
      <c r="I158" s="9"/>
      <c r="J158" s="9"/>
      <c r="K158" s="9"/>
      <c r="L158" s="9"/>
      <c r="M158" s="9"/>
    </row>
    <row r="159" spans="2:13" ht="15.75" customHeight="1">
      <c r="B159" s="114" t="s">
        <v>4589</v>
      </c>
      <c r="C159" s="9">
        <v>498</v>
      </c>
      <c r="D159" s="9" t="s">
        <v>4177</v>
      </c>
      <c r="E159" s="9" t="str">
        <f>IF($B159 = "Mutant",VLOOKUP($C159,Mutants!$A$2:$L$560,12,FALSE),IF($B159 = "Test",VLOOKUP($C159,Tests!$A$2:$L$841,12,FALSE),VLOOKUP($C159,Questions!$A$3:$N$201,9,FALSE)))</f>
        <v>Y</v>
      </c>
      <c r="F159" s="187" t="str">
        <f>IF($B159 = "Mutant",VLOOKUP($C159,Mutants!$A$2:$L$560,11,FALSE),IF($B159 = "Test",VLOOKUP($C159,Tests!$A$2:$L$841,11,FALSE),VLOOKUP($C159,Questions!$A$3:$N$201,13,FALSE)))</f>
        <v xml:space="preserve">toString
</v>
      </c>
      <c r="G159" s="187"/>
      <c r="H159" s="202"/>
      <c r="I159" s="9"/>
      <c r="J159" s="9"/>
      <c r="K159" s="9"/>
      <c r="L159" s="9"/>
      <c r="M159" s="9"/>
    </row>
    <row r="160" spans="2:13" ht="15.75" customHeight="1">
      <c r="B160" s="114" t="s">
        <v>4589</v>
      </c>
      <c r="C160" s="9">
        <v>509</v>
      </c>
      <c r="D160" s="9" t="s">
        <v>1799</v>
      </c>
      <c r="E160" s="9" t="str">
        <f>IF($B160 = "Mutant",VLOOKUP($C160,Mutants!$A$2:$L$560,12,FALSE),IF($B160 = "Test",VLOOKUP($C160,Tests!$A$2:$L$841,12,FALSE),VLOOKUP($C160,Questions!$A$3:$N$201,9,FALSE)))</f>
        <v>N</v>
      </c>
      <c r="F160" s="187" t="str">
        <f>IF($B160 = "Mutant",VLOOKUP($C160,Mutants!$A$2:$L$560,11,FALSE),IF($B160 = "Test",VLOOKUP($C160,Tests!$A$2:$L$841,11,FALSE),VLOOKUP($C160,Questions!$A$3:$N$201,13,FALSE)))</f>
        <v xml:space="preserve">
</v>
      </c>
      <c r="G160" s="187"/>
      <c r="H160" s="202"/>
      <c r="I160" s="9"/>
      <c r="J160" s="9"/>
      <c r="K160" s="9"/>
      <c r="L160" s="9"/>
      <c r="M160" s="9"/>
    </row>
    <row r="161" spans="2:13" ht="15.75" customHeight="1">
      <c r="B161" s="114" t="s">
        <v>4589</v>
      </c>
      <c r="C161" s="9">
        <v>514</v>
      </c>
      <c r="D161" s="9" t="s">
        <v>4217</v>
      </c>
      <c r="E161" s="9" t="str">
        <f>IF($B161 = "Mutant",VLOOKUP($C161,Mutants!$A$2:$L$560,12,FALSE),IF($B161 = "Test",VLOOKUP($C161,Tests!$A$2:$L$841,12,FALSE),VLOOKUP($C161,Questions!$A$3:$N$201,9,FALSE)))</f>
        <v>Y</v>
      </c>
      <c r="F161" s="187" t="str">
        <f>IF($B161 = "Mutant",VLOOKUP($C161,Mutants!$A$2:$L$560,11,FALSE),IF($B161 = "Test",VLOOKUP($C161,Tests!$A$2:$L$841,11,FALSE),VLOOKUP($C161,Questions!$A$3:$N$201,13,FALSE)))</f>
        <v xml:space="preserve">toString
</v>
      </c>
      <c r="G161" s="187"/>
      <c r="H161" s="202"/>
      <c r="I161" s="9"/>
      <c r="J161" s="9"/>
      <c r="K161" s="9"/>
      <c r="L161" s="9"/>
      <c r="M161" s="9"/>
    </row>
    <row r="162" spans="2:13" ht="15.75" customHeight="1">
      <c r="B162" s="114" t="s">
        <v>4589</v>
      </c>
      <c r="C162" s="9">
        <v>524</v>
      </c>
      <c r="D162" s="9" t="s">
        <v>4243</v>
      </c>
      <c r="E162" s="9" t="str">
        <f>IF($B162 = "Mutant",VLOOKUP($C162,Mutants!$A$2:$L$560,12,FALSE),IF($B162 = "Test",VLOOKUP($C162,Tests!$A$2:$L$841,12,FALSE),VLOOKUP($C162,Questions!$A$3:$N$201,9,FALSE)))</f>
        <v>N</v>
      </c>
      <c r="F162" s="187" t="str">
        <f>IF($B162 = "Mutant",VLOOKUP($C162,Mutants!$A$2:$L$560,11,FALSE),IF($B162 = "Test",VLOOKUP($C162,Tests!$A$2:$L$841,11,FALSE),VLOOKUP($C162,Questions!$A$3:$N$201,13,FALSE)))</f>
        <v xml:space="preserve">
</v>
      </c>
      <c r="G162" s="187"/>
      <c r="H162" s="202"/>
      <c r="I162" s="9"/>
      <c r="J162" s="9"/>
      <c r="K162" s="9"/>
      <c r="L162" s="9"/>
      <c r="M162" s="9"/>
    </row>
    <row r="163" spans="2:13" ht="15.75" customHeight="1">
      <c r="B163" s="114" t="s">
        <v>4590</v>
      </c>
      <c r="C163" s="9">
        <v>529</v>
      </c>
      <c r="D163" s="9" t="s">
        <v>1936</v>
      </c>
      <c r="E163" s="9" t="str">
        <f>IF($B163 = "Mutant",VLOOKUP($C163,Mutants!$A$2:$L$560,12,FALSE),IF($B163 = "Test",VLOOKUP($C163,Tests!$A$2:$L$841,12,FALSE),VLOOKUP($C163,Questions!$A$3:$N$201,9,FALSE)))</f>
        <v>N</v>
      </c>
      <c r="F163" s="187" t="str">
        <f>IF($B163 = "Mutant",VLOOKUP($C163,Mutants!$A$2:$L$560,11,FALSE),IF($B163 = "Test",VLOOKUP($C163,Tests!$A$2:$L$841,11,FALSE),VLOOKUP($C163,Questions!$A$3:$N$201,13,FALSE)))</f>
        <v xml:space="preserve">
</v>
      </c>
      <c r="G163" s="187"/>
      <c r="H163" s="202"/>
      <c r="I163" s="9"/>
      <c r="J163" s="9"/>
      <c r="K163" s="9"/>
      <c r="L163" s="9"/>
      <c r="M163" s="9"/>
    </row>
    <row r="164" spans="2:13" ht="15.75" customHeight="1">
      <c r="B164" s="114" t="s">
        <v>4590</v>
      </c>
      <c r="C164" s="9">
        <v>539</v>
      </c>
      <c r="D164" s="9" t="s">
        <v>1962</v>
      </c>
      <c r="E164" s="9" t="str">
        <f>IF($B164 = "Mutant",VLOOKUP($C164,Mutants!$A$2:$L$560,12,FALSE),IF($B164 = "Test",VLOOKUP($C164,Tests!$A$2:$L$841,12,FALSE),VLOOKUP($C164,Questions!$A$3:$N$201,9,FALSE)))</f>
        <v>N</v>
      </c>
      <c r="F164" s="187" t="str">
        <f>IF($B164 = "Mutant",VLOOKUP($C164,Mutants!$A$2:$L$560,11,FALSE),IF($B164 = "Test",VLOOKUP($C164,Tests!$A$2:$L$841,11,FALSE),VLOOKUP($C164,Questions!$A$3:$N$201,13,FALSE)))</f>
        <v xml:space="preserve">
</v>
      </c>
      <c r="G164" s="187"/>
      <c r="H164" s="202"/>
      <c r="I164" s="9"/>
      <c r="J164" s="9"/>
      <c r="K164" s="9"/>
      <c r="L164" s="9"/>
      <c r="M164" s="9"/>
    </row>
    <row r="165" spans="2:13" ht="15.75" customHeight="1">
      <c r="B165" s="114" t="s">
        <v>107</v>
      </c>
      <c r="C165" s="9">
        <v>124</v>
      </c>
      <c r="D165" s="9" t="s">
        <v>683</v>
      </c>
      <c r="E165" s="9" t="str">
        <f>IF($B165 = "Mutant",VLOOKUP($C165,Mutants!$A$2:$L$560,12,FALSE),IF($B165 = "Test",VLOOKUP($C165,Tests!$A$2:$L$841,12,FALSE),VLOOKUP($C165,Questions!$A$3:$N$201,9,FALSE)))</f>
        <v>Y</v>
      </c>
      <c r="F165" s="187" t="str">
        <f>IF($B165 = "Mutant",VLOOKUP($C165,Mutants!$A$2:$L$560,11,FALSE),IF($B165 = "Test",VLOOKUP($C165,Tests!$A$2:$L$841,11,FALSE),VLOOKUP($C165,Questions!$A$3:$N$201,13,FALSE)))</f>
        <v xml:space="preserve"> </v>
      </c>
      <c r="G165" s="187"/>
      <c r="H165" s="202"/>
      <c r="I165" s="9"/>
      <c r="J165" s="9"/>
      <c r="K165" s="9"/>
      <c r="L165" s="9"/>
      <c r="M165" s="9"/>
    </row>
    <row r="166" spans="2:13" ht="15.75" customHeight="1">
      <c r="B166" s="114" t="s">
        <v>4590</v>
      </c>
      <c r="C166" s="9">
        <v>601</v>
      </c>
      <c r="D166" s="9" t="s">
        <v>499</v>
      </c>
      <c r="E166" s="9" t="str">
        <f>IF($B166 = "Mutant",VLOOKUP($C166,Mutants!$A$2:$L$560,12,FALSE),IF($B166 = "Test",VLOOKUP($C166,Tests!$A$2:$L$841,12,FALSE),VLOOKUP($C166,Questions!$A$3:$N$201,9,FALSE)))</f>
        <v>N</v>
      </c>
      <c r="F166" s="187" t="str">
        <f>IF($B166 = "Mutant",VLOOKUP($C166,Mutants!$A$2:$L$560,11,FALSE),IF($B166 = "Test",VLOOKUP($C166,Tests!$A$2:$L$841,11,FALSE),VLOOKUP($C166,Questions!$A$3:$N$201,13,FALSE)))</f>
        <v xml:space="preserve">
</v>
      </c>
      <c r="G166" s="187"/>
      <c r="H166" s="202"/>
      <c r="I166" s="9"/>
      <c r="J166" s="9"/>
      <c r="K166" s="9"/>
      <c r="L166" s="9"/>
      <c r="M166" s="9"/>
    </row>
    <row r="167" spans="2:13" ht="15.75" customHeight="1">
      <c r="B167" s="114" t="s">
        <v>4590</v>
      </c>
      <c r="C167" s="9">
        <v>612</v>
      </c>
      <c r="D167" s="9" t="s">
        <v>2173</v>
      </c>
      <c r="E167" s="9" t="str">
        <f>IF($B167 = "Mutant",VLOOKUP($C167,Mutants!$A$2:$L$560,12,FALSE),IF($B167 = "Test",VLOOKUP($C167,Tests!$A$2:$L$841,12,FALSE),VLOOKUP($C167,Questions!$A$3:$N$201,9,FALSE)))</f>
        <v>N</v>
      </c>
      <c r="F167" s="187" t="str">
        <f>IF($B167 = "Mutant",VLOOKUP($C167,Mutants!$A$2:$L$560,11,FALSE),IF($B167 = "Test",VLOOKUP($C167,Tests!$A$2:$L$841,11,FALSE),VLOOKUP($C167,Questions!$A$3:$N$201,13,FALSE)))</f>
        <v xml:space="preserve">
</v>
      </c>
      <c r="G167" s="187"/>
      <c r="H167" s="202"/>
      <c r="I167" s="9"/>
      <c r="J167" s="9"/>
      <c r="K167" s="9"/>
      <c r="L167" s="9"/>
      <c r="M167" s="9"/>
    </row>
    <row r="168" spans="2:13" ht="15.75" customHeight="1">
      <c r="B168" s="114" t="s">
        <v>4590</v>
      </c>
      <c r="C168" s="9">
        <v>620</v>
      </c>
      <c r="D168" s="9" t="s">
        <v>2194</v>
      </c>
      <c r="E168" s="9" t="str">
        <f>IF($B168 = "Mutant",VLOOKUP($C168,Mutants!$A$2:$L$560,12,FALSE),IF($B168 = "Test",VLOOKUP($C168,Tests!$A$2:$L$841,12,FALSE),VLOOKUP($C168,Questions!$A$3:$N$201,9,FALSE)))</f>
        <v>N</v>
      </c>
      <c r="F168" s="187" t="str">
        <f>IF($B168 = "Mutant",VLOOKUP($C168,Mutants!$A$2:$L$560,11,FALSE),IF($B168 = "Test",VLOOKUP($C168,Tests!$A$2:$L$841,11,FALSE),VLOOKUP($C168,Questions!$A$3:$N$201,13,FALSE)))</f>
        <v xml:space="preserve">
</v>
      </c>
      <c r="G168" s="187"/>
      <c r="H168" s="202"/>
      <c r="I168" s="9"/>
      <c r="J168" s="9"/>
      <c r="K168" s="9"/>
      <c r="L168" s="9"/>
      <c r="M168" s="9"/>
    </row>
    <row r="169" spans="2:13" ht="15.75" customHeight="1">
      <c r="B169" s="114" t="s">
        <v>4590</v>
      </c>
      <c r="C169" s="9">
        <v>624</v>
      </c>
      <c r="D169" s="9" t="s">
        <v>2204</v>
      </c>
      <c r="E169" s="9" t="str">
        <f>IF($B169 = "Mutant",VLOOKUP($C169,Mutants!$A$2:$L$560,12,FALSE),IF($B169 = "Test",VLOOKUP($C169,Tests!$A$2:$L$841,12,FALSE),VLOOKUP($C169,Questions!$A$3:$N$201,9,FALSE)))</f>
        <v>N</v>
      </c>
      <c r="F169" s="187" t="str">
        <f>IF($B169 = "Mutant",VLOOKUP($C169,Mutants!$A$2:$L$560,11,FALSE),IF($B169 = "Test",VLOOKUP($C169,Tests!$A$2:$L$841,11,FALSE),VLOOKUP($C169,Questions!$A$3:$N$201,13,FALSE)))</f>
        <v xml:space="preserve">
</v>
      </c>
      <c r="G169" s="187"/>
      <c r="H169" s="202"/>
      <c r="I169" s="9"/>
      <c r="J169" s="9"/>
      <c r="K169" s="9"/>
      <c r="L169" s="9"/>
      <c r="M169" s="9"/>
    </row>
    <row r="170" spans="2:13" ht="15.75" customHeight="1">
      <c r="B170" s="114" t="s">
        <v>4590</v>
      </c>
      <c r="C170" s="9">
        <v>634</v>
      </c>
      <c r="D170" s="9" t="s">
        <v>2240</v>
      </c>
      <c r="E170" s="9" t="str">
        <f>IF($B170 = "Mutant",VLOOKUP($C170,Mutants!$A$2:$L$560,12,FALSE),IF($B170 = "Test",VLOOKUP($C170,Tests!$A$2:$L$841,12,FALSE),VLOOKUP($C170,Questions!$A$3:$N$201,9,FALSE)))</f>
        <v>Y</v>
      </c>
      <c r="F170" s="187" t="str">
        <f>IF($B170 = "Mutant",VLOOKUP($C170,Mutants!$A$2:$L$560,11,FALSE),IF($B170 = "Test",VLOOKUP($C170,Tests!$A$2:$L$841,11,FALSE),VLOOKUP($C170,Questions!$A$3:$N$201,13,FALSE)))</f>
        <v xml:space="preserve">add, getField
</v>
      </c>
      <c r="G170" s="187"/>
      <c r="H170" s="202"/>
      <c r="I170" s="9"/>
      <c r="J170" s="9"/>
      <c r="K170" s="9"/>
      <c r="L170" s="9"/>
      <c r="M170" s="9"/>
    </row>
    <row r="171" spans="2:13" ht="15.75" customHeight="1">
      <c r="B171" s="114" t="s">
        <v>4590</v>
      </c>
      <c r="C171" s="9">
        <v>642</v>
      </c>
      <c r="D171" s="9" t="s">
        <v>2262</v>
      </c>
      <c r="E171" s="9" t="str">
        <f>IF($B171 = "Mutant",VLOOKUP($C171,Mutants!$A$2:$L$560,12,FALSE),IF($B171 = "Test",VLOOKUP($C171,Tests!$A$2:$L$841,12,FALSE),VLOOKUP($C171,Questions!$A$3:$N$201,9,FALSE)))</f>
        <v>N</v>
      </c>
      <c r="F171" s="187" t="str">
        <f>IF($B171 = "Mutant",VLOOKUP($C171,Mutants!$A$2:$L$560,11,FALSE),IF($B171 = "Test",VLOOKUP($C171,Tests!$A$2:$L$841,11,FALSE),VLOOKUP($C171,Questions!$A$3:$N$201,13,FALSE)))</f>
        <v xml:space="preserve">
</v>
      </c>
      <c r="G171" s="187"/>
      <c r="H171" s="202"/>
      <c r="I171" s="9"/>
      <c r="J171" s="9"/>
      <c r="K171" s="9"/>
      <c r="L171" s="9"/>
      <c r="M171" s="9"/>
    </row>
    <row r="172" spans="2:13" ht="15.75" customHeight="1">
      <c r="B172" s="114" t="s">
        <v>4590</v>
      </c>
      <c r="C172" s="9">
        <v>650</v>
      </c>
      <c r="D172" s="9" t="s">
        <v>2284</v>
      </c>
      <c r="E172" s="9" t="str">
        <f>IF($B172 = "Mutant",VLOOKUP($C172,Mutants!$A$2:$L$560,12,FALSE),IF($B172 = "Test",VLOOKUP($C172,Tests!$A$2:$L$841,12,FALSE),VLOOKUP($C172,Questions!$A$3:$N$201,9,FALSE)))</f>
        <v>Y</v>
      </c>
      <c r="F172" s="187" t="str">
        <f>IF($B172 = "Mutant",VLOOKUP($C172,Mutants!$A$2:$L$560,11,FALSE),IF($B172 = "Test",VLOOKUP($C172,Tests!$A$2:$L$841,11,FALSE),VLOOKUP($C172,Questions!$A$3:$N$201,13,FALSE)))</f>
        <v xml:space="preserve">add, getFields_2
</v>
      </c>
      <c r="G172" s="187"/>
      <c r="H172" s="202"/>
      <c r="I172" s="9"/>
      <c r="J172" s="9"/>
      <c r="K172" s="9"/>
      <c r="L172" s="9"/>
      <c r="M172" s="9"/>
    </row>
    <row r="173" spans="2:13" ht="15.75" customHeight="1">
      <c r="B173" s="114" t="s">
        <v>107</v>
      </c>
      <c r="C173" s="9">
        <v>145</v>
      </c>
      <c r="D173" s="9" t="s">
        <v>456</v>
      </c>
      <c r="E173" s="9" t="str">
        <f>IF($B173 = "Mutant",VLOOKUP($C173,Mutants!$A$2:$L$560,12,FALSE),IF($B173 = "Test",VLOOKUP($C173,Tests!$A$2:$L$841,12,FALSE),VLOOKUP($C173,Questions!$A$3:$N$201,9,FALSE)))</f>
        <v>Y</v>
      </c>
      <c r="F173" s="187" t="str">
        <f>IF($B173 = "Mutant",VLOOKUP($C173,Mutants!$A$2:$L$560,11,FALSE),IF($B173 = "Test",VLOOKUP($C173,Tests!$A$2:$L$841,11,FALSE),VLOOKUP($C173,Questions!$A$3:$N$201,13,FALSE)))</f>
        <v xml:space="preserve"> </v>
      </c>
      <c r="G173" s="187"/>
      <c r="H173" s="202"/>
      <c r="I173" s="9"/>
      <c r="J173" s="9"/>
      <c r="K173" s="9"/>
      <c r="L173" s="9"/>
      <c r="M173" s="9"/>
    </row>
    <row r="174" spans="2:13" ht="15.75" customHeight="1">
      <c r="B174" s="114" t="s">
        <v>4590</v>
      </c>
      <c r="C174" s="9">
        <v>701</v>
      </c>
      <c r="D174" s="9" t="s">
        <v>2415</v>
      </c>
      <c r="E174" s="9" t="str">
        <f>IF($B174 = "Mutant",VLOOKUP($C174,Mutants!$A$2:$L$560,12,FALSE),IF($B174 = "Test",VLOOKUP($C174,Tests!$A$2:$L$841,12,FALSE),VLOOKUP($C174,Questions!$A$3:$N$201,9,FALSE)))</f>
        <v>Y</v>
      </c>
      <c r="F174" s="187" t="str">
        <f>IF($B174 = "Mutant",VLOOKUP($C174,Mutants!$A$2:$L$560,11,FALSE),IF($B174 = "Test",VLOOKUP($C174,Tests!$A$2:$L$841,11,FALSE),VLOOKUP($C174,Questions!$A$3:$N$201,13,FALSE)))</f>
        <v xml:space="preserve">add
</v>
      </c>
      <c r="G174" s="187"/>
      <c r="H174" s="202"/>
      <c r="I174" s="9"/>
      <c r="J174" s="9"/>
      <c r="K174" s="9"/>
      <c r="L174" s="9"/>
      <c r="M174" s="9"/>
    </row>
    <row r="175" spans="2:13" ht="15.75" customHeight="1">
      <c r="B175" s="114" t="s">
        <v>4590</v>
      </c>
      <c r="C175" s="9">
        <v>722</v>
      </c>
      <c r="D175" s="9" t="s">
        <v>2469</v>
      </c>
      <c r="E175" s="9" t="str">
        <f>IF($B175 = "Mutant",VLOOKUP($C175,Mutants!$A$2:$L$560,12,FALSE),IF($B175 = "Test",VLOOKUP($C175,Tests!$A$2:$L$841,12,FALSE),VLOOKUP($C175,Questions!$A$3:$N$201,9,FALSE)))</f>
        <v>Y</v>
      </c>
      <c r="F175" s="187" t="str">
        <f>IF($B175 = "Mutant",VLOOKUP($C175,Mutants!$A$2:$L$560,11,FALSE),IF($B175 = "Test",VLOOKUP($C175,Tests!$A$2:$L$841,11,FALSE),VLOOKUP($C175,Questions!$A$3:$N$201,13,FALSE)))</f>
        <v xml:space="preserve">add, getFields_2, clear
</v>
      </c>
      <c r="G175" s="187"/>
      <c r="H175" s="202"/>
      <c r="I175" s="9"/>
      <c r="J175" s="9"/>
      <c r="K175" s="9"/>
      <c r="L175" s="9"/>
      <c r="M175" s="9"/>
    </row>
    <row r="176" spans="2:13" ht="15.75" customHeight="1">
      <c r="B176" s="114" t="s">
        <v>4590</v>
      </c>
      <c r="C176" s="9">
        <v>746</v>
      </c>
      <c r="D176" s="9" t="s">
        <v>2535</v>
      </c>
      <c r="E176" s="9" t="str">
        <f>IF($B176 = "Mutant",VLOOKUP($C176,Mutants!$A$2:$L$560,12,FALSE),IF($B176 = "Test",VLOOKUP($C176,Tests!$A$2:$L$841,12,FALSE),VLOOKUP($C176,Questions!$A$3:$N$201,9,FALSE)))</f>
        <v>Y</v>
      </c>
      <c r="F176" s="187" t="str">
        <f>IF($B176 = "Mutant",VLOOKUP($C176,Mutants!$A$2:$L$560,11,FALSE),IF($B176 = "Test",VLOOKUP($C176,Tests!$A$2:$L$841,11,FALSE),VLOOKUP($C176,Questions!$A$3:$N$201,13,FALSE)))</f>
        <v xml:space="preserve">toString
</v>
      </c>
      <c r="G176" s="187"/>
      <c r="H176" s="202"/>
      <c r="I176" s="9"/>
      <c r="J176" s="9"/>
      <c r="K176" s="9"/>
      <c r="L176" s="9"/>
      <c r="M176" s="9"/>
    </row>
    <row r="177" spans="2:13" ht="15.75" customHeight="1">
      <c r="B177" s="114" t="s">
        <v>4590</v>
      </c>
      <c r="C177" s="9">
        <v>760</v>
      </c>
      <c r="D177" s="9" t="s">
        <v>2579</v>
      </c>
      <c r="E177" s="9" t="str">
        <f>IF($B177 = "Mutant",VLOOKUP($C177,Mutants!$A$2:$L$560,12,FALSE),IF($B177 = "Test",VLOOKUP($C177,Tests!$A$2:$L$841,12,FALSE),VLOOKUP($C177,Questions!$A$3:$N$201,9,FALSE)))</f>
        <v>Y</v>
      </c>
      <c r="F177" s="187" t="str">
        <f>IF($B177 = "Mutant",VLOOKUP($C177,Mutants!$A$2:$L$560,11,FALSE),IF($B177 = "Test",VLOOKUP($C177,Tests!$A$2:$L$841,11,FALSE),VLOOKUP($C177,Questions!$A$3:$N$201,13,FALSE)))</f>
        <v xml:space="preserve">add, toString
</v>
      </c>
      <c r="G177" s="187"/>
      <c r="H177" s="202"/>
      <c r="I177" s="9"/>
      <c r="J177" s="9"/>
      <c r="K177" s="9"/>
      <c r="L177" s="9"/>
      <c r="M177" s="9"/>
    </row>
    <row r="178" spans="2:13" ht="15.75" customHeight="1">
      <c r="B178" s="114" t="s">
        <v>107</v>
      </c>
      <c r="C178" s="9">
        <v>167</v>
      </c>
      <c r="D178" s="9" t="s">
        <v>688</v>
      </c>
      <c r="E178" s="9" t="str">
        <f>IF($B178 = "Mutant",VLOOKUP($C178,Mutants!$A$2:$L$560,12,FALSE),IF($B178 = "Test",VLOOKUP($C178,Tests!$A$2:$L$841,12,FALSE),VLOOKUP($C178,Questions!$A$3:$N$201,9,FALSE)))</f>
        <v>Y</v>
      </c>
      <c r="F178" s="187" t="str">
        <f>IF($B178 = "Mutant",VLOOKUP($C178,Mutants!$A$2:$L$560,11,FALSE),IF($B178 = "Test",VLOOKUP($C178,Tests!$A$2:$L$841,11,FALSE),VLOOKUP($C178,Questions!$A$3:$N$201,13,FALSE)))</f>
        <v xml:space="preserve"> </v>
      </c>
      <c r="G178" s="187"/>
      <c r="H178" s="202"/>
      <c r="I178" s="9"/>
      <c r="J178" s="9"/>
      <c r="K178" s="9"/>
      <c r="L178" s="9"/>
      <c r="M178" s="9"/>
    </row>
    <row r="179" spans="2:13" ht="15.75" customHeight="1">
      <c r="B179" s="114" t="s">
        <v>4590</v>
      </c>
      <c r="C179" s="9">
        <v>830</v>
      </c>
      <c r="D179" s="9" t="s">
        <v>2763</v>
      </c>
      <c r="E179" s="9" t="str">
        <f>IF($B179 = "Mutant",VLOOKUP($C179,Mutants!$A$2:$L$560,12,FALSE),IF($B179 = "Test",VLOOKUP($C179,Tests!$A$2:$L$841,12,FALSE),VLOOKUP($C179,Questions!$A$3:$N$201,9,FALSE)))</f>
        <v>Y</v>
      </c>
      <c r="F179" s="187" t="str">
        <f>IF($B179 = "Mutant",VLOOKUP($C179,Mutants!$A$2:$L$560,11,FALSE),IF($B179 = "Test",VLOOKUP($C179,Tests!$A$2:$L$841,11,FALSE),VLOOKUP($C179,Questions!$A$3:$N$201,13,FALSE)))</f>
        <v xml:space="preserve">add, removeFields, getFields_2
</v>
      </c>
      <c r="G179" s="187"/>
      <c r="H179" s="202"/>
      <c r="I179" s="9"/>
      <c r="J179" s="9"/>
      <c r="K179" s="9"/>
      <c r="L179" s="9"/>
      <c r="M179" s="9"/>
    </row>
    <row r="180" spans="2:13" ht="15.75" customHeight="1">
      <c r="B180" s="114" t="s">
        <v>4590</v>
      </c>
      <c r="C180" s="9">
        <v>848</v>
      </c>
      <c r="D180" s="9" t="s">
        <v>2812</v>
      </c>
      <c r="E180" s="9" t="str">
        <f>IF($B180 = "Mutant",VLOOKUP($C180,Mutants!$A$2:$L$560,12,FALSE),IF($B180 = "Test",VLOOKUP($C180,Tests!$A$2:$L$841,12,FALSE),VLOOKUP($C180,Questions!$A$3:$N$201,9,FALSE)))</f>
        <v>Y</v>
      </c>
      <c r="F180" s="187" t="str">
        <f>IF($B180 = "Mutant",VLOOKUP($C180,Mutants!$A$2:$L$560,11,FALSE),IF($B180 = "Test",VLOOKUP($C180,Tests!$A$2:$L$841,11,FALSE),VLOOKUP($C180,Questions!$A$3:$N$201,13,FALSE)))</f>
        <v xml:space="preserve">add, getField
</v>
      </c>
      <c r="G180" s="187"/>
      <c r="H180" s="202"/>
      <c r="I180" s="9"/>
      <c r="J180" s="9"/>
      <c r="K180" s="9"/>
      <c r="L180" s="9"/>
      <c r="M180" s="9"/>
    </row>
    <row r="181" spans="2:13" ht="15.75" customHeight="1">
      <c r="B181" s="114" t="s">
        <v>4590</v>
      </c>
      <c r="C181" s="9">
        <v>872</v>
      </c>
      <c r="D181" s="9" t="s">
        <v>2887</v>
      </c>
      <c r="E181" s="9" t="str">
        <f>IF($B181 = "Mutant",VLOOKUP($C181,Mutants!$A$2:$L$560,12,FALSE),IF($B181 = "Test",VLOOKUP($C181,Tests!$A$2:$L$841,12,FALSE),VLOOKUP($C181,Questions!$A$3:$N$201,9,FALSE)))</f>
        <v>N</v>
      </c>
      <c r="F181" s="187" t="str">
        <f>IF($B181 = "Mutant",VLOOKUP($C181,Mutants!$A$2:$L$560,11,FALSE),IF($B181 = "Test",VLOOKUP($C181,Tests!$A$2:$L$841,11,FALSE),VLOOKUP($C181,Questions!$A$3:$N$201,13,FALSE)))</f>
        <v xml:space="preserve">
</v>
      </c>
      <c r="G181" s="187"/>
      <c r="H181" s="202"/>
      <c r="I181" s="9"/>
      <c r="J181" s="9"/>
      <c r="K181" s="9"/>
      <c r="L181" s="9"/>
      <c r="M181" s="9"/>
    </row>
    <row r="182" spans="2:13" ht="15.75" customHeight="1">
      <c r="B182" s="114" t="s">
        <v>4590</v>
      </c>
      <c r="C182" s="9">
        <v>903</v>
      </c>
      <c r="D182" s="9" t="s">
        <v>2981</v>
      </c>
      <c r="E182" s="9" t="str">
        <f>IF($B182 = "Mutant",VLOOKUP($C182,Mutants!$A$2:$L$560,12,FALSE),IF($B182 = "Test",VLOOKUP($C182,Tests!$A$2:$L$841,12,FALSE),VLOOKUP($C182,Questions!$A$3:$N$201,9,FALSE)))</f>
        <v>Y</v>
      </c>
      <c r="F182" s="187" t="str">
        <f>IF($B182 = "Mutant",VLOOKUP($C182,Mutants!$A$2:$L$560,11,FALSE),IF($B182 = "Test",VLOOKUP($C182,Tests!$A$2:$L$841,11,FALSE),VLOOKUP($C182,Questions!$A$3:$N$201,13,FALSE)))</f>
        <v xml:space="preserve">add, getValues
</v>
      </c>
      <c r="G182" s="187"/>
      <c r="H182" s="202"/>
      <c r="I182" s="9"/>
      <c r="J182" s="9"/>
      <c r="K182" s="9"/>
      <c r="L182" s="9"/>
      <c r="M182" s="9"/>
    </row>
    <row r="183" spans="2:13" ht="15.75" customHeight="1">
      <c r="B183" s="114" t="s">
        <v>4590</v>
      </c>
      <c r="C183" s="9">
        <v>912</v>
      </c>
      <c r="D183" s="9" t="s">
        <v>418</v>
      </c>
      <c r="E183" s="9" t="str">
        <f>IF($B183 = "Mutant",VLOOKUP($C183,Mutants!$A$2:$L$560,12,FALSE),IF($B183 = "Test",VLOOKUP($C183,Tests!$A$2:$L$841,12,FALSE),VLOOKUP($C183,Questions!$A$3:$N$201,9,FALSE)))</f>
        <v>N</v>
      </c>
      <c r="F183" s="187" t="str">
        <f>IF($B183 = "Mutant",VLOOKUP($C183,Mutants!$A$2:$L$560,11,FALSE),IF($B183 = "Test",VLOOKUP($C183,Tests!$A$2:$L$841,11,FALSE),VLOOKUP($C183,Questions!$A$3:$N$201,13,FALSE)))</f>
        <v xml:space="preserve">
</v>
      </c>
      <c r="G183" s="187"/>
      <c r="H183" s="202"/>
      <c r="I183" s="9"/>
      <c r="J183" s="9"/>
      <c r="K183" s="9"/>
      <c r="L183" s="9"/>
      <c r="M183" s="9"/>
    </row>
    <row r="184" spans="2:13" ht="15.75" customHeight="1">
      <c r="B184" s="114" t="s">
        <v>4589</v>
      </c>
      <c r="C184" s="9">
        <v>653</v>
      </c>
      <c r="D184" s="9" t="s">
        <v>4569</v>
      </c>
      <c r="E184" s="9" t="str">
        <f>IF($B184 = "Mutant",VLOOKUP($C184,Mutants!$A$2:$L$560,12,FALSE),IF($B184 = "Test",VLOOKUP($C184,Tests!$A$2:$L$841,12,FALSE),VLOOKUP($C184,Questions!$A$3:$N$201,9,FALSE)))</f>
        <v>N</v>
      </c>
      <c r="F184" s="187" t="str">
        <f>IF($B184 = "Mutant",VLOOKUP($C184,Mutants!$A$2:$L$560,11,FALSE),IF($B184 = "Test",VLOOKUP($C184,Tests!$A$2:$L$841,11,FALSE),VLOOKUP($C184,Questions!$A$3:$N$201,13,FALSE)))</f>
        <v xml:space="preserve">
</v>
      </c>
      <c r="G184" s="187"/>
      <c r="H184" s="202"/>
      <c r="I184" s="9"/>
      <c r="J184" s="9"/>
      <c r="K184" s="9"/>
      <c r="L184" s="9"/>
      <c r="M184" s="9"/>
    </row>
    <row r="185" spans="2:13" ht="15.75" customHeight="1">
      <c r="B185" s="114" t="s">
        <v>4589</v>
      </c>
      <c r="C185" s="9">
        <v>656</v>
      </c>
      <c r="D185" s="9" t="s">
        <v>611</v>
      </c>
      <c r="E185" s="9" t="str">
        <f>IF($B185 = "Mutant",VLOOKUP($C185,Mutants!$A$2:$L$560,12,FALSE),IF($B185 = "Test",VLOOKUP($C185,Tests!$A$2:$L$841,12,FALSE),VLOOKUP($C185,Questions!$A$3:$N$201,9,FALSE)))</f>
        <v>Y</v>
      </c>
      <c r="F185" s="187" t="str">
        <f>IF($B185 = "Mutant",VLOOKUP($C185,Mutants!$A$2:$L$560,11,FALSE),IF($B185 = "Test",VLOOKUP($C185,Tests!$A$2:$L$841,11,FALSE),VLOOKUP($C185,Questions!$A$3:$N$201,13,FALSE)))</f>
        <v xml:space="preserve">getFields_1
</v>
      </c>
      <c r="G185" s="187"/>
      <c r="H185" s="202"/>
      <c r="I185" s="9"/>
      <c r="J185" s="9"/>
      <c r="K185" s="9"/>
      <c r="L185" s="9"/>
      <c r="M185" s="9"/>
    </row>
    <row r="186" spans="2:13" ht="15.75" customHeight="1">
      <c r="B186" s="133" t="s">
        <v>4589</v>
      </c>
      <c r="C186" s="130">
        <v>659</v>
      </c>
      <c r="D186" s="130" t="s">
        <v>4584</v>
      </c>
      <c r="E186" s="130" t="str">
        <f>IF($B186 = "Mutant",VLOOKUP($C186,Mutants!$A$2:$L$560,12,FALSE),IF($B186 = "Test",VLOOKUP($C186,Tests!$A$2:$L$841,12,FALSE),VLOOKUP($C186,Questions!$A$3:$N$201,9,FALSE)))</f>
        <v>Y</v>
      </c>
      <c r="F186" s="203" t="str">
        <f>IF($B186 = "Mutant",VLOOKUP($C186,Mutants!$A$2:$L$560,11,FALSE),IF($B186 = "Test",VLOOKUP($C186,Tests!$A$2:$L$841,11,FALSE),VLOOKUP($C186,Questions!$A$3:$N$201,13,FALSE)))</f>
        <v xml:space="preserve">toString
</v>
      </c>
      <c r="G186" s="203"/>
      <c r="H186" s="204"/>
      <c r="I186" s="9"/>
      <c r="J186" s="9"/>
      <c r="K186" s="9"/>
      <c r="L186" s="9"/>
      <c r="M186" s="9"/>
    </row>
  </sheetData>
  <mergeCells count="135">
    <mergeCell ref="B12:C12"/>
    <mergeCell ref="B5:C5"/>
    <mergeCell ref="B6:C6"/>
    <mergeCell ref="B7:C7"/>
    <mergeCell ref="B8:C8"/>
    <mergeCell ref="B9:C9"/>
    <mergeCell ref="B145:C145"/>
    <mergeCell ref="B113:C113"/>
    <mergeCell ref="B90:C90"/>
    <mergeCell ref="B61:C61"/>
    <mergeCell ref="F62:H62"/>
    <mergeCell ref="F91:H91"/>
    <mergeCell ref="F114:H114"/>
    <mergeCell ref="F78:H78"/>
    <mergeCell ref="F79:H79"/>
    <mergeCell ref="F80:H80"/>
    <mergeCell ref="F81:H81"/>
    <mergeCell ref="F82:H82"/>
    <mergeCell ref="F83:H83"/>
    <mergeCell ref="F84:H84"/>
    <mergeCell ref="F85:H85"/>
    <mergeCell ref="F86:H86"/>
    <mergeCell ref="F87:H87"/>
    <mergeCell ref="F88:H88"/>
    <mergeCell ref="F89:H89"/>
    <mergeCell ref="F90:H90"/>
    <mergeCell ref="F92:H92"/>
    <mergeCell ref="F146:H146"/>
    <mergeCell ref="F63:H63"/>
    <mergeCell ref="F64:H64"/>
    <mergeCell ref="F65:H65"/>
    <mergeCell ref="F66:H66"/>
    <mergeCell ref="F67:H67"/>
    <mergeCell ref="F68:H68"/>
    <mergeCell ref="F69:H69"/>
    <mergeCell ref="F70:H70"/>
    <mergeCell ref="F71:H71"/>
    <mergeCell ref="F72:H72"/>
    <mergeCell ref="F73:H73"/>
    <mergeCell ref="F74:H74"/>
    <mergeCell ref="F75:H75"/>
    <mergeCell ref="F76:H76"/>
    <mergeCell ref="F77:H77"/>
    <mergeCell ref="F98:H98"/>
    <mergeCell ref="F99:H99"/>
    <mergeCell ref="F100:H100"/>
    <mergeCell ref="F101:H101"/>
    <mergeCell ref="F102:H102"/>
    <mergeCell ref="F93:H93"/>
    <mergeCell ref="F94:H94"/>
    <mergeCell ref="F95:H95"/>
    <mergeCell ref="F96:H96"/>
    <mergeCell ref="F97:H97"/>
    <mergeCell ref="F108:H108"/>
    <mergeCell ref="F109:H109"/>
    <mergeCell ref="F110:H110"/>
    <mergeCell ref="F111:H111"/>
    <mergeCell ref="F112:H112"/>
    <mergeCell ref="F103:H103"/>
    <mergeCell ref="F104:H104"/>
    <mergeCell ref="F105:H105"/>
    <mergeCell ref="F106:H106"/>
    <mergeCell ref="F107:H107"/>
    <mergeCell ref="F119:H119"/>
    <mergeCell ref="F120:H120"/>
    <mergeCell ref="F121:H121"/>
    <mergeCell ref="F122:H122"/>
    <mergeCell ref="F123:H123"/>
    <mergeCell ref="F113:H113"/>
    <mergeCell ref="F115:H115"/>
    <mergeCell ref="F116:H116"/>
    <mergeCell ref="F117:H117"/>
    <mergeCell ref="F118:H118"/>
    <mergeCell ref="F129:H129"/>
    <mergeCell ref="F130:H130"/>
    <mergeCell ref="F131:H131"/>
    <mergeCell ref="F132:H132"/>
    <mergeCell ref="F133:H133"/>
    <mergeCell ref="F124:H124"/>
    <mergeCell ref="F125:H125"/>
    <mergeCell ref="F126:H126"/>
    <mergeCell ref="F127:H127"/>
    <mergeCell ref="F128:H128"/>
    <mergeCell ref="F139:H139"/>
    <mergeCell ref="F140:H140"/>
    <mergeCell ref="F141:H141"/>
    <mergeCell ref="F142:H142"/>
    <mergeCell ref="F143:H143"/>
    <mergeCell ref="F134:H134"/>
    <mergeCell ref="F135:H135"/>
    <mergeCell ref="F136:H136"/>
    <mergeCell ref="F137:H137"/>
    <mergeCell ref="F138:H138"/>
    <mergeCell ref="F150:H150"/>
    <mergeCell ref="F151:H151"/>
    <mergeCell ref="F152:H152"/>
    <mergeCell ref="F153:H153"/>
    <mergeCell ref="F154:H154"/>
    <mergeCell ref="F144:H144"/>
    <mergeCell ref="F145:H145"/>
    <mergeCell ref="F147:H147"/>
    <mergeCell ref="F148:H148"/>
    <mergeCell ref="F149:H149"/>
    <mergeCell ref="F160:H160"/>
    <mergeCell ref="F161:H161"/>
    <mergeCell ref="F162:H162"/>
    <mergeCell ref="F163:H163"/>
    <mergeCell ref="F164:H164"/>
    <mergeCell ref="F155:H155"/>
    <mergeCell ref="F156:H156"/>
    <mergeCell ref="F157:H157"/>
    <mergeCell ref="F158:H158"/>
    <mergeCell ref="F159:H159"/>
    <mergeCell ref="F170:H170"/>
    <mergeCell ref="F171:H171"/>
    <mergeCell ref="F172:H172"/>
    <mergeCell ref="F173:H173"/>
    <mergeCell ref="F174:H174"/>
    <mergeCell ref="F165:H165"/>
    <mergeCell ref="F166:H166"/>
    <mergeCell ref="F167:H167"/>
    <mergeCell ref="F168:H168"/>
    <mergeCell ref="F169:H169"/>
    <mergeCell ref="F185:H185"/>
    <mergeCell ref="F186:H186"/>
    <mergeCell ref="F180:H180"/>
    <mergeCell ref="F181:H181"/>
    <mergeCell ref="F182:H182"/>
    <mergeCell ref="F183:H183"/>
    <mergeCell ref="F184:H184"/>
    <mergeCell ref="F175:H175"/>
    <mergeCell ref="F176:H176"/>
    <mergeCell ref="F177:H177"/>
    <mergeCell ref="F178:H178"/>
    <mergeCell ref="F179:H179"/>
  </mergeCells>
  <conditionalFormatting sqref="A61:B61">
    <cfRule type="cellIs" dxfId="29" priority="13" operator="equal">
      <formula>"NO_KILL"</formula>
    </cfRule>
    <cfRule type="cellIs" dxfId="28" priority="14" operator="equal">
      <formula>"KILL"</formula>
    </cfRule>
    <cfRule type="cellIs" dxfId="27" priority="15" operator="equal">
      <formula>"ERROR"</formula>
    </cfRule>
  </conditionalFormatting>
  <conditionalFormatting sqref="A90:B90">
    <cfRule type="cellIs" dxfId="26" priority="19" operator="equal">
      <formula>"NO_KILL"</formula>
    </cfRule>
    <cfRule type="cellIs" dxfId="25" priority="20" operator="equal">
      <formula>"KILL"</formula>
    </cfRule>
    <cfRule type="cellIs" dxfId="24" priority="21" operator="equal">
      <formula>"ERROR"</formula>
    </cfRule>
  </conditionalFormatting>
  <conditionalFormatting sqref="A113:B113">
    <cfRule type="cellIs" dxfId="23" priority="26" operator="equal">
      <formula>"KILL"</formula>
    </cfRule>
    <cfRule type="cellIs" dxfId="22" priority="27" operator="equal">
      <formula>"ERROR"</formula>
    </cfRule>
    <cfRule type="cellIs" dxfId="21" priority="25" operator="equal">
      <formula>"NO_KILL"</formula>
    </cfRule>
  </conditionalFormatting>
  <conditionalFormatting sqref="A145:B145">
    <cfRule type="cellIs" dxfId="20" priority="31" operator="equal">
      <formula>"NO_KILL"</formula>
    </cfRule>
    <cfRule type="cellIs" dxfId="19" priority="32" operator="equal">
      <formula>"KILL"</formula>
    </cfRule>
    <cfRule type="cellIs" dxfId="18" priority="33" operator="equal">
      <formula>"ERROR"</formula>
    </cfRule>
  </conditionalFormatting>
  <conditionalFormatting sqref="A62:F89">
    <cfRule type="cellIs" dxfId="17" priority="11" operator="equal">
      <formula>"KILL"</formula>
    </cfRule>
    <cfRule type="cellIs" dxfId="16" priority="10" operator="equal">
      <formula>"NO_KILL"</formula>
    </cfRule>
    <cfRule type="cellIs" dxfId="15" priority="12" operator="equal">
      <formula>"ERROR"</formula>
    </cfRule>
  </conditionalFormatting>
  <conditionalFormatting sqref="A91:F112">
    <cfRule type="cellIs" dxfId="14" priority="7" operator="equal">
      <formula>"NO_KILL"</formula>
    </cfRule>
    <cfRule type="cellIs" dxfId="13" priority="8" operator="equal">
      <formula>"KILL"</formula>
    </cfRule>
    <cfRule type="cellIs" dxfId="12" priority="9" operator="equal">
      <formula>"ERROR"</formula>
    </cfRule>
  </conditionalFormatting>
  <conditionalFormatting sqref="A114:F144">
    <cfRule type="cellIs" dxfId="11" priority="4" operator="equal">
      <formula>"NO_KILL"</formula>
    </cfRule>
    <cfRule type="cellIs" dxfId="10" priority="5" operator="equal">
      <formula>"KILL"</formula>
    </cfRule>
    <cfRule type="cellIs" dxfId="9" priority="6" operator="equal">
      <formula>"ERROR"</formula>
    </cfRule>
  </conditionalFormatting>
  <conditionalFormatting sqref="A146:F186">
    <cfRule type="cellIs" dxfId="8" priority="2" operator="equal">
      <formula>"KILL"</formula>
    </cfRule>
    <cfRule type="cellIs" dxfId="7" priority="3" operator="equal">
      <formula>"ERROR"</formula>
    </cfRule>
    <cfRule type="cellIs" dxfId="6" priority="1" operator="equal">
      <formula>"NO_KILL"</formula>
    </cfRule>
  </conditionalFormatting>
  <conditionalFormatting sqref="A1:Z4 A5:B9 D5:Z9 A10:Z60 D61:Z61 I62:Z186 D90:F90 D113:F113 D145:F145 A187:Z1128">
    <cfRule type="cellIs" dxfId="5" priority="37" operator="equal">
      <formula>"NO_KILL"</formula>
    </cfRule>
    <cfRule type="cellIs" dxfId="4" priority="38" operator="equal">
      <formula>"KILL"</formula>
    </cfRule>
    <cfRule type="cellIs" dxfId="3" priority="39" operator="equal">
      <formula>"ERROR"</formula>
    </cfRule>
  </conditionalFormatting>
  <conditionalFormatting sqref="B59:B1128">
    <cfRule type="cellIs" dxfId="2" priority="18" operator="equal">
      <formula>"Question"</formula>
    </cfRule>
    <cfRule type="cellIs" dxfId="1" priority="17" operator="equal">
      <formula>"Mutant"</formula>
    </cfRule>
    <cfRule type="cellIs" dxfId="0" priority="16" operator="equal">
      <formula>"Test"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42"/>
  <sheetViews>
    <sheetView workbookViewId="0"/>
  </sheetViews>
  <sheetFormatPr defaultColWidth="12.5703125" defaultRowHeight="15.75" customHeight="1"/>
  <cols>
    <col min="1" max="1" width="10.7109375" customWidth="1"/>
    <col min="2" max="2" width="1.85546875" customWidth="1"/>
    <col min="3" max="3" width="12.28515625" customWidth="1"/>
    <col min="4" max="4" width="1.85546875" customWidth="1"/>
    <col min="5" max="5" width="9.42578125" customWidth="1"/>
    <col min="6" max="6" width="1.85546875" customWidth="1"/>
    <col min="7" max="7" width="9.5703125" customWidth="1"/>
    <col min="8" max="8" width="1.85546875" customWidth="1"/>
    <col min="9" max="9" width="8.85546875" customWidth="1"/>
    <col min="10" max="10" width="1.85546875" customWidth="1"/>
    <col min="11" max="11" width="9.85546875" customWidth="1"/>
    <col min="12" max="12" width="1.85546875" customWidth="1"/>
    <col min="13" max="13" width="10.140625" customWidth="1"/>
    <col min="14" max="14" width="1.85546875" customWidth="1"/>
    <col min="15" max="15" width="11" customWidth="1"/>
    <col min="16" max="16" width="1.85546875" customWidth="1"/>
    <col min="17" max="17" width="11.85546875" customWidth="1"/>
    <col min="18" max="18" width="1.85546875" customWidth="1"/>
    <col min="19" max="19" width="12.140625" customWidth="1"/>
    <col min="20" max="20" width="1.85546875" customWidth="1"/>
    <col min="22" max="22" width="14.140625" customWidth="1"/>
    <col min="23" max="23" width="19.42578125" customWidth="1"/>
  </cols>
  <sheetData>
    <row r="1" spans="1:23">
      <c r="V1" s="187" t="s">
        <v>42</v>
      </c>
      <c r="W1" s="187" t="s">
        <v>43</v>
      </c>
    </row>
    <row r="2" spans="1:23">
      <c r="A2" s="9" t="s">
        <v>6</v>
      </c>
      <c r="C2" s="9" t="s">
        <v>7</v>
      </c>
      <c r="E2" s="9" t="s">
        <v>8</v>
      </c>
      <c r="G2" s="9" t="s">
        <v>9</v>
      </c>
      <c r="I2" s="9" t="s">
        <v>10</v>
      </c>
      <c r="K2" s="9" t="s">
        <v>11</v>
      </c>
      <c r="M2" s="9" t="s">
        <v>12</v>
      </c>
      <c r="O2" s="9" t="s">
        <v>13</v>
      </c>
      <c r="Q2" s="9" t="s">
        <v>14</v>
      </c>
      <c r="S2" s="9" t="s">
        <v>15</v>
      </c>
      <c r="V2" s="188"/>
      <c r="W2" s="188"/>
    </row>
    <row r="3" spans="1:23">
      <c r="A3" s="48">
        <f ca="1">IF(Valid_players!I3&gt;Valid_players!J3,1,0)</f>
        <v>0</v>
      </c>
      <c r="B3" s="48">
        <f ca="1">IF(Valid_players!I3&gt;=Valid_players!J3,1,0)</f>
        <v>0</v>
      </c>
      <c r="C3" s="48">
        <f ca="1">IF(Valid_players!K3&gt;Valid_players!L3,1,0)</f>
        <v>0</v>
      </c>
      <c r="D3" s="48">
        <f ca="1">IF(Valid_players!K3&gt;=Valid_players!L3,1,0)</f>
        <v>1</v>
      </c>
      <c r="E3" s="48">
        <f ca="1">IF(Valid_players!M3&gt;Valid_players!N3,1,0)</f>
        <v>0</v>
      </c>
      <c r="F3" s="48">
        <f ca="1">IF(Valid_players!M3&gt;=Valid_players!N3,1,0)</f>
        <v>1</v>
      </c>
      <c r="G3" s="48">
        <f ca="1">IF(Valid_players!O3&gt;Valid_players!P3,1,0)</f>
        <v>0</v>
      </c>
      <c r="H3" s="48">
        <f ca="1">IF(Valid_players!O3&gt;=Valid_players!P3,1,0)</f>
        <v>0</v>
      </c>
      <c r="I3" s="48">
        <f ca="1">IF(Valid_players!Q3&gt;Valid_players!R3,1,0)</f>
        <v>0</v>
      </c>
      <c r="J3" s="48">
        <f ca="1">IF(Valid_players!Q3&gt;=Valid_players!R3,1,0)</f>
        <v>1</v>
      </c>
      <c r="K3" s="48">
        <f ca="1">IF(Valid_players!S3&gt;Valid_players!T3,1,0)</f>
        <v>0</v>
      </c>
      <c r="L3" s="48">
        <f ca="1">IF(Valid_players!S3&gt;=Valid_players!T3,1,0)</f>
        <v>1</v>
      </c>
      <c r="M3" s="48">
        <f ca="1">IF(Valid_players!U3&gt;Valid_players!V3,1,0)</f>
        <v>0</v>
      </c>
      <c r="N3" s="48">
        <f ca="1">IF(Valid_players!U3&gt;=Valid_players!V3,1,0)</f>
        <v>1</v>
      </c>
      <c r="O3" s="48">
        <f ca="1">IF(Valid_players!W3&gt;Valid_players!X3,1,0)</f>
        <v>0</v>
      </c>
      <c r="P3" s="48">
        <f ca="1">IF(Valid_players!W3&gt;=Valid_players!X3,1,0)</f>
        <v>1</v>
      </c>
      <c r="Q3" s="48">
        <f ca="1">IF(Valid_players!Y3&gt;Valid_players!Z3,1,0)</f>
        <v>0</v>
      </c>
      <c r="R3" s="48">
        <f ca="1">IF(Valid_players!Y3&gt;=Valid_players!Z3,1,0)</f>
        <v>1</v>
      </c>
      <c r="S3" s="48">
        <f ca="1">IF(Valid_players!AA3&gt;Valid_players!AB3,1,0)</f>
        <v>1</v>
      </c>
      <c r="T3" s="48">
        <f ca="1">IF(Valid_players!AA3&gt;=Valid_players!AB3,1,0)</f>
        <v>1</v>
      </c>
      <c r="V3" s="9">
        <v>0</v>
      </c>
      <c r="W3" s="9">
        <f ca="1">COUNTIF(Valid_players!$G$3:$G$41,V3)</f>
        <v>2</v>
      </c>
    </row>
    <row r="4" spans="1:23">
      <c r="A4" s="48">
        <f ca="1">IF(Valid_players!I4&gt;Valid_players!J4,1,0)</f>
        <v>0</v>
      </c>
      <c r="B4" s="48">
        <f ca="1">IF(Valid_players!I4&gt;=Valid_players!J4,1,0)</f>
        <v>0</v>
      </c>
      <c r="C4" s="48">
        <f ca="1">IF(Valid_players!K4&gt;Valid_players!L4,1,0)</f>
        <v>0</v>
      </c>
      <c r="D4" s="48">
        <f ca="1">IF(Valid_players!K4&gt;=Valid_players!L4,1,0)</f>
        <v>0</v>
      </c>
      <c r="E4" s="48">
        <f ca="1">IF(Valid_players!M4&gt;Valid_players!N4,1,0)</f>
        <v>0</v>
      </c>
      <c r="F4" s="48">
        <f ca="1">IF(Valid_players!M4&gt;=Valid_players!N4,1,0)</f>
        <v>0</v>
      </c>
      <c r="G4" s="48">
        <f ca="1">IF(Valid_players!O4&gt;Valid_players!P4,1,0)</f>
        <v>0</v>
      </c>
      <c r="H4" s="48">
        <f ca="1">IF(Valid_players!O4&gt;=Valid_players!P4,1,0)</f>
        <v>0</v>
      </c>
      <c r="I4" s="48">
        <f ca="1">IF(Valid_players!Q4&gt;Valid_players!R4,1,0)</f>
        <v>0</v>
      </c>
      <c r="J4" s="48">
        <f ca="1">IF(Valid_players!Q4&gt;=Valid_players!R4,1,0)</f>
        <v>0</v>
      </c>
      <c r="K4" s="48">
        <f ca="1">IF(Valid_players!S4&gt;Valid_players!T4,1,0)</f>
        <v>0</v>
      </c>
      <c r="L4" s="48">
        <f ca="1">IF(Valid_players!S4&gt;=Valid_players!T4,1,0)</f>
        <v>1</v>
      </c>
      <c r="M4" s="48">
        <f ca="1">IF(Valid_players!U4&gt;Valid_players!V4,1,0)</f>
        <v>0</v>
      </c>
      <c r="N4" s="48">
        <f ca="1">IF(Valid_players!U4&gt;=Valid_players!V4,1,0)</f>
        <v>1</v>
      </c>
      <c r="O4" s="48">
        <f ca="1">IF(Valid_players!W4&gt;Valid_players!X4,1,0)</f>
        <v>0</v>
      </c>
      <c r="P4" s="48">
        <f ca="1">IF(Valid_players!W4&gt;=Valid_players!X4,1,0)</f>
        <v>0</v>
      </c>
      <c r="Q4" s="48">
        <f ca="1">IF(Valid_players!Y4&gt;Valid_players!Z4,1,0)</f>
        <v>0</v>
      </c>
      <c r="R4" s="48">
        <f ca="1">IF(Valid_players!Y4&gt;=Valid_players!Z4,1,0)</f>
        <v>1</v>
      </c>
      <c r="S4" s="48">
        <f ca="1">IF(Valid_players!AA4&gt;Valid_players!AB4,1,0)</f>
        <v>0</v>
      </c>
      <c r="T4" s="48">
        <f ca="1">IF(Valid_players!AA4&gt;=Valid_players!AB4,1,0)</f>
        <v>1</v>
      </c>
      <c r="V4" s="9">
        <v>1</v>
      </c>
      <c r="W4" s="9">
        <f ca="1">COUNTIF(Valid_players!$G$3:$G$41,V4)</f>
        <v>2</v>
      </c>
    </row>
    <row r="5" spans="1:23">
      <c r="A5" s="48">
        <f ca="1">IF(Valid_players!I5&gt;Valid_players!J5,1,0)</f>
        <v>0</v>
      </c>
      <c r="B5" s="48">
        <f ca="1">IF(Valid_players!I5&gt;=Valid_players!J5,1,0)</f>
        <v>0</v>
      </c>
      <c r="C5" s="48">
        <f ca="1">IF(Valid_players!K5&gt;Valid_players!L5,1,0)</f>
        <v>0</v>
      </c>
      <c r="D5" s="48">
        <f ca="1">IF(Valid_players!K5&gt;=Valid_players!L5,1,0)</f>
        <v>0</v>
      </c>
      <c r="E5" s="48">
        <f ca="1">IF(Valid_players!M5&gt;Valid_players!N5,1,0)</f>
        <v>0</v>
      </c>
      <c r="F5" s="48">
        <f ca="1">IF(Valid_players!M5&gt;=Valid_players!N5,1,0)</f>
        <v>1</v>
      </c>
      <c r="G5" s="48">
        <f ca="1">IF(Valid_players!O5&gt;Valid_players!P5,1,0)</f>
        <v>0</v>
      </c>
      <c r="H5" s="48">
        <f ca="1">IF(Valid_players!O5&gt;=Valid_players!P5,1,0)</f>
        <v>0</v>
      </c>
      <c r="I5" s="48">
        <f ca="1">IF(Valid_players!Q5&gt;Valid_players!R5,1,0)</f>
        <v>0</v>
      </c>
      <c r="J5" s="48">
        <f ca="1">IF(Valid_players!Q5&gt;=Valid_players!R5,1,0)</f>
        <v>0</v>
      </c>
      <c r="K5" s="48">
        <f ca="1">IF(Valid_players!S5&gt;Valid_players!T5,1,0)</f>
        <v>1</v>
      </c>
      <c r="L5" s="48">
        <f ca="1">IF(Valid_players!S5&gt;=Valid_players!T5,1,0)</f>
        <v>1</v>
      </c>
      <c r="M5" s="48">
        <f ca="1">IF(Valid_players!U5&gt;Valid_players!V5,1,0)</f>
        <v>0</v>
      </c>
      <c r="N5" s="48">
        <f ca="1">IF(Valid_players!U5&gt;=Valid_players!V5,1,0)</f>
        <v>0</v>
      </c>
      <c r="O5" s="48">
        <f ca="1">IF(Valid_players!W5&gt;Valid_players!X5,1,0)</f>
        <v>1</v>
      </c>
      <c r="P5" s="48">
        <f ca="1">IF(Valid_players!W5&gt;=Valid_players!X5,1,0)</f>
        <v>1</v>
      </c>
      <c r="Q5" s="48">
        <f ca="1">IF(Valid_players!Y5&gt;Valid_players!Z5,1,0)</f>
        <v>0</v>
      </c>
      <c r="R5" s="48">
        <f ca="1">IF(Valid_players!Y5&gt;=Valid_players!Z5,1,0)</f>
        <v>1</v>
      </c>
      <c r="S5" s="48">
        <f ca="1">IF(Valid_players!AA5&gt;Valid_players!AB5,1,0)</f>
        <v>0</v>
      </c>
      <c r="T5" s="48">
        <f ca="1">IF(Valid_players!AA5&gt;=Valid_players!AB5,1,0)</f>
        <v>0</v>
      </c>
      <c r="V5" s="9">
        <v>2</v>
      </c>
      <c r="W5" s="9">
        <f ca="1">COUNTIF(Valid_players!$G$3:$G$41,V5)</f>
        <v>6</v>
      </c>
    </row>
    <row r="6" spans="1:23">
      <c r="A6" s="48">
        <f ca="1">IF(Valid_players!I6&gt;Valid_players!J6,1,0)</f>
        <v>1</v>
      </c>
      <c r="B6" s="48">
        <f ca="1">IF(Valid_players!I6&gt;=Valid_players!J6,1,0)</f>
        <v>1</v>
      </c>
      <c r="C6" s="48">
        <f ca="1">IF(Valid_players!K6&gt;Valid_players!L6,1,0)</f>
        <v>1</v>
      </c>
      <c r="D6" s="48">
        <f ca="1">IF(Valid_players!K6&gt;=Valid_players!L6,1,0)</f>
        <v>1</v>
      </c>
      <c r="E6" s="48">
        <f ca="1">IF(Valid_players!M6&gt;Valid_players!N6,1,0)</f>
        <v>0</v>
      </c>
      <c r="F6" s="48">
        <f ca="1">IF(Valid_players!M6&gt;=Valid_players!N6,1,0)</f>
        <v>1</v>
      </c>
      <c r="G6" s="48">
        <f ca="1">IF(Valid_players!O6&gt;Valid_players!P6,1,0)</f>
        <v>1</v>
      </c>
      <c r="H6" s="48">
        <f ca="1">IF(Valid_players!O6&gt;=Valid_players!P6,1,0)</f>
        <v>1</v>
      </c>
      <c r="I6" s="48">
        <f ca="1">IF(Valid_players!Q6&gt;Valid_players!R6,1,0)</f>
        <v>0</v>
      </c>
      <c r="J6" s="48">
        <f ca="1">IF(Valid_players!Q6&gt;=Valid_players!R6,1,0)</f>
        <v>0</v>
      </c>
      <c r="K6" s="48">
        <f ca="1">IF(Valid_players!S6&gt;Valid_players!T6,1,0)</f>
        <v>1</v>
      </c>
      <c r="L6" s="48">
        <f ca="1">IF(Valid_players!S6&gt;=Valid_players!T6,1,0)</f>
        <v>1</v>
      </c>
      <c r="M6" s="48">
        <f ca="1">IF(Valid_players!U6&gt;Valid_players!V6,1,0)</f>
        <v>0</v>
      </c>
      <c r="N6" s="48">
        <f ca="1">IF(Valid_players!U6&gt;=Valid_players!V6,1,0)</f>
        <v>0</v>
      </c>
      <c r="O6" s="48">
        <f ca="1">IF(Valid_players!W6&gt;Valid_players!X6,1,0)</f>
        <v>0</v>
      </c>
      <c r="P6" s="48">
        <f ca="1">IF(Valid_players!W6&gt;=Valid_players!X6,1,0)</f>
        <v>0</v>
      </c>
      <c r="Q6" s="48">
        <f ca="1">IF(Valid_players!Y6&gt;Valid_players!Z6,1,0)</f>
        <v>0</v>
      </c>
      <c r="R6" s="48">
        <f ca="1">IF(Valid_players!Y6&gt;=Valid_players!Z6,1,0)</f>
        <v>0</v>
      </c>
      <c r="S6" s="48">
        <f ca="1">IF(Valid_players!AA6&gt;Valid_players!AB6,1,0)</f>
        <v>0</v>
      </c>
      <c r="T6" s="48">
        <f ca="1">IF(Valid_players!AA6&gt;=Valid_players!AB6,1,0)</f>
        <v>0</v>
      </c>
      <c r="V6" s="9">
        <v>3</v>
      </c>
      <c r="W6" s="9">
        <f ca="1">COUNTIF(Valid_players!$G$3:$G$41,V6)</f>
        <v>6</v>
      </c>
    </row>
    <row r="7" spans="1:23">
      <c r="A7" s="48">
        <f ca="1">IF(Valid_players!I7&gt;Valid_players!J7,1,0)</f>
        <v>1</v>
      </c>
      <c r="B7" s="48">
        <f ca="1">IF(Valid_players!I7&gt;=Valid_players!J7,1,0)</f>
        <v>1</v>
      </c>
      <c r="C7" s="48">
        <f ca="1">IF(Valid_players!K7&gt;Valid_players!L7,1,0)</f>
        <v>0</v>
      </c>
      <c r="D7" s="48">
        <f ca="1">IF(Valid_players!K7&gt;=Valid_players!L7,1,0)</f>
        <v>0</v>
      </c>
      <c r="E7" s="48">
        <f ca="1">IF(Valid_players!M7&gt;Valid_players!N7,1,0)</f>
        <v>1</v>
      </c>
      <c r="F7" s="48">
        <f ca="1">IF(Valid_players!M7&gt;=Valid_players!N7,1,0)</f>
        <v>1</v>
      </c>
      <c r="G7" s="48">
        <f ca="1">IF(Valid_players!O7&gt;Valid_players!P7,1,0)</f>
        <v>0</v>
      </c>
      <c r="H7" s="48">
        <f ca="1">IF(Valid_players!O7&gt;=Valid_players!P7,1,0)</f>
        <v>1</v>
      </c>
      <c r="I7" s="48">
        <f ca="1">IF(Valid_players!Q7&gt;Valid_players!R7,1,0)</f>
        <v>0</v>
      </c>
      <c r="J7" s="48">
        <f ca="1">IF(Valid_players!Q7&gt;=Valid_players!R7,1,0)</f>
        <v>0</v>
      </c>
      <c r="K7" s="48">
        <f ca="1">IF(Valid_players!S7&gt;Valid_players!T7,1,0)</f>
        <v>1</v>
      </c>
      <c r="L7" s="48">
        <f ca="1">IF(Valid_players!S7&gt;=Valid_players!T7,1,0)</f>
        <v>1</v>
      </c>
      <c r="M7" s="48">
        <f ca="1">IF(Valid_players!U7&gt;Valid_players!V7,1,0)</f>
        <v>0</v>
      </c>
      <c r="N7" s="48">
        <f ca="1">IF(Valid_players!U7&gt;=Valid_players!V7,1,0)</f>
        <v>1</v>
      </c>
      <c r="O7" s="48">
        <f ca="1">IF(Valid_players!W7&gt;Valid_players!X7,1,0)</f>
        <v>1</v>
      </c>
      <c r="P7" s="48">
        <f ca="1">IF(Valid_players!W7&gt;=Valid_players!X7,1,0)</f>
        <v>1</v>
      </c>
      <c r="Q7" s="48">
        <f ca="1">IF(Valid_players!Y7&gt;Valid_players!Z7,1,0)</f>
        <v>1</v>
      </c>
      <c r="R7" s="48">
        <f ca="1">IF(Valid_players!Y7&gt;=Valid_players!Z7,1,0)</f>
        <v>1</v>
      </c>
      <c r="S7" s="48">
        <f ca="1">IF(Valid_players!AA7&gt;Valid_players!AB7,1,0)</f>
        <v>1</v>
      </c>
      <c r="T7" s="48">
        <f ca="1">IF(Valid_players!AA7&gt;=Valid_players!AB7,1,0)</f>
        <v>1</v>
      </c>
      <c r="V7" s="9">
        <v>4</v>
      </c>
      <c r="W7" s="9">
        <f ca="1">COUNTIF(Valid_players!$G$3:$G$41,V7)</f>
        <v>4</v>
      </c>
    </row>
    <row r="8" spans="1:23">
      <c r="A8" s="48">
        <f ca="1">IF(Valid_players!I8&gt;Valid_players!J8,1,0)</f>
        <v>0</v>
      </c>
      <c r="B8" s="48">
        <f ca="1">IF(Valid_players!I8&gt;=Valid_players!J8,1,0)</f>
        <v>0</v>
      </c>
      <c r="C8" s="48">
        <f ca="1">IF(Valid_players!K8&gt;Valid_players!L8,1,0)</f>
        <v>1</v>
      </c>
      <c r="D8" s="48">
        <f ca="1">IF(Valid_players!K8&gt;=Valid_players!L8,1,0)</f>
        <v>1</v>
      </c>
      <c r="E8" s="48">
        <f ca="1">IF(Valid_players!M8&gt;Valid_players!N8,1,0)</f>
        <v>0</v>
      </c>
      <c r="F8" s="48">
        <f ca="1">IF(Valid_players!M8&gt;=Valid_players!N8,1,0)</f>
        <v>0</v>
      </c>
      <c r="G8" s="48">
        <f ca="1">IF(Valid_players!O8&gt;Valid_players!P8,1,0)</f>
        <v>0</v>
      </c>
      <c r="H8" s="48">
        <f ca="1">IF(Valid_players!O8&gt;=Valid_players!P8,1,0)</f>
        <v>0</v>
      </c>
      <c r="I8" s="48">
        <f ca="1">IF(Valid_players!Q8&gt;Valid_players!R8,1,0)</f>
        <v>0</v>
      </c>
      <c r="J8" s="48">
        <f ca="1">IF(Valid_players!Q8&gt;=Valid_players!R8,1,0)</f>
        <v>0</v>
      </c>
      <c r="K8" s="48">
        <f ca="1">IF(Valid_players!S8&gt;Valid_players!T8,1,0)</f>
        <v>0</v>
      </c>
      <c r="L8" s="48">
        <f ca="1">IF(Valid_players!S8&gt;=Valid_players!T8,1,0)</f>
        <v>1</v>
      </c>
      <c r="M8" s="48">
        <f ca="1">IF(Valid_players!U8&gt;Valid_players!V8,1,0)</f>
        <v>0</v>
      </c>
      <c r="N8" s="48">
        <f ca="1">IF(Valid_players!U8&gt;=Valid_players!V8,1,0)</f>
        <v>0</v>
      </c>
      <c r="O8" s="48">
        <f ca="1">IF(Valid_players!W8&gt;Valid_players!X8,1,0)</f>
        <v>0</v>
      </c>
      <c r="P8" s="48">
        <f ca="1">IF(Valid_players!W8&gt;=Valid_players!X8,1,0)</f>
        <v>0</v>
      </c>
      <c r="Q8" s="48">
        <f ca="1">IF(Valid_players!Y8&gt;Valid_players!Z8,1,0)</f>
        <v>0</v>
      </c>
      <c r="R8" s="48">
        <f ca="1">IF(Valid_players!Y8&gt;=Valid_players!Z8,1,0)</f>
        <v>0</v>
      </c>
      <c r="S8" s="48">
        <f ca="1">IF(Valid_players!AA8&gt;Valid_players!AB8,1,0)</f>
        <v>0</v>
      </c>
      <c r="T8" s="48">
        <f ca="1">IF(Valid_players!AA8&gt;=Valid_players!AB8,1,0)</f>
        <v>0</v>
      </c>
      <c r="V8" s="9">
        <v>5</v>
      </c>
      <c r="W8" s="9">
        <f ca="1">COUNTIF(Valid_players!$G$3:$G$41,V8)</f>
        <v>7</v>
      </c>
    </row>
    <row r="9" spans="1:23">
      <c r="A9" s="48">
        <f ca="1">IF(Valid_players!I9&gt;Valid_players!J9,1,0)</f>
        <v>1</v>
      </c>
      <c r="B9" s="48">
        <f ca="1">IF(Valid_players!I9&gt;=Valid_players!J9,1,0)</f>
        <v>1</v>
      </c>
      <c r="C9" s="48">
        <f ca="1">IF(Valid_players!K9&gt;Valid_players!L9,1,0)</f>
        <v>1</v>
      </c>
      <c r="D9" s="48">
        <f ca="1">IF(Valid_players!K9&gt;=Valid_players!L9,1,0)</f>
        <v>1</v>
      </c>
      <c r="E9" s="48">
        <f ca="1">IF(Valid_players!M9&gt;Valid_players!N9,1,0)</f>
        <v>0</v>
      </c>
      <c r="F9" s="48">
        <f ca="1">IF(Valid_players!M9&gt;=Valid_players!N9,1,0)</f>
        <v>0</v>
      </c>
      <c r="G9" s="48">
        <f ca="1">IF(Valid_players!O9&gt;Valid_players!P9,1,0)</f>
        <v>1</v>
      </c>
      <c r="H9" s="48">
        <f ca="1">IF(Valid_players!O9&gt;=Valid_players!P9,1,0)</f>
        <v>1</v>
      </c>
      <c r="I9" s="48">
        <f ca="1">IF(Valid_players!Q9&gt;Valid_players!R9,1,0)</f>
        <v>0</v>
      </c>
      <c r="J9" s="48">
        <f ca="1">IF(Valid_players!Q9&gt;=Valid_players!R9,1,0)</f>
        <v>0</v>
      </c>
      <c r="K9" s="48">
        <f ca="1">IF(Valid_players!S9&gt;Valid_players!T9,1,0)</f>
        <v>1</v>
      </c>
      <c r="L9" s="48">
        <f ca="1">IF(Valid_players!S9&gt;=Valid_players!T9,1,0)</f>
        <v>1</v>
      </c>
      <c r="M9" s="48">
        <f ca="1">IF(Valid_players!U9&gt;Valid_players!V9,1,0)</f>
        <v>0</v>
      </c>
      <c r="N9" s="48">
        <f ca="1">IF(Valid_players!U9&gt;=Valid_players!V9,1,0)</f>
        <v>0</v>
      </c>
      <c r="O9" s="48">
        <f ca="1">IF(Valid_players!W9&gt;Valid_players!X9,1,0)</f>
        <v>0</v>
      </c>
      <c r="P9" s="48">
        <f ca="1">IF(Valid_players!W9&gt;=Valid_players!X9,1,0)</f>
        <v>0</v>
      </c>
      <c r="Q9" s="48">
        <f ca="1">IF(Valid_players!Y9&gt;Valid_players!Z9,1,0)</f>
        <v>0</v>
      </c>
      <c r="R9" s="48">
        <f ca="1">IF(Valid_players!Y9&gt;=Valid_players!Z9,1,0)</f>
        <v>0</v>
      </c>
      <c r="S9" s="48">
        <f ca="1">IF(Valid_players!AA9&gt;Valid_players!AB9,1,0)</f>
        <v>0</v>
      </c>
      <c r="T9" s="48">
        <f ca="1">IF(Valid_players!AA9&gt;=Valid_players!AB9,1,0)</f>
        <v>0</v>
      </c>
      <c r="V9" s="9">
        <v>6</v>
      </c>
      <c r="W9" s="9">
        <f ca="1">COUNTIF(Valid_players!$G$3:$G$41,V9)</f>
        <v>1</v>
      </c>
    </row>
    <row r="10" spans="1:23">
      <c r="A10" s="48">
        <f ca="1">IF(Valid_players!I10&gt;Valid_players!J10,1,0)</f>
        <v>0</v>
      </c>
      <c r="B10" s="48">
        <f ca="1">IF(Valid_players!I10&gt;=Valid_players!J10,1,0)</f>
        <v>0</v>
      </c>
      <c r="C10" s="48">
        <f ca="1">IF(Valid_players!K10&gt;Valid_players!L10,1,0)</f>
        <v>0</v>
      </c>
      <c r="D10" s="48">
        <f ca="1">IF(Valid_players!K10&gt;=Valid_players!L10,1,0)</f>
        <v>0</v>
      </c>
      <c r="E10" s="48">
        <f ca="1">IF(Valid_players!M10&gt;Valid_players!N10,1,0)</f>
        <v>0</v>
      </c>
      <c r="F10" s="48">
        <f ca="1">IF(Valid_players!M10&gt;=Valid_players!N10,1,0)</f>
        <v>1</v>
      </c>
      <c r="G10" s="48">
        <f ca="1">IF(Valid_players!O10&gt;Valid_players!P10,1,0)</f>
        <v>0</v>
      </c>
      <c r="H10" s="48">
        <f ca="1">IF(Valid_players!O10&gt;=Valid_players!P10,1,0)</f>
        <v>0</v>
      </c>
      <c r="I10" s="48">
        <f ca="1">IF(Valid_players!Q10&gt;Valid_players!R10,1,0)</f>
        <v>0</v>
      </c>
      <c r="J10" s="48">
        <f ca="1">IF(Valid_players!Q10&gt;=Valid_players!R10,1,0)</f>
        <v>0</v>
      </c>
      <c r="K10" s="48">
        <f ca="1">IF(Valid_players!S10&gt;Valid_players!T10,1,0)</f>
        <v>0</v>
      </c>
      <c r="L10" s="48">
        <f ca="1">IF(Valid_players!S10&gt;=Valid_players!T10,1,0)</f>
        <v>0</v>
      </c>
      <c r="M10" s="48">
        <f ca="1">IF(Valid_players!U10&gt;Valid_players!V10,1,0)</f>
        <v>0</v>
      </c>
      <c r="N10" s="48">
        <f ca="1">IF(Valid_players!U10&gt;=Valid_players!V10,1,0)</f>
        <v>0</v>
      </c>
      <c r="O10" s="48">
        <f ca="1">IF(Valid_players!W10&gt;Valid_players!X10,1,0)</f>
        <v>0</v>
      </c>
      <c r="P10" s="48">
        <f ca="1">IF(Valid_players!W10&gt;=Valid_players!X10,1,0)</f>
        <v>0</v>
      </c>
      <c r="Q10" s="48">
        <f ca="1">IF(Valid_players!Y10&gt;Valid_players!Z10,1,0)</f>
        <v>0</v>
      </c>
      <c r="R10" s="48">
        <f ca="1">IF(Valid_players!Y10&gt;=Valid_players!Z10,1,0)</f>
        <v>0</v>
      </c>
      <c r="S10" s="48">
        <f ca="1">IF(Valid_players!AA10&gt;Valid_players!AB10,1,0)</f>
        <v>0</v>
      </c>
      <c r="T10" s="48">
        <f ca="1">IF(Valid_players!AA10&gt;=Valid_players!AB10,1,0)</f>
        <v>0</v>
      </c>
      <c r="V10" s="9">
        <v>7</v>
      </c>
      <c r="W10" s="9">
        <f ca="1">COUNTIF(Valid_players!$G$3:$G$41,V10)</f>
        <v>3</v>
      </c>
    </row>
    <row r="11" spans="1:23">
      <c r="A11" s="48">
        <f ca="1">IF(Valid_players!I11&gt;Valid_players!J11,1,0)</f>
        <v>1</v>
      </c>
      <c r="B11" s="48">
        <f ca="1">IF(Valid_players!I11&gt;=Valid_players!J11,1,0)</f>
        <v>1</v>
      </c>
      <c r="C11" s="48">
        <f ca="1">IF(Valid_players!K11&gt;Valid_players!L11,1,0)</f>
        <v>0</v>
      </c>
      <c r="D11" s="48">
        <f ca="1">IF(Valid_players!K11&gt;=Valid_players!L11,1,0)</f>
        <v>1</v>
      </c>
      <c r="E11" s="48">
        <f ca="1">IF(Valid_players!M11&gt;Valid_players!N11,1,0)</f>
        <v>0</v>
      </c>
      <c r="F11" s="48">
        <f ca="1">IF(Valid_players!M11&gt;=Valid_players!N11,1,0)</f>
        <v>1</v>
      </c>
      <c r="G11" s="48">
        <f ca="1">IF(Valid_players!O11&gt;Valid_players!P11,1,0)</f>
        <v>1</v>
      </c>
      <c r="H11" s="48">
        <f ca="1">IF(Valid_players!O11&gt;=Valid_players!P11,1,0)</f>
        <v>1</v>
      </c>
      <c r="I11" s="48">
        <f ca="1">IF(Valid_players!Q11&gt;Valid_players!R11,1,0)</f>
        <v>0</v>
      </c>
      <c r="J11" s="48">
        <f ca="1">IF(Valid_players!Q11&gt;=Valid_players!R11,1,0)</f>
        <v>0</v>
      </c>
      <c r="K11" s="48">
        <f ca="1">IF(Valid_players!S11&gt;Valid_players!T11,1,0)</f>
        <v>1</v>
      </c>
      <c r="L11" s="48">
        <f ca="1">IF(Valid_players!S11&gt;=Valid_players!T11,1,0)</f>
        <v>1</v>
      </c>
      <c r="M11" s="48">
        <f ca="1">IF(Valid_players!U11&gt;Valid_players!V11,1,0)</f>
        <v>0</v>
      </c>
      <c r="N11" s="48">
        <f ca="1">IF(Valid_players!U11&gt;=Valid_players!V11,1,0)</f>
        <v>0</v>
      </c>
      <c r="O11" s="48">
        <f ca="1">IF(Valid_players!W11&gt;Valid_players!X11,1,0)</f>
        <v>0</v>
      </c>
      <c r="P11" s="48">
        <f ca="1">IF(Valid_players!W11&gt;=Valid_players!X11,1,0)</f>
        <v>0</v>
      </c>
      <c r="Q11" s="48">
        <f ca="1">IF(Valid_players!Y11&gt;Valid_players!Z11,1,0)</f>
        <v>0</v>
      </c>
      <c r="R11" s="48">
        <f ca="1">IF(Valid_players!Y11&gt;=Valid_players!Z11,1,0)</f>
        <v>1</v>
      </c>
      <c r="S11" s="48">
        <f ca="1">IF(Valid_players!AA11&gt;Valid_players!AB11,1,0)</f>
        <v>0</v>
      </c>
      <c r="T11" s="48">
        <f ca="1">IF(Valid_players!AA11&gt;=Valid_players!AB11,1,0)</f>
        <v>0</v>
      </c>
      <c r="V11" s="9">
        <v>8</v>
      </c>
      <c r="W11" s="9">
        <f ca="1">COUNTIF(Valid_players!$G$3:$G$41,V11)</f>
        <v>1</v>
      </c>
    </row>
    <row r="12" spans="1:23">
      <c r="A12" s="48">
        <f ca="1">IF(Valid_players!I12&gt;Valid_players!J12,1,0)</f>
        <v>1</v>
      </c>
      <c r="B12" s="48">
        <f ca="1">IF(Valid_players!I12&gt;=Valid_players!J12,1,0)</f>
        <v>1</v>
      </c>
      <c r="C12" s="48">
        <f ca="1">IF(Valid_players!K12&gt;Valid_players!L12,1,0)</f>
        <v>0</v>
      </c>
      <c r="D12" s="48">
        <f ca="1">IF(Valid_players!K12&gt;=Valid_players!L12,1,0)</f>
        <v>1</v>
      </c>
      <c r="E12" s="48">
        <f ca="1">IF(Valid_players!M12&gt;Valid_players!N12,1,0)</f>
        <v>0</v>
      </c>
      <c r="F12" s="48">
        <f ca="1">IF(Valid_players!M12&gt;=Valid_players!N12,1,0)</f>
        <v>0</v>
      </c>
      <c r="G12" s="48">
        <f ca="1">IF(Valid_players!O12&gt;Valid_players!P12,1,0)</f>
        <v>0</v>
      </c>
      <c r="H12" s="48">
        <f ca="1">IF(Valid_players!O12&gt;=Valid_players!P12,1,0)</f>
        <v>1</v>
      </c>
      <c r="I12" s="48">
        <f ca="1">IF(Valid_players!Q12&gt;Valid_players!R12,1,0)</f>
        <v>0</v>
      </c>
      <c r="J12" s="48">
        <f ca="1">IF(Valid_players!Q12&gt;=Valid_players!R12,1,0)</f>
        <v>0</v>
      </c>
      <c r="K12" s="48">
        <f ca="1">IF(Valid_players!S12&gt;Valid_players!T12,1,0)</f>
        <v>0</v>
      </c>
      <c r="L12" s="48">
        <f ca="1">IF(Valid_players!S12&gt;=Valid_players!T12,1,0)</f>
        <v>1</v>
      </c>
      <c r="M12" s="48">
        <f ca="1">IF(Valid_players!U12&gt;Valid_players!V12,1,0)</f>
        <v>0</v>
      </c>
      <c r="N12" s="48">
        <f ca="1">IF(Valid_players!U12&gt;=Valid_players!V12,1,0)</f>
        <v>0</v>
      </c>
      <c r="O12" s="48">
        <f ca="1">IF(Valid_players!W12&gt;Valid_players!X12,1,0)</f>
        <v>0</v>
      </c>
      <c r="P12" s="48">
        <f ca="1">IF(Valid_players!W12&gt;=Valid_players!X12,1,0)</f>
        <v>0</v>
      </c>
      <c r="Q12" s="48">
        <f ca="1">IF(Valid_players!Y12&gt;Valid_players!Z12,1,0)</f>
        <v>0</v>
      </c>
      <c r="R12" s="48">
        <f ca="1">IF(Valid_players!Y12&gt;=Valid_players!Z12,1,0)</f>
        <v>0</v>
      </c>
      <c r="S12" s="48">
        <f ca="1">IF(Valid_players!AA12&gt;Valid_players!AB12,1,0)</f>
        <v>0</v>
      </c>
      <c r="T12" s="48">
        <f ca="1">IF(Valid_players!AA12&gt;=Valid_players!AB12,1,0)</f>
        <v>0</v>
      </c>
      <c r="V12" s="9">
        <v>9</v>
      </c>
      <c r="W12" s="9">
        <f ca="1">COUNTIF(Valid_players!$G$3:$G$41,V12)</f>
        <v>2</v>
      </c>
    </row>
    <row r="13" spans="1:23">
      <c r="A13" s="48">
        <f ca="1">IF(Valid_players!I13&gt;Valid_players!J13,1,0)</f>
        <v>0</v>
      </c>
      <c r="B13" s="48">
        <f ca="1">IF(Valid_players!I13&gt;=Valid_players!J13,1,0)</f>
        <v>1</v>
      </c>
      <c r="C13" s="48">
        <f ca="1">IF(Valid_players!K13&gt;Valid_players!L13,1,0)</f>
        <v>0</v>
      </c>
      <c r="D13" s="48">
        <f ca="1">IF(Valid_players!K13&gt;=Valid_players!L13,1,0)</f>
        <v>0</v>
      </c>
      <c r="E13" s="48">
        <f ca="1">IF(Valid_players!M13&gt;Valid_players!N13,1,0)</f>
        <v>0</v>
      </c>
      <c r="F13" s="48">
        <f ca="1">IF(Valid_players!M13&gt;=Valid_players!N13,1,0)</f>
        <v>1</v>
      </c>
      <c r="G13" s="48">
        <f ca="1">IF(Valid_players!O13&gt;Valid_players!P13,1,0)</f>
        <v>0</v>
      </c>
      <c r="H13" s="48">
        <f ca="1">IF(Valid_players!O13&gt;=Valid_players!P13,1,0)</f>
        <v>0</v>
      </c>
      <c r="I13" s="48">
        <f ca="1">IF(Valid_players!Q13&gt;Valid_players!R13,1,0)</f>
        <v>0</v>
      </c>
      <c r="J13" s="48">
        <f ca="1">IF(Valid_players!Q13&gt;=Valid_players!R13,1,0)</f>
        <v>0</v>
      </c>
      <c r="K13" s="48">
        <f ca="1">IF(Valid_players!S13&gt;Valid_players!T13,1,0)</f>
        <v>0</v>
      </c>
      <c r="L13" s="48">
        <f ca="1">IF(Valid_players!S13&gt;=Valid_players!T13,1,0)</f>
        <v>1</v>
      </c>
      <c r="M13" s="48">
        <f ca="1">IF(Valid_players!U13&gt;Valid_players!V13,1,0)</f>
        <v>0</v>
      </c>
      <c r="N13" s="48">
        <f ca="1">IF(Valid_players!U13&gt;=Valid_players!V13,1,0)</f>
        <v>0</v>
      </c>
      <c r="O13" s="48">
        <f ca="1">IF(Valid_players!W13&gt;Valid_players!X13,1,0)</f>
        <v>1</v>
      </c>
      <c r="P13" s="48">
        <f ca="1">IF(Valid_players!W13&gt;=Valid_players!X13,1,0)</f>
        <v>1</v>
      </c>
      <c r="Q13" s="48">
        <f ca="1">IF(Valid_players!Y13&gt;Valid_players!Z13,1,0)</f>
        <v>0</v>
      </c>
      <c r="R13" s="48">
        <f ca="1">IF(Valid_players!Y13&gt;=Valid_players!Z13,1,0)</f>
        <v>1</v>
      </c>
      <c r="S13" s="48">
        <f ca="1">IF(Valid_players!AA13&gt;Valid_players!AB13,1,0)</f>
        <v>0</v>
      </c>
      <c r="T13" s="48">
        <f ca="1">IF(Valid_players!AA13&gt;=Valid_players!AB13,1,0)</f>
        <v>1</v>
      </c>
      <c r="V13" s="9">
        <v>10</v>
      </c>
      <c r="W13" s="9">
        <f ca="1">COUNTIF(Valid_players!$G$3:$G$41,V13)</f>
        <v>0</v>
      </c>
    </row>
    <row r="14" spans="1:23">
      <c r="A14" s="48">
        <f ca="1">IF(Valid_players!I14&gt;Valid_players!J14,1,0)</f>
        <v>0</v>
      </c>
      <c r="B14" s="48">
        <f ca="1">IF(Valid_players!I14&gt;=Valid_players!J14,1,0)</f>
        <v>0</v>
      </c>
      <c r="C14" s="48">
        <f ca="1">IF(Valid_players!K14&gt;Valid_players!L14,1,0)</f>
        <v>1</v>
      </c>
      <c r="D14" s="48">
        <f ca="1">IF(Valid_players!K14&gt;=Valid_players!L14,1,0)</f>
        <v>1</v>
      </c>
      <c r="E14" s="48">
        <f ca="1">IF(Valid_players!M14&gt;Valid_players!N14,1,0)</f>
        <v>0</v>
      </c>
      <c r="F14" s="48">
        <f ca="1">IF(Valid_players!M14&gt;=Valid_players!N14,1,0)</f>
        <v>0</v>
      </c>
      <c r="G14" s="48">
        <f ca="1">IF(Valid_players!O14&gt;Valid_players!P14,1,0)</f>
        <v>1</v>
      </c>
      <c r="H14" s="48">
        <f ca="1">IF(Valid_players!O14&gt;=Valid_players!P14,1,0)</f>
        <v>1</v>
      </c>
      <c r="I14" s="48">
        <f ca="1">IF(Valid_players!Q14&gt;Valid_players!R14,1,0)</f>
        <v>0</v>
      </c>
      <c r="J14" s="48">
        <f ca="1">IF(Valid_players!Q14&gt;=Valid_players!R14,1,0)</f>
        <v>0</v>
      </c>
      <c r="K14" s="48">
        <f ca="1">IF(Valid_players!S14&gt;Valid_players!T14,1,0)</f>
        <v>1</v>
      </c>
      <c r="L14" s="48">
        <f ca="1">IF(Valid_players!S14&gt;=Valid_players!T14,1,0)</f>
        <v>1</v>
      </c>
      <c r="M14" s="48">
        <f ca="1">IF(Valid_players!U14&gt;Valid_players!V14,1,0)</f>
        <v>0</v>
      </c>
      <c r="N14" s="48">
        <f ca="1">IF(Valid_players!U14&gt;=Valid_players!V14,1,0)</f>
        <v>0</v>
      </c>
      <c r="O14" s="48">
        <f ca="1">IF(Valid_players!W14&gt;Valid_players!X14,1,0)</f>
        <v>0</v>
      </c>
      <c r="P14" s="48">
        <f ca="1">IF(Valid_players!W14&gt;=Valid_players!X14,1,0)</f>
        <v>0</v>
      </c>
      <c r="Q14" s="48">
        <f ca="1">IF(Valid_players!Y14&gt;Valid_players!Z14,1,0)</f>
        <v>0</v>
      </c>
      <c r="R14" s="48">
        <f ca="1">IF(Valid_players!Y14&gt;=Valid_players!Z14,1,0)</f>
        <v>0</v>
      </c>
      <c r="S14" s="48">
        <f ca="1">IF(Valid_players!AA14&gt;Valid_players!AB14,1,0)</f>
        <v>0</v>
      </c>
      <c r="T14" s="48">
        <f ca="1">IF(Valid_players!AA14&gt;=Valid_players!AB14,1,0)</f>
        <v>0</v>
      </c>
      <c r="V14" s="9">
        <v>11</v>
      </c>
      <c r="W14" s="9">
        <f ca="1">COUNTIF(Valid_players!$G$3:$G$41,V14)</f>
        <v>0</v>
      </c>
    </row>
    <row r="15" spans="1:23">
      <c r="A15" s="48">
        <f ca="1">IF(Valid_players!I15&gt;Valid_players!J15,1,0)</f>
        <v>1</v>
      </c>
      <c r="B15" s="48">
        <f ca="1">IF(Valid_players!I15&gt;=Valid_players!J15,1,0)</f>
        <v>1</v>
      </c>
      <c r="C15" s="48">
        <f ca="1">IF(Valid_players!K15&gt;Valid_players!L15,1,0)</f>
        <v>1</v>
      </c>
      <c r="D15" s="48">
        <f ca="1">IF(Valid_players!K15&gt;=Valid_players!L15,1,0)</f>
        <v>1</v>
      </c>
      <c r="E15" s="48">
        <f ca="1">IF(Valid_players!M15&gt;Valid_players!N15,1,0)</f>
        <v>0</v>
      </c>
      <c r="F15" s="48">
        <f ca="1">IF(Valid_players!M15&gt;=Valid_players!N15,1,0)</f>
        <v>0</v>
      </c>
      <c r="G15" s="48">
        <f ca="1">IF(Valid_players!O15&gt;Valid_players!P15,1,0)</f>
        <v>1</v>
      </c>
      <c r="H15" s="48">
        <f ca="1">IF(Valid_players!O15&gt;=Valid_players!P15,1,0)</f>
        <v>1</v>
      </c>
      <c r="I15" s="48">
        <f ca="1">IF(Valid_players!Q15&gt;Valid_players!R15,1,0)</f>
        <v>0</v>
      </c>
      <c r="J15" s="48">
        <f ca="1">IF(Valid_players!Q15&gt;=Valid_players!R15,1,0)</f>
        <v>0</v>
      </c>
      <c r="K15" s="48">
        <f ca="1">IF(Valid_players!S15&gt;Valid_players!T15,1,0)</f>
        <v>0</v>
      </c>
      <c r="L15" s="48">
        <f ca="1">IF(Valid_players!S15&gt;=Valid_players!T15,1,0)</f>
        <v>0</v>
      </c>
      <c r="M15" s="48">
        <f ca="1">IF(Valid_players!U15&gt;Valid_players!V15,1,0)</f>
        <v>0</v>
      </c>
      <c r="N15" s="48">
        <f ca="1">IF(Valid_players!U15&gt;=Valid_players!V15,1,0)</f>
        <v>0</v>
      </c>
      <c r="O15" s="48">
        <f ca="1">IF(Valid_players!W15&gt;Valid_players!X15,1,0)</f>
        <v>1</v>
      </c>
      <c r="P15" s="48">
        <f ca="1">IF(Valid_players!W15&gt;=Valid_players!X15,1,0)</f>
        <v>1</v>
      </c>
      <c r="Q15" s="48">
        <f ca="1">IF(Valid_players!Y15&gt;Valid_players!Z15,1,0)</f>
        <v>0</v>
      </c>
      <c r="R15" s="48">
        <f ca="1">IF(Valid_players!Y15&gt;=Valid_players!Z15,1,0)</f>
        <v>0</v>
      </c>
      <c r="S15" s="48">
        <f ca="1">IF(Valid_players!AA15&gt;Valid_players!AB15,1,0)</f>
        <v>1</v>
      </c>
      <c r="T15" s="48">
        <f ca="1">IF(Valid_players!AA15&gt;=Valid_players!AB15,1,0)</f>
        <v>1</v>
      </c>
      <c r="V15" s="9">
        <v>12</v>
      </c>
      <c r="W15" s="9">
        <f ca="1">COUNTIF(Valid_players!$G$3:$G$41,V15)</f>
        <v>3</v>
      </c>
    </row>
    <row r="16" spans="1:23">
      <c r="A16" s="48">
        <f ca="1">IF(Valid_players!I16&gt;Valid_players!J16,1,0)</f>
        <v>1</v>
      </c>
      <c r="B16" s="48">
        <f ca="1">IF(Valid_players!I16&gt;=Valid_players!J16,1,0)</f>
        <v>1</v>
      </c>
      <c r="C16" s="48">
        <f ca="1">IF(Valid_players!K16&gt;Valid_players!L16,1,0)</f>
        <v>0</v>
      </c>
      <c r="D16" s="48">
        <f ca="1">IF(Valid_players!K16&gt;=Valid_players!L16,1,0)</f>
        <v>0</v>
      </c>
      <c r="E16" s="48">
        <f ca="1">IF(Valid_players!M16&gt;Valid_players!N16,1,0)</f>
        <v>0</v>
      </c>
      <c r="F16" s="48">
        <f ca="1">IF(Valid_players!M16&gt;=Valid_players!N16,1,0)</f>
        <v>1</v>
      </c>
      <c r="G16" s="48">
        <f ca="1">IF(Valid_players!O16&gt;Valid_players!P16,1,0)</f>
        <v>0</v>
      </c>
      <c r="H16" s="48">
        <f ca="1">IF(Valid_players!O16&gt;=Valid_players!P16,1,0)</f>
        <v>0</v>
      </c>
      <c r="I16" s="48">
        <f ca="1">IF(Valid_players!Q16&gt;Valid_players!R16,1,0)</f>
        <v>0</v>
      </c>
      <c r="J16" s="48">
        <f ca="1">IF(Valid_players!Q16&gt;=Valid_players!R16,1,0)</f>
        <v>0</v>
      </c>
      <c r="K16" s="48">
        <f ca="1">IF(Valid_players!S16&gt;Valid_players!T16,1,0)</f>
        <v>1</v>
      </c>
      <c r="L16" s="48">
        <f ca="1">IF(Valid_players!S16&gt;=Valid_players!T16,1,0)</f>
        <v>1</v>
      </c>
      <c r="M16" s="48">
        <f ca="1">IF(Valid_players!U16&gt;Valid_players!V16,1,0)</f>
        <v>0</v>
      </c>
      <c r="N16" s="48">
        <f ca="1">IF(Valid_players!U16&gt;=Valid_players!V16,1,0)</f>
        <v>0</v>
      </c>
      <c r="O16" s="48">
        <f ca="1">IF(Valid_players!W16&gt;Valid_players!X16,1,0)</f>
        <v>1</v>
      </c>
      <c r="P16" s="48">
        <f ca="1">IF(Valid_players!W16&gt;=Valid_players!X16,1,0)</f>
        <v>1</v>
      </c>
      <c r="Q16" s="48">
        <f ca="1">IF(Valid_players!Y16&gt;Valid_players!Z16,1,0)</f>
        <v>1</v>
      </c>
      <c r="R16" s="48">
        <f ca="1">IF(Valid_players!Y16&gt;=Valid_players!Z16,1,0)</f>
        <v>1</v>
      </c>
      <c r="S16" s="48">
        <f ca="1">IF(Valid_players!AA16&gt;Valid_players!AB16,1,0)</f>
        <v>1</v>
      </c>
      <c r="T16" s="48">
        <f ca="1">IF(Valid_players!AA16&gt;=Valid_players!AB16,1,0)</f>
        <v>1</v>
      </c>
      <c r="V16" s="9">
        <v>13</v>
      </c>
      <c r="W16" s="9">
        <f ca="1">COUNTIF(Valid_players!$G$3:$G$41,V16)</f>
        <v>0</v>
      </c>
    </row>
    <row r="17" spans="1:23">
      <c r="A17" s="48">
        <f ca="1">IF(Valid_players!I17&gt;Valid_players!J17,1,0)</f>
        <v>0</v>
      </c>
      <c r="B17" s="48">
        <f ca="1">IF(Valid_players!I17&gt;=Valid_players!J17,1,0)</f>
        <v>0</v>
      </c>
      <c r="C17" s="48">
        <f ca="1">IF(Valid_players!K17&gt;Valid_players!L17,1,0)</f>
        <v>0</v>
      </c>
      <c r="D17" s="48">
        <f ca="1">IF(Valid_players!K17&gt;=Valid_players!L17,1,0)</f>
        <v>0</v>
      </c>
      <c r="E17" s="48">
        <f ca="1">IF(Valid_players!M17&gt;Valid_players!N17,1,0)</f>
        <v>0</v>
      </c>
      <c r="F17" s="48">
        <f ca="1">IF(Valid_players!M17&gt;=Valid_players!N17,1,0)</f>
        <v>1</v>
      </c>
      <c r="G17" s="48">
        <f ca="1">IF(Valid_players!O17&gt;Valid_players!P17,1,0)</f>
        <v>0</v>
      </c>
      <c r="H17" s="48">
        <f ca="1">IF(Valid_players!O17&gt;=Valid_players!P17,1,0)</f>
        <v>0</v>
      </c>
      <c r="I17" s="48">
        <f ca="1">IF(Valid_players!Q17&gt;Valid_players!R17,1,0)</f>
        <v>0</v>
      </c>
      <c r="J17" s="48">
        <f ca="1">IF(Valid_players!Q17&gt;=Valid_players!R17,1,0)</f>
        <v>0</v>
      </c>
      <c r="K17" s="48">
        <f ca="1">IF(Valid_players!S17&gt;Valid_players!T17,1,0)</f>
        <v>1</v>
      </c>
      <c r="L17" s="48">
        <f ca="1">IF(Valid_players!S17&gt;=Valid_players!T17,1,0)</f>
        <v>1</v>
      </c>
      <c r="M17" s="48">
        <f ca="1">IF(Valid_players!U17&gt;Valid_players!V17,1,0)</f>
        <v>0</v>
      </c>
      <c r="N17" s="48">
        <f ca="1">IF(Valid_players!U17&gt;=Valid_players!V17,1,0)</f>
        <v>0</v>
      </c>
      <c r="O17" s="48">
        <f ca="1">IF(Valid_players!W17&gt;Valid_players!X17,1,0)</f>
        <v>0</v>
      </c>
      <c r="P17" s="48">
        <f ca="1">IF(Valid_players!W17&gt;=Valid_players!X17,1,0)</f>
        <v>0</v>
      </c>
      <c r="Q17" s="48">
        <f ca="1">IF(Valid_players!Y17&gt;Valid_players!Z17,1,0)</f>
        <v>0</v>
      </c>
      <c r="R17" s="48">
        <f ca="1">IF(Valid_players!Y17&gt;=Valid_players!Z17,1,0)</f>
        <v>1</v>
      </c>
      <c r="S17" s="48">
        <f ca="1">IF(Valid_players!AA17&gt;Valid_players!AB17,1,0)</f>
        <v>0</v>
      </c>
      <c r="T17" s="48">
        <f ca="1">IF(Valid_players!AA17&gt;=Valid_players!AB17,1,0)</f>
        <v>0</v>
      </c>
      <c r="V17" s="9">
        <v>14</v>
      </c>
      <c r="W17" s="9">
        <f ca="1">COUNTIF(Valid_players!$G$3:$G$41,V17)</f>
        <v>0</v>
      </c>
    </row>
    <row r="18" spans="1:23">
      <c r="A18" s="48">
        <f ca="1">IF(Valid_players!I18&gt;Valid_players!J18,1,0)</f>
        <v>0</v>
      </c>
      <c r="B18" s="48">
        <f ca="1">IF(Valid_players!I18&gt;=Valid_players!J18,1,0)</f>
        <v>0</v>
      </c>
      <c r="C18" s="48">
        <f ca="1">IF(Valid_players!K18&gt;Valid_players!L18,1,0)</f>
        <v>0</v>
      </c>
      <c r="D18" s="48">
        <f ca="1">IF(Valid_players!K18&gt;=Valid_players!L18,1,0)</f>
        <v>0</v>
      </c>
      <c r="E18" s="48">
        <f ca="1">IF(Valid_players!M18&gt;Valid_players!N18,1,0)</f>
        <v>0</v>
      </c>
      <c r="F18" s="48">
        <f ca="1">IF(Valid_players!M18&gt;=Valid_players!N18,1,0)</f>
        <v>1</v>
      </c>
      <c r="G18" s="48">
        <f ca="1">IF(Valid_players!O18&gt;Valid_players!P18,1,0)</f>
        <v>0</v>
      </c>
      <c r="H18" s="48">
        <f ca="1">IF(Valid_players!O18&gt;=Valid_players!P18,1,0)</f>
        <v>0</v>
      </c>
      <c r="I18" s="48">
        <f ca="1">IF(Valid_players!Q18&gt;Valid_players!R18,1,0)</f>
        <v>0</v>
      </c>
      <c r="J18" s="48">
        <f ca="1">IF(Valid_players!Q18&gt;=Valid_players!R18,1,0)</f>
        <v>0</v>
      </c>
      <c r="K18" s="48">
        <f ca="1">IF(Valid_players!S18&gt;Valid_players!T18,1,0)</f>
        <v>0</v>
      </c>
      <c r="L18" s="48">
        <f ca="1">IF(Valid_players!S18&gt;=Valid_players!T18,1,0)</f>
        <v>0</v>
      </c>
      <c r="M18" s="48">
        <f ca="1">IF(Valid_players!U18&gt;Valid_players!V18,1,0)</f>
        <v>0</v>
      </c>
      <c r="N18" s="48">
        <f ca="1">IF(Valid_players!U18&gt;=Valid_players!V18,1,0)</f>
        <v>0</v>
      </c>
      <c r="O18" s="48">
        <f ca="1">IF(Valid_players!W18&gt;Valid_players!X18,1,0)</f>
        <v>0</v>
      </c>
      <c r="P18" s="48">
        <f ca="1">IF(Valid_players!W18&gt;=Valid_players!X18,1,0)</f>
        <v>0</v>
      </c>
      <c r="Q18" s="48">
        <f ca="1">IF(Valid_players!Y18&gt;Valid_players!Z18,1,0)</f>
        <v>1</v>
      </c>
      <c r="R18" s="48">
        <f ca="1">IF(Valid_players!Y18&gt;=Valid_players!Z18,1,0)</f>
        <v>1</v>
      </c>
      <c r="S18" s="48">
        <f ca="1">IF(Valid_players!AA18&gt;Valid_players!AB18,1,0)</f>
        <v>0</v>
      </c>
      <c r="T18" s="48">
        <f ca="1">IF(Valid_players!AA18&gt;=Valid_players!AB18,1,0)</f>
        <v>0</v>
      </c>
      <c r="V18" s="9">
        <v>15</v>
      </c>
      <c r="W18" s="9">
        <f ca="1">COUNTIF(Valid_players!$G$3:$G$41,V18)</f>
        <v>0</v>
      </c>
    </row>
    <row r="19" spans="1:23">
      <c r="A19" s="48">
        <f ca="1">IF(Valid_players!I19&gt;Valid_players!J19,1,0)</f>
        <v>0</v>
      </c>
      <c r="B19" s="48">
        <f ca="1">IF(Valid_players!I19&gt;=Valid_players!J19,1,0)</f>
        <v>1</v>
      </c>
      <c r="C19" s="48">
        <f ca="1">IF(Valid_players!K19&gt;Valid_players!L19,1,0)</f>
        <v>0</v>
      </c>
      <c r="D19" s="48">
        <f ca="1">IF(Valid_players!K19&gt;=Valid_players!L19,1,0)</f>
        <v>0</v>
      </c>
      <c r="E19" s="48">
        <f ca="1">IF(Valid_players!M19&gt;Valid_players!N19,1,0)</f>
        <v>0</v>
      </c>
      <c r="F19" s="48">
        <f ca="1">IF(Valid_players!M19&gt;=Valid_players!N19,1,0)</f>
        <v>1</v>
      </c>
      <c r="G19" s="48">
        <f ca="1">IF(Valid_players!O19&gt;Valid_players!P19,1,0)</f>
        <v>0</v>
      </c>
      <c r="H19" s="48">
        <f ca="1">IF(Valid_players!O19&gt;=Valid_players!P19,1,0)</f>
        <v>0</v>
      </c>
      <c r="I19" s="48">
        <f ca="1">IF(Valid_players!Q19&gt;Valid_players!R19,1,0)</f>
        <v>0</v>
      </c>
      <c r="J19" s="48">
        <f ca="1">IF(Valid_players!Q19&gt;=Valid_players!R19,1,0)</f>
        <v>0</v>
      </c>
      <c r="K19" s="48">
        <f ca="1">IF(Valid_players!S19&gt;Valid_players!T19,1,0)</f>
        <v>0</v>
      </c>
      <c r="L19" s="48">
        <f ca="1">IF(Valid_players!S19&gt;=Valid_players!T19,1,0)</f>
        <v>0</v>
      </c>
      <c r="M19" s="48">
        <f ca="1">IF(Valid_players!U19&gt;Valid_players!V19,1,0)</f>
        <v>0</v>
      </c>
      <c r="N19" s="48">
        <f ca="1">IF(Valid_players!U19&gt;=Valid_players!V19,1,0)</f>
        <v>0</v>
      </c>
      <c r="O19" s="48">
        <f ca="1">IF(Valid_players!W19&gt;Valid_players!X19,1,0)</f>
        <v>0</v>
      </c>
      <c r="P19" s="48">
        <f ca="1">IF(Valid_players!W19&gt;=Valid_players!X19,1,0)</f>
        <v>0</v>
      </c>
      <c r="Q19" s="48">
        <f ca="1">IF(Valid_players!Y19&gt;Valid_players!Z19,1,0)</f>
        <v>0</v>
      </c>
      <c r="R19" s="48">
        <f ca="1">IF(Valid_players!Y19&gt;=Valid_players!Z19,1,0)</f>
        <v>1</v>
      </c>
      <c r="S19" s="48">
        <f ca="1">IF(Valid_players!AA19&gt;Valid_players!AB19,1,0)</f>
        <v>0</v>
      </c>
      <c r="T19" s="48">
        <f ca="1">IF(Valid_players!AA19&gt;=Valid_players!AB19,1,0)</f>
        <v>0</v>
      </c>
      <c r="V19" s="9">
        <v>16</v>
      </c>
      <c r="W19" s="9">
        <f ca="1">COUNTIF(Valid_players!$G$3:$G$41,V19)</f>
        <v>0</v>
      </c>
    </row>
    <row r="20" spans="1:23">
      <c r="A20" s="48">
        <f ca="1">IF(Valid_players!I20&gt;Valid_players!J20,1,0)</f>
        <v>1</v>
      </c>
      <c r="B20" s="48">
        <f ca="1">IF(Valid_players!I20&gt;=Valid_players!J20,1,0)</f>
        <v>1</v>
      </c>
      <c r="C20" s="48">
        <f ca="1">IF(Valid_players!K20&gt;Valid_players!L20,1,0)</f>
        <v>1</v>
      </c>
      <c r="D20" s="48">
        <f ca="1">IF(Valid_players!K20&gt;=Valid_players!L20,1,0)</f>
        <v>1</v>
      </c>
      <c r="E20" s="48">
        <f ca="1">IF(Valid_players!M20&gt;Valid_players!N20,1,0)</f>
        <v>0</v>
      </c>
      <c r="F20" s="48">
        <f ca="1">IF(Valid_players!M20&gt;=Valid_players!N20,1,0)</f>
        <v>1</v>
      </c>
      <c r="G20" s="48">
        <f ca="1">IF(Valid_players!O20&gt;Valid_players!P20,1,0)</f>
        <v>1</v>
      </c>
      <c r="H20" s="48">
        <f ca="1">IF(Valid_players!O20&gt;=Valid_players!P20,1,0)</f>
        <v>1</v>
      </c>
      <c r="I20" s="48">
        <f ca="1">IF(Valid_players!Q20&gt;Valid_players!R20,1,0)</f>
        <v>0</v>
      </c>
      <c r="J20" s="48">
        <f ca="1">IF(Valid_players!Q20&gt;=Valid_players!R20,1,0)</f>
        <v>0</v>
      </c>
      <c r="K20" s="48">
        <f ca="1">IF(Valid_players!S20&gt;Valid_players!T20,1,0)</f>
        <v>0</v>
      </c>
      <c r="L20" s="48">
        <f ca="1">IF(Valid_players!S20&gt;=Valid_players!T20,1,0)</f>
        <v>1</v>
      </c>
      <c r="M20" s="48">
        <f ca="1">IF(Valid_players!U20&gt;Valid_players!V20,1,0)</f>
        <v>1</v>
      </c>
      <c r="N20" s="48">
        <f ca="1">IF(Valid_players!U20&gt;=Valid_players!V20,1,0)</f>
        <v>1</v>
      </c>
      <c r="O20" s="48">
        <f ca="1">IF(Valid_players!W20&gt;Valid_players!X20,1,0)</f>
        <v>1</v>
      </c>
      <c r="P20" s="48">
        <f ca="1">IF(Valid_players!W20&gt;=Valid_players!X20,1,0)</f>
        <v>1</v>
      </c>
      <c r="Q20" s="48">
        <f ca="1">IF(Valid_players!Y20&gt;Valid_players!Z20,1,0)</f>
        <v>0</v>
      </c>
      <c r="R20" s="48">
        <f ca="1">IF(Valid_players!Y20&gt;=Valid_players!Z20,1,0)</f>
        <v>1</v>
      </c>
      <c r="S20" s="48">
        <f ca="1">IF(Valid_players!AA20&gt;Valid_players!AB20,1,0)</f>
        <v>1</v>
      </c>
      <c r="T20" s="48">
        <f ca="1">IF(Valid_players!AA20&gt;=Valid_players!AB20,1,0)</f>
        <v>1</v>
      </c>
      <c r="V20" s="9">
        <v>17</v>
      </c>
      <c r="W20" s="9">
        <f ca="1">COUNTIF(Valid_players!$G$3:$G$41,V20)</f>
        <v>0</v>
      </c>
    </row>
    <row r="21" spans="1:23">
      <c r="A21" s="48">
        <f ca="1">IF(Valid_players!I21&gt;Valid_players!J21,1,0)</f>
        <v>0</v>
      </c>
      <c r="B21" s="48">
        <f ca="1">IF(Valid_players!I21&gt;=Valid_players!J21,1,0)</f>
        <v>0</v>
      </c>
      <c r="C21" s="48">
        <f ca="1">IF(Valid_players!K21&gt;Valid_players!L21,1,0)</f>
        <v>1</v>
      </c>
      <c r="D21" s="48">
        <f ca="1">IF(Valid_players!K21&gt;=Valid_players!L21,1,0)</f>
        <v>1</v>
      </c>
      <c r="E21" s="48">
        <f ca="1">IF(Valid_players!M21&gt;Valid_players!N21,1,0)</f>
        <v>0</v>
      </c>
      <c r="F21" s="48">
        <f ca="1">IF(Valid_players!M21&gt;=Valid_players!N21,1,0)</f>
        <v>1</v>
      </c>
      <c r="G21" s="48">
        <f ca="1">IF(Valid_players!O21&gt;Valid_players!P21,1,0)</f>
        <v>0</v>
      </c>
      <c r="H21" s="48">
        <f ca="1">IF(Valid_players!O21&gt;=Valid_players!P21,1,0)</f>
        <v>0</v>
      </c>
      <c r="I21" s="48">
        <f ca="1">IF(Valid_players!Q21&gt;Valid_players!R21,1,0)</f>
        <v>1</v>
      </c>
      <c r="J21" s="48">
        <f ca="1">IF(Valid_players!Q21&gt;=Valid_players!R21,1,0)</f>
        <v>1</v>
      </c>
      <c r="K21" s="48">
        <f ca="1">IF(Valid_players!S21&gt;Valid_players!T21,1,0)</f>
        <v>1</v>
      </c>
      <c r="L21" s="48">
        <f ca="1">IF(Valid_players!S21&gt;=Valid_players!T21,1,0)</f>
        <v>1</v>
      </c>
      <c r="M21" s="48">
        <f ca="1">IF(Valid_players!U21&gt;Valid_players!V21,1,0)</f>
        <v>1</v>
      </c>
      <c r="N21" s="48">
        <f ca="1">IF(Valid_players!U21&gt;=Valid_players!V21,1,0)</f>
        <v>1</v>
      </c>
      <c r="O21" s="48">
        <f ca="1">IF(Valid_players!W21&gt;Valid_players!X21,1,0)</f>
        <v>0</v>
      </c>
      <c r="P21" s="48">
        <f ca="1">IF(Valid_players!W21&gt;=Valid_players!X21,1,0)</f>
        <v>0</v>
      </c>
      <c r="Q21" s="48">
        <f ca="1">IF(Valid_players!Y21&gt;Valid_players!Z21,1,0)</f>
        <v>0</v>
      </c>
      <c r="R21" s="48">
        <f ca="1">IF(Valid_players!Y21&gt;=Valid_players!Z21,1,0)</f>
        <v>1</v>
      </c>
      <c r="S21" s="48">
        <f ca="1">IF(Valid_players!AA21&gt;Valid_players!AB21,1,0)</f>
        <v>0</v>
      </c>
      <c r="T21" s="48">
        <f ca="1">IF(Valid_players!AA21&gt;=Valid_players!AB21,1,0)</f>
        <v>0</v>
      </c>
      <c r="V21" s="9">
        <v>18</v>
      </c>
      <c r="W21" s="9">
        <f ca="1">COUNTIF(Valid_players!$G$3:$G$41,V21)</f>
        <v>0</v>
      </c>
    </row>
    <row r="22" spans="1:23">
      <c r="A22" s="48">
        <f ca="1">IF(Valid_players!I22&gt;Valid_players!J22,1,0)</f>
        <v>0</v>
      </c>
      <c r="B22" s="48">
        <f ca="1">IF(Valid_players!I22&gt;=Valid_players!J22,1,0)</f>
        <v>0</v>
      </c>
      <c r="C22" s="48">
        <f ca="1">IF(Valid_players!K22&gt;Valid_players!L22,1,0)</f>
        <v>0</v>
      </c>
      <c r="D22" s="48">
        <f ca="1">IF(Valid_players!K22&gt;=Valid_players!L22,1,0)</f>
        <v>0</v>
      </c>
      <c r="E22" s="48">
        <f ca="1">IF(Valid_players!M22&gt;Valid_players!N22,1,0)</f>
        <v>0</v>
      </c>
      <c r="F22" s="48">
        <f ca="1">IF(Valid_players!M22&gt;=Valid_players!N22,1,0)</f>
        <v>1</v>
      </c>
      <c r="G22" s="48">
        <f ca="1">IF(Valid_players!O22&gt;Valid_players!P22,1,0)</f>
        <v>0</v>
      </c>
      <c r="H22" s="48">
        <f ca="1">IF(Valid_players!O22&gt;=Valid_players!P22,1,0)</f>
        <v>0</v>
      </c>
      <c r="I22" s="48">
        <f ca="1">IF(Valid_players!Q22&gt;Valid_players!R22,1,0)</f>
        <v>0</v>
      </c>
      <c r="J22" s="48">
        <f ca="1">IF(Valid_players!Q22&gt;=Valid_players!R22,1,0)</f>
        <v>0</v>
      </c>
      <c r="K22" s="48">
        <f ca="1">IF(Valid_players!S22&gt;Valid_players!T22,1,0)</f>
        <v>0</v>
      </c>
      <c r="L22" s="48">
        <f ca="1">IF(Valid_players!S22&gt;=Valid_players!T22,1,0)</f>
        <v>0</v>
      </c>
      <c r="M22" s="48">
        <f ca="1">IF(Valid_players!U22&gt;Valid_players!V22,1,0)</f>
        <v>0</v>
      </c>
      <c r="N22" s="48">
        <f ca="1">IF(Valid_players!U22&gt;=Valid_players!V22,1,0)</f>
        <v>0</v>
      </c>
      <c r="O22" s="48">
        <f ca="1">IF(Valid_players!W22&gt;Valid_players!X22,1,0)</f>
        <v>0</v>
      </c>
      <c r="P22" s="48">
        <f ca="1">IF(Valid_players!W22&gt;=Valid_players!X22,1,0)</f>
        <v>1</v>
      </c>
      <c r="Q22" s="48">
        <f ca="1">IF(Valid_players!Y22&gt;Valid_players!Z22,1,0)</f>
        <v>1</v>
      </c>
      <c r="R22" s="48">
        <f ca="1">IF(Valid_players!Y22&gt;=Valid_players!Z22,1,0)</f>
        <v>1</v>
      </c>
      <c r="S22" s="48">
        <f ca="1">IF(Valid_players!AA22&gt;Valid_players!AB22,1,0)</f>
        <v>0</v>
      </c>
      <c r="T22" s="48">
        <f ca="1">IF(Valid_players!AA22&gt;=Valid_players!AB22,1,0)</f>
        <v>1</v>
      </c>
      <c r="V22" s="9">
        <v>19</v>
      </c>
      <c r="W22" s="9">
        <f ca="1">COUNTIF(Valid_players!$G$3:$G$41,V22)</f>
        <v>0</v>
      </c>
    </row>
    <row r="23" spans="1:23">
      <c r="A23" s="48">
        <f ca="1">IF(Valid_players!I23&gt;Valid_players!J23,1,0)</f>
        <v>1</v>
      </c>
      <c r="B23" s="48">
        <f ca="1">IF(Valid_players!I23&gt;=Valid_players!J23,1,0)</f>
        <v>1</v>
      </c>
      <c r="C23" s="48">
        <f ca="1">IF(Valid_players!K23&gt;Valid_players!L23,1,0)</f>
        <v>0</v>
      </c>
      <c r="D23" s="48">
        <f ca="1">IF(Valid_players!K23&gt;=Valid_players!L23,1,0)</f>
        <v>1</v>
      </c>
      <c r="E23" s="48">
        <f ca="1">IF(Valid_players!M23&gt;Valid_players!N23,1,0)</f>
        <v>0</v>
      </c>
      <c r="F23" s="48">
        <f ca="1">IF(Valid_players!M23&gt;=Valid_players!N23,1,0)</f>
        <v>1</v>
      </c>
      <c r="G23" s="48">
        <f ca="1">IF(Valid_players!O23&gt;Valid_players!P23,1,0)</f>
        <v>1</v>
      </c>
      <c r="H23" s="48">
        <f ca="1">IF(Valid_players!O23&gt;=Valid_players!P23,1,0)</f>
        <v>1</v>
      </c>
      <c r="I23" s="48">
        <f ca="1">IF(Valid_players!Q23&gt;Valid_players!R23,1,0)</f>
        <v>1</v>
      </c>
      <c r="J23" s="48">
        <f ca="1">IF(Valid_players!Q23&gt;=Valid_players!R23,1,0)</f>
        <v>1</v>
      </c>
      <c r="K23" s="48">
        <f ca="1">IF(Valid_players!S23&gt;Valid_players!T23,1,0)</f>
        <v>1</v>
      </c>
      <c r="L23" s="48">
        <f ca="1">IF(Valid_players!S23&gt;=Valid_players!T23,1,0)</f>
        <v>1</v>
      </c>
      <c r="M23" s="48">
        <f ca="1">IF(Valid_players!U23&gt;Valid_players!V23,1,0)</f>
        <v>1</v>
      </c>
      <c r="N23" s="48">
        <f ca="1">IF(Valid_players!U23&gt;=Valid_players!V23,1,0)</f>
        <v>1</v>
      </c>
      <c r="O23" s="48">
        <f ca="1">IF(Valid_players!W23&gt;Valid_players!X23,1,0)</f>
        <v>0</v>
      </c>
      <c r="P23" s="48">
        <f ca="1">IF(Valid_players!W23&gt;=Valid_players!X23,1,0)</f>
        <v>0</v>
      </c>
      <c r="Q23" s="48">
        <f ca="1">IF(Valid_players!Y23&gt;Valid_players!Z23,1,0)</f>
        <v>1</v>
      </c>
      <c r="R23" s="48">
        <f ca="1">IF(Valid_players!Y23&gt;=Valid_players!Z23,1,0)</f>
        <v>1</v>
      </c>
      <c r="S23" s="48">
        <f ca="1">IF(Valid_players!AA23&gt;Valid_players!AB23,1,0)</f>
        <v>1</v>
      </c>
      <c r="T23" s="48">
        <f ca="1">IF(Valid_players!AA23&gt;=Valid_players!AB23,1,0)</f>
        <v>1</v>
      </c>
      <c r="V23" s="9">
        <v>20</v>
      </c>
      <c r="W23" s="9">
        <f ca="1">COUNTIF(Valid_players!$G$3:$G$41,V23)</f>
        <v>0</v>
      </c>
    </row>
    <row r="24" spans="1:23">
      <c r="A24" s="48">
        <f ca="1">IF(Valid_players!I24&gt;Valid_players!J24,1,0)</f>
        <v>0</v>
      </c>
      <c r="B24" s="48">
        <f ca="1">IF(Valid_players!I24&gt;=Valid_players!J24,1,0)</f>
        <v>0</v>
      </c>
      <c r="C24" s="48">
        <f ca="1">IF(Valid_players!K24&gt;Valid_players!L24,1,0)</f>
        <v>1</v>
      </c>
      <c r="D24" s="48">
        <f ca="1">IF(Valid_players!K24&gt;=Valid_players!L24,1,0)</f>
        <v>1</v>
      </c>
      <c r="E24" s="48">
        <f ca="1">IF(Valid_players!M24&gt;Valid_players!N24,1,0)</f>
        <v>0</v>
      </c>
      <c r="F24" s="48">
        <f ca="1">IF(Valid_players!M24&gt;=Valid_players!N24,1,0)</f>
        <v>1</v>
      </c>
      <c r="G24" s="48">
        <f ca="1">IF(Valid_players!O24&gt;Valid_players!P24,1,0)</f>
        <v>0</v>
      </c>
      <c r="H24" s="48">
        <f ca="1">IF(Valid_players!O24&gt;=Valid_players!P24,1,0)</f>
        <v>0</v>
      </c>
      <c r="I24" s="48">
        <f ca="1">IF(Valid_players!Q24&gt;Valid_players!R24,1,0)</f>
        <v>1</v>
      </c>
      <c r="J24" s="48">
        <f ca="1">IF(Valid_players!Q24&gt;=Valid_players!R24,1,0)</f>
        <v>1</v>
      </c>
      <c r="K24" s="48">
        <f ca="1">IF(Valid_players!S24&gt;Valid_players!T24,1,0)</f>
        <v>1</v>
      </c>
      <c r="L24" s="48">
        <f ca="1">IF(Valid_players!S24&gt;=Valid_players!T24,1,0)</f>
        <v>1</v>
      </c>
      <c r="M24" s="48">
        <f ca="1">IF(Valid_players!U24&gt;Valid_players!V24,1,0)</f>
        <v>1</v>
      </c>
      <c r="N24" s="48">
        <f ca="1">IF(Valid_players!U24&gt;=Valid_players!V24,1,0)</f>
        <v>1</v>
      </c>
      <c r="O24" s="48">
        <f ca="1">IF(Valid_players!W24&gt;Valid_players!X24,1,0)</f>
        <v>0</v>
      </c>
      <c r="P24" s="48">
        <f ca="1">IF(Valid_players!W24&gt;=Valid_players!X24,1,0)</f>
        <v>0</v>
      </c>
      <c r="Q24" s="48">
        <f ca="1">IF(Valid_players!Y24&gt;Valid_players!Z24,1,0)</f>
        <v>0</v>
      </c>
      <c r="R24" s="48">
        <f ca="1">IF(Valid_players!Y24&gt;=Valid_players!Z24,1,0)</f>
        <v>1</v>
      </c>
      <c r="S24" s="48">
        <f ca="1">IF(Valid_players!AA24&gt;Valid_players!AB24,1,0)</f>
        <v>1</v>
      </c>
      <c r="T24" s="48">
        <f ca="1">IF(Valid_players!AA24&gt;=Valid_players!AB24,1,0)</f>
        <v>1</v>
      </c>
    </row>
    <row r="25" spans="1:23">
      <c r="A25" s="48">
        <f ca="1">IF(Valid_players!I25&gt;Valid_players!J25,1,0)</f>
        <v>0</v>
      </c>
      <c r="B25" s="48">
        <f ca="1">IF(Valid_players!I25&gt;=Valid_players!J25,1,0)</f>
        <v>0</v>
      </c>
      <c r="C25" s="48">
        <f ca="1">IF(Valid_players!K25&gt;Valid_players!L25,1,0)</f>
        <v>0</v>
      </c>
      <c r="D25" s="48">
        <f ca="1">IF(Valid_players!K25&gt;=Valid_players!L25,1,0)</f>
        <v>0</v>
      </c>
      <c r="E25" s="48">
        <f ca="1">IF(Valid_players!M25&gt;Valid_players!N25,1,0)</f>
        <v>0</v>
      </c>
      <c r="F25" s="48">
        <f ca="1">IF(Valid_players!M25&gt;=Valid_players!N25,1,0)</f>
        <v>1</v>
      </c>
      <c r="G25" s="48">
        <f ca="1">IF(Valid_players!O25&gt;Valid_players!P25,1,0)</f>
        <v>0</v>
      </c>
      <c r="H25" s="48">
        <f ca="1">IF(Valid_players!O25&gt;=Valid_players!P25,1,0)</f>
        <v>0</v>
      </c>
      <c r="I25" s="48">
        <f ca="1">IF(Valid_players!Q25&gt;Valid_players!R25,1,0)</f>
        <v>0</v>
      </c>
      <c r="J25" s="48">
        <f ca="1">IF(Valid_players!Q25&gt;=Valid_players!R25,1,0)</f>
        <v>0</v>
      </c>
      <c r="K25" s="48">
        <f ca="1">IF(Valid_players!S25&gt;Valid_players!T25,1,0)</f>
        <v>1</v>
      </c>
      <c r="L25" s="48">
        <f ca="1">IF(Valid_players!S25&gt;=Valid_players!T25,1,0)</f>
        <v>1</v>
      </c>
      <c r="M25" s="48">
        <f ca="1">IF(Valid_players!U25&gt;Valid_players!V25,1,0)</f>
        <v>0</v>
      </c>
      <c r="N25" s="48">
        <f ca="1">IF(Valid_players!U25&gt;=Valid_players!V25,1,0)</f>
        <v>0</v>
      </c>
      <c r="O25" s="48">
        <f ca="1">IF(Valid_players!W25&gt;Valid_players!X25,1,0)</f>
        <v>1</v>
      </c>
      <c r="P25" s="48">
        <f ca="1">IF(Valid_players!W25&gt;=Valid_players!X25,1,0)</f>
        <v>1</v>
      </c>
      <c r="Q25" s="48">
        <f ca="1">IF(Valid_players!Y25&gt;Valid_players!Z25,1,0)</f>
        <v>1</v>
      </c>
      <c r="R25" s="48">
        <f ca="1">IF(Valid_players!Y25&gt;=Valid_players!Z25,1,0)</f>
        <v>1</v>
      </c>
      <c r="S25" s="48">
        <f ca="1">IF(Valid_players!AA25&gt;Valid_players!AB25,1,0)</f>
        <v>1</v>
      </c>
      <c r="T25" s="48">
        <f ca="1">IF(Valid_players!AA25&gt;=Valid_players!AB25,1,0)</f>
        <v>1</v>
      </c>
    </row>
    <row r="26" spans="1:23">
      <c r="A26" s="48">
        <f ca="1">IF(Valid_players!I26&gt;Valid_players!J26,1,0)</f>
        <v>0</v>
      </c>
      <c r="B26" s="48">
        <f ca="1">IF(Valid_players!I26&gt;=Valid_players!J26,1,0)</f>
        <v>0</v>
      </c>
      <c r="C26" s="48">
        <f ca="1">IF(Valid_players!K26&gt;Valid_players!L26,1,0)</f>
        <v>0</v>
      </c>
      <c r="D26" s="48">
        <f ca="1">IF(Valid_players!K26&gt;=Valid_players!L26,1,0)</f>
        <v>1</v>
      </c>
      <c r="E26" s="48">
        <f ca="1">IF(Valid_players!M26&gt;Valid_players!N26,1,0)</f>
        <v>0</v>
      </c>
      <c r="F26" s="48">
        <f ca="1">IF(Valid_players!M26&gt;=Valid_players!N26,1,0)</f>
        <v>1</v>
      </c>
      <c r="G26" s="48">
        <f ca="1">IF(Valid_players!O26&gt;Valid_players!P26,1,0)</f>
        <v>0</v>
      </c>
      <c r="H26" s="48">
        <f ca="1">IF(Valid_players!O26&gt;=Valid_players!P26,1,0)</f>
        <v>0</v>
      </c>
      <c r="I26" s="48">
        <f ca="1">IF(Valid_players!Q26&gt;Valid_players!R26,1,0)</f>
        <v>1</v>
      </c>
      <c r="J26" s="48">
        <f ca="1">IF(Valid_players!Q26&gt;=Valid_players!R26,1,0)</f>
        <v>1</v>
      </c>
      <c r="K26" s="48">
        <f ca="1">IF(Valid_players!S26&gt;Valid_players!T26,1,0)</f>
        <v>1</v>
      </c>
      <c r="L26" s="48">
        <f ca="1">IF(Valid_players!S26&gt;=Valid_players!T26,1,0)</f>
        <v>1</v>
      </c>
      <c r="M26" s="48">
        <f ca="1">IF(Valid_players!U26&gt;Valid_players!V26,1,0)</f>
        <v>0</v>
      </c>
      <c r="N26" s="48">
        <f ca="1">IF(Valid_players!U26&gt;=Valid_players!V26,1,0)</f>
        <v>1</v>
      </c>
      <c r="O26" s="48">
        <f ca="1">IF(Valid_players!W26&gt;Valid_players!X26,1,0)</f>
        <v>0</v>
      </c>
      <c r="P26" s="48">
        <f ca="1">IF(Valid_players!W26&gt;=Valid_players!X26,1,0)</f>
        <v>0</v>
      </c>
      <c r="Q26" s="48">
        <f ca="1">IF(Valid_players!Y26&gt;Valid_players!Z26,1,0)</f>
        <v>0</v>
      </c>
      <c r="R26" s="48">
        <f ca="1">IF(Valid_players!Y26&gt;=Valid_players!Z26,1,0)</f>
        <v>1</v>
      </c>
      <c r="S26" s="48">
        <f ca="1">IF(Valid_players!AA26&gt;Valid_players!AB26,1,0)</f>
        <v>0</v>
      </c>
      <c r="T26" s="48">
        <f ca="1">IF(Valid_players!AA26&gt;=Valid_players!AB26,1,0)</f>
        <v>0</v>
      </c>
      <c r="W26" s="9">
        <f ca="1">SUM(W3:W23)</f>
        <v>37</v>
      </c>
    </row>
    <row r="27" spans="1:23">
      <c r="A27" s="48">
        <f ca="1">IF(Valid_players!I27&gt;Valid_players!J27,1,0)</f>
        <v>0</v>
      </c>
      <c r="B27" s="48">
        <f ca="1">IF(Valid_players!I27&gt;=Valid_players!J27,1,0)</f>
        <v>0</v>
      </c>
      <c r="C27" s="48">
        <f ca="1">IF(Valid_players!K27&gt;Valid_players!L27,1,0)</f>
        <v>0</v>
      </c>
      <c r="D27" s="48">
        <f ca="1">IF(Valid_players!K27&gt;=Valid_players!L27,1,0)</f>
        <v>1</v>
      </c>
      <c r="E27" s="48">
        <f ca="1">IF(Valid_players!M27&gt;Valid_players!N27,1,0)</f>
        <v>0</v>
      </c>
      <c r="F27" s="48">
        <f ca="1">IF(Valid_players!M27&gt;=Valid_players!N27,1,0)</f>
        <v>1</v>
      </c>
      <c r="G27" s="48">
        <f ca="1">IF(Valid_players!O27&gt;Valid_players!P27,1,0)</f>
        <v>0</v>
      </c>
      <c r="H27" s="48">
        <f ca="1">IF(Valid_players!O27&gt;=Valid_players!P27,1,0)</f>
        <v>0</v>
      </c>
      <c r="I27" s="48">
        <f ca="1">IF(Valid_players!Q27&gt;Valid_players!R27,1,0)</f>
        <v>0</v>
      </c>
      <c r="J27" s="48">
        <f ca="1">IF(Valid_players!Q27&gt;=Valid_players!R27,1,0)</f>
        <v>1</v>
      </c>
      <c r="K27" s="48">
        <f ca="1">IF(Valid_players!S27&gt;Valid_players!T27,1,0)</f>
        <v>1</v>
      </c>
      <c r="L27" s="48">
        <f ca="1">IF(Valid_players!S27&gt;=Valid_players!T27,1,0)</f>
        <v>1</v>
      </c>
      <c r="M27" s="48">
        <f ca="1">IF(Valid_players!U27&gt;Valid_players!V27,1,0)</f>
        <v>0</v>
      </c>
      <c r="N27" s="48">
        <f ca="1">IF(Valid_players!U27&gt;=Valid_players!V27,1,0)</f>
        <v>1</v>
      </c>
      <c r="O27" s="48">
        <f ca="1">IF(Valid_players!W27&gt;Valid_players!X27,1,0)</f>
        <v>1</v>
      </c>
      <c r="P27" s="48">
        <f ca="1">IF(Valid_players!W27&gt;=Valid_players!X27,1,0)</f>
        <v>1</v>
      </c>
      <c r="Q27" s="48">
        <f ca="1">IF(Valid_players!Y27&gt;Valid_players!Z27,1,0)</f>
        <v>1</v>
      </c>
      <c r="R27" s="48">
        <f ca="1">IF(Valid_players!Y27&gt;=Valid_players!Z27,1,0)</f>
        <v>1</v>
      </c>
      <c r="S27" s="48">
        <f ca="1">IF(Valid_players!AA27&gt;Valid_players!AB27,1,0)</f>
        <v>1</v>
      </c>
      <c r="T27" s="48">
        <f ca="1">IF(Valid_players!AA27&gt;=Valid_players!AB27,1,0)</f>
        <v>1</v>
      </c>
    </row>
    <row r="28" spans="1:23">
      <c r="A28" s="48">
        <f ca="1">IF(Valid_players!I28&gt;Valid_players!J28,1,0)</f>
        <v>0</v>
      </c>
      <c r="B28" s="48">
        <f ca="1">IF(Valid_players!I28&gt;=Valid_players!J28,1,0)</f>
        <v>0</v>
      </c>
      <c r="C28" s="48">
        <f ca="1">IF(Valid_players!K28&gt;Valid_players!L28,1,0)</f>
        <v>1</v>
      </c>
      <c r="D28" s="48">
        <f ca="1">IF(Valid_players!K28&gt;=Valid_players!L28,1,0)</f>
        <v>1</v>
      </c>
      <c r="E28" s="48">
        <f ca="1">IF(Valid_players!M28&gt;Valid_players!N28,1,0)</f>
        <v>0</v>
      </c>
      <c r="F28" s="48">
        <f ca="1">IF(Valid_players!M28&gt;=Valid_players!N28,1,0)</f>
        <v>1</v>
      </c>
      <c r="G28" s="48">
        <f ca="1">IF(Valid_players!O28&gt;Valid_players!P28,1,0)</f>
        <v>0</v>
      </c>
      <c r="H28" s="48">
        <f ca="1">IF(Valid_players!O28&gt;=Valid_players!P28,1,0)</f>
        <v>1</v>
      </c>
      <c r="I28" s="48">
        <f ca="1">IF(Valid_players!Q28&gt;Valid_players!R28,1,0)</f>
        <v>1</v>
      </c>
      <c r="J28" s="48">
        <f ca="1">IF(Valid_players!Q28&gt;=Valid_players!R28,1,0)</f>
        <v>1</v>
      </c>
      <c r="K28" s="48">
        <f ca="1">IF(Valid_players!S28&gt;Valid_players!T28,1,0)</f>
        <v>1</v>
      </c>
      <c r="L28" s="48">
        <f ca="1">IF(Valid_players!S28&gt;=Valid_players!T28,1,0)</f>
        <v>1</v>
      </c>
      <c r="M28" s="48">
        <f ca="1">IF(Valid_players!U28&gt;Valid_players!V28,1,0)</f>
        <v>1</v>
      </c>
      <c r="N28" s="48">
        <f ca="1">IF(Valid_players!U28&gt;=Valid_players!V28,1,0)</f>
        <v>1</v>
      </c>
      <c r="O28" s="48">
        <f ca="1">IF(Valid_players!W28&gt;Valid_players!X28,1,0)</f>
        <v>0</v>
      </c>
      <c r="P28" s="48">
        <f ca="1">IF(Valid_players!W28&gt;=Valid_players!X28,1,0)</f>
        <v>0</v>
      </c>
      <c r="Q28" s="48">
        <f ca="1">IF(Valid_players!Y28&gt;Valid_players!Z28,1,0)</f>
        <v>0</v>
      </c>
      <c r="R28" s="48">
        <f ca="1">IF(Valid_players!Y28&gt;=Valid_players!Z28,1,0)</f>
        <v>1</v>
      </c>
      <c r="S28" s="48">
        <f ca="1">IF(Valid_players!AA28&gt;Valid_players!AB28,1,0)</f>
        <v>0</v>
      </c>
      <c r="T28" s="48">
        <f ca="1">IF(Valid_players!AA28&gt;=Valid_players!AB28,1,0)</f>
        <v>1</v>
      </c>
    </row>
    <row r="29" spans="1:23">
      <c r="A29" s="48">
        <f ca="1">IF(Valid_players!I29&gt;Valid_players!J29,1,0)</f>
        <v>1</v>
      </c>
      <c r="B29" s="48">
        <f ca="1">IF(Valid_players!I29&gt;=Valid_players!J29,1,0)</f>
        <v>1</v>
      </c>
      <c r="C29" s="48">
        <f ca="1">IF(Valid_players!K29&gt;Valid_players!L29,1,0)</f>
        <v>0</v>
      </c>
      <c r="D29" s="48">
        <f ca="1">IF(Valid_players!K29&gt;=Valid_players!L29,1,0)</f>
        <v>1</v>
      </c>
      <c r="E29" s="48">
        <f ca="1">IF(Valid_players!M29&gt;Valid_players!N29,1,0)</f>
        <v>0</v>
      </c>
      <c r="F29" s="48">
        <f ca="1">IF(Valid_players!M29&gt;=Valid_players!N29,1,0)</f>
        <v>1</v>
      </c>
      <c r="G29" s="48">
        <f ca="1">IF(Valid_players!O29&gt;Valid_players!P29,1,0)</f>
        <v>1</v>
      </c>
      <c r="H29" s="48">
        <f ca="1">IF(Valid_players!O29&gt;=Valid_players!P29,1,0)</f>
        <v>1</v>
      </c>
      <c r="I29" s="48">
        <f ca="1">IF(Valid_players!Q29&gt;Valid_players!R29,1,0)</f>
        <v>1</v>
      </c>
      <c r="J29" s="48">
        <f ca="1">IF(Valid_players!Q29&gt;=Valid_players!R29,1,0)</f>
        <v>1</v>
      </c>
      <c r="K29" s="48">
        <f ca="1">IF(Valid_players!S29&gt;Valid_players!T29,1,0)</f>
        <v>0</v>
      </c>
      <c r="L29" s="48">
        <f ca="1">IF(Valid_players!S29&gt;=Valid_players!T29,1,0)</f>
        <v>0</v>
      </c>
      <c r="M29" s="48">
        <f ca="1">IF(Valid_players!U29&gt;Valid_players!V29,1,0)</f>
        <v>0</v>
      </c>
      <c r="N29" s="48">
        <f ca="1">IF(Valid_players!U29&gt;=Valid_players!V29,1,0)</f>
        <v>1</v>
      </c>
      <c r="O29" s="48">
        <f ca="1">IF(Valid_players!W29&gt;Valid_players!X29,1,0)</f>
        <v>1</v>
      </c>
      <c r="P29" s="48">
        <f ca="1">IF(Valid_players!W29&gt;=Valid_players!X29,1,0)</f>
        <v>1</v>
      </c>
      <c r="Q29" s="48">
        <f ca="1">IF(Valid_players!Y29&gt;Valid_players!Z29,1,0)</f>
        <v>0</v>
      </c>
      <c r="R29" s="48">
        <f ca="1">IF(Valid_players!Y29&gt;=Valid_players!Z29,1,0)</f>
        <v>1</v>
      </c>
      <c r="S29" s="48">
        <f ca="1">IF(Valid_players!AA29&gt;Valid_players!AB29,1,0)</f>
        <v>1</v>
      </c>
      <c r="T29" s="48">
        <f ca="1">IF(Valid_players!AA29&gt;=Valid_players!AB29,1,0)</f>
        <v>1</v>
      </c>
    </row>
    <row r="30" spans="1:23">
      <c r="A30" s="48">
        <f ca="1">IF(Valid_players!I30&gt;Valid_players!J30,1,0)</f>
        <v>0</v>
      </c>
      <c r="B30" s="48">
        <f ca="1">IF(Valid_players!I30&gt;=Valid_players!J30,1,0)</f>
        <v>0</v>
      </c>
      <c r="C30" s="48">
        <f ca="1">IF(Valid_players!K30&gt;Valid_players!L30,1,0)</f>
        <v>0</v>
      </c>
      <c r="D30" s="48">
        <f ca="1">IF(Valid_players!K30&gt;=Valid_players!L30,1,0)</f>
        <v>1</v>
      </c>
      <c r="E30" s="48">
        <f ca="1">IF(Valid_players!M30&gt;Valid_players!N30,1,0)</f>
        <v>0</v>
      </c>
      <c r="F30" s="48">
        <f ca="1">IF(Valid_players!M30&gt;=Valid_players!N30,1,0)</f>
        <v>1</v>
      </c>
      <c r="G30" s="48">
        <f ca="1">IF(Valid_players!O30&gt;Valid_players!P30,1,0)</f>
        <v>0</v>
      </c>
      <c r="H30" s="48">
        <f ca="1">IF(Valid_players!O30&gt;=Valid_players!P30,1,0)</f>
        <v>0</v>
      </c>
      <c r="I30" s="48">
        <f ca="1">IF(Valid_players!Q30&gt;Valid_players!R30,1,0)</f>
        <v>1</v>
      </c>
      <c r="J30" s="48">
        <f ca="1">IF(Valid_players!Q30&gt;=Valid_players!R30,1,0)</f>
        <v>1</v>
      </c>
      <c r="K30" s="48">
        <f ca="1">IF(Valid_players!S30&gt;Valid_players!T30,1,0)</f>
        <v>1</v>
      </c>
      <c r="L30" s="48">
        <f ca="1">IF(Valid_players!S30&gt;=Valid_players!T30,1,0)</f>
        <v>1</v>
      </c>
      <c r="M30" s="48">
        <f ca="1">IF(Valid_players!U30&gt;Valid_players!V30,1,0)</f>
        <v>1</v>
      </c>
      <c r="N30" s="48">
        <f ca="1">IF(Valid_players!U30&gt;=Valid_players!V30,1,0)</f>
        <v>1</v>
      </c>
      <c r="O30" s="48">
        <f ca="1">IF(Valid_players!W30&gt;Valid_players!X30,1,0)</f>
        <v>0</v>
      </c>
      <c r="P30" s="48">
        <f ca="1">IF(Valid_players!W30&gt;=Valid_players!X30,1,0)</f>
        <v>0</v>
      </c>
      <c r="Q30" s="48">
        <f ca="1">IF(Valid_players!Y30&gt;Valid_players!Z30,1,0)</f>
        <v>0</v>
      </c>
      <c r="R30" s="48">
        <f ca="1">IF(Valid_players!Y30&gt;=Valid_players!Z30,1,0)</f>
        <v>0</v>
      </c>
      <c r="S30" s="48">
        <f ca="1">IF(Valid_players!AA30&gt;Valid_players!AB30,1,0)</f>
        <v>1</v>
      </c>
      <c r="T30" s="48">
        <f ca="1">IF(Valid_players!AA30&gt;=Valid_players!AB30,1,0)</f>
        <v>1</v>
      </c>
    </row>
    <row r="31" spans="1:23">
      <c r="A31" s="48">
        <f ca="1">IF(Valid_players!I31&gt;Valid_players!J31,1,0)</f>
        <v>0</v>
      </c>
      <c r="B31" s="48">
        <f ca="1">IF(Valid_players!I31&gt;=Valid_players!J31,1,0)</f>
        <v>1</v>
      </c>
      <c r="C31" s="48">
        <f ca="1">IF(Valid_players!K31&gt;Valid_players!L31,1,0)</f>
        <v>0</v>
      </c>
      <c r="D31" s="48">
        <f ca="1">IF(Valid_players!K31&gt;=Valid_players!L31,1,0)</f>
        <v>0</v>
      </c>
      <c r="E31" s="48">
        <f ca="1">IF(Valid_players!M31&gt;Valid_players!N31,1,0)</f>
        <v>0</v>
      </c>
      <c r="F31" s="48">
        <f ca="1">IF(Valid_players!M31&gt;=Valid_players!N31,1,0)</f>
        <v>1</v>
      </c>
      <c r="G31" s="48">
        <f ca="1">IF(Valid_players!O31&gt;Valid_players!P31,1,0)</f>
        <v>0</v>
      </c>
      <c r="H31" s="48">
        <f ca="1">IF(Valid_players!O31&gt;=Valid_players!P31,1,0)</f>
        <v>0</v>
      </c>
      <c r="I31" s="48">
        <f ca="1">IF(Valid_players!Q31&gt;Valid_players!R31,1,0)</f>
        <v>1</v>
      </c>
      <c r="J31" s="48">
        <f ca="1">IF(Valid_players!Q31&gt;=Valid_players!R31,1,0)</f>
        <v>1</v>
      </c>
      <c r="K31" s="48">
        <f ca="1">IF(Valid_players!S31&gt;Valid_players!T31,1,0)</f>
        <v>1</v>
      </c>
      <c r="L31" s="48">
        <f ca="1">IF(Valid_players!S31&gt;=Valid_players!T31,1,0)</f>
        <v>1</v>
      </c>
      <c r="M31" s="48">
        <f ca="1">IF(Valid_players!U31&gt;Valid_players!V31,1,0)</f>
        <v>1</v>
      </c>
      <c r="N31" s="48">
        <f ca="1">IF(Valid_players!U31&gt;=Valid_players!V31,1,0)</f>
        <v>1</v>
      </c>
      <c r="O31" s="48">
        <f ca="1">IF(Valid_players!W31&gt;Valid_players!X31,1,0)</f>
        <v>0</v>
      </c>
      <c r="P31" s="48">
        <f ca="1">IF(Valid_players!W31&gt;=Valid_players!X31,1,0)</f>
        <v>0</v>
      </c>
      <c r="Q31" s="48">
        <f ca="1">IF(Valid_players!Y31&gt;Valid_players!Z31,1,0)</f>
        <v>1</v>
      </c>
      <c r="R31" s="48">
        <f ca="1">IF(Valid_players!Y31&gt;=Valid_players!Z31,1,0)</f>
        <v>1</v>
      </c>
      <c r="S31" s="48">
        <f ca="1">IF(Valid_players!AA31&gt;Valid_players!AB31,1,0)</f>
        <v>0</v>
      </c>
      <c r="T31" s="48">
        <f ca="1">IF(Valid_players!AA31&gt;=Valid_players!AB31,1,0)</f>
        <v>0</v>
      </c>
    </row>
    <row r="32" spans="1:23">
      <c r="A32" s="48">
        <f ca="1">IF(Valid_players!I32&gt;Valid_players!J32,1,0)</f>
        <v>1</v>
      </c>
      <c r="B32" s="48">
        <f ca="1">IF(Valid_players!I32&gt;=Valid_players!J32,1,0)</f>
        <v>1</v>
      </c>
      <c r="C32" s="48">
        <f ca="1">IF(Valid_players!K32&gt;Valid_players!L32,1,0)</f>
        <v>0</v>
      </c>
      <c r="D32" s="48">
        <f ca="1">IF(Valid_players!K32&gt;=Valid_players!L32,1,0)</f>
        <v>0</v>
      </c>
      <c r="E32" s="48">
        <f ca="1">IF(Valid_players!M32&gt;Valid_players!N32,1,0)</f>
        <v>0</v>
      </c>
      <c r="F32" s="48">
        <f ca="1">IF(Valid_players!M32&gt;=Valid_players!N32,1,0)</f>
        <v>1</v>
      </c>
      <c r="G32" s="48">
        <f ca="1">IF(Valid_players!O32&gt;Valid_players!P32,1,0)</f>
        <v>0</v>
      </c>
      <c r="H32" s="48">
        <f ca="1">IF(Valid_players!O32&gt;=Valid_players!P32,1,0)</f>
        <v>0</v>
      </c>
      <c r="I32" s="48">
        <f ca="1">IF(Valid_players!Q32&gt;Valid_players!R32,1,0)</f>
        <v>1</v>
      </c>
      <c r="J32" s="48">
        <f ca="1">IF(Valid_players!Q32&gt;=Valid_players!R32,1,0)</f>
        <v>1</v>
      </c>
      <c r="K32" s="48">
        <f ca="1">IF(Valid_players!S32&gt;Valid_players!T32,1,0)</f>
        <v>0</v>
      </c>
      <c r="L32" s="48">
        <f ca="1">IF(Valid_players!S32&gt;=Valid_players!T32,1,0)</f>
        <v>0</v>
      </c>
      <c r="M32" s="48">
        <f ca="1">IF(Valid_players!U32&gt;Valid_players!V32,1,0)</f>
        <v>0</v>
      </c>
      <c r="N32" s="48">
        <f ca="1">IF(Valid_players!U32&gt;=Valid_players!V32,1,0)</f>
        <v>0</v>
      </c>
      <c r="O32" s="48">
        <f ca="1">IF(Valid_players!W32&gt;Valid_players!X32,1,0)</f>
        <v>1</v>
      </c>
      <c r="P32" s="48">
        <f ca="1">IF(Valid_players!W32&gt;=Valid_players!X32,1,0)</f>
        <v>1</v>
      </c>
      <c r="Q32" s="48">
        <f ca="1">IF(Valid_players!Y32&gt;Valid_players!Z32,1,0)</f>
        <v>0</v>
      </c>
      <c r="R32" s="48">
        <f ca="1">IF(Valid_players!Y32&gt;=Valid_players!Z32,1,0)</f>
        <v>1</v>
      </c>
      <c r="S32" s="48">
        <f ca="1">IF(Valid_players!AA32&gt;Valid_players!AB32,1,0)</f>
        <v>1</v>
      </c>
      <c r="T32" s="48">
        <f ca="1">IF(Valid_players!AA32&gt;=Valid_players!AB32,1,0)</f>
        <v>1</v>
      </c>
    </row>
    <row r="33" spans="1:20">
      <c r="A33" s="48">
        <f ca="1">IF(Valid_players!I33&gt;Valid_players!J33,1,0)</f>
        <v>1</v>
      </c>
      <c r="B33" s="48">
        <f ca="1">IF(Valid_players!I33&gt;=Valid_players!J33,1,0)</f>
        <v>1</v>
      </c>
      <c r="C33" s="48">
        <f ca="1">IF(Valid_players!K33&gt;Valid_players!L33,1,0)</f>
        <v>0</v>
      </c>
      <c r="D33" s="48">
        <f ca="1">IF(Valid_players!K33&gt;=Valid_players!L33,1,0)</f>
        <v>1</v>
      </c>
      <c r="E33" s="48">
        <f ca="1">IF(Valid_players!M33&gt;Valid_players!N33,1,0)</f>
        <v>0</v>
      </c>
      <c r="F33" s="48">
        <f ca="1">IF(Valid_players!M33&gt;=Valid_players!N33,1,0)</f>
        <v>1</v>
      </c>
      <c r="G33" s="48">
        <f ca="1">IF(Valid_players!O33&gt;Valid_players!P33,1,0)</f>
        <v>1</v>
      </c>
      <c r="H33" s="48">
        <f ca="1">IF(Valid_players!O33&gt;=Valid_players!P33,1,0)</f>
        <v>1</v>
      </c>
      <c r="I33" s="48">
        <f ca="1">IF(Valid_players!Q33&gt;Valid_players!R33,1,0)</f>
        <v>0</v>
      </c>
      <c r="J33" s="48">
        <f ca="1">IF(Valid_players!Q33&gt;=Valid_players!R33,1,0)</f>
        <v>0</v>
      </c>
      <c r="K33" s="48">
        <f ca="1">IF(Valid_players!S33&gt;Valid_players!T33,1,0)</f>
        <v>0</v>
      </c>
      <c r="L33" s="48">
        <f ca="1">IF(Valid_players!S33&gt;=Valid_players!T33,1,0)</f>
        <v>1</v>
      </c>
      <c r="M33" s="48">
        <f ca="1">IF(Valid_players!U33&gt;Valid_players!V33,1,0)</f>
        <v>1</v>
      </c>
      <c r="N33" s="48">
        <f ca="1">IF(Valid_players!U33&gt;=Valid_players!V33,1,0)</f>
        <v>1</v>
      </c>
      <c r="O33" s="48">
        <f ca="1">IF(Valid_players!W33&gt;Valid_players!X33,1,0)</f>
        <v>1</v>
      </c>
      <c r="P33" s="48">
        <f ca="1">IF(Valid_players!W33&gt;=Valid_players!X33,1,0)</f>
        <v>1</v>
      </c>
      <c r="Q33" s="48">
        <f ca="1">IF(Valid_players!Y33&gt;Valid_players!Z33,1,0)</f>
        <v>1</v>
      </c>
      <c r="R33" s="48">
        <f ca="1">IF(Valid_players!Y33&gt;=Valid_players!Z33,1,0)</f>
        <v>1</v>
      </c>
      <c r="S33" s="48">
        <f ca="1">IF(Valid_players!AA33&gt;Valid_players!AB33,1,0)</f>
        <v>1</v>
      </c>
      <c r="T33" s="48">
        <f ca="1">IF(Valid_players!AA33&gt;=Valid_players!AB33,1,0)</f>
        <v>1</v>
      </c>
    </row>
    <row r="34" spans="1:20">
      <c r="A34" s="48">
        <f ca="1">IF(Valid_players!I34&gt;Valid_players!J34,1,0)</f>
        <v>0</v>
      </c>
      <c r="B34" s="48">
        <f ca="1">IF(Valid_players!I34&gt;=Valid_players!J34,1,0)</f>
        <v>0</v>
      </c>
      <c r="C34" s="48">
        <f ca="1">IF(Valid_players!K34&gt;Valid_players!L34,1,0)</f>
        <v>1</v>
      </c>
      <c r="D34" s="48">
        <f ca="1">IF(Valid_players!K34&gt;=Valid_players!L34,1,0)</f>
        <v>1</v>
      </c>
      <c r="E34" s="48">
        <f ca="1">IF(Valid_players!M34&gt;Valid_players!N34,1,0)</f>
        <v>0</v>
      </c>
      <c r="F34" s="48">
        <f ca="1">IF(Valid_players!M34&gt;=Valid_players!N34,1,0)</f>
        <v>1</v>
      </c>
      <c r="G34" s="48">
        <f ca="1">IF(Valid_players!O34&gt;Valid_players!P34,1,0)</f>
        <v>0</v>
      </c>
      <c r="H34" s="48">
        <f ca="1">IF(Valid_players!O34&gt;=Valid_players!P34,1,0)</f>
        <v>0</v>
      </c>
      <c r="I34" s="48">
        <f ca="1">IF(Valid_players!Q34&gt;Valid_players!R34,1,0)</f>
        <v>0</v>
      </c>
      <c r="J34" s="48">
        <f ca="1">IF(Valid_players!Q34&gt;=Valid_players!R34,1,0)</f>
        <v>1</v>
      </c>
      <c r="K34" s="48">
        <f ca="1">IF(Valid_players!S34&gt;Valid_players!T34,1,0)</f>
        <v>0</v>
      </c>
      <c r="L34" s="48">
        <f ca="1">IF(Valid_players!S34&gt;=Valid_players!T34,1,0)</f>
        <v>0</v>
      </c>
      <c r="M34" s="48">
        <f ca="1">IF(Valid_players!U34&gt;Valid_players!V34,1,0)</f>
        <v>1</v>
      </c>
      <c r="N34" s="48">
        <f ca="1">IF(Valid_players!U34&gt;=Valid_players!V34,1,0)</f>
        <v>1</v>
      </c>
      <c r="O34" s="48">
        <f ca="1">IF(Valid_players!W34&gt;Valid_players!X34,1,0)</f>
        <v>0</v>
      </c>
      <c r="P34" s="48">
        <f ca="1">IF(Valid_players!W34&gt;=Valid_players!X34,1,0)</f>
        <v>0</v>
      </c>
      <c r="Q34" s="48">
        <f ca="1">IF(Valid_players!Y34&gt;Valid_players!Z34,1,0)</f>
        <v>1</v>
      </c>
      <c r="R34" s="48">
        <f ca="1">IF(Valid_players!Y34&gt;=Valid_players!Z34,1,0)</f>
        <v>1</v>
      </c>
      <c r="S34" s="48">
        <f ca="1">IF(Valid_players!AA34&gt;Valid_players!AB34,1,0)</f>
        <v>0</v>
      </c>
      <c r="T34" s="48">
        <f ca="1">IF(Valid_players!AA34&gt;=Valid_players!AB34,1,0)</f>
        <v>0</v>
      </c>
    </row>
    <row r="35" spans="1:20">
      <c r="A35" s="48">
        <f ca="1">IF(Valid_players!I35&gt;Valid_players!J35,1,0)</f>
        <v>0</v>
      </c>
      <c r="B35" s="48">
        <f ca="1">IF(Valid_players!I35&gt;=Valid_players!J35,1,0)</f>
        <v>0</v>
      </c>
      <c r="C35" s="48">
        <f ca="1">IF(Valid_players!K35&gt;Valid_players!L35,1,0)</f>
        <v>1</v>
      </c>
      <c r="D35" s="48">
        <f ca="1">IF(Valid_players!K35&gt;=Valid_players!L35,1,0)</f>
        <v>1</v>
      </c>
      <c r="E35" s="48">
        <f ca="1">IF(Valid_players!M35&gt;Valid_players!N35,1,0)</f>
        <v>0</v>
      </c>
      <c r="F35" s="48">
        <f ca="1">IF(Valid_players!M35&gt;=Valid_players!N35,1,0)</f>
        <v>1</v>
      </c>
      <c r="G35" s="48">
        <f ca="1">IF(Valid_players!O35&gt;Valid_players!P35,1,0)</f>
        <v>0</v>
      </c>
      <c r="H35" s="48">
        <f ca="1">IF(Valid_players!O35&gt;=Valid_players!P35,1,0)</f>
        <v>1</v>
      </c>
      <c r="I35" s="48">
        <f ca="1">IF(Valid_players!Q35&gt;Valid_players!R35,1,0)</f>
        <v>1</v>
      </c>
      <c r="J35" s="48">
        <f ca="1">IF(Valid_players!Q35&gt;=Valid_players!R35,1,0)</f>
        <v>1</v>
      </c>
      <c r="K35" s="48">
        <f ca="1">IF(Valid_players!S35&gt;Valid_players!T35,1,0)</f>
        <v>0</v>
      </c>
      <c r="L35" s="48">
        <f ca="1">IF(Valid_players!S35&gt;=Valid_players!T35,1,0)</f>
        <v>0</v>
      </c>
      <c r="M35" s="48">
        <f ca="1">IF(Valid_players!U35&gt;Valid_players!V35,1,0)</f>
        <v>1</v>
      </c>
      <c r="N35" s="48">
        <f ca="1">IF(Valid_players!U35&gt;=Valid_players!V35,1,0)</f>
        <v>1</v>
      </c>
      <c r="O35" s="48">
        <f ca="1">IF(Valid_players!W35&gt;Valid_players!X35,1,0)</f>
        <v>0</v>
      </c>
      <c r="P35" s="48">
        <f ca="1">IF(Valid_players!W35&gt;=Valid_players!X35,1,0)</f>
        <v>0</v>
      </c>
      <c r="Q35" s="48">
        <f ca="1">IF(Valid_players!Y35&gt;Valid_players!Z35,1,0)</f>
        <v>0</v>
      </c>
      <c r="R35" s="48">
        <f ca="1">IF(Valid_players!Y35&gt;=Valid_players!Z35,1,0)</f>
        <v>1</v>
      </c>
      <c r="S35" s="48">
        <f ca="1">IF(Valid_players!AA35&gt;Valid_players!AB35,1,0)</f>
        <v>0</v>
      </c>
      <c r="T35" s="48">
        <f ca="1">IF(Valid_players!AA35&gt;=Valid_players!AB35,1,0)</f>
        <v>0</v>
      </c>
    </row>
    <row r="36" spans="1:20">
      <c r="A36" s="48">
        <f ca="1">IF(Valid_players!I36&gt;Valid_players!J36,1,0)</f>
        <v>0</v>
      </c>
      <c r="B36" s="48">
        <f ca="1">IF(Valid_players!I36&gt;=Valid_players!J36,1,0)</f>
        <v>0</v>
      </c>
      <c r="C36" s="48">
        <f ca="1">IF(Valid_players!K36&gt;Valid_players!L36,1,0)</f>
        <v>0</v>
      </c>
      <c r="D36" s="48">
        <f ca="1">IF(Valid_players!K36&gt;=Valid_players!L36,1,0)</f>
        <v>1</v>
      </c>
      <c r="E36" s="48">
        <f ca="1">IF(Valid_players!M36&gt;Valid_players!N36,1,0)</f>
        <v>0</v>
      </c>
      <c r="F36" s="48">
        <f ca="1">IF(Valid_players!M36&gt;=Valid_players!N36,1,0)</f>
        <v>1</v>
      </c>
      <c r="G36" s="48">
        <f ca="1">IF(Valid_players!O36&gt;Valid_players!P36,1,0)</f>
        <v>0</v>
      </c>
      <c r="H36" s="48">
        <f ca="1">IF(Valid_players!O36&gt;=Valid_players!P36,1,0)</f>
        <v>0</v>
      </c>
      <c r="I36" s="48">
        <f ca="1">IF(Valid_players!Q36&gt;Valid_players!R36,1,0)</f>
        <v>0</v>
      </c>
      <c r="J36" s="48">
        <f ca="1">IF(Valid_players!Q36&gt;=Valid_players!R36,1,0)</f>
        <v>0</v>
      </c>
      <c r="K36" s="48">
        <f ca="1">IF(Valid_players!S36&gt;Valid_players!T36,1,0)</f>
        <v>0</v>
      </c>
      <c r="L36" s="48">
        <f ca="1">IF(Valid_players!S36&gt;=Valid_players!T36,1,0)</f>
        <v>0</v>
      </c>
      <c r="M36" s="48">
        <f ca="1">IF(Valid_players!U36&gt;Valid_players!V36,1,0)</f>
        <v>0</v>
      </c>
      <c r="N36" s="48">
        <f ca="1">IF(Valid_players!U36&gt;=Valid_players!V36,1,0)</f>
        <v>1</v>
      </c>
      <c r="O36" s="48">
        <f ca="1">IF(Valid_players!W36&gt;Valid_players!X36,1,0)</f>
        <v>1</v>
      </c>
      <c r="P36" s="48">
        <f ca="1">IF(Valid_players!W36&gt;=Valid_players!X36,1,0)</f>
        <v>1</v>
      </c>
      <c r="Q36" s="48">
        <f ca="1">IF(Valid_players!Y36&gt;Valid_players!Z36,1,0)</f>
        <v>1</v>
      </c>
      <c r="R36" s="48">
        <f ca="1">IF(Valid_players!Y36&gt;=Valid_players!Z36,1,0)</f>
        <v>1</v>
      </c>
      <c r="S36" s="48">
        <f ca="1">IF(Valid_players!AA36&gt;Valid_players!AB36,1,0)</f>
        <v>1</v>
      </c>
      <c r="T36" s="48">
        <f ca="1">IF(Valid_players!AA36&gt;=Valid_players!AB36,1,0)</f>
        <v>1</v>
      </c>
    </row>
    <row r="37" spans="1:20">
      <c r="A37" s="48">
        <f ca="1">IF(Valid_players!I37&gt;Valid_players!J37,1,0)</f>
        <v>1</v>
      </c>
      <c r="B37" s="48">
        <f ca="1">IF(Valid_players!I37&gt;=Valid_players!J37,1,0)</f>
        <v>1</v>
      </c>
      <c r="C37" s="48">
        <f ca="1">IF(Valid_players!K37&gt;Valid_players!L37,1,0)</f>
        <v>0</v>
      </c>
      <c r="D37" s="48">
        <f ca="1">IF(Valid_players!K37&gt;=Valid_players!L37,1,0)</f>
        <v>0</v>
      </c>
      <c r="E37" s="48">
        <f ca="1">IF(Valid_players!M37&gt;Valid_players!N37,1,0)</f>
        <v>0</v>
      </c>
      <c r="F37" s="48">
        <f ca="1">IF(Valid_players!M37&gt;=Valid_players!N37,1,0)</f>
        <v>1</v>
      </c>
      <c r="G37" s="48">
        <f ca="1">IF(Valid_players!O37&gt;Valid_players!P37,1,0)</f>
        <v>0</v>
      </c>
      <c r="H37" s="48">
        <f ca="1">IF(Valid_players!O37&gt;=Valid_players!P37,1,0)</f>
        <v>0</v>
      </c>
      <c r="I37" s="48">
        <f ca="1">IF(Valid_players!Q37&gt;Valid_players!R37,1,0)</f>
        <v>0</v>
      </c>
      <c r="J37" s="48">
        <f ca="1">IF(Valid_players!Q37&gt;=Valid_players!R37,1,0)</f>
        <v>0</v>
      </c>
      <c r="K37" s="48">
        <f ca="1">IF(Valid_players!S37&gt;Valid_players!T37,1,0)</f>
        <v>0</v>
      </c>
      <c r="L37" s="48">
        <f ca="1">IF(Valid_players!S37&gt;=Valid_players!T37,1,0)</f>
        <v>1</v>
      </c>
      <c r="M37" s="48">
        <f ca="1">IF(Valid_players!U37&gt;Valid_players!V37,1,0)</f>
        <v>1</v>
      </c>
      <c r="N37" s="48">
        <f ca="1">IF(Valid_players!U37&gt;=Valid_players!V37,1,0)</f>
        <v>1</v>
      </c>
      <c r="O37" s="48">
        <f ca="1">IF(Valid_players!W37&gt;Valid_players!X37,1,0)</f>
        <v>1</v>
      </c>
      <c r="P37" s="48">
        <f ca="1">IF(Valid_players!W37&gt;=Valid_players!X37,1,0)</f>
        <v>1</v>
      </c>
      <c r="Q37" s="48">
        <f ca="1">IF(Valid_players!Y37&gt;Valid_players!Z37,1,0)</f>
        <v>1</v>
      </c>
      <c r="R37" s="48">
        <f ca="1">IF(Valid_players!Y37&gt;=Valid_players!Z37,1,0)</f>
        <v>1</v>
      </c>
      <c r="S37" s="48">
        <f ca="1">IF(Valid_players!AA37&gt;Valid_players!AB37,1,0)</f>
        <v>1</v>
      </c>
      <c r="T37" s="48">
        <f ca="1">IF(Valid_players!AA37&gt;=Valid_players!AB37,1,0)</f>
        <v>1</v>
      </c>
    </row>
    <row r="38" spans="1:20">
      <c r="A38" s="48">
        <f ca="1">IF(Valid_players!I38&gt;Valid_players!J38,1,0)</f>
        <v>0</v>
      </c>
      <c r="B38" s="48">
        <f ca="1">IF(Valid_players!I38&gt;=Valid_players!J38,1,0)</f>
        <v>0</v>
      </c>
      <c r="C38" s="48">
        <f ca="1">IF(Valid_players!K38&gt;Valid_players!L38,1,0)</f>
        <v>0</v>
      </c>
      <c r="D38" s="48">
        <f ca="1">IF(Valid_players!K38&gt;=Valid_players!L38,1,0)</f>
        <v>1</v>
      </c>
      <c r="E38" s="48">
        <f ca="1">IF(Valid_players!M38&gt;Valid_players!N38,1,0)</f>
        <v>0</v>
      </c>
      <c r="F38" s="48">
        <f ca="1">IF(Valid_players!M38&gt;=Valid_players!N38,1,0)</f>
        <v>1</v>
      </c>
      <c r="G38" s="48">
        <f ca="1">IF(Valid_players!O38&gt;Valid_players!P38,1,0)</f>
        <v>0</v>
      </c>
      <c r="H38" s="48">
        <f ca="1">IF(Valid_players!O38&gt;=Valid_players!P38,1,0)</f>
        <v>0</v>
      </c>
      <c r="I38" s="48">
        <f ca="1">IF(Valid_players!Q38&gt;Valid_players!R38,1,0)</f>
        <v>0</v>
      </c>
      <c r="J38" s="48">
        <f ca="1">IF(Valid_players!Q38&gt;=Valid_players!R38,1,0)</f>
        <v>0</v>
      </c>
      <c r="K38" s="48">
        <f ca="1">IF(Valid_players!S38&gt;Valid_players!T38,1,0)</f>
        <v>1</v>
      </c>
      <c r="L38" s="48">
        <f ca="1">IF(Valid_players!S38&gt;=Valid_players!T38,1,0)</f>
        <v>1</v>
      </c>
      <c r="M38" s="48">
        <f ca="1">IF(Valid_players!U38&gt;Valid_players!V38,1,0)</f>
        <v>0</v>
      </c>
      <c r="N38" s="48">
        <f ca="1">IF(Valid_players!U38&gt;=Valid_players!V38,1,0)</f>
        <v>0</v>
      </c>
      <c r="O38" s="48">
        <f ca="1">IF(Valid_players!W38&gt;Valid_players!X38,1,0)</f>
        <v>1</v>
      </c>
      <c r="P38" s="48">
        <f ca="1">IF(Valid_players!W38&gt;=Valid_players!X38,1,0)</f>
        <v>1</v>
      </c>
      <c r="Q38" s="48">
        <f ca="1">IF(Valid_players!Y38&gt;Valid_players!Z38,1,0)</f>
        <v>0</v>
      </c>
      <c r="R38" s="48">
        <f ca="1">IF(Valid_players!Y38&gt;=Valid_players!Z38,1,0)</f>
        <v>0</v>
      </c>
      <c r="S38" s="48">
        <f ca="1">IF(Valid_players!AA38&gt;Valid_players!AB38,1,0)</f>
        <v>1</v>
      </c>
      <c r="T38" s="48">
        <f ca="1">IF(Valid_players!AA38&gt;=Valid_players!AB38,1,0)</f>
        <v>1</v>
      </c>
    </row>
    <row r="39" spans="1:20">
      <c r="A39" s="48">
        <f ca="1">IF(Valid_players!I39&gt;Valid_players!J39,1,0)</f>
        <v>1</v>
      </c>
      <c r="B39" s="48">
        <f ca="1">IF(Valid_players!I39&gt;=Valid_players!J39,1,0)</f>
        <v>1</v>
      </c>
      <c r="C39" s="48">
        <f ca="1">IF(Valid_players!K39&gt;Valid_players!L39,1,0)</f>
        <v>1</v>
      </c>
      <c r="D39" s="48">
        <f ca="1">IF(Valid_players!K39&gt;=Valid_players!L39,1,0)</f>
        <v>1</v>
      </c>
      <c r="E39" s="48">
        <f ca="1">IF(Valid_players!M39&gt;Valid_players!N39,1,0)</f>
        <v>0</v>
      </c>
      <c r="F39" s="48">
        <f ca="1">IF(Valid_players!M39&gt;=Valid_players!N39,1,0)</f>
        <v>1</v>
      </c>
      <c r="G39" s="48">
        <f ca="1">IF(Valid_players!O39&gt;Valid_players!P39,1,0)</f>
        <v>1</v>
      </c>
      <c r="H39" s="48">
        <f ca="1">IF(Valid_players!O39&gt;=Valid_players!P39,1,0)</f>
        <v>1</v>
      </c>
      <c r="I39" s="48">
        <f ca="1">IF(Valid_players!Q39&gt;Valid_players!R39,1,0)</f>
        <v>1</v>
      </c>
      <c r="J39" s="48">
        <f ca="1">IF(Valid_players!Q39&gt;=Valid_players!R39,1,0)</f>
        <v>1</v>
      </c>
      <c r="K39" s="48">
        <f ca="1">IF(Valid_players!S39&gt;Valid_players!T39,1,0)</f>
        <v>1</v>
      </c>
      <c r="L39" s="48">
        <f ca="1">IF(Valid_players!S39&gt;=Valid_players!T39,1,0)</f>
        <v>1</v>
      </c>
      <c r="M39" s="48">
        <f ca="1">IF(Valid_players!U39&gt;Valid_players!V39,1,0)</f>
        <v>1</v>
      </c>
      <c r="N39" s="48">
        <f ca="1">IF(Valid_players!U39&gt;=Valid_players!V39,1,0)</f>
        <v>1</v>
      </c>
      <c r="O39" s="48">
        <f ca="1">IF(Valid_players!W39&gt;Valid_players!X39,1,0)</f>
        <v>1</v>
      </c>
      <c r="P39" s="48">
        <f ca="1">IF(Valid_players!W39&gt;=Valid_players!X39,1,0)</f>
        <v>1</v>
      </c>
      <c r="Q39" s="48">
        <f ca="1">IF(Valid_players!Y39&gt;Valid_players!Z39,1,0)</f>
        <v>0</v>
      </c>
      <c r="R39" s="48">
        <f ca="1">IF(Valid_players!Y39&gt;=Valid_players!Z39,1,0)</f>
        <v>0</v>
      </c>
      <c r="S39" s="48">
        <f ca="1">IF(Valid_players!AA39&gt;Valid_players!AB39,1,0)</f>
        <v>1</v>
      </c>
      <c r="T39" s="48">
        <f ca="1">IF(Valid_players!AA39&gt;=Valid_players!AB39,1,0)</f>
        <v>1</v>
      </c>
    </row>
    <row r="40" spans="1:20">
      <c r="A40" s="48">
        <f>IF(Valid_players!I40&gt;Valid_players!J40,1,0)</f>
        <v>0</v>
      </c>
      <c r="B40" s="48">
        <f>IF(Valid_players!I40&gt;=Valid_players!J40,1,0)</f>
        <v>1</v>
      </c>
      <c r="C40" s="48">
        <f>IF(Valid_players!K40&gt;Valid_players!L40,1,0)</f>
        <v>0</v>
      </c>
      <c r="D40" s="48">
        <f>IF(Valid_players!K40&gt;=Valid_players!L40,1,0)</f>
        <v>1</v>
      </c>
      <c r="E40" s="48">
        <f>IF(Valid_players!M40&gt;Valid_players!N40,1,0)</f>
        <v>0</v>
      </c>
      <c r="F40" s="48">
        <f>IF(Valid_players!M40&gt;=Valid_players!N40,1,0)</f>
        <v>1</v>
      </c>
      <c r="G40" s="48">
        <f>IF(Valid_players!O40&gt;Valid_players!P40,1,0)</f>
        <v>0</v>
      </c>
      <c r="H40" s="48">
        <f>IF(Valid_players!O40&gt;=Valid_players!P40,1,0)</f>
        <v>1</v>
      </c>
      <c r="I40" s="48">
        <f>IF(Valid_players!Q40&gt;Valid_players!R40,1,0)</f>
        <v>0</v>
      </c>
      <c r="J40" s="48">
        <f>IF(Valid_players!Q40&gt;=Valid_players!R40,1,0)</f>
        <v>1</v>
      </c>
      <c r="K40" s="48">
        <f>IF(Valid_players!S40&gt;Valid_players!T40,1,0)</f>
        <v>0</v>
      </c>
      <c r="L40" s="48">
        <f>IF(Valid_players!S40&gt;=Valid_players!T40,1,0)</f>
        <v>1</v>
      </c>
      <c r="M40" s="48">
        <f>IF(Valid_players!U40&gt;Valid_players!V40,1,0)</f>
        <v>0</v>
      </c>
      <c r="N40" s="48">
        <f>IF(Valid_players!U40&gt;=Valid_players!V40,1,0)</f>
        <v>1</v>
      </c>
      <c r="O40" s="48">
        <f>IF(Valid_players!W40&gt;Valid_players!X40,1,0)</f>
        <v>0</v>
      </c>
      <c r="P40" s="48">
        <f>IF(Valid_players!W40&gt;=Valid_players!X40,1,0)</f>
        <v>1</v>
      </c>
      <c r="Q40" s="48">
        <f>IF(Valid_players!Y40&gt;Valid_players!Z40,1,0)</f>
        <v>0</v>
      </c>
      <c r="R40" s="48">
        <f>IF(Valid_players!Y40&gt;=Valid_players!Z40,1,0)</f>
        <v>1</v>
      </c>
      <c r="S40" s="48">
        <f>IF(Valid_players!AA40&gt;Valid_players!AB40,1,0)</f>
        <v>0</v>
      </c>
      <c r="T40" s="48">
        <f>IF(Valid_players!AA40&gt;=Valid_players!AB40,1,0)</f>
        <v>1</v>
      </c>
    </row>
    <row r="41" spans="1:20">
      <c r="A41" s="48">
        <f>IF(Valid_players!I41&gt;Valid_players!J41,1,0)</f>
        <v>0</v>
      </c>
      <c r="B41" s="48">
        <f>IF(Valid_players!I41&gt;=Valid_players!J41,1,0)</f>
        <v>1</v>
      </c>
      <c r="C41" s="48">
        <f>IF(Valid_players!K41&gt;Valid_players!L41,1,0)</f>
        <v>0</v>
      </c>
      <c r="D41" s="48">
        <f>IF(Valid_players!K41&gt;=Valid_players!L41,1,0)</f>
        <v>1</v>
      </c>
      <c r="E41" s="48">
        <f>IF(Valid_players!M41&gt;Valid_players!N41,1,0)</f>
        <v>0</v>
      </c>
      <c r="F41" s="48">
        <f>IF(Valid_players!M41&gt;=Valid_players!N41,1,0)</f>
        <v>1</v>
      </c>
      <c r="G41" s="48">
        <f>IF(Valid_players!O41&gt;Valid_players!P41,1,0)</f>
        <v>0</v>
      </c>
      <c r="H41" s="48">
        <f>IF(Valid_players!O41&gt;=Valid_players!P41,1,0)</f>
        <v>1</v>
      </c>
      <c r="I41" s="48">
        <f>IF(Valid_players!Q41&gt;Valid_players!R41,1,0)</f>
        <v>0</v>
      </c>
      <c r="J41" s="48">
        <f>IF(Valid_players!Q41&gt;=Valid_players!R41,1,0)</f>
        <v>1</v>
      </c>
      <c r="K41" s="48">
        <f>IF(Valid_players!S41&gt;Valid_players!T41,1,0)</f>
        <v>0</v>
      </c>
      <c r="L41" s="48">
        <f>IF(Valid_players!S41&gt;=Valid_players!T41,1,0)</f>
        <v>1</v>
      </c>
      <c r="M41" s="48">
        <f>IF(Valid_players!U41&gt;Valid_players!V41,1,0)</f>
        <v>0</v>
      </c>
      <c r="N41" s="48">
        <f>IF(Valid_players!U41&gt;=Valid_players!V41,1,0)</f>
        <v>1</v>
      </c>
      <c r="O41" s="48">
        <f>IF(Valid_players!W41&gt;Valid_players!X41,1,0)</f>
        <v>0</v>
      </c>
      <c r="P41" s="48">
        <f>IF(Valid_players!W41&gt;=Valid_players!X41,1,0)</f>
        <v>1</v>
      </c>
      <c r="Q41" s="48">
        <f>IF(Valid_players!Y41&gt;Valid_players!Z41,1,0)</f>
        <v>0</v>
      </c>
      <c r="R41" s="48">
        <f>IF(Valid_players!Y41&gt;=Valid_players!Z41,1,0)</f>
        <v>1</v>
      </c>
      <c r="S41" s="48">
        <f>IF(Valid_players!AA41&gt;Valid_players!AB41,1,0)</f>
        <v>0</v>
      </c>
      <c r="T41" s="48">
        <f>IF(Valid_players!AA41&gt;=Valid_players!AB41,1,0)</f>
        <v>1</v>
      </c>
    </row>
    <row r="42" spans="1:20">
      <c r="A42" s="48"/>
      <c r="B42" s="48"/>
      <c r="C42" s="48"/>
      <c r="D42" s="48"/>
      <c r="E42" s="48"/>
      <c r="F42" s="48"/>
      <c r="G42" s="48"/>
      <c r="H42" s="48"/>
      <c r="I42" s="48"/>
      <c r="J42" s="48"/>
      <c r="K42" s="48"/>
      <c r="L42" s="48"/>
      <c r="M42" s="48"/>
      <c r="N42" s="48"/>
      <c r="O42" s="48"/>
      <c r="P42" s="48"/>
      <c r="Q42" s="48"/>
      <c r="R42" s="48"/>
      <c r="S42" s="48"/>
    </row>
  </sheetData>
  <mergeCells count="2">
    <mergeCell ref="V1:V2"/>
    <mergeCell ref="W1:W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outlinePr summaryBelow="0" summaryRight="0"/>
  </sheetPr>
  <dimension ref="A1:O24"/>
  <sheetViews>
    <sheetView workbookViewId="0">
      <pane ySplit="1" topLeftCell="A2" activePane="bottomLeft" state="frozen"/>
      <selection pane="bottomLeft" activeCell="B25" sqref="B25"/>
    </sheetView>
  </sheetViews>
  <sheetFormatPr defaultColWidth="12.5703125" defaultRowHeight="15.75" customHeight="1"/>
  <cols>
    <col min="1" max="1" width="8.28515625" bestFit="1" customWidth="1"/>
    <col min="3" max="3" width="16.140625" customWidth="1"/>
    <col min="4" max="15" width="16.7109375" customWidth="1"/>
  </cols>
  <sheetData>
    <row r="1" spans="1:15" s="107" customFormat="1" ht="28.5" customHeight="1">
      <c r="A1" s="1" t="s">
        <v>4603</v>
      </c>
      <c r="B1" s="28" t="s">
        <v>45</v>
      </c>
      <c r="C1" s="2" t="s">
        <v>46</v>
      </c>
      <c r="D1" s="84" t="s">
        <v>47</v>
      </c>
      <c r="E1" s="105" t="s">
        <v>48</v>
      </c>
      <c r="F1" s="84" t="s">
        <v>49</v>
      </c>
      <c r="G1" s="84" t="s">
        <v>50</v>
      </c>
      <c r="H1" s="84" t="s">
        <v>51</v>
      </c>
      <c r="I1" s="105" t="s">
        <v>52</v>
      </c>
      <c r="J1" s="84" t="s">
        <v>53</v>
      </c>
      <c r="K1" s="84" t="s">
        <v>54</v>
      </c>
      <c r="L1" s="105" t="s">
        <v>55</v>
      </c>
      <c r="M1" s="84" t="s">
        <v>56</v>
      </c>
      <c r="N1" s="84" t="s">
        <v>57</v>
      </c>
      <c r="O1" s="106" t="s">
        <v>58</v>
      </c>
    </row>
    <row r="2" spans="1:15" ht="12.75">
      <c r="A2" s="8">
        <v>109</v>
      </c>
      <c r="B2" s="9" t="s">
        <v>59</v>
      </c>
      <c r="C2" s="10" t="s">
        <v>18</v>
      </c>
      <c r="D2" s="9">
        <f ca="1">SUMIF(Valid_players!$E$3:$F$41,A2,Valid_players!G$3:H$41)</f>
        <v>14</v>
      </c>
      <c r="E2" s="10">
        <f ca="1">AVERAGEIF(Valid_players!$E$3:$F$41,$A2,Valid_players!G$3:H$41)</f>
        <v>3.5</v>
      </c>
      <c r="F2" s="9">
        <f ca="1">AVERAGEIF(Valid_players!$E$3:$F$41,$A2,Valid_players!I$3:J$41)</f>
        <v>8</v>
      </c>
      <c r="G2" s="9">
        <f ca="1">AVERAGEIF(Valid_players!$E$3:$F$41,$A2,Valid_players!K$3:L$41)</f>
        <v>9</v>
      </c>
      <c r="H2" s="9">
        <f ca="1">AVERAGEIF(Valid_players!$E$3:$F$41,$A2,Valid_players!M$3:N$41)</f>
        <v>0</v>
      </c>
      <c r="I2" s="10">
        <f ca="1">AVERAGEIF(Valid_players!$E$3:$F$41,$A2,Valid_players!O$3:P$41)</f>
        <v>17</v>
      </c>
      <c r="J2" s="9">
        <f ca="1">AVERAGEIF(Valid_players!$E$3:$F$41,$A2,Valid_players!Q$3:R$41)</f>
        <v>4.25</v>
      </c>
      <c r="K2" s="9">
        <f ca="1">AVERAGEIF(Valid_players!$E$3:$F$41,$A2,Valid_players!S$3:T$41)</f>
        <v>4.5</v>
      </c>
      <c r="L2" s="10">
        <f ca="1">AVERAGEIF(Valid_players!$E$3:$F$41,$A2,Valid_players!U$3:V$41)</f>
        <v>2.75</v>
      </c>
      <c r="M2" s="9">
        <f ca="1">AVERAGEIF(Valid_players!$E$3:$F$41,$A2,Valid_players!W$3:X$41)</f>
        <v>4</v>
      </c>
      <c r="N2" s="9">
        <f ca="1">AVERAGEIF(Valid_players!$E$3:$F$41,$A2,Valid_players!Y$3:Z$41)</f>
        <v>0</v>
      </c>
      <c r="O2" s="14">
        <f ca="1">AVERAGEIF(Valid_players!$E$3:$F$41,$A2,Valid_players!AA$3:AB$41)</f>
        <v>3</v>
      </c>
    </row>
    <row r="3" spans="1:15" ht="12.75">
      <c r="A3" s="8">
        <v>110</v>
      </c>
      <c r="B3" s="9" t="s">
        <v>59</v>
      </c>
      <c r="C3" s="10" t="s">
        <v>18</v>
      </c>
      <c r="D3" s="9">
        <f ca="1">SUMIF(Valid_players!$E$3:$F$41,A3,Valid_players!G$3:H$41)</f>
        <v>21</v>
      </c>
      <c r="E3" s="10">
        <f ca="1">AVERAGEIF(Valid_players!$E$3:$F$41,$A3,Valid_players!G$3:H$41)</f>
        <v>4.2</v>
      </c>
      <c r="F3" s="9">
        <f ca="1">AVERAGEIF(Valid_players!$E$3:$F$41,$A3,Valid_players!I$3:J$41)</f>
        <v>4.8</v>
      </c>
      <c r="G3" s="9">
        <f ca="1">AVERAGEIF(Valid_players!$E$3:$F$41,$A3,Valid_players!K$3:L$41)</f>
        <v>4.2</v>
      </c>
      <c r="H3" s="9">
        <f ca="1">AVERAGEIF(Valid_players!$E$3:$F$41,$A3,Valid_players!M$3:N$41)</f>
        <v>0.2</v>
      </c>
      <c r="I3" s="10">
        <f ca="1">AVERAGEIF(Valid_players!$E$3:$F$41,$A3,Valid_players!O$3:P$41)</f>
        <v>9.1999999999999993</v>
      </c>
      <c r="J3" s="9">
        <f ca="1">AVERAGEIF(Valid_players!$E$3:$F$41,$A3,Valid_players!Q$3:R$41)</f>
        <v>5.4</v>
      </c>
      <c r="K3" s="9">
        <f ca="1">AVERAGEIF(Valid_players!$E$3:$F$41,$A3,Valid_players!S$3:T$41)</f>
        <v>4.8</v>
      </c>
      <c r="L3" s="10">
        <f ca="1">AVERAGEIF(Valid_players!$E$3:$F$41,$A3,Valid_players!U$3:V$41)</f>
        <v>1</v>
      </c>
      <c r="M3" s="9">
        <f ca="1">AVERAGEIF(Valid_players!$E$3:$F$41,$A3,Valid_players!W$3:X$41)</f>
        <v>6.2</v>
      </c>
      <c r="N3" s="9">
        <f ca="1">AVERAGEIF(Valid_players!$E$3:$F$41,$A3,Valid_players!Y$3:Z$41)</f>
        <v>1</v>
      </c>
      <c r="O3" s="14">
        <f ca="1">AVERAGEIF(Valid_players!$E$3:$F$41,$A3,Valid_players!AA$3:AB$41)</f>
        <v>3.8</v>
      </c>
    </row>
    <row r="4" spans="1:15" ht="12.75">
      <c r="A4" s="8">
        <v>111</v>
      </c>
      <c r="B4" s="9" t="s">
        <v>59</v>
      </c>
      <c r="C4" s="10" t="s">
        <v>18</v>
      </c>
      <c r="D4" s="9">
        <f ca="1">SUMIF(Valid_players!$E$3:$F$41,A4,Valid_players!G$3:H$41)</f>
        <v>18</v>
      </c>
      <c r="E4" s="10">
        <f ca="1">AVERAGEIF(Valid_players!$E$3:$F$41,$A4,Valid_players!G$3:H$41)</f>
        <v>3.6</v>
      </c>
      <c r="F4" s="9">
        <f ca="1">AVERAGEIF(Valid_players!$E$3:$F$41,$A4,Valid_players!I$3:J$41)</f>
        <v>1</v>
      </c>
      <c r="G4" s="9">
        <f ca="1">AVERAGEIF(Valid_players!$E$3:$F$41,$A4,Valid_players!K$3:L$41)</f>
        <v>2.6</v>
      </c>
      <c r="H4" s="9">
        <f ca="1">AVERAGEIF(Valid_players!$E$3:$F$41,$A4,Valid_players!M$3:N$41)</f>
        <v>0</v>
      </c>
      <c r="I4" s="10">
        <f ca="1">AVERAGEIF(Valid_players!$E$3:$F$41,$A4,Valid_players!O$3:P$41)</f>
        <v>3.6</v>
      </c>
      <c r="J4" s="9">
        <f ca="1">AVERAGEIF(Valid_players!$E$3:$F$41,$A4,Valid_players!Q$3:R$41)</f>
        <v>5.2</v>
      </c>
      <c r="K4" s="9">
        <f ca="1">AVERAGEIF(Valid_players!$E$3:$F$41,$A4,Valid_players!S$3:T$41)</f>
        <v>3.6</v>
      </c>
      <c r="L4" s="10">
        <f ca="1">AVERAGEIF(Valid_players!$E$3:$F$41,$A4,Valid_players!U$3:V$41)</f>
        <v>0.6</v>
      </c>
      <c r="M4" s="9">
        <f ca="1">AVERAGEIF(Valid_players!$E$3:$F$41,$A4,Valid_players!W$3:X$41)</f>
        <v>2.2000000000000002</v>
      </c>
      <c r="N4" s="9">
        <f ca="1">AVERAGEIF(Valid_players!$E$3:$F$41,$A4,Valid_players!Y$3:Z$41)</f>
        <v>0.6</v>
      </c>
      <c r="O4" s="14">
        <f ca="1">AVERAGEIF(Valid_players!$E$3:$F$41,$A4,Valid_players!AA$3:AB$41)</f>
        <v>1.2</v>
      </c>
    </row>
    <row r="5" spans="1:15" ht="12.75">
      <c r="A5" s="8">
        <v>112</v>
      </c>
      <c r="B5" s="9" t="s">
        <v>59</v>
      </c>
      <c r="C5" s="10" t="s">
        <v>18</v>
      </c>
      <c r="D5" s="9">
        <f ca="1">SUMIF(Valid_players!$E$3:$F$41,A5,Valid_players!G$3:H$41)</f>
        <v>22</v>
      </c>
      <c r="E5" s="10">
        <f ca="1">AVERAGEIF(Valid_players!$E$3:$F$41,$A5,Valid_players!G$3:H$41)</f>
        <v>5.5</v>
      </c>
      <c r="F5" s="9">
        <f ca="1">AVERAGEIF(Valid_players!$E$3:$F$41,$A5,Valid_players!I$3:J$41)</f>
        <v>12.5</v>
      </c>
      <c r="G5" s="9">
        <f ca="1">AVERAGEIF(Valid_players!$E$3:$F$41,$A5,Valid_players!K$3:L$41)</f>
        <v>10</v>
      </c>
      <c r="H5" s="9">
        <f ca="1">AVERAGEIF(Valid_players!$E$3:$F$41,$A5,Valid_players!M$3:N$41)</f>
        <v>0.5</v>
      </c>
      <c r="I5" s="10">
        <f ca="1">AVERAGEIF(Valid_players!$E$3:$F$41,$A5,Valid_players!O$3:P$41)</f>
        <v>23</v>
      </c>
      <c r="J5" s="9">
        <f ca="1">AVERAGEIF(Valid_players!$E$3:$F$41,$A5,Valid_players!Q$3:R$41)</f>
        <v>5.5</v>
      </c>
      <c r="K5" s="9">
        <f ca="1">AVERAGEIF(Valid_players!$E$3:$F$41,$A5,Valid_players!S$3:T$41)</f>
        <v>5</v>
      </c>
      <c r="L5" s="10">
        <f ca="1">AVERAGEIF(Valid_players!$E$3:$F$41,$A5,Valid_players!U$3:V$41)</f>
        <v>3.75</v>
      </c>
      <c r="M5" s="9">
        <f ca="1">AVERAGEIF(Valid_players!$E$3:$F$41,$A5,Valid_players!W$3:X$41)</f>
        <v>10</v>
      </c>
      <c r="N5" s="9">
        <f ca="1">AVERAGEIF(Valid_players!$E$3:$F$41,$A5,Valid_players!Y$3:Z$41)</f>
        <v>0.25</v>
      </c>
      <c r="O5" s="14">
        <f ca="1">AVERAGEIF(Valid_players!$E$3:$F$41,$A5,Valid_players!AA$3:AB$41)</f>
        <v>7.75</v>
      </c>
    </row>
    <row r="6" spans="1:15" ht="12.75">
      <c r="A6" s="8">
        <v>113</v>
      </c>
      <c r="B6" s="9" t="s">
        <v>59</v>
      </c>
      <c r="C6" s="10" t="s">
        <v>19</v>
      </c>
      <c r="D6" s="9">
        <f ca="1">SUMIF(Valid_players!$E$3:$F$41,A6,Valid_players!G$3:H$41)</f>
        <v>0</v>
      </c>
      <c r="E6" s="10">
        <f ca="1">AVERAGEIF(Valid_players!$E$3:$F$41,$A6,Valid_players!G$3:H$41)</f>
        <v>0</v>
      </c>
      <c r="F6" s="9">
        <f ca="1">AVERAGEIF(Valid_players!$E$3:$F$41,$A6,Valid_players!I$3:J$41)</f>
        <v>6</v>
      </c>
      <c r="G6" s="9">
        <f ca="1">AVERAGEIF(Valid_players!$E$3:$F$41,$A6,Valid_players!K$3:L$41)</f>
        <v>5</v>
      </c>
      <c r="H6" s="9">
        <f ca="1">AVERAGEIF(Valid_players!$E$3:$F$41,$A6,Valid_players!M$3:N$41)</f>
        <v>0</v>
      </c>
      <c r="I6" s="10">
        <f ca="1">AVERAGEIF(Valid_players!$E$3:$F$41,$A6,Valid_players!O$3:P$41)</f>
        <v>11</v>
      </c>
      <c r="J6" s="9">
        <f ca="1">AVERAGEIF(Valid_players!$E$3:$F$41,$A6,Valid_players!Q$3:R$41)</f>
        <v>12.25</v>
      </c>
      <c r="K6" s="9">
        <f ca="1">AVERAGEIF(Valid_players!$E$3:$F$41,$A6,Valid_players!S$3:T$41)</f>
        <v>8.25</v>
      </c>
      <c r="L6" s="10">
        <f ca="1">AVERAGEIF(Valid_players!$E$3:$F$41,$A6,Valid_players!U$3:V$41)</f>
        <v>4</v>
      </c>
      <c r="M6" s="9">
        <f ca="1">AVERAGEIF(Valid_players!$E$3:$F$41,$A6,Valid_players!W$3:X$41)</f>
        <v>3.5</v>
      </c>
      <c r="N6" s="9">
        <f ca="1">AVERAGEIF(Valid_players!$E$3:$F$41,$A6,Valid_players!Y$3:Z$41)</f>
        <v>0</v>
      </c>
      <c r="O6" s="14">
        <f ca="1">AVERAGEIF(Valid_players!$E$3:$F$41,$A6,Valid_players!AA$3:AB$41)</f>
        <v>2.75</v>
      </c>
    </row>
    <row r="7" spans="1:15" ht="12.75">
      <c r="A7" s="8">
        <v>114</v>
      </c>
      <c r="B7" s="9" t="s">
        <v>59</v>
      </c>
      <c r="C7" s="10" t="s">
        <v>19</v>
      </c>
      <c r="D7" s="9">
        <f ca="1">SUMIF(Valid_players!$E$3:$F$41,A7,Valid_players!G$3:H$41)</f>
        <v>0</v>
      </c>
      <c r="E7" s="10">
        <f ca="1">AVERAGEIF(Valid_players!$E$3:$F$41,$A7,Valid_players!G$3:H$41)</f>
        <v>0</v>
      </c>
      <c r="F7" s="9">
        <f ca="1">AVERAGEIF(Valid_players!$E$3:$F$41,$A7,Valid_players!I$3:J$41)</f>
        <v>8</v>
      </c>
      <c r="G7" s="9">
        <f ca="1">AVERAGEIF(Valid_players!$E$3:$F$41,$A7,Valid_players!K$3:L$41)</f>
        <v>6</v>
      </c>
      <c r="H7" s="9">
        <f ca="1">AVERAGEIF(Valid_players!$E$3:$F$41,$A7,Valid_players!M$3:N$41)</f>
        <v>0</v>
      </c>
      <c r="I7" s="10">
        <f ca="1">AVERAGEIF(Valid_players!$E$3:$F$41,$A7,Valid_players!O$3:P$41)</f>
        <v>14</v>
      </c>
      <c r="J7" s="9">
        <f ca="1">AVERAGEIF(Valid_players!$E$3:$F$41,$A7,Valid_players!Q$3:R$41)</f>
        <v>3.5</v>
      </c>
      <c r="K7" s="9">
        <f ca="1">AVERAGEIF(Valid_players!$E$3:$F$41,$A7,Valid_players!S$3:T$41)</f>
        <v>3.75</v>
      </c>
      <c r="L7" s="10">
        <f ca="1">AVERAGEIF(Valid_players!$E$3:$F$41,$A7,Valid_players!U$3:V$41)</f>
        <v>2.5</v>
      </c>
      <c r="M7" s="9">
        <f ca="1">AVERAGEIF(Valid_players!$E$3:$F$41,$A7,Valid_players!W$3:X$41)</f>
        <v>8.25</v>
      </c>
      <c r="N7" s="9">
        <f ca="1">AVERAGEIF(Valid_players!$E$3:$F$41,$A7,Valid_players!Y$3:Z$41)</f>
        <v>0.5</v>
      </c>
      <c r="O7" s="14">
        <f ca="1">AVERAGEIF(Valid_players!$E$3:$F$41,$A7,Valid_players!AA$3:AB$41)</f>
        <v>4.5</v>
      </c>
    </row>
    <row r="8" spans="1:15" ht="12.75">
      <c r="A8" s="8">
        <v>115</v>
      </c>
      <c r="B8" s="9" t="s">
        <v>59</v>
      </c>
      <c r="C8" s="10" t="s">
        <v>19</v>
      </c>
      <c r="D8" s="9">
        <f ca="1">SUMIF(Valid_players!$E$3:$F$41,A8,Valid_players!G$3:H$41)</f>
        <v>0</v>
      </c>
      <c r="E8" s="10">
        <f ca="1">AVERAGEIF(Valid_players!$E$3:$F$41,$A8,Valid_players!G$3:H$41)</f>
        <v>0</v>
      </c>
      <c r="F8" s="9">
        <f ca="1">AVERAGEIF(Valid_players!$E$3:$F$41,$A8,Valid_players!I$3:J$41)</f>
        <v>2</v>
      </c>
      <c r="G8" s="9">
        <f ca="1">AVERAGEIF(Valid_players!$E$3:$F$41,$A8,Valid_players!K$3:L$41)</f>
        <v>1</v>
      </c>
      <c r="H8" s="9">
        <f ca="1">AVERAGEIF(Valid_players!$E$3:$F$41,$A8,Valid_players!M$3:N$41)</f>
        <v>0</v>
      </c>
      <c r="I8" s="10">
        <f ca="1">AVERAGEIF(Valid_players!$E$3:$F$41,$A8,Valid_players!O$3:P$41)</f>
        <v>3</v>
      </c>
      <c r="J8" s="9">
        <f ca="1">AVERAGEIF(Valid_players!$E$3:$F$41,$A8,Valid_players!Q$3:R$41)</f>
        <v>1</v>
      </c>
      <c r="K8" s="9">
        <f ca="1">AVERAGEIF(Valid_players!$E$3:$F$41,$A8,Valid_players!S$3:T$41)</f>
        <v>4</v>
      </c>
      <c r="L8" s="10">
        <f ca="1">AVERAGEIF(Valid_players!$E$3:$F$41,$A8,Valid_players!U$3:V$41)</f>
        <v>0.75</v>
      </c>
      <c r="M8" s="9">
        <f ca="1">AVERAGEIF(Valid_players!$E$3:$F$41,$A8,Valid_players!W$3:X$41)</f>
        <v>6</v>
      </c>
      <c r="N8" s="9">
        <f ca="1">AVERAGEIF(Valid_players!$E$3:$F$41,$A8,Valid_players!Y$3:Z$41)</f>
        <v>0.75</v>
      </c>
      <c r="O8" s="14">
        <f ca="1">AVERAGEIF(Valid_players!$E$3:$F$41,$A8,Valid_players!AA$3:AB$41)</f>
        <v>3.75</v>
      </c>
    </row>
    <row r="9" spans="1:15" ht="12.75">
      <c r="A9" s="8">
        <v>116</v>
      </c>
      <c r="B9" s="9" t="s">
        <v>59</v>
      </c>
      <c r="C9" s="10" t="s">
        <v>19</v>
      </c>
      <c r="D9" s="9">
        <f ca="1">SUMIF(Valid_players!$E$3:$F$41,A9,Valid_players!G$3:H$41)</f>
        <v>0</v>
      </c>
      <c r="E9" s="10">
        <f ca="1">AVERAGEIF(Valid_players!$E$3:$F$41,$A9,Valid_players!G$3:H$41)</f>
        <v>0</v>
      </c>
      <c r="F9" s="9">
        <f ca="1">AVERAGEIF(Valid_players!$E$3:$F$41,$A9,Valid_players!I$3:J$41)</f>
        <v>3.3333333333333335</v>
      </c>
      <c r="G9" s="9">
        <f ca="1">AVERAGEIF(Valid_players!$E$3:$F$41,$A9,Valid_players!K$3:L$41)</f>
        <v>3.6666666666666665</v>
      </c>
      <c r="H9" s="9">
        <f ca="1">AVERAGEIF(Valid_players!$E$3:$F$41,$A9,Valid_players!M$3:N$41)</f>
        <v>0</v>
      </c>
      <c r="I9" s="10">
        <f ca="1">AVERAGEIF(Valid_players!$E$3:$F$41,$A9,Valid_players!O$3:P$41)</f>
        <v>7</v>
      </c>
      <c r="J9" s="9">
        <f ca="1">AVERAGEIF(Valid_players!$E$3:$F$41,$A9,Valid_players!Q$3:R$41)</f>
        <v>2.3333333333333335</v>
      </c>
      <c r="K9" s="9">
        <f ca="1">AVERAGEIF(Valid_players!$E$3:$F$41,$A9,Valid_players!S$3:T$41)</f>
        <v>0.66666666666666663</v>
      </c>
      <c r="L9" s="10">
        <f ca="1">AVERAGEIF(Valid_players!$E$3:$F$41,$A9,Valid_players!U$3:V$41)</f>
        <v>1.6666666666666667</v>
      </c>
      <c r="M9" s="9">
        <f ca="1">AVERAGEIF(Valid_players!$E$3:$F$41,$A9,Valid_players!W$3:X$41)</f>
        <v>10.333333333333334</v>
      </c>
      <c r="N9" s="9">
        <f ca="1">AVERAGEIF(Valid_players!$E$3:$F$41,$A9,Valid_players!Y$3:Z$41)</f>
        <v>0</v>
      </c>
      <c r="O9" s="14">
        <f ca="1">AVERAGEIF(Valid_players!$E$3:$F$41,$A9,Valid_players!AA$3:AB$41)</f>
        <v>5.666666666666667</v>
      </c>
    </row>
    <row r="10" spans="1:15" ht="12.75">
      <c r="A10" s="8">
        <v>117</v>
      </c>
      <c r="B10" s="9" t="s">
        <v>59</v>
      </c>
      <c r="C10" s="10" t="s">
        <v>19</v>
      </c>
      <c r="D10" s="9">
        <f ca="1">SUMIF(Valid_players!$E$3:$F$41,A10,Valid_players!G$3:H$41)</f>
        <v>0</v>
      </c>
      <c r="E10" s="10">
        <f ca="1">AVERAGEIF(Valid_players!$E$3:$F$41,$A10,Valid_players!G$3:H$41)</f>
        <v>0</v>
      </c>
      <c r="F10" s="9">
        <f ca="1">AVERAGEIF(Valid_players!$E$3:$F$41,$A10,Valid_players!I$3:J$41)</f>
        <v>5.5</v>
      </c>
      <c r="G10" s="9">
        <f ca="1">AVERAGEIF(Valid_players!$E$3:$F$41,$A10,Valid_players!K$3:L$41)</f>
        <v>1.75</v>
      </c>
      <c r="H10" s="9">
        <f ca="1">AVERAGEIF(Valid_players!$E$3:$F$41,$A10,Valid_players!M$3:N$41)</f>
        <v>0</v>
      </c>
      <c r="I10" s="10">
        <f ca="1">AVERAGEIF(Valid_players!$E$3:$F$41,$A10,Valid_players!O$3:P$41)</f>
        <v>7.25</v>
      </c>
      <c r="J10" s="9">
        <f ca="1">AVERAGEIF(Valid_players!$E$3:$F$41,$A10,Valid_players!Q$3:R$41)</f>
        <v>5.75</v>
      </c>
      <c r="K10" s="9">
        <f ca="1">AVERAGEIF(Valid_players!$E$3:$F$41,$A10,Valid_players!S$3:T$41)</f>
        <v>5.75</v>
      </c>
      <c r="L10" s="10">
        <f ca="1">AVERAGEIF(Valid_players!$E$3:$F$41,$A10,Valid_players!U$3:V$41)</f>
        <v>1.25</v>
      </c>
      <c r="M10" s="9">
        <f ca="1">AVERAGEIF(Valid_players!$E$3:$F$41,$A10,Valid_players!W$3:X$41)</f>
        <v>9.75</v>
      </c>
      <c r="N10" s="9">
        <f ca="1">AVERAGEIF(Valid_players!$E$3:$F$41,$A10,Valid_players!Y$3:Z$41)</f>
        <v>1.25</v>
      </c>
      <c r="O10" s="14">
        <f ca="1">AVERAGEIF(Valid_players!$E$3:$F$41,$A10,Valid_players!AA$3:AB$41)</f>
        <v>6</v>
      </c>
    </row>
    <row r="11" spans="1:15" ht="12.75">
      <c r="A11" s="8">
        <v>118</v>
      </c>
      <c r="B11" s="9" t="s">
        <v>60</v>
      </c>
      <c r="C11" s="10" t="s">
        <v>19</v>
      </c>
      <c r="D11" s="9">
        <f ca="1">SUMIF(Valid_players!$E$3:$F$41,A11,Valid_players!G$3:H$41)</f>
        <v>0</v>
      </c>
      <c r="E11" s="10">
        <f ca="1">AVERAGEIF(Valid_players!$E$3:$F$41,$A11,Valid_players!G$3:H$41)</f>
        <v>0</v>
      </c>
      <c r="F11" s="9">
        <f ca="1">AVERAGEIF(Valid_players!$E$3:$F$41,$A11,Valid_players!I$3:J$41)</f>
        <v>6</v>
      </c>
      <c r="G11" s="9">
        <f ca="1">AVERAGEIF(Valid_players!$E$3:$F$41,$A11,Valid_players!K$3:L$41)</f>
        <v>5</v>
      </c>
      <c r="H11" s="9">
        <f ca="1">AVERAGEIF(Valid_players!$E$3:$F$41,$A11,Valid_players!M$3:N$41)</f>
        <v>0</v>
      </c>
      <c r="I11" s="10">
        <f ca="1">AVERAGEIF(Valid_players!$E$3:$F$41,$A11,Valid_players!O$3:P$41)</f>
        <v>11</v>
      </c>
      <c r="J11" s="9">
        <f ca="1">AVERAGEIF(Valid_players!$E$3:$F$41,$A11,Valid_players!Q$3:R$41)</f>
        <v>9.25</v>
      </c>
      <c r="K11" s="9">
        <f ca="1">AVERAGEIF(Valid_players!$E$3:$F$41,$A11,Valid_players!S$3:T$41)</f>
        <v>2.25</v>
      </c>
      <c r="L11" s="10">
        <f ca="1">AVERAGEIF(Valid_players!$E$3:$F$41,$A11,Valid_players!U$3:V$41)</f>
        <v>2</v>
      </c>
      <c r="M11" s="9">
        <f ca="1">AVERAGEIF(Valid_players!$E$3:$F$41,$A11,Valid_players!W$3:X$41)</f>
        <v>7.5</v>
      </c>
      <c r="N11" s="9">
        <f ca="1">AVERAGEIF(Valid_players!$E$3:$F$41,$A11,Valid_players!Y$3:Z$41)</f>
        <v>1.25</v>
      </c>
      <c r="O11" s="14">
        <f ca="1">AVERAGEIF(Valid_players!$E$3:$F$41,$A11,Valid_players!AA$3:AB$41)</f>
        <v>6.5</v>
      </c>
    </row>
    <row r="12" spans="1:15" ht="12.75">
      <c r="A12" s="8">
        <v>119</v>
      </c>
      <c r="B12" s="9" t="s">
        <v>60</v>
      </c>
      <c r="C12" s="10" t="s">
        <v>19</v>
      </c>
      <c r="D12" s="9">
        <f ca="1">SUMIF(Valid_players!$E$3:$F$41,A12,Valid_players!G$3:H$41)</f>
        <v>0</v>
      </c>
      <c r="E12" s="10">
        <f ca="1">AVERAGEIF(Valid_players!$E$3:$F$41,$A12,Valid_players!G$3:H$41)</f>
        <v>0</v>
      </c>
      <c r="F12" s="9">
        <f ca="1">AVERAGEIF(Valid_players!$E$3:$F$41,$A12,Valid_players!I$3:J$41)</f>
        <v>4.4000000000000004</v>
      </c>
      <c r="G12" s="9">
        <f ca="1">AVERAGEIF(Valid_players!$E$3:$F$41,$A12,Valid_players!K$3:L$41)</f>
        <v>4.4000000000000004</v>
      </c>
      <c r="H12" s="9">
        <f ca="1">AVERAGEIF(Valid_players!$E$3:$F$41,$A12,Valid_players!M$3:N$41)</f>
        <v>1.6</v>
      </c>
      <c r="I12" s="10">
        <f ca="1">AVERAGEIF(Valid_players!$E$3:$F$41,$A12,Valid_players!O$3:P$41)</f>
        <v>10.4</v>
      </c>
      <c r="J12" s="9">
        <f ca="1">AVERAGEIF(Valid_players!$E$3:$F$41,$A12,Valid_players!Q$3:R$41)</f>
        <v>12.4</v>
      </c>
      <c r="K12" s="9">
        <f ca="1">AVERAGEIF(Valid_players!$E$3:$F$41,$A12,Valid_players!S$3:T$41)</f>
        <v>5.2</v>
      </c>
      <c r="L12" s="10">
        <f ca="1">AVERAGEIF(Valid_players!$E$3:$F$41,$A12,Valid_players!U$3:V$41)</f>
        <v>7.2</v>
      </c>
      <c r="M12" s="9">
        <f ca="1">AVERAGEIF(Valid_players!$E$3:$F$41,$A12,Valid_players!W$3:X$41)</f>
        <v>5.2</v>
      </c>
      <c r="N12" s="9">
        <f ca="1">AVERAGEIF(Valid_players!$E$3:$F$41,$A12,Valid_players!Y$3:Z$41)</f>
        <v>1.4</v>
      </c>
      <c r="O12" s="14">
        <f ca="1">AVERAGEIF(Valid_players!$E$3:$F$41,$A12,Valid_players!AA$3:AB$41)</f>
        <v>3.6</v>
      </c>
    </row>
    <row r="13" spans="1:15" ht="12.75">
      <c r="A13" s="8">
        <v>120</v>
      </c>
      <c r="B13" s="9" t="s">
        <v>60</v>
      </c>
      <c r="C13" s="10" t="s">
        <v>19</v>
      </c>
      <c r="D13" s="9">
        <f ca="1">SUMIF(Valid_players!$E$3:$F$41,A13,Valid_players!G$3:H$41)</f>
        <v>0</v>
      </c>
      <c r="E13" s="10">
        <f ca="1">AVERAGEIF(Valid_players!$E$3:$F$41,$A13,Valid_players!G$3:H$41)</f>
        <v>0</v>
      </c>
      <c r="F13" s="9">
        <f ca="1">AVERAGEIF(Valid_players!$E$3:$F$41,$A13,Valid_players!I$3:J$41)</f>
        <v>7.8</v>
      </c>
      <c r="G13" s="9">
        <f ca="1">AVERAGEIF(Valid_players!$E$3:$F$41,$A13,Valid_players!K$3:L$41)</f>
        <v>9.4</v>
      </c>
      <c r="H13" s="9">
        <f ca="1">AVERAGEIF(Valid_players!$E$3:$F$41,$A13,Valid_players!M$3:N$41)</f>
        <v>0.6</v>
      </c>
      <c r="I13" s="10">
        <f ca="1">AVERAGEIF(Valid_players!$E$3:$F$41,$A13,Valid_players!O$3:P$41)</f>
        <v>17.8</v>
      </c>
      <c r="J13" s="9">
        <f ca="1">AVERAGEIF(Valid_players!$E$3:$F$41,$A13,Valid_players!Q$3:R$41)</f>
        <v>9.8000000000000007</v>
      </c>
      <c r="K13" s="9">
        <f ca="1">AVERAGEIF(Valid_players!$E$3:$F$41,$A13,Valid_players!S$3:T$41)</f>
        <v>4.2</v>
      </c>
      <c r="L13" s="10">
        <f ca="1">AVERAGEIF(Valid_players!$E$3:$F$41,$A13,Valid_players!U$3:V$41)</f>
        <v>4.2</v>
      </c>
      <c r="M13" s="9">
        <f ca="1">AVERAGEIF(Valid_players!$E$3:$F$41,$A13,Valid_players!W$3:X$41)</f>
        <v>7.2</v>
      </c>
      <c r="N13" s="9">
        <f ca="1">AVERAGEIF(Valid_players!$E$3:$F$41,$A13,Valid_players!Y$3:Z$41)</f>
        <v>0.8</v>
      </c>
      <c r="O13" s="14">
        <f ca="1">AVERAGEIF(Valid_players!$E$3:$F$41,$A13,Valid_players!AA$3:AB$41)</f>
        <v>5</v>
      </c>
    </row>
    <row r="14" spans="1:15" ht="12.75">
      <c r="A14" s="8">
        <v>121</v>
      </c>
      <c r="B14" s="9" t="s">
        <v>60</v>
      </c>
      <c r="C14" s="10" t="s">
        <v>19</v>
      </c>
      <c r="D14" s="9">
        <f ca="1">SUMIF(Valid_players!$E$3:$F$41,A14,Valid_players!G$3:H$41)</f>
        <v>0</v>
      </c>
      <c r="E14" s="10">
        <f ca="1">AVERAGEIF(Valid_players!$E$3:$F$41,$A14,Valid_players!G$3:H$41)</f>
        <v>0</v>
      </c>
      <c r="F14" s="9">
        <f ca="1">AVERAGEIF(Valid_players!$E$3:$F$41,$A14,Valid_players!I$3:J$41)</f>
        <v>4.5</v>
      </c>
      <c r="G14" s="9">
        <f ca="1">AVERAGEIF(Valid_players!$E$3:$F$41,$A14,Valid_players!K$3:L$41)</f>
        <v>7.25</v>
      </c>
      <c r="H14" s="9">
        <f ca="1">AVERAGEIF(Valid_players!$E$3:$F$41,$A14,Valid_players!M$3:N$41)</f>
        <v>0</v>
      </c>
      <c r="I14" s="10">
        <f ca="1">AVERAGEIF(Valid_players!$E$3:$F$41,$A14,Valid_players!O$3:P$41)</f>
        <v>11.75</v>
      </c>
      <c r="J14" s="9">
        <f ca="1">AVERAGEIF(Valid_players!$E$3:$F$41,$A14,Valid_players!Q$3:R$41)</f>
        <v>7.75</v>
      </c>
      <c r="K14" s="9">
        <f ca="1">AVERAGEIF(Valid_players!$E$3:$F$41,$A14,Valid_players!S$3:T$41)</f>
        <v>2.75</v>
      </c>
      <c r="L14" s="10">
        <f ca="1">AVERAGEIF(Valid_players!$E$3:$F$41,$A14,Valid_players!U$3:V$41)</f>
        <v>2.5</v>
      </c>
      <c r="M14" s="9">
        <f ca="1">AVERAGEIF(Valid_players!$E$3:$F$41,$A14,Valid_players!W$3:X$41)</f>
        <v>7.25</v>
      </c>
      <c r="N14" s="9">
        <f ca="1">AVERAGEIF(Valid_players!$E$3:$F$41,$A14,Valid_players!Y$3:Z$41)</f>
        <v>1.25</v>
      </c>
      <c r="O14" s="14">
        <f ca="1">AVERAGEIF(Valid_players!$E$3:$F$41,$A14,Valid_players!AA$3:AB$41)</f>
        <v>5</v>
      </c>
    </row>
    <row r="15" spans="1:15" ht="12.75">
      <c r="A15" s="8">
        <v>122</v>
      </c>
      <c r="B15" s="9" t="s">
        <v>60</v>
      </c>
      <c r="C15" s="10" t="s">
        <v>18</v>
      </c>
      <c r="D15" s="9">
        <f ca="1">SUMIF(Valid_players!$E$3:$F$41,A15,Valid_players!G$3:H$41)</f>
        <v>23</v>
      </c>
      <c r="E15" s="10">
        <f ca="1">AVERAGEIF(Valid_players!$E$3:$F$41,$A15,Valid_players!G$3:H$41)</f>
        <v>5.75</v>
      </c>
      <c r="F15" s="9">
        <f ca="1">AVERAGEIF(Valid_players!$E$3:$F$41,$A15,Valid_players!I$3:J$41)</f>
        <v>3.25</v>
      </c>
      <c r="G15" s="9">
        <f ca="1">AVERAGEIF(Valid_players!$E$3:$F$41,$A15,Valid_players!K$3:L$41)</f>
        <v>2.75</v>
      </c>
      <c r="H15" s="9">
        <f ca="1">AVERAGEIF(Valid_players!$E$3:$F$41,$A15,Valid_players!M$3:N$41)</f>
        <v>0</v>
      </c>
      <c r="I15" s="10">
        <f ca="1">AVERAGEIF(Valid_players!$E$3:$F$41,$A15,Valid_players!O$3:P$41)</f>
        <v>6</v>
      </c>
      <c r="J15" s="9">
        <f ca="1">AVERAGEIF(Valid_players!$E$3:$F$41,$A15,Valid_players!Q$3:R$41)</f>
        <v>3.5</v>
      </c>
      <c r="K15" s="9">
        <f ca="1">AVERAGEIF(Valid_players!$E$3:$F$41,$A15,Valid_players!S$3:T$41)</f>
        <v>3.75</v>
      </c>
      <c r="L15" s="10">
        <f ca="1">AVERAGEIF(Valid_players!$E$3:$F$41,$A15,Valid_players!U$3:V$41)</f>
        <v>1.5</v>
      </c>
      <c r="M15" s="9">
        <f ca="1">AVERAGEIF(Valid_players!$E$3:$F$41,$A15,Valid_players!W$3:X$41)</f>
        <v>8</v>
      </c>
      <c r="N15" s="9">
        <f ca="1">AVERAGEIF(Valid_players!$E$3:$F$41,$A15,Valid_players!Y$3:Z$41)</f>
        <v>0.5</v>
      </c>
      <c r="O15" s="14">
        <f ca="1">AVERAGEIF(Valid_players!$E$3:$F$41,$A15,Valid_players!AA$3:AB$41)</f>
        <v>6.5</v>
      </c>
    </row>
    <row r="16" spans="1:15" ht="12.75">
      <c r="A16" s="8">
        <v>123</v>
      </c>
      <c r="B16" s="9" t="s">
        <v>60</v>
      </c>
      <c r="C16" s="10" t="s">
        <v>18</v>
      </c>
      <c r="D16" s="9">
        <f ca="1">SUMIF(Valid_players!$E$3:$F$41,A16,Valid_players!G$3:H$41)</f>
        <v>28</v>
      </c>
      <c r="E16" s="10">
        <f ca="1">AVERAGEIF(Valid_players!$E$3:$F$41,$A16,Valid_players!G$3:H$41)</f>
        <v>7</v>
      </c>
      <c r="F16" s="9">
        <f ca="1">AVERAGEIF(Valid_players!$E$3:$F$41,$A16,Valid_players!I$3:J$41)</f>
        <v>4.25</v>
      </c>
      <c r="G16" s="9">
        <f ca="1">AVERAGEIF(Valid_players!$E$3:$F$41,$A16,Valid_players!K$3:L$41)</f>
        <v>1.25</v>
      </c>
      <c r="H16" s="9">
        <f ca="1">AVERAGEIF(Valid_players!$E$3:$F$41,$A16,Valid_players!M$3:N$41)</f>
        <v>0</v>
      </c>
      <c r="I16" s="10">
        <f ca="1">AVERAGEIF(Valid_players!$E$3:$F$41,$A16,Valid_players!O$3:P$41)</f>
        <v>5.5</v>
      </c>
      <c r="J16" s="9">
        <f ca="1">AVERAGEIF(Valid_players!$E$3:$F$41,$A16,Valid_players!Q$3:R$41)</f>
        <v>4.25</v>
      </c>
      <c r="K16" s="9">
        <f ca="1">AVERAGEIF(Valid_players!$E$3:$F$41,$A16,Valid_players!S$3:T$41)</f>
        <v>8.75</v>
      </c>
      <c r="L16" s="10">
        <f ca="1">AVERAGEIF(Valid_players!$E$3:$F$41,$A16,Valid_players!U$3:V$41)</f>
        <v>1.5</v>
      </c>
      <c r="M16" s="9">
        <f ca="1">AVERAGEIF(Valid_players!$E$3:$F$41,$A16,Valid_players!W$3:X$41)</f>
        <v>5.25</v>
      </c>
      <c r="N16" s="9">
        <f ca="1">AVERAGEIF(Valid_players!$E$3:$F$41,$A16,Valid_players!Y$3:Z$41)</f>
        <v>2.75</v>
      </c>
      <c r="O16" s="14">
        <f ca="1">AVERAGEIF(Valid_players!$E$3:$F$41,$A16,Valid_players!AA$3:AB$41)</f>
        <v>3.25</v>
      </c>
    </row>
    <row r="17" spans="1:15" ht="12.75">
      <c r="A17" s="8">
        <v>124</v>
      </c>
      <c r="B17" s="9" t="s">
        <v>60</v>
      </c>
      <c r="C17" s="10" t="s">
        <v>18</v>
      </c>
      <c r="D17" s="9">
        <f ca="1">SUMIF(Valid_players!$E$3:$F$41,A17,Valid_players!G$3:H$41)</f>
        <v>7</v>
      </c>
      <c r="E17" s="10">
        <f ca="1">AVERAGEIF(Valid_players!$E$3:$F$41,$A17,Valid_players!G$3:H$41)</f>
        <v>2.3333333333333335</v>
      </c>
      <c r="F17" s="9">
        <f ca="1">AVERAGEIF(Valid_players!$E$3:$F$41,$A17,Valid_players!I$3:J$41)</f>
        <v>1.3333333333333333</v>
      </c>
      <c r="G17" s="9">
        <f ca="1">AVERAGEIF(Valid_players!$E$3:$F$41,$A17,Valid_players!K$3:L$41)</f>
        <v>2.6666666666666665</v>
      </c>
      <c r="H17" s="9">
        <f ca="1">AVERAGEIF(Valid_players!$E$3:$F$41,$A17,Valid_players!M$3:N$41)</f>
        <v>0</v>
      </c>
      <c r="I17" s="10">
        <f ca="1">AVERAGEIF(Valid_players!$E$3:$F$41,$A17,Valid_players!O$3:P$41)</f>
        <v>4</v>
      </c>
      <c r="J17" s="9">
        <f ca="1">AVERAGEIF(Valid_players!$E$3:$F$41,$A17,Valid_players!Q$3:R$41)</f>
        <v>9</v>
      </c>
      <c r="K17" s="9">
        <f ca="1">AVERAGEIF(Valid_players!$E$3:$F$41,$A17,Valid_players!S$3:T$41)</f>
        <v>4.666666666666667</v>
      </c>
      <c r="L17" s="10">
        <f ca="1">AVERAGEIF(Valid_players!$E$3:$F$41,$A17,Valid_players!U$3:V$41)</f>
        <v>5.666666666666667</v>
      </c>
      <c r="M17" s="9">
        <f ca="1">AVERAGEIF(Valid_players!$E$3:$F$41,$A17,Valid_players!W$3:X$41)</f>
        <v>4.666666666666667</v>
      </c>
      <c r="N17" s="9">
        <f ca="1">AVERAGEIF(Valid_players!$E$3:$F$41,$A17,Valid_players!Y$3:Z$41)</f>
        <v>1.3333333333333333</v>
      </c>
      <c r="O17" s="14">
        <f ca="1">AVERAGEIF(Valid_players!$E$3:$F$41,$A17,Valid_players!AA$3:AB$41)</f>
        <v>3.3333333333333335</v>
      </c>
    </row>
    <row r="18" spans="1:15" ht="12.75">
      <c r="A18" s="8">
        <v>125</v>
      </c>
      <c r="B18" s="9" t="s">
        <v>60</v>
      </c>
      <c r="C18" s="10" t="s">
        <v>18</v>
      </c>
      <c r="D18" s="9">
        <f ca="1">SUMIF(Valid_players!$E$3:$F$41,A18,Valid_players!G$3:H$41)</f>
        <v>15</v>
      </c>
      <c r="E18" s="10">
        <f ca="1">AVERAGEIF(Valid_players!$E$3:$F$41,$A18,Valid_players!G$3:H$41)</f>
        <v>3.75</v>
      </c>
      <c r="F18" s="9">
        <f ca="1">AVERAGEIF(Valid_players!$E$3:$F$41,$A18,Valid_players!I$3:J$41)</f>
        <v>1.75</v>
      </c>
      <c r="G18" s="9">
        <f ca="1">AVERAGEIF(Valid_players!$E$3:$F$41,$A18,Valid_players!K$3:L$41)</f>
        <v>4</v>
      </c>
      <c r="H18" s="9">
        <f ca="1">AVERAGEIF(Valid_players!$E$3:$F$41,$A18,Valid_players!M$3:N$41)</f>
        <v>0</v>
      </c>
      <c r="I18" s="10">
        <f ca="1">AVERAGEIF(Valid_players!$E$3:$F$41,$A18,Valid_players!O$3:P$41)</f>
        <v>5.75</v>
      </c>
      <c r="J18" s="9">
        <f ca="1">AVERAGEIF(Valid_players!$E$3:$F$41,$A18,Valid_players!Q$3:R$41)</f>
        <v>9</v>
      </c>
      <c r="K18" s="9">
        <f ca="1">AVERAGEIF(Valid_players!$E$3:$F$41,$A18,Valid_players!S$3:T$41)</f>
        <v>6.75</v>
      </c>
      <c r="L18" s="10">
        <f ca="1">AVERAGEIF(Valid_players!$E$3:$F$41,$A18,Valid_players!U$3:V$41)</f>
        <v>3.5</v>
      </c>
      <c r="M18" s="9">
        <f ca="1">AVERAGEIF(Valid_players!$E$3:$F$41,$A18,Valid_players!W$3:X$41)</f>
        <v>5</v>
      </c>
      <c r="N18" s="9">
        <f ca="1">AVERAGEIF(Valid_players!$E$3:$F$41,$A18,Valid_players!Y$3:Z$41)</f>
        <v>0.75</v>
      </c>
      <c r="O18" s="14">
        <f ca="1">AVERAGEIF(Valid_players!$E$3:$F$41,$A18,Valid_players!AA$3:AB$41)</f>
        <v>3.5</v>
      </c>
    </row>
    <row r="19" spans="1:15" ht="12.75">
      <c r="A19" s="20">
        <v>126</v>
      </c>
      <c r="B19" s="21" t="s">
        <v>60</v>
      </c>
      <c r="C19" s="22" t="s">
        <v>18</v>
      </c>
      <c r="D19" s="21">
        <f ca="1">SUMIF(Valid_players!$E$3:$F$41,A19,Valid_players!G$3:H$41)</f>
        <v>24</v>
      </c>
      <c r="E19" s="22">
        <f ca="1">AVERAGEIF(Valid_players!$E$3:$F$41,$A19,Valid_players!G$3:H$41)</f>
        <v>6</v>
      </c>
      <c r="F19" s="21">
        <f ca="1">AVERAGEIF(Valid_players!$E$3:$F$41,$A19,Valid_players!I$3:J$41)</f>
        <v>1</v>
      </c>
      <c r="G19" s="21">
        <f ca="1">AVERAGEIF(Valid_players!$E$3:$F$41,$A19,Valid_players!K$3:L$41)</f>
        <v>4.25</v>
      </c>
      <c r="H19" s="21">
        <f ca="1">AVERAGEIF(Valid_players!$E$3:$F$41,$A19,Valid_players!M$3:N$41)</f>
        <v>0</v>
      </c>
      <c r="I19" s="22">
        <f ca="1">AVERAGEIF(Valid_players!$E$3:$F$41,$A19,Valid_players!O$3:P$41)</f>
        <v>5.25</v>
      </c>
      <c r="J19" s="21">
        <f ca="1">AVERAGEIF(Valid_players!$E$3:$F$41,$A19,Valid_players!Q$3:R$41)</f>
        <v>4.75</v>
      </c>
      <c r="K19" s="21">
        <f ca="1">AVERAGEIF(Valid_players!$E$3:$F$41,$A19,Valid_players!S$3:T$41)</f>
        <v>4.75</v>
      </c>
      <c r="L19" s="22">
        <f ca="1">AVERAGEIF(Valid_players!$E$3:$F$41,$A19,Valid_players!U$3:V$41)</f>
        <v>2.5</v>
      </c>
      <c r="M19" s="21">
        <f ca="1">AVERAGEIF(Valid_players!$E$3:$F$41,$A19,Valid_players!W$3:X$41)</f>
        <v>10.75</v>
      </c>
      <c r="N19" s="21">
        <f ca="1">AVERAGEIF(Valid_players!$E$3:$F$41,$A19,Valid_players!Y$3:Z$41)</f>
        <v>1</v>
      </c>
      <c r="O19" s="38">
        <f ca="1">AVERAGEIF(Valid_players!$E$3:$F$41,$A19,Valid_players!AA$3:AB$41)</f>
        <v>7.75</v>
      </c>
    </row>
    <row r="22" spans="1:15" ht="38.25">
      <c r="C22" s="98"/>
      <c r="D22" s="99"/>
      <c r="E22" s="101" t="s">
        <v>61</v>
      </c>
      <c r="F22" s="102" t="s">
        <v>62</v>
      </c>
      <c r="G22" s="102" t="s">
        <v>63</v>
      </c>
      <c r="H22" s="102" t="s">
        <v>64</v>
      </c>
      <c r="I22" s="103" t="s">
        <v>65</v>
      </c>
      <c r="J22" s="102" t="s">
        <v>66</v>
      </c>
      <c r="K22" s="102" t="s">
        <v>67</v>
      </c>
      <c r="L22" s="103" t="s">
        <v>68</v>
      </c>
      <c r="M22" s="102" t="s">
        <v>69</v>
      </c>
      <c r="N22" s="102" t="s">
        <v>70</v>
      </c>
      <c r="O22" s="104" t="s">
        <v>71</v>
      </c>
    </row>
    <row r="23" spans="1:15" ht="25.5" customHeight="1">
      <c r="B23" s="100"/>
      <c r="C23" s="189" t="s">
        <v>4601</v>
      </c>
      <c r="D23" s="190"/>
      <c r="E23" s="47">
        <f t="shared" ref="E23:O23" ca="1" si="0">AVERAGEIF($C$2:$C$19,"=Y",E$2:E$19)</f>
        <v>4.6259259259259258</v>
      </c>
      <c r="F23" s="40">
        <f t="shared" ca="1" si="0"/>
        <v>4.2092592592592588</v>
      </c>
      <c r="G23" s="40">
        <f t="shared" ca="1" si="0"/>
        <v>4.5240740740740737</v>
      </c>
      <c r="H23" s="40">
        <f t="shared" ca="1" si="0"/>
        <v>7.7777777777777779E-2</v>
      </c>
      <c r="I23" s="47">
        <f t="shared" ca="1" si="0"/>
        <v>8.81111111111111</v>
      </c>
      <c r="J23" s="40">
        <f t="shared" ca="1" si="0"/>
        <v>5.65</v>
      </c>
      <c r="K23" s="40">
        <f t="shared" ca="1" si="0"/>
        <v>5.174074074074074</v>
      </c>
      <c r="L23" s="47">
        <f t="shared" ca="1" si="0"/>
        <v>2.5296296296296297</v>
      </c>
      <c r="M23" s="40">
        <f t="shared" ca="1" si="0"/>
        <v>6.2296296296296294</v>
      </c>
      <c r="N23" s="40">
        <f t="shared" ca="1" si="0"/>
        <v>0.90925925925925932</v>
      </c>
      <c r="O23" s="45">
        <f t="shared" ca="1" si="0"/>
        <v>4.4537037037037033</v>
      </c>
    </row>
    <row r="24" spans="1:15" ht="25.5" customHeight="1">
      <c r="B24" s="100"/>
      <c r="C24" s="165" t="s">
        <v>4602</v>
      </c>
      <c r="D24" s="191"/>
      <c r="E24" s="22">
        <f t="shared" ref="E24:O24" ca="1" si="1">AVERAGEIF($C$2:$C$19,"=N",E$2:E$19)</f>
        <v>0</v>
      </c>
      <c r="F24" s="21">
        <f t="shared" ca="1" si="1"/>
        <v>5.2814814814814817</v>
      </c>
      <c r="G24" s="21">
        <f t="shared" ca="1" si="1"/>
        <v>4.8296296296296291</v>
      </c>
      <c r="H24" s="21">
        <f t="shared" ca="1" si="1"/>
        <v>0.24444444444444446</v>
      </c>
      <c r="I24" s="22">
        <f t="shared" ca="1" si="1"/>
        <v>10.355555555555556</v>
      </c>
      <c r="J24" s="21">
        <f t="shared" ca="1" si="1"/>
        <v>7.1148148148148147</v>
      </c>
      <c r="K24" s="21">
        <f t="shared" ca="1" si="1"/>
        <v>4.090740740740741</v>
      </c>
      <c r="L24" s="22">
        <f t="shared" ca="1" si="1"/>
        <v>2.8962962962962964</v>
      </c>
      <c r="M24" s="21">
        <f t="shared" ca="1" si="1"/>
        <v>7.2203703703703717</v>
      </c>
      <c r="N24" s="21">
        <f t="shared" ca="1" si="1"/>
        <v>0.8</v>
      </c>
      <c r="O24" s="38">
        <f t="shared" ca="1" si="1"/>
        <v>4.7518518518518515</v>
      </c>
    </row>
  </sheetData>
  <mergeCells count="2">
    <mergeCell ref="C23:D23"/>
    <mergeCell ref="C24:D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outlinePr summaryBelow="0" summaryRight="0"/>
  </sheetPr>
  <dimension ref="B3:Q23"/>
  <sheetViews>
    <sheetView workbookViewId="0">
      <selection activeCell="F23" sqref="F23"/>
    </sheetView>
  </sheetViews>
  <sheetFormatPr defaultColWidth="12.5703125" defaultRowHeight="15.75" customHeight="1"/>
  <cols>
    <col min="2" max="2" width="16.7109375" bestFit="1" customWidth="1"/>
    <col min="5" max="5" width="7.140625" customWidth="1"/>
    <col min="7" max="7" width="44.140625" customWidth="1"/>
    <col min="8" max="8" width="7.42578125" bestFit="1" customWidth="1"/>
    <col min="9" max="9" width="10.42578125" bestFit="1" customWidth="1"/>
    <col min="10" max="10" width="14.42578125" bestFit="1" customWidth="1"/>
    <col min="11" max="11" width="47.140625" bestFit="1" customWidth="1"/>
    <col min="12" max="12" width="7.42578125" bestFit="1" customWidth="1"/>
    <col min="13" max="13" width="10.42578125" bestFit="1" customWidth="1"/>
    <col min="14" max="14" width="15.5703125" customWidth="1"/>
  </cols>
  <sheetData>
    <row r="3" spans="2:17" ht="25.5">
      <c r="B3" s="140" t="s">
        <v>72</v>
      </c>
      <c r="C3" s="29">
        <f>COUNT(Questions!A1:A1000)</f>
        <v>199</v>
      </c>
    </row>
    <row r="6" spans="2:17" ht="12.75">
      <c r="C6" s="62" t="s">
        <v>73</v>
      </c>
      <c r="D6" s="63" t="s">
        <v>74</v>
      </c>
      <c r="F6" s="182" t="s">
        <v>75</v>
      </c>
      <c r="G6" s="176"/>
    </row>
    <row r="7" spans="2:17" ht="14.25" thickTop="1" thickBot="1">
      <c r="B7" s="64" t="s">
        <v>76</v>
      </c>
      <c r="C7" s="21">
        <f ca="1">COUNT(Valid_questions!A1:A999)</f>
        <v>172</v>
      </c>
      <c r="D7" s="42">
        <f t="shared" ref="D7:D11" ca="1" si="0">C7/$C$7</f>
        <v>1</v>
      </c>
      <c r="F7" s="192"/>
      <c r="G7" s="193"/>
    </row>
    <row r="8" spans="2:17" ht="27" thickTop="1" thickBot="1">
      <c r="B8" s="139" t="s">
        <v>77</v>
      </c>
      <c r="C8" s="43">
        <f ca="1">COUNTIF(Valid_questions!D1:D999,"=1")</f>
        <v>119</v>
      </c>
      <c r="D8" s="42">
        <f t="shared" ca="1" si="0"/>
        <v>0.69186046511627908</v>
      </c>
      <c r="F8" s="147" t="s">
        <v>78</v>
      </c>
      <c r="G8" s="148" t="s">
        <v>79</v>
      </c>
      <c r="H8" s="149" t="s">
        <v>73</v>
      </c>
      <c r="I8" s="149" t="s">
        <v>74</v>
      </c>
      <c r="J8" s="149" t="s">
        <v>80</v>
      </c>
      <c r="K8" s="149" t="s">
        <v>81</v>
      </c>
      <c r="L8" s="149" t="s">
        <v>73</v>
      </c>
      <c r="M8" s="150" t="s">
        <v>74</v>
      </c>
      <c r="N8" s="9"/>
      <c r="O8" s="9"/>
      <c r="P8" s="9"/>
      <c r="Q8" s="9"/>
    </row>
    <row r="9" spans="2:17" ht="27" customHeight="1" thickTop="1">
      <c r="B9" s="139" t="s">
        <v>82</v>
      </c>
      <c r="C9" s="43">
        <f ca="1">COUNTIF(Valid_questions!D1:D999,"=0")</f>
        <v>53</v>
      </c>
      <c r="D9" s="42">
        <f t="shared" ca="1" si="0"/>
        <v>0.30813953488372092</v>
      </c>
      <c r="F9" s="8" t="s">
        <v>83</v>
      </c>
      <c r="G9" s="142" t="s">
        <v>84</v>
      </c>
      <c r="H9" s="13">
        <f ca="1">COUNTIF(Valid_questions!J:J,F9)</f>
        <v>86</v>
      </c>
      <c r="I9" s="65">
        <f ca="1">H9/$C$13</f>
        <v>0.55844155844155841</v>
      </c>
      <c r="J9" s="9" t="s">
        <v>85</v>
      </c>
      <c r="K9" s="142" t="s">
        <v>86</v>
      </c>
      <c r="L9" s="13">
        <f ca="1">COUNTIFS(Valid_questions!J:J,F9,Valid_questions!K:K,J9)</f>
        <v>50</v>
      </c>
      <c r="M9" s="66">
        <f t="shared" ref="M9:M16" ca="1" si="1">L9/$C$13</f>
        <v>0.32467532467532467</v>
      </c>
      <c r="N9" s="9"/>
      <c r="O9" s="9"/>
      <c r="P9" s="9"/>
      <c r="Q9" s="9"/>
    </row>
    <row r="10" spans="2:17" ht="27" customHeight="1">
      <c r="B10" s="139" t="s">
        <v>87</v>
      </c>
      <c r="C10" s="43">
        <f ca="1">COUNTIF(Valid_questions!H1:H999,"=1")</f>
        <v>17</v>
      </c>
      <c r="D10" s="42">
        <f t="shared" ca="1" si="0"/>
        <v>9.8837209302325577E-2</v>
      </c>
      <c r="F10" s="8"/>
      <c r="H10" s="13"/>
      <c r="I10" s="65"/>
      <c r="J10" s="9" t="s">
        <v>88</v>
      </c>
      <c r="K10" s="142" t="s">
        <v>89</v>
      </c>
      <c r="L10" s="13">
        <f ca="1">COUNTIFS(Valid_questions!J:J,F9,Valid_questions!K:K,J10)</f>
        <v>33</v>
      </c>
      <c r="M10" s="66">
        <f t="shared" ca="1" si="1"/>
        <v>0.21428571428571427</v>
      </c>
      <c r="N10" s="9"/>
      <c r="O10" s="9"/>
      <c r="P10" s="9"/>
      <c r="Q10" s="9"/>
    </row>
    <row r="11" spans="2:17" ht="27" customHeight="1">
      <c r="B11" s="139" t="s">
        <v>90</v>
      </c>
      <c r="C11" s="43">
        <f ca="1">COUNTIF(Valid_questions!H1:H999,"=0")</f>
        <v>31</v>
      </c>
      <c r="D11" s="42">
        <f t="shared" ca="1" si="0"/>
        <v>0.18023255813953487</v>
      </c>
      <c r="E11" s="39"/>
      <c r="F11" s="20"/>
      <c r="G11" s="21"/>
      <c r="H11" s="67"/>
      <c r="I11" s="68"/>
      <c r="J11" s="21" t="s">
        <v>91</v>
      </c>
      <c r="K11" s="143" t="s">
        <v>92</v>
      </c>
      <c r="L11" s="67">
        <f ca="1">COUNTIFS(Valid_questions!J:J,F9,Valid_questions!K:K,J11)</f>
        <v>3</v>
      </c>
      <c r="M11" s="69">
        <f t="shared" ca="1" si="1"/>
        <v>1.948051948051948E-2</v>
      </c>
      <c r="N11" s="9"/>
      <c r="O11" s="9"/>
      <c r="P11" s="9"/>
      <c r="Q11" s="9"/>
    </row>
    <row r="12" spans="2:17" ht="38.25">
      <c r="F12" s="46" t="s">
        <v>93</v>
      </c>
      <c r="G12" s="141" t="s">
        <v>94</v>
      </c>
      <c r="H12" s="70">
        <f ca="1">COUNTIF(Valid_questions!J:J,F12)</f>
        <v>9</v>
      </c>
      <c r="I12" s="71">
        <f ca="1">H12/$C$13</f>
        <v>5.844155844155844E-2</v>
      </c>
      <c r="J12" s="40" t="s">
        <v>88</v>
      </c>
      <c r="K12" s="141" t="s">
        <v>95</v>
      </c>
      <c r="L12" s="70">
        <f ca="1">COUNTIFS(Valid_questions!J:J,F12,Valid_questions!K:K,J12)</f>
        <v>3</v>
      </c>
      <c r="M12" s="72">
        <f t="shared" ca="1" si="1"/>
        <v>1.948051948051948E-2</v>
      </c>
      <c r="N12" s="9"/>
      <c r="O12" s="9"/>
      <c r="P12" s="9"/>
      <c r="Q12" s="9"/>
    </row>
    <row r="13" spans="2:17" ht="25.5">
      <c r="B13" s="145" t="s">
        <v>96</v>
      </c>
      <c r="C13" s="40">
        <f ca="1">C7-C14</f>
        <v>154</v>
      </c>
      <c r="D13" s="41">
        <f t="shared" ref="D13:D14" ca="1" si="2">C13/$C$7</f>
        <v>0.89534883720930236</v>
      </c>
      <c r="F13" s="20"/>
      <c r="G13" s="21"/>
      <c r="H13" s="67"/>
      <c r="I13" s="68"/>
      <c r="J13" s="21" t="s">
        <v>91</v>
      </c>
      <c r="K13" s="144" t="s">
        <v>97</v>
      </c>
      <c r="L13" s="67">
        <f ca="1">COUNTIFS(Valid_questions!J:J,F12,Valid_questions!K:K,J13)</f>
        <v>6</v>
      </c>
      <c r="M13" s="69">
        <f t="shared" ca="1" si="1"/>
        <v>3.896103896103896E-2</v>
      </c>
      <c r="N13" s="9"/>
      <c r="O13" s="9"/>
      <c r="P13" s="9"/>
      <c r="Q13" s="9"/>
    </row>
    <row r="14" spans="2:17" ht="25.5">
      <c r="B14" s="146" t="s">
        <v>98</v>
      </c>
      <c r="C14" s="21">
        <v>18</v>
      </c>
      <c r="D14" s="42">
        <f t="shared" ca="1" si="2"/>
        <v>0.10465116279069768</v>
      </c>
      <c r="F14" s="46" t="s">
        <v>99</v>
      </c>
      <c r="G14" s="40" t="s">
        <v>100</v>
      </c>
      <c r="H14" s="70">
        <f ca="1">COUNTIF(Valid_questions!J:J,F14)</f>
        <v>59</v>
      </c>
      <c r="I14" s="71">
        <f ca="1">H14/$C$13</f>
        <v>0.38311688311688313</v>
      </c>
      <c r="J14" s="40" t="s">
        <v>101</v>
      </c>
      <c r="K14" s="141" t="s">
        <v>102</v>
      </c>
      <c r="L14" s="70">
        <f ca="1">COUNTIFS(Valid_questions!J:J,F14,Valid_questions!K:K,J14)</f>
        <v>28</v>
      </c>
      <c r="M14" s="72">
        <f t="shared" ca="1" si="1"/>
        <v>0.18181818181818182</v>
      </c>
      <c r="N14" s="9"/>
      <c r="O14" s="9"/>
      <c r="P14" s="9"/>
      <c r="Q14" s="9"/>
    </row>
    <row r="15" spans="2:17" ht="12.75">
      <c r="F15" s="8"/>
      <c r="H15" s="13"/>
      <c r="I15" s="65"/>
      <c r="J15" s="9" t="s">
        <v>103</v>
      </c>
      <c r="K15" s="111" t="s">
        <v>104</v>
      </c>
      <c r="L15" s="13">
        <f ca="1">COUNTIFS(Valid_questions!J:J,F14,Valid_questions!K:K,J15)</f>
        <v>22</v>
      </c>
      <c r="M15" s="66">
        <f t="shared" ca="1" si="1"/>
        <v>0.14285714285714285</v>
      </c>
      <c r="N15" s="9"/>
      <c r="O15" s="9"/>
      <c r="P15" s="9"/>
      <c r="Q15" s="9"/>
    </row>
    <row r="16" spans="2:17" ht="12.75">
      <c r="F16" s="8"/>
      <c r="H16" s="13"/>
      <c r="I16" s="13"/>
      <c r="J16" s="9" t="s">
        <v>91</v>
      </c>
      <c r="K16" s="9" t="s">
        <v>105</v>
      </c>
      <c r="L16" s="13">
        <f ca="1">COUNTIFS(Valid_questions!J:J,F14,Valid_questions!K:K,J16)</f>
        <v>9</v>
      </c>
      <c r="M16" s="66">
        <f t="shared" ca="1" si="1"/>
        <v>5.844155844155844E-2</v>
      </c>
      <c r="N16" s="9"/>
      <c r="O16" s="9"/>
      <c r="P16" s="9"/>
      <c r="Q16" s="9"/>
    </row>
    <row r="17" spans="2:13" ht="13.5" thickTop="1">
      <c r="F17" s="73" t="s">
        <v>106</v>
      </c>
      <c r="G17" s="74"/>
      <c r="H17" s="75">
        <f t="shared" ref="H17:I17" ca="1" si="3">SUM(H9:H16)</f>
        <v>154</v>
      </c>
      <c r="I17" s="76">
        <f t="shared" ca="1" si="3"/>
        <v>1</v>
      </c>
      <c r="J17" s="77"/>
      <c r="K17" s="77"/>
      <c r="L17" s="75">
        <f t="shared" ref="L17:M17" ca="1" si="4">SUM(L9:L16)</f>
        <v>154</v>
      </c>
      <c r="M17" s="78">
        <f t="shared" ca="1" si="4"/>
        <v>0.99999999999999989</v>
      </c>
    </row>
    <row r="18" spans="2:13" ht="25.5">
      <c r="B18" s="152" t="s">
        <v>4613</v>
      </c>
      <c r="C18" s="153">
        <f ca="1">AVERAGE(Valid_questions!N2:N173)</f>
        <v>16.012987012987011</v>
      </c>
      <c r="D18" s="9"/>
    </row>
    <row r="19" spans="2:13" ht="12.75">
      <c r="B19" s="151" t="s">
        <v>4614</v>
      </c>
      <c r="C19" s="131">
        <f ca="1">STDEV(Valid_questions!N2:N120,Valid_questions!N122:N173)</f>
        <v>16.086769220717208</v>
      </c>
    </row>
    <row r="20" spans="2:13" ht="12.75">
      <c r="D20" s="9"/>
    </row>
    <row r="22" spans="2:13" ht="12.75">
      <c r="C22" s="9"/>
      <c r="D22" s="39"/>
      <c r="G22" s="9"/>
    </row>
    <row r="23" spans="2:13" ht="12.75">
      <c r="C23" s="9"/>
      <c r="D23" s="39"/>
    </row>
  </sheetData>
  <mergeCells count="1">
    <mergeCell ref="F6:G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outlinePr summaryBelow="0" summaryRight="0"/>
  </sheetPr>
  <dimension ref="A1:N207"/>
  <sheetViews>
    <sheetView topLeftCell="B1" workbookViewId="0">
      <pane ySplit="2" topLeftCell="A3" activePane="bottomLeft" state="frozen"/>
      <selection pane="bottomLeft" activeCell="E10" sqref="E10"/>
    </sheetView>
  </sheetViews>
  <sheetFormatPr defaultColWidth="12.5703125" defaultRowHeight="15.75" customHeight="1"/>
  <cols>
    <col min="1" max="1" width="7.7109375" customWidth="1"/>
    <col min="2" max="2" width="75.85546875" customWidth="1"/>
    <col min="3" max="3" width="77.7109375" customWidth="1"/>
    <col min="4" max="4" width="17.7109375" bestFit="1" customWidth="1"/>
    <col min="5" max="5" width="18.140625" bestFit="1" customWidth="1"/>
    <col min="6" max="6" width="9" bestFit="1" customWidth="1"/>
    <col min="7" max="7" width="9.7109375" hidden="1" customWidth="1"/>
    <col min="8" max="8" width="6.140625" bestFit="1" customWidth="1"/>
    <col min="9" max="9" width="6.28515625" style="100" bestFit="1" customWidth="1"/>
    <col min="10" max="10" width="8.42578125" style="122" customWidth="1"/>
    <col min="11" max="11" width="14.42578125" style="123" bestFit="1" customWidth="1"/>
    <col min="12" max="12" width="24.85546875" style="126" bestFit="1" customWidth="1"/>
    <col min="13" max="13" width="42.42578125" style="110" hidden="1" customWidth="1"/>
    <col min="14" max="14" width="12.42578125" hidden="1" customWidth="1"/>
    <col min="15" max="15" width="5.28515625" customWidth="1"/>
  </cols>
  <sheetData>
    <row r="1" spans="1:14" ht="15.75" customHeight="1">
      <c r="A1" s="194" t="s">
        <v>44</v>
      </c>
      <c r="B1" s="194" t="s">
        <v>107</v>
      </c>
      <c r="C1" s="194" t="s">
        <v>108</v>
      </c>
      <c r="D1" s="194" t="s">
        <v>109</v>
      </c>
      <c r="E1" s="194" t="s">
        <v>110</v>
      </c>
      <c r="F1" s="194" t="s">
        <v>3</v>
      </c>
      <c r="G1" s="194" t="s">
        <v>111</v>
      </c>
      <c r="H1" s="194" t="s">
        <v>112</v>
      </c>
      <c r="I1" s="195" t="s">
        <v>113</v>
      </c>
      <c r="J1" s="196" t="s">
        <v>4606</v>
      </c>
      <c r="K1" s="197"/>
      <c r="L1" s="198"/>
      <c r="M1" s="199" t="s">
        <v>4608</v>
      </c>
    </row>
    <row r="2" spans="1:14" ht="12.75">
      <c r="A2" s="194"/>
      <c r="B2" s="194"/>
      <c r="C2" s="194"/>
      <c r="D2" s="194"/>
      <c r="E2" s="194"/>
      <c r="F2" s="194"/>
      <c r="G2" s="194"/>
      <c r="H2" s="194"/>
      <c r="I2" s="195"/>
      <c r="J2" s="115" t="s">
        <v>114</v>
      </c>
      <c r="K2" s="116" t="s">
        <v>80</v>
      </c>
      <c r="L2" s="117" t="s">
        <v>4607</v>
      </c>
      <c r="M2" s="199"/>
    </row>
    <row r="3" spans="1:14" ht="31.5" customHeight="1">
      <c r="A3" s="9">
        <v>43</v>
      </c>
      <c r="B3" s="9" t="s">
        <v>116</v>
      </c>
      <c r="C3" s="9" t="s">
        <v>117</v>
      </c>
      <c r="D3" s="9">
        <v>0</v>
      </c>
      <c r="E3" s="9" t="s">
        <v>118</v>
      </c>
      <c r="F3" s="9">
        <v>135</v>
      </c>
      <c r="G3" s="9">
        <v>2</v>
      </c>
      <c r="H3" s="9" t="s">
        <v>119</v>
      </c>
      <c r="I3" s="113" t="s">
        <v>18</v>
      </c>
      <c r="J3" s="118" t="s">
        <v>99</v>
      </c>
      <c r="K3" s="119" t="s">
        <v>101</v>
      </c>
      <c r="L3" s="120" t="s">
        <v>4605</v>
      </c>
      <c r="M3" s="109" t="str">
        <f>IF(K3="Specific mutant",VLOOKUP($L3,Mutants!$A$2:$L$560,11,FALSE),L3)</f>
        <v xml:space="preserve"> </v>
      </c>
    </row>
    <row r="4" spans="1:14" ht="31.5" customHeight="1">
      <c r="A4" s="9">
        <v>94</v>
      </c>
      <c r="B4" s="9" t="s">
        <v>120</v>
      </c>
      <c r="C4" s="9" t="s">
        <v>121</v>
      </c>
      <c r="D4" s="9">
        <v>0</v>
      </c>
      <c r="E4" s="9" t="s">
        <v>122</v>
      </c>
      <c r="F4" s="9">
        <v>135</v>
      </c>
      <c r="G4" s="9">
        <v>2</v>
      </c>
      <c r="H4" s="9" t="s">
        <v>119</v>
      </c>
      <c r="I4" s="113" t="s">
        <v>18</v>
      </c>
      <c r="J4" s="118" t="s">
        <v>83</v>
      </c>
      <c r="K4" s="119" t="s">
        <v>85</v>
      </c>
      <c r="L4" s="121">
        <v>184</v>
      </c>
      <c r="M4" s="109" t="str">
        <f>IF(K4="Specific mutant",VLOOKUP($L4,Mutants!$A$2:$L$560,11,FALSE),L4)</f>
        <v xml:space="preserve">toString
</v>
      </c>
    </row>
    <row r="5" spans="1:14" ht="31.5" customHeight="1">
      <c r="A5" s="9">
        <v>11</v>
      </c>
      <c r="B5" s="9" t="s">
        <v>123</v>
      </c>
      <c r="C5" s="9" t="s">
        <v>124</v>
      </c>
      <c r="D5" s="9">
        <v>1</v>
      </c>
      <c r="E5" s="9" t="s">
        <v>125</v>
      </c>
      <c r="F5" s="9">
        <v>136</v>
      </c>
      <c r="G5" s="9">
        <v>2</v>
      </c>
      <c r="H5" s="9" t="s">
        <v>119</v>
      </c>
      <c r="I5" s="113" t="s">
        <v>18</v>
      </c>
      <c r="J5" s="118" t="s">
        <v>83</v>
      </c>
      <c r="K5" s="119" t="s">
        <v>88</v>
      </c>
      <c r="L5" s="121" t="s">
        <v>126</v>
      </c>
      <c r="M5" s="109" t="str">
        <f>IF(K5="Specific mutant",VLOOKUP($L5,Mutants!$A$2:$L$560,11,FALSE),L5)</f>
        <v>addOption, hasOption</v>
      </c>
      <c r="N5" s="9" t="str">
        <f t="shared" ref="N5:N201" si="0">IF(B5=B6,"DUPLICATED","")</f>
        <v/>
      </c>
    </row>
    <row r="6" spans="1:14" ht="31.5" customHeight="1">
      <c r="A6" s="9">
        <v>41</v>
      </c>
      <c r="B6" s="9" t="s">
        <v>127</v>
      </c>
      <c r="C6" s="9" t="s">
        <v>128</v>
      </c>
      <c r="D6" s="9">
        <v>0</v>
      </c>
      <c r="E6" s="9" t="s">
        <v>129</v>
      </c>
      <c r="F6" s="9">
        <v>136</v>
      </c>
      <c r="G6" s="9">
        <v>2</v>
      </c>
      <c r="H6" s="9">
        <v>0</v>
      </c>
      <c r="I6" s="113" t="s">
        <v>18</v>
      </c>
      <c r="J6" s="118" t="s">
        <v>99</v>
      </c>
      <c r="K6" s="119" t="s">
        <v>103</v>
      </c>
      <c r="L6" s="120" t="s">
        <v>4605</v>
      </c>
      <c r="M6" s="109" t="str">
        <f>IF(K6="Specific mutant",VLOOKUP($L6,Mutants!$A$2:$L$560,11,FALSE),L6)</f>
        <v xml:space="preserve"> </v>
      </c>
      <c r="N6" s="9" t="str">
        <f t="shared" si="0"/>
        <v/>
      </c>
    </row>
    <row r="7" spans="1:14" ht="31.5" customHeight="1">
      <c r="A7" s="9">
        <v>46</v>
      </c>
      <c r="B7" s="9" t="s">
        <v>130</v>
      </c>
      <c r="C7" s="9" t="s">
        <v>131</v>
      </c>
      <c r="D7" s="9">
        <v>0</v>
      </c>
      <c r="E7" s="9" t="s">
        <v>132</v>
      </c>
      <c r="F7" s="9">
        <v>136</v>
      </c>
      <c r="G7" s="9">
        <v>2</v>
      </c>
      <c r="H7" s="9" t="s">
        <v>119</v>
      </c>
      <c r="I7" s="113" t="s">
        <v>18</v>
      </c>
      <c r="J7" s="118" t="s">
        <v>99</v>
      </c>
      <c r="K7" s="119" t="s">
        <v>103</v>
      </c>
      <c r="L7" s="120" t="s">
        <v>4605</v>
      </c>
      <c r="M7" s="109" t="str">
        <f>IF(K7="Specific mutant",VLOOKUP($L7,Mutants!$A$2:$L$560,11,FALSE),L7)</f>
        <v xml:space="preserve"> </v>
      </c>
      <c r="N7" s="9" t="str">
        <f t="shared" si="0"/>
        <v/>
      </c>
    </row>
    <row r="8" spans="1:14" ht="31.5" customHeight="1">
      <c r="A8" s="9">
        <v>53</v>
      </c>
      <c r="B8" s="9" t="s">
        <v>133</v>
      </c>
      <c r="C8" s="9" t="s">
        <v>134</v>
      </c>
      <c r="D8" s="9">
        <v>0</v>
      </c>
      <c r="E8" s="9" t="s">
        <v>135</v>
      </c>
      <c r="F8" s="9">
        <v>136</v>
      </c>
      <c r="G8" s="9">
        <v>2</v>
      </c>
      <c r="H8" s="9" t="s">
        <v>119</v>
      </c>
      <c r="I8" s="113" t="s">
        <v>18</v>
      </c>
      <c r="J8" s="118" t="s">
        <v>99</v>
      </c>
      <c r="K8" s="119" t="s">
        <v>103</v>
      </c>
      <c r="L8" s="120" t="s">
        <v>4605</v>
      </c>
      <c r="M8" s="109" t="str">
        <f>IF(K8="Specific mutant",VLOOKUP($L8,Mutants!$A$2:$L$560,11,FALSE),L8)</f>
        <v xml:space="preserve"> </v>
      </c>
      <c r="N8" s="9" t="str">
        <f t="shared" si="0"/>
        <v/>
      </c>
    </row>
    <row r="9" spans="1:14" ht="31.5" customHeight="1">
      <c r="A9" s="9">
        <v>20</v>
      </c>
      <c r="B9" s="9" t="s">
        <v>136</v>
      </c>
      <c r="C9" s="9" t="s">
        <v>137</v>
      </c>
      <c r="D9" s="9">
        <v>1</v>
      </c>
      <c r="E9" s="9" t="s">
        <v>138</v>
      </c>
      <c r="F9" s="9">
        <v>137</v>
      </c>
      <c r="G9" s="9">
        <v>2</v>
      </c>
      <c r="H9" s="9" t="s">
        <v>119</v>
      </c>
      <c r="I9" s="113" t="s">
        <v>18</v>
      </c>
      <c r="J9" s="118" t="s">
        <v>99</v>
      </c>
      <c r="K9" s="119" t="s">
        <v>101</v>
      </c>
      <c r="L9" s="120" t="s">
        <v>4605</v>
      </c>
      <c r="M9" s="109" t="str">
        <f>IF(K9="Specific mutant",VLOOKUP($L9,Mutants!$A$2:$L$560,11,FALSE),L9)</f>
        <v xml:space="preserve"> </v>
      </c>
      <c r="N9" s="9" t="str">
        <f t="shared" si="0"/>
        <v/>
      </c>
    </row>
    <row r="10" spans="1:14" ht="31.5" customHeight="1">
      <c r="A10" s="9">
        <v>12</v>
      </c>
      <c r="B10" s="112" t="s">
        <v>139</v>
      </c>
      <c r="C10" s="9" t="s">
        <v>140</v>
      </c>
      <c r="D10" s="9">
        <v>1</v>
      </c>
      <c r="E10" s="9" t="s">
        <v>141</v>
      </c>
      <c r="F10" s="79">
        <v>138</v>
      </c>
      <c r="G10" s="9">
        <v>2</v>
      </c>
      <c r="H10" s="9" t="s">
        <v>119</v>
      </c>
      <c r="I10" s="113" t="s">
        <v>19</v>
      </c>
      <c r="L10" s="120" t="s">
        <v>4605</v>
      </c>
      <c r="M10" s="109" t="str">
        <f>IF(K10="Specific mutant",VLOOKUP($L10,Mutants!$A$2:$L$560,11,FALSE),L10)</f>
        <v xml:space="preserve"> </v>
      </c>
      <c r="N10" s="9" t="str">
        <f t="shared" si="0"/>
        <v/>
      </c>
    </row>
    <row r="11" spans="1:14" ht="31.5" customHeight="1">
      <c r="A11" s="9">
        <v>33</v>
      </c>
      <c r="B11" s="112" t="s">
        <v>142</v>
      </c>
      <c r="C11" s="9" t="s">
        <v>143</v>
      </c>
      <c r="D11" s="9">
        <v>0</v>
      </c>
      <c r="E11" s="9" t="s">
        <v>144</v>
      </c>
      <c r="F11" s="79">
        <v>138</v>
      </c>
      <c r="G11" s="9">
        <v>2</v>
      </c>
      <c r="H11" s="9" t="s">
        <v>119</v>
      </c>
      <c r="I11" s="113" t="s">
        <v>19</v>
      </c>
      <c r="L11" s="120" t="s">
        <v>4605</v>
      </c>
      <c r="M11" s="109" t="str">
        <f>IF(K11="Specific mutant",VLOOKUP($L11,Mutants!$A$2:$L$560,11,FALSE),L11)</f>
        <v xml:space="preserve"> </v>
      </c>
      <c r="N11" s="9" t="str">
        <f t="shared" si="0"/>
        <v/>
      </c>
    </row>
    <row r="12" spans="1:14" ht="31.5" customHeight="1">
      <c r="A12" s="9">
        <v>36</v>
      </c>
      <c r="B12" s="112" t="s">
        <v>145</v>
      </c>
      <c r="C12" s="9" t="s">
        <v>146</v>
      </c>
      <c r="D12" s="9">
        <v>1</v>
      </c>
      <c r="E12" s="9" t="s">
        <v>147</v>
      </c>
      <c r="F12" s="79">
        <v>138</v>
      </c>
      <c r="G12" s="9">
        <v>2</v>
      </c>
      <c r="H12" s="9" t="s">
        <v>119</v>
      </c>
      <c r="I12" s="113" t="s">
        <v>19</v>
      </c>
      <c r="J12" s="118"/>
      <c r="K12" s="119"/>
      <c r="L12" s="120" t="s">
        <v>4605</v>
      </c>
      <c r="M12" s="109" t="str">
        <f>IF(K12="Specific mutant",VLOOKUP($L12,Mutants!$A$2:$L$560,11,FALSE),L12)</f>
        <v xml:space="preserve"> </v>
      </c>
      <c r="N12" s="9" t="str">
        <f t="shared" si="0"/>
        <v/>
      </c>
    </row>
    <row r="13" spans="1:14" ht="31.5" customHeight="1">
      <c r="A13" s="9">
        <v>78</v>
      </c>
      <c r="B13" s="112" t="s">
        <v>148</v>
      </c>
      <c r="C13" s="9" t="s">
        <v>149</v>
      </c>
      <c r="D13" s="9">
        <v>1</v>
      </c>
      <c r="E13" s="9" t="s">
        <v>150</v>
      </c>
      <c r="F13" s="79">
        <v>138</v>
      </c>
      <c r="G13" s="9">
        <v>2</v>
      </c>
      <c r="H13" s="9">
        <v>0</v>
      </c>
      <c r="I13" s="113" t="s">
        <v>19</v>
      </c>
      <c r="L13" s="120" t="s">
        <v>4605</v>
      </c>
      <c r="M13" s="109" t="str">
        <f>IF(K13="Specific mutant",VLOOKUP($L13,Mutants!$A$2:$L$560,11,FALSE),L13)</f>
        <v xml:space="preserve"> </v>
      </c>
      <c r="N13" s="9" t="str">
        <f t="shared" si="0"/>
        <v/>
      </c>
    </row>
    <row r="14" spans="1:14" ht="31.5" customHeight="1">
      <c r="A14" s="9">
        <v>80</v>
      </c>
      <c r="B14" s="112" t="s">
        <v>151</v>
      </c>
      <c r="C14" s="9" t="s">
        <v>152</v>
      </c>
      <c r="D14" s="9">
        <v>1</v>
      </c>
      <c r="E14" s="9" t="s">
        <v>153</v>
      </c>
      <c r="F14" s="79">
        <v>138</v>
      </c>
      <c r="G14" s="9">
        <v>2</v>
      </c>
      <c r="H14" s="9" t="s">
        <v>119</v>
      </c>
      <c r="I14" s="113" t="s">
        <v>19</v>
      </c>
      <c r="L14" s="120" t="s">
        <v>4605</v>
      </c>
      <c r="M14" s="109" t="str">
        <f>IF(K14="Specific mutant",VLOOKUP($L14,Mutants!$A$2:$L$560,11,FALSE),L14)</f>
        <v xml:space="preserve"> </v>
      </c>
      <c r="N14" s="9" t="str">
        <f t="shared" si="0"/>
        <v/>
      </c>
    </row>
    <row r="15" spans="1:14" ht="31.5" customHeight="1">
      <c r="A15" s="9">
        <v>8</v>
      </c>
      <c r="B15" s="9" t="s">
        <v>154</v>
      </c>
      <c r="C15" s="9" t="s">
        <v>155</v>
      </c>
      <c r="D15" s="9">
        <v>1</v>
      </c>
      <c r="E15" s="9" t="s">
        <v>156</v>
      </c>
      <c r="F15" s="9">
        <v>139</v>
      </c>
      <c r="G15" s="9">
        <v>2</v>
      </c>
      <c r="H15" s="9">
        <v>0</v>
      </c>
      <c r="I15" s="113" t="s">
        <v>18</v>
      </c>
      <c r="J15" s="118" t="s">
        <v>99</v>
      </c>
      <c r="K15" s="119" t="s">
        <v>103</v>
      </c>
      <c r="L15" s="120" t="s">
        <v>4605</v>
      </c>
      <c r="M15" s="109" t="str">
        <f>IF(K15="Specific mutant",VLOOKUP($L15,Mutants!$A$2:$L$560,11,FALSE),L15)</f>
        <v xml:space="preserve"> </v>
      </c>
      <c r="N15" s="9" t="str">
        <f t="shared" si="0"/>
        <v/>
      </c>
    </row>
    <row r="16" spans="1:14" ht="31.5" customHeight="1">
      <c r="A16" s="9">
        <v>27</v>
      </c>
      <c r="B16" s="9" t="s">
        <v>157</v>
      </c>
      <c r="C16" s="9" t="s">
        <v>158</v>
      </c>
      <c r="D16" s="9">
        <v>1</v>
      </c>
      <c r="E16" s="9" t="s">
        <v>159</v>
      </c>
      <c r="F16" s="9">
        <v>139</v>
      </c>
      <c r="G16" s="9">
        <v>2</v>
      </c>
      <c r="H16" s="9">
        <v>0</v>
      </c>
      <c r="I16" s="113" t="s">
        <v>18</v>
      </c>
      <c r="J16" s="118" t="s">
        <v>83</v>
      </c>
      <c r="K16" s="119" t="s">
        <v>88</v>
      </c>
      <c r="L16" s="121" t="s">
        <v>160</v>
      </c>
      <c r="M16" s="109" t="str">
        <f>IF(K16="Specific mutant",VLOOKUP($L16,Mutants!$A$2:$L$560,11,FALSE),L16)</f>
        <v>stripLeadingHyphens</v>
      </c>
      <c r="N16" s="9" t="str">
        <f t="shared" si="0"/>
        <v/>
      </c>
    </row>
    <row r="17" spans="1:14" ht="31.5" customHeight="1">
      <c r="A17" s="9">
        <v>39</v>
      </c>
      <c r="B17" s="9" t="s">
        <v>161</v>
      </c>
      <c r="C17" s="9" t="s">
        <v>162</v>
      </c>
      <c r="D17" s="9">
        <v>1</v>
      </c>
      <c r="E17" s="9" t="s">
        <v>163</v>
      </c>
      <c r="F17" s="9">
        <v>139</v>
      </c>
      <c r="G17" s="9">
        <v>2</v>
      </c>
      <c r="H17" s="9" t="s">
        <v>119</v>
      </c>
      <c r="I17" s="113" t="s">
        <v>18</v>
      </c>
      <c r="J17" s="118" t="s">
        <v>83</v>
      </c>
      <c r="K17" s="119" t="s">
        <v>88</v>
      </c>
      <c r="L17" s="121" t="s">
        <v>164</v>
      </c>
      <c r="M17" s="109" t="str">
        <f>IF(K17="Specific mutant",VLOOKUP($L17,Mutants!$A$2:$L$560,11,FALSE),L17)</f>
        <v>getMatchingOptions</v>
      </c>
      <c r="N17" s="9" t="str">
        <f t="shared" si="0"/>
        <v/>
      </c>
    </row>
    <row r="18" spans="1:14" ht="31.5" customHeight="1">
      <c r="A18" s="9">
        <v>66</v>
      </c>
      <c r="B18" s="9" t="s">
        <v>165</v>
      </c>
      <c r="C18" s="9" t="s">
        <v>166</v>
      </c>
      <c r="D18" s="9">
        <v>1</v>
      </c>
      <c r="E18" s="9" t="s">
        <v>167</v>
      </c>
      <c r="F18" s="9">
        <v>139</v>
      </c>
      <c r="G18" s="9">
        <v>2</v>
      </c>
      <c r="H18" s="9">
        <v>0</v>
      </c>
      <c r="I18" s="113" t="s">
        <v>18</v>
      </c>
      <c r="J18" s="118" t="s">
        <v>83</v>
      </c>
      <c r="K18" s="119" t="s">
        <v>88</v>
      </c>
      <c r="L18" s="121" t="s">
        <v>164</v>
      </c>
      <c r="M18" s="109" t="str">
        <f>IF(K18="Specific mutant",VLOOKUP($L18,Mutants!$A$2:$L$560,11,FALSE),L18)</f>
        <v>getMatchingOptions</v>
      </c>
      <c r="N18" s="9" t="str">
        <f t="shared" si="0"/>
        <v/>
      </c>
    </row>
    <row r="19" spans="1:14" ht="31.5" customHeight="1">
      <c r="A19" s="9">
        <v>73</v>
      </c>
      <c r="B19" s="9" t="s">
        <v>168</v>
      </c>
      <c r="C19" s="9" t="s">
        <v>169</v>
      </c>
      <c r="D19" s="9">
        <v>1</v>
      </c>
      <c r="E19" s="9" t="s">
        <v>170</v>
      </c>
      <c r="F19" s="9">
        <v>139</v>
      </c>
      <c r="G19" s="9">
        <v>2</v>
      </c>
      <c r="H19" s="9" t="s">
        <v>119</v>
      </c>
      <c r="I19" s="113" t="s">
        <v>18</v>
      </c>
      <c r="J19" s="118" t="s">
        <v>83</v>
      </c>
      <c r="K19" s="119" t="s">
        <v>88</v>
      </c>
      <c r="L19" s="121" t="s">
        <v>164</v>
      </c>
      <c r="M19" s="109" t="str">
        <f>IF(K19="Specific mutant",VLOOKUP($L19,Mutants!$A$2:$L$560,11,FALSE),L19)</f>
        <v>getMatchingOptions</v>
      </c>
      <c r="N19" s="9" t="str">
        <f t="shared" si="0"/>
        <v/>
      </c>
    </row>
    <row r="20" spans="1:14" ht="31.5" customHeight="1">
      <c r="A20" s="9">
        <v>85</v>
      </c>
      <c r="B20" s="9" t="s">
        <v>171</v>
      </c>
      <c r="C20" s="9" t="s">
        <v>172</v>
      </c>
      <c r="D20" s="9">
        <v>1</v>
      </c>
      <c r="E20" s="9" t="s">
        <v>173</v>
      </c>
      <c r="F20" s="9">
        <v>139</v>
      </c>
      <c r="G20" s="9">
        <v>2</v>
      </c>
      <c r="H20" s="9" t="s">
        <v>119</v>
      </c>
      <c r="I20" s="113" t="s">
        <v>18</v>
      </c>
      <c r="J20" s="118" t="s">
        <v>99</v>
      </c>
      <c r="K20" s="119" t="s">
        <v>101</v>
      </c>
      <c r="L20" s="120" t="s">
        <v>4605</v>
      </c>
      <c r="M20" s="109" t="str">
        <f>IF(K20="Specific mutant",VLOOKUP($L20,Mutants!$A$2:$L$560,11,FALSE),L20)</f>
        <v xml:space="preserve"> </v>
      </c>
      <c r="N20" s="9" t="str">
        <f t="shared" si="0"/>
        <v/>
      </c>
    </row>
    <row r="21" spans="1:14" ht="31.5" customHeight="1">
      <c r="A21" s="9">
        <v>91</v>
      </c>
      <c r="B21" s="9" t="s">
        <v>174</v>
      </c>
      <c r="C21" s="9" t="s">
        <v>175</v>
      </c>
      <c r="D21" s="9">
        <v>0</v>
      </c>
      <c r="E21" s="9" t="s">
        <v>176</v>
      </c>
      <c r="F21" s="9">
        <v>139</v>
      </c>
      <c r="G21" s="9">
        <v>2</v>
      </c>
      <c r="H21" s="9">
        <v>1</v>
      </c>
      <c r="I21" s="113" t="s">
        <v>18</v>
      </c>
      <c r="J21" s="118" t="s">
        <v>99</v>
      </c>
      <c r="K21" s="119" t="s">
        <v>101</v>
      </c>
      <c r="L21" s="120" t="s">
        <v>4605</v>
      </c>
      <c r="M21" s="109" t="str">
        <f>IF(K21="Specific mutant",VLOOKUP($L21,Mutants!$A$2:$L$560,11,FALSE),L21)</f>
        <v xml:space="preserve"> </v>
      </c>
      <c r="N21" s="9" t="str">
        <f t="shared" si="0"/>
        <v/>
      </c>
    </row>
    <row r="22" spans="1:14" ht="31.5" customHeight="1">
      <c r="A22" s="9">
        <v>47</v>
      </c>
      <c r="B22" s="9" t="s">
        <v>177</v>
      </c>
      <c r="C22" s="9" t="s">
        <v>178</v>
      </c>
      <c r="D22" s="9">
        <v>1</v>
      </c>
      <c r="E22" s="9" t="s">
        <v>179</v>
      </c>
      <c r="F22" s="9">
        <v>142</v>
      </c>
      <c r="G22" s="9">
        <v>2</v>
      </c>
      <c r="H22" s="9" t="s">
        <v>119</v>
      </c>
      <c r="I22" s="113" t="s">
        <v>18</v>
      </c>
      <c r="J22" s="118" t="s">
        <v>83</v>
      </c>
      <c r="K22" s="119" t="s">
        <v>88</v>
      </c>
      <c r="L22" s="121" t="s">
        <v>180</v>
      </c>
      <c r="M22" s="109" t="str">
        <f>IF(K22="Specific mutant",VLOOKUP($L22,Mutants!$A$2:$L$560,11,FALSE),L22)</f>
        <v>getOption</v>
      </c>
      <c r="N22" s="9" t="str">
        <f t="shared" si="0"/>
        <v/>
      </c>
    </row>
    <row r="23" spans="1:14" ht="31.5" customHeight="1">
      <c r="A23" s="9">
        <v>57</v>
      </c>
      <c r="B23" s="9" t="s">
        <v>181</v>
      </c>
      <c r="C23" s="9" t="s">
        <v>182</v>
      </c>
      <c r="D23" s="9">
        <v>0</v>
      </c>
      <c r="E23" s="9" t="s">
        <v>183</v>
      </c>
      <c r="F23" s="9">
        <v>142</v>
      </c>
      <c r="G23" s="9">
        <v>2</v>
      </c>
      <c r="H23" s="9">
        <v>0</v>
      </c>
      <c r="I23" s="113" t="s">
        <v>18</v>
      </c>
      <c r="J23" s="118" t="s">
        <v>99</v>
      </c>
      <c r="K23" s="119" t="s">
        <v>101</v>
      </c>
      <c r="L23" s="120" t="s">
        <v>4605</v>
      </c>
      <c r="M23" s="109" t="str">
        <f>IF(K23="Specific mutant",VLOOKUP($L23,Mutants!$A$2:$L$560,11,FALSE),L23)</f>
        <v xml:space="preserve"> </v>
      </c>
      <c r="N23" s="9" t="str">
        <f t="shared" si="0"/>
        <v/>
      </c>
    </row>
    <row r="24" spans="1:14" ht="31.5" customHeight="1">
      <c r="A24" s="9">
        <v>60</v>
      </c>
      <c r="B24" s="9" t="s">
        <v>184</v>
      </c>
      <c r="C24" s="9" t="s">
        <v>185</v>
      </c>
      <c r="D24" s="9">
        <v>0</v>
      </c>
      <c r="E24" s="9" t="s">
        <v>186</v>
      </c>
      <c r="F24" s="9">
        <v>142</v>
      </c>
      <c r="G24" s="9">
        <v>2</v>
      </c>
      <c r="H24" s="9" t="s">
        <v>119</v>
      </c>
      <c r="I24" s="113" t="s">
        <v>18</v>
      </c>
      <c r="J24" s="118" t="s">
        <v>99</v>
      </c>
      <c r="K24" s="119" t="s">
        <v>101</v>
      </c>
      <c r="L24" s="120" t="s">
        <v>4605</v>
      </c>
      <c r="M24" s="109" t="str">
        <f>IF(K24="Specific mutant",VLOOKUP($L24,Mutants!$A$2:$L$560,11,FALSE),L24)</f>
        <v xml:space="preserve"> </v>
      </c>
      <c r="N24" s="9" t="str">
        <f t="shared" si="0"/>
        <v/>
      </c>
    </row>
    <row r="25" spans="1:14" ht="31.5" customHeight="1">
      <c r="A25" s="9">
        <v>63</v>
      </c>
      <c r="B25" s="9" t="s">
        <v>187</v>
      </c>
      <c r="C25" s="9" t="s">
        <v>188</v>
      </c>
      <c r="D25" s="9">
        <v>0</v>
      </c>
      <c r="E25" s="9" t="s">
        <v>189</v>
      </c>
      <c r="F25" s="9">
        <v>142</v>
      </c>
      <c r="G25" s="9">
        <v>2</v>
      </c>
      <c r="H25" s="9" t="s">
        <v>119</v>
      </c>
      <c r="I25" s="113" t="s">
        <v>18</v>
      </c>
      <c r="J25" s="118" t="s">
        <v>99</v>
      </c>
      <c r="K25" s="119" t="s">
        <v>101</v>
      </c>
      <c r="L25" s="120" t="s">
        <v>4605</v>
      </c>
      <c r="M25" s="109" t="str">
        <f>IF(K25="Specific mutant",VLOOKUP($L25,Mutants!$A$2:$L$560,11,FALSE),L25)</f>
        <v xml:space="preserve"> </v>
      </c>
      <c r="N25" s="9" t="str">
        <f t="shared" si="0"/>
        <v/>
      </c>
    </row>
    <row r="26" spans="1:14" ht="31.5" customHeight="1">
      <c r="A26" s="9">
        <v>68</v>
      </c>
      <c r="B26" s="9" t="s">
        <v>190</v>
      </c>
      <c r="C26" s="9" t="s">
        <v>191</v>
      </c>
      <c r="D26" s="9">
        <v>0</v>
      </c>
      <c r="E26" s="9" t="s">
        <v>192</v>
      </c>
      <c r="F26" s="9">
        <v>142</v>
      </c>
      <c r="G26" s="9">
        <v>2</v>
      </c>
      <c r="H26" s="9" t="s">
        <v>119</v>
      </c>
      <c r="I26" s="113" t="s">
        <v>18</v>
      </c>
      <c r="J26" s="118" t="s">
        <v>99</v>
      </c>
      <c r="K26" s="119" t="s">
        <v>101</v>
      </c>
      <c r="L26" s="120" t="s">
        <v>4605</v>
      </c>
      <c r="M26" s="109" t="str">
        <f>IF(K26="Specific mutant",VLOOKUP($L26,Mutants!$A$2:$L$560,11,FALSE),L26)</f>
        <v xml:space="preserve"> </v>
      </c>
      <c r="N26" s="9" t="str">
        <f t="shared" si="0"/>
        <v/>
      </c>
    </row>
    <row r="27" spans="1:14" ht="31.5" customHeight="1">
      <c r="A27" s="9">
        <v>35</v>
      </c>
      <c r="B27" s="80" t="s">
        <v>193</v>
      </c>
      <c r="C27" s="9" t="s">
        <v>194</v>
      </c>
      <c r="D27" s="9">
        <v>1</v>
      </c>
      <c r="E27" s="9" t="s">
        <v>195</v>
      </c>
      <c r="F27" s="9">
        <v>143</v>
      </c>
      <c r="G27" s="9">
        <v>2</v>
      </c>
      <c r="H27" s="9" t="s">
        <v>119</v>
      </c>
      <c r="I27" s="113" t="s">
        <v>18</v>
      </c>
      <c r="L27" s="120" t="s">
        <v>4605</v>
      </c>
      <c r="M27" s="109" t="str">
        <f>IF(K27="Specific mutant",VLOOKUP($L27,Mutants!$A$2:$L$560,11,FALSE),L27)</f>
        <v xml:space="preserve"> </v>
      </c>
      <c r="N27" s="9" t="str">
        <f t="shared" si="0"/>
        <v/>
      </c>
    </row>
    <row r="28" spans="1:14" ht="31.5" customHeight="1">
      <c r="A28" s="9">
        <v>54</v>
      </c>
      <c r="B28" s="9" t="s">
        <v>196</v>
      </c>
      <c r="C28" s="9" t="s">
        <v>197</v>
      </c>
      <c r="D28" s="9">
        <v>1</v>
      </c>
      <c r="E28" s="9" t="s">
        <v>198</v>
      </c>
      <c r="F28" s="9">
        <v>143</v>
      </c>
      <c r="G28" s="9">
        <v>2</v>
      </c>
      <c r="H28" s="9" t="s">
        <v>119</v>
      </c>
      <c r="I28" s="113" t="s">
        <v>18</v>
      </c>
      <c r="J28" s="118" t="s">
        <v>83</v>
      </c>
      <c r="K28" s="119" t="s">
        <v>85</v>
      </c>
      <c r="L28" s="121">
        <v>155</v>
      </c>
      <c r="M28" s="109" t="str">
        <f>IF(K28="Specific mutant",VLOOKUP($L28,Mutants!$A$2:$L$560,11,FALSE),L28)</f>
        <v xml:space="preserve">toString
</v>
      </c>
      <c r="N28" s="9" t="str">
        <f t="shared" si="0"/>
        <v/>
      </c>
    </row>
    <row r="29" spans="1:14" ht="31.5" customHeight="1">
      <c r="A29" s="9">
        <v>92</v>
      </c>
      <c r="B29" s="80" t="s">
        <v>199</v>
      </c>
      <c r="C29" s="9" t="s">
        <v>200</v>
      </c>
      <c r="D29" s="9">
        <v>1</v>
      </c>
      <c r="E29" s="9" t="s">
        <v>201</v>
      </c>
      <c r="F29" s="9">
        <v>143</v>
      </c>
      <c r="G29" s="9">
        <v>2</v>
      </c>
      <c r="H29" s="9">
        <v>0</v>
      </c>
      <c r="I29" s="113" t="s">
        <v>18</v>
      </c>
      <c r="L29" s="120" t="s">
        <v>4605</v>
      </c>
      <c r="M29" s="109" t="str">
        <f>IF(K29="Specific mutant",VLOOKUP($L29,Mutants!$A$2:$L$560,11,FALSE),L29)</f>
        <v xml:space="preserve"> </v>
      </c>
      <c r="N29" s="9" t="str">
        <f t="shared" si="0"/>
        <v/>
      </c>
    </row>
    <row r="30" spans="1:14" ht="31.5" customHeight="1">
      <c r="A30" s="9">
        <v>15</v>
      </c>
      <c r="B30" s="9" t="s">
        <v>202</v>
      </c>
      <c r="C30" s="9" t="s">
        <v>203</v>
      </c>
      <c r="D30" s="9">
        <v>0</v>
      </c>
      <c r="E30" s="9" t="s">
        <v>204</v>
      </c>
      <c r="F30" s="9">
        <v>144</v>
      </c>
      <c r="G30" s="9">
        <v>2</v>
      </c>
      <c r="H30" s="9">
        <v>0</v>
      </c>
      <c r="I30" s="113" t="s">
        <v>19</v>
      </c>
      <c r="L30" s="120" t="s">
        <v>4605</v>
      </c>
      <c r="M30" s="109" t="str">
        <f>IF(K30="Specific mutant",VLOOKUP($L30,Mutants!$A$2:$L$560,11,FALSE),L30)</f>
        <v xml:space="preserve"> </v>
      </c>
      <c r="N30" s="9" t="str">
        <f t="shared" si="0"/>
        <v>DUPLICATED</v>
      </c>
    </row>
    <row r="31" spans="1:14" ht="31.5" customHeight="1">
      <c r="A31" s="9">
        <v>19</v>
      </c>
      <c r="B31" s="9" t="s">
        <v>202</v>
      </c>
      <c r="C31" s="9" t="s">
        <v>205</v>
      </c>
      <c r="D31" s="9">
        <v>1</v>
      </c>
      <c r="E31" s="9" t="s">
        <v>206</v>
      </c>
      <c r="F31" s="9">
        <v>144</v>
      </c>
      <c r="G31" s="9">
        <v>2</v>
      </c>
      <c r="H31" s="9">
        <v>1</v>
      </c>
      <c r="I31" s="113" t="s">
        <v>18</v>
      </c>
      <c r="J31" s="118" t="s">
        <v>83</v>
      </c>
      <c r="K31" s="119" t="s">
        <v>88</v>
      </c>
      <c r="L31" s="121" t="s">
        <v>180</v>
      </c>
      <c r="M31" s="109" t="str">
        <f>IF(K31="Specific mutant",VLOOKUP($L31,Mutants!$A$2:$L$560,11,FALSE),L31)</f>
        <v>getOption</v>
      </c>
      <c r="N31" s="9" t="str">
        <f t="shared" si="0"/>
        <v/>
      </c>
    </row>
    <row r="32" spans="1:14" ht="31.5" customHeight="1">
      <c r="A32" s="9">
        <v>26</v>
      </c>
      <c r="B32" s="9" t="s">
        <v>207</v>
      </c>
      <c r="C32" s="9" t="s">
        <v>208</v>
      </c>
      <c r="D32" s="9">
        <v>0</v>
      </c>
      <c r="E32" s="9" t="s">
        <v>209</v>
      </c>
      <c r="F32" s="9">
        <v>144</v>
      </c>
      <c r="G32" s="9">
        <v>2</v>
      </c>
      <c r="H32" s="9">
        <v>0</v>
      </c>
      <c r="I32" s="113" t="s">
        <v>19</v>
      </c>
      <c r="L32" s="120" t="s">
        <v>4605</v>
      </c>
      <c r="M32" s="109" t="str">
        <f>IF(K32="Specific mutant",VLOOKUP($L32,Mutants!$A$2:$L$560,11,FALSE),L32)</f>
        <v xml:space="preserve"> </v>
      </c>
      <c r="N32" s="9" t="str">
        <f t="shared" si="0"/>
        <v>DUPLICATED</v>
      </c>
    </row>
    <row r="33" spans="1:14" ht="31.5" customHeight="1">
      <c r="A33" s="9">
        <v>29</v>
      </c>
      <c r="B33" s="9" t="s">
        <v>207</v>
      </c>
      <c r="C33" s="9" t="s">
        <v>208</v>
      </c>
      <c r="D33" s="9">
        <v>1</v>
      </c>
      <c r="E33" s="9" t="s">
        <v>210</v>
      </c>
      <c r="F33" s="9">
        <v>144</v>
      </c>
      <c r="G33" s="9">
        <v>2</v>
      </c>
      <c r="H33" s="9" t="s">
        <v>119</v>
      </c>
      <c r="I33" s="113" t="s">
        <v>18</v>
      </c>
      <c r="J33" s="118" t="s">
        <v>83</v>
      </c>
      <c r="K33" s="119" t="s">
        <v>88</v>
      </c>
      <c r="L33" s="121" t="s">
        <v>180</v>
      </c>
      <c r="M33" s="109" t="str">
        <f>IF(K33="Specific mutant",VLOOKUP($L33,Mutants!$A$2:$L$560,11,FALSE),L33)</f>
        <v>getOption</v>
      </c>
      <c r="N33" s="9" t="str">
        <f t="shared" si="0"/>
        <v/>
      </c>
    </row>
    <row r="34" spans="1:14" ht="31.5" customHeight="1">
      <c r="A34" s="9">
        <v>55</v>
      </c>
      <c r="B34" s="9" t="s">
        <v>211</v>
      </c>
      <c r="C34" s="9" t="s">
        <v>212</v>
      </c>
      <c r="D34" s="9">
        <v>1</v>
      </c>
      <c r="E34" s="9" t="s">
        <v>213</v>
      </c>
      <c r="F34" s="9">
        <v>144</v>
      </c>
      <c r="G34" s="9">
        <v>2</v>
      </c>
      <c r="H34" s="9" t="s">
        <v>119</v>
      </c>
      <c r="I34" s="113" t="s">
        <v>18</v>
      </c>
      <c r="J34" s="118" t="s">
        <v>83</v>
      </c>
      <c r="K34" s="119" t="s">
        <v>85</v>
      </c>
      <c r="L34" s="121">
        <v>104</v>
      </c>
      <c r="M34" s="109" t="str">
        <f>IF(K34="Specific mutant",VLOOKUP($L34,Mutants!$A$2:$L$560,11,FALSE),L34)</f>
        <v xml:space="preserve">addOptionGroup
</v>
      </c>
      <c r="N34" s="9" t="str">
        <f t="shared" si="0"/>
        <v/>
      </c>
    </row>
    <row r="35" spans="1:14" ht="31.5" customHeight="1">
      <c r="A35" s="9">
        <v>77</v>
      </c>
      <c r="B35" s="9" t="s">
        <v>214</v>
      </c>
      <c r="C35" s="9" t="s">
        <v>215</v>
      </c>
      <c r="D35" s="9">
        <v>0</v>
      </c>
      <c r="E35" s="9" t="s">
        <v>216</v>
      </c>
      <c r="F35" s="9">
        <v>144</v>
      </c>
      <c r="G35" s="9">
        <v>2</v>
      </c>
      <c r="H35" s="9">
        <v>0</v>
      </c>
      <c r="I35" s="113" t="s">
        <v>19</v>
      </c>
      <c r="L35" s="120" t="s">
        <v>4605</v>
      </c>
      <c r="M35" s="109" t="str">
        <f>IF(K35="Specific mutant",VLOOKUP($L35,Mutants!$A$2:$L$560,11,FALSE),L35)</f>
        <v xml:space="preserve"> </v>
      </c>
      <c r="N35" s="9" t="str">
        <f t="shared" si="0"/>
        <v>DUPLICATED</v>
      </c>
    </row>
    <row r="36" spans="1:14" ht="31.5" customHeight="1">
      <c r="A36" s="9">
        <v>79</v>
      </c>
      <c r="B36" s="9" t="s">
        <v>214</v>
      </c>
      <c r="C36" s="9" t="s">
        <v>215</v>
      </c>
      <c r="D36" s="9">
        <v>1</v>
      </c>
      <c r="E36" s="9" t="s">
        <v>217</v>
      </c>
      <c r="F36" s="9">
        <v>144</v>
      </c>
      <c r="G36" s="9">
        <v>2</v>
      </c>
      <c r="H36" s="9" t="s">
        <v>119</v>
      </c>
      <c r="I36" s="113" t="s">
        <v>18</v>
      </c>
      <c r="J36" s="118" t="s">
        <v>83</v>
      </c>
      <c r="K36" s="119" t="s">
        <v>85</v>
      </c>
      <c r="L36" s="121">
        <v>256</v>
      </c>
      <c r="M36" s="109" t="str">
        <f>IF(K36="Specific mutant",VLOOKUP($L36,Mutants!$A$2:$L$560,11,FALSE),L36)</f>
        <v xml:space="preserve">getOptionGroups
</v>
      </c>
      <c r="N36" s="9" t="str">
        <f t="shared" si="0"/>
        <v/>
      </c>
    </row>
    <row r="37" spans="1:14" ht="31.5" customHeight="1">
      <c r="A37" s="9">
        <v>84</v>
      </c>
      <c r="B37" s="80" t="s">
        <v>218</v>
      </c>
      <c r="C37" s="9" t="s">
        <v>219</v>
      </c>
      <c r="D37" s="9">
        <v>0</v>
      </c>
      <c r="E37" s="9" t="s">
        <v>220</v>
      </c>
      <c r="F37" s="9">
        <v>144</v>
      </c>
      <c r="G37" s="9">
        <v>2</v>
      </c>
      <c r="H37" s="9">
        <v>0</v>
      </c>
      <c r="I37" s="113" t="s">
        <v>18</v>
      </c>
      <c r="L37" s="120" t="s">
        <v>4605</v>
      </c>
      <c r="M37" s="109" t="str">
        <f>IF(K37="Specific mutant",VLOOKUP($L37,Mutants!$A$2:$L$560,11,FALSE),L37)</f>
        <v xml:space="preserve"> </v>
      </c>
      <c r="N37" s="9" t="str">
        <f t="shared" si="0"/>
        <v/>
      </c>
    </row>
    <row r="38" spans="1:14" ht="31.5" customHeight="1">
      <c r="A38" s="9">
        <v>23</v>
      </c>
      <c r="B38" s="80" t="s">
        <v>221</v>
      </c>
      <c r="C38" s="9" t="s">
        <v>222</v>
      </c>
      <c r="D38" s="9">
        <v>1</v>
      </c>
      <c r="E38" s="9" t="s">
        <v>223</v>
      </c>
      <c r="F38" s="9">
        <v>145</v>
      </c>
      <c r="G38" s="9">
        <v>2</v>
      </c>
      <c r="H38" s="9" t="s">
        <v>119</v>
      </c>
      <c r="I38" s="113" t="s">
        <v>18</v>
      </c>
      <c r="L38" s="120" t="s">
        <v>4605</v>
      </c>
      <c r="M38" s="109" t="str">
        <f>IF(K38="Specific mutant",VLOOKUP($L38,Mutants!$A$2:$L$560,11,FALSE),L38)</f>
        <v xml:space="preserve"> </v>
      </c>
      <c r="N38" s="9" t="str">
        <f t="shared" si="0"/>
        <v/>
      </c>
    </row>
    <row r="39" spans="1:14" ht="31.5" customHeight="1">
      <c r="A39" s="9">
        <v>61</v>
      </c>
      <c r="B39" s="80" t="s">
        <v>224</v>
      </c>
      <c r="C39" s="9" t="s">
        <v>225</v>
      </c>
      <c r="D39" s="9">
        <v>1</v>
      </c>
      <c r="E39" s="9" t="s">
        <v>226</v>
      </c>
      <c r="F39" s="9">
        <v>145</v>
      </c>
      <c r="G39" s="9">
        <v>2</v>
      </c>
      <c r="H39" s="9">
        <v>0</v>
      </c>
      <c r="I39" s="113" t="s">
        <v>18</v>
      </c>
      <c r="L39" s="120" t="s">
        <v>4605</v>
      </c>
      <c r="M39" s="109" t="str">
        <f>IF(K39="Specific mutant",VLOOKUP($L39,Mutants!$A$2:$L$560,11,FALSE),L39)</f>
        <v xml:space="preserve"> </v>
      </c>
      <c r="N39" s="9" t="str">
        <f t="shared" si="0"/>
        <v/>
      </c>
    </row>
    <row r="40" spans="1:14" ht="31.5" customHeight="1">
      <c r="A40" s="9">
        <v>70</v>
      </c>
      <c r="B40" s="80" t="s">
        <v>227</v>
      </c>
      <c r="C40" s="9" t="s">
        <v>228</v>
      </c>
      <c r="D40" s="9">
        <v>1</v>
      </c>
      <c r="E40" s="9" t="s">
        <v>229</v>
      </c>
      <c r="F40" s="9">
        <v>145</v>
      </c>
      <c r="G40" s="9">
        <v>2</v>
      </c>
      <c r="H40" s="9" t="s">
        <v>119</v>
      </c>
      <c r="I40" s="113" t="s">
        <v>18</v>
      </c>
      <c r="L40" s="120" t="s">
        <v>4605</v>
      </c>
      <c r="M40" s="109" t="str">
        <f>IF(K40="Specific mutant",VLOOKUP($L40,Mutants!$A$2:$L$560,11,FALSE),L40)</f>
        <v xml:space="preserve"> </v>
      </c>
      <c r="N40" s="9" t="str">
        <f t="shared" si="0"/>
        <v/>
      </c>
    </row>
    <row r="41" spans="1:14" ht="31.5" customHeight="1">
      <c r="A41" s="9">
        <v>75</v>
      </c>
      <c r="B41" s="80" t="s">
        <v>230</v>
      </c>
      <c r="C41" s="9" t="s">
        <v>231</v>
      </c>
      <c r="D41" s="9">
        <v>1</v>
      </c>
      <c r="E41" s="9" t="s">
        <v>232</v>
      </c>
      <c r="F41" s="9">
        <v>145</v>
      </c>
      <c r="G41" s="9">
        <v>2</v>
      </c>
      <c r="H41" s="9" t="s">
        <v>119</v>
      </c>
      <c r="I41" s="113" t="s">
        <v>18</v>
      </c>
      <c r="L41" s="120" t="s">
        <v>4605</v>
      </c>
      <c r="M41" s="109" t="str">
        <f>IF(K41="Specific mutant",VLOOKUP($L41,Mutants!$A$2:$L$560,11,FALSE),L41)</f>
        <v xml:space="preserve"> </v>
      </c>
      <c r="N41" s="9" t="str">
        <f t="shared" si="0"/>
        <v/>
      </c>
    </row>
    <row r="42" spans="1:14" ht="31.5" customHeight="1">
      <c r="A42" s="9">
        <v>83</v>
      </c>
      <c r="B42" s="80" t="s">
        <v>233</v>
      </c>
      <c r="C42" s="9" t="s">
        <v>234</v>
      </c>
      <c r="D42" s="9">
        <v>1</v>
      </c>
      <c r="E42" s="9" t="s">
        <v>235</v>
      </c>
      <c r="F42" s="9">
        <v>145</v>
      </c>
      <c r="G42" s="9">
        <v>2</v>
      </c>
      <c r="H42" s="9" t="s">
        <v>119</v>
      </c>
      <c r="I42" s="113" t="s">
        <v>18</v>
      </c>
      <c r="L42" s="120" t="s">
        <v>4605</v>
      </c>
      <c r="M42" s="109" t="str">
        <f>IF(K42="Specific mutant",VLOOKUP($L42,Mutants!$A$2:$L$560,11,FALSE),L42)</f>
        <v xml:space="preserve"> </v>
      </c>
      <c r="N42" s="9" t="str">
        <f t="shared" si="0"/>
        <v/>
      </c>
    </row>
    <row r="43" spans="1:14" ht="31.5" customHeight="1">
      <c r="A43" s="9">
        <v>89</v>
      </c>
      <c r="B43" s="80" t="s">
        <v>236</v>
      </c>
      <c r="C43" s="9" t="s">
        <v>237</v>
      </c>
      <c r="D43" s="9">
        <v>0</v>
      </c>
      <c r="E43" s="9" t="s">
        <v>238</v>
      </c>
      <c r="F43" s="9">
        <v>145</v>
      </c>
      <c r="G43" s="9">
        <v>2</v>
      </c>
      <c r="H43" s="9" t="s">
        <v>119</v>
      </c>
      <c r="I43" s="113" t="s">
        <v>18</v>
      </c>
      <c r="L43" s="120" t="s">
        <v>4605</v>
      </c>
      <c r="M43" s="109" t="str">
        <f>IF(K43="Specific mutant",VLOOKUP($L43,Mutants!$A$2:$L$560,11,FALSE),L43)</f>
        <v xml:space="preserve"> </v>
      </c>
      <c r="N43" s="9" t="str">
        <f t="shared" si="0"/>
        <v/>
      </c>
    </row>
    <row r="44" spans="1:14" ht="31.5" customHeight="1">
      <c r="A44" s="9">
        <v>17</v>
      </c>
      <c r="B44" s="9" t="s">
        <v>239</v>
      </c>
      <c r="C44" s="9" t="s">
        <v>240</v>
      </c>
      <c r="D44" s="9">
        <v>0</v>
      </c>
      <c r="E44" s="9" t="s">
        <v>241</v>
      </c>
      <c r="F44" s="9">
        <v>146</v>
      </c>
      <c r="G44" s="9">
        <v>2</v>
      </c>
      <c r="H44" s="9">
        <v>1</v>
      </c>
      <c r="I44" s="113" t="s">
        <v>18</v>
      </c>
      <c r="J44" s="118" t="s">
        <v>99</v>
      </c>
      <c r="K44" s="119" t="s">
        <v>103</v>
      </c>
      <c r="L44" s="120" t="s">
        <v>4605</v>
      </c>
      <c r="M44" s="109" t="str">
        <f>IF(K44="Specific mutant",VLOOKUP($L44,Mutants!$A$2:$L$560,11,FALSE),L44)</f>
        <v xml:space="preserve"> </v>
      </c>
      <c r="N44" s="9" t="str">
        <f t="shared" si="0"/>
        <v/>
      </c>
    </row>
    <row r="45" spans="1:14" ht="31.5" customHeight="1">
      <c r="A45" s="9">
        <v>52</v>
      </c>
      <c r="B45" s="9" t="s">
        <v>242</v>
      </c>
      <c r="C45" s="9" t="s">
        <v>243</v>
      </c>
      <c r="D45" s="9">
        <v>0</v>
      </c>
      <c r="E45" s="9" t="s">
        <v>244</v>
      </c>
      <c r="F45" s="9">
        <v>146</v>
      </c>
      <c r="G45" s="9">
        <v>2</v>
      </c>
      <c r="H45" s="9" t="s">
        <v>119</v>
      </c>
      <c r="I45" s="113" t="s">
        <v>18</v>
      </c>
      <c r="J45" s="118" t="s">
        <v>99</v>
      </c>
      <c r="K45" s="119" t="s">
        <v>101</v>
      </c>
      <c r="L45" s="120" t="s">
        <v>4605</v>
      </c>
      <c r="M45" s="109" t="str">
        <f>IF(K45="Specific mutant",VLOOKUP($L45,Mutants!$A$2:$L$560,11,FALSE),L45)</f>
        <v xml:space="preserve"> </v>
      </c>
      <c r="N45" s="9" t="str">
        <f t="shared" si="0"/>
        <v/>
      </c>
    </row>
    <row r="46" spans="1:14" ht="31.5" customHeight="1">
      <c r="A46" s="9">
        <v>10</v>
      </c>
      <c r="B46" s="9" t="s">
        <v>245</v>
      </c>
      <c r="C46" s="9" t="s">
        <v>246</v>
      </c>
      <c r="D46" s="9">
        <v>0</v>
      </c>
      <c r="E46" s="9" t="s">
        <v>247</v>
      </c>
      <c r="F46" s="9">
        <v>149</v>
      </c>
      <c r="G46" s="9">
        <v>2</v>
      </c>
      <c r="H46" s="9" t="s">
        <v>119</v>
      </c>
      <c r="I46" s="113" t="s">
        <v>18</v>
      </c>
      <c r="J46" s="118" t="s">
        <v>83</v>
      </c>
      <c r="K46" s="119" t="s">
        <v>88</v>
      </c>
      <c r="L46" s="121" t="s">
        <v>248</v>
      </c>
      <c r="M46" s="109" t="str">
        <f>IF(K46="Specific mutant",VLOOKUP($L46,Mutants!$A$2:$L$560,11,FALSE),L46)</f>
        <v>toString</v>
      </c>
      <c r="N46" s="9" t="str">
        <f t="shared" si="0"/>
        <v/>
      </c>
    </row>
    <row r="47" spans="1:14" ht="31.5" customHeight="1">
      <c r="A47" s="9">
        <v>22</v>
      </c>
      <c r="B47" s="9" t="s">
        <v>249</v>
      </c>
      <c r="C47" s="9" t="s">
        <v>250</v>
      </c>
      <c r="D47" s="9">
        <v>0</v>
      </c>
      <c r="E47" s="9" t="s">
        <v>251</v>
      </c>
      <c r="F47" s="9">
        <v>149</v>
      </c>
      <c r="G47" s="9">
        <v>2</v>
      </c>
      <c r="H47" s="9" t="s">
        <v>119</v>
      </c>
      <c r="I47" s="113" t="s">
        <v>18</v>
      </c>
      <c r="J47" s="118" t="s">
        <v>99</v>
      </c>
      <c r="K47" s="119" t="s">
        <v>101</v>
      </c>
      <c r="L47" s="120" t="s">
        <v>4605</v>
      </c>
      <c r="M47" s="109" t="str">
        <f>IF(K47="Specific mutant",VLOOKUP($L47,Mutants!$A$2:$L$560,11,FALSE),L47)</f>
        <v xml:space="preserve"> </v>
      </c>
      <c r="N47" s="9" t="str">
        <f t="shared" si="0"/>
        <v/>
      </c>
    </row>
    <row r="48" spans="1:14" ht="31.5" customHeight="1">
      <c r="A48" s="9">
        <v>42</v>
      </c>
      <c r="B48" s="80" t="s">
        <v>252</v>
      </c>
      <c r="C48" s="9" t="s">
        <v>253</v>
      </c>
      <c r="D48" s="9">
        <v>0</v>
      </c>
      <c r="E48" s="9" t="s">
        <v>254</v>
      </c>
      <c r="F48" s="9">
        <v>150</v>
      </c>
      <c r="G48" s="9">
        <v>2</v>
      </c>
      <c r="H48" s="9" t="s">
        <v>119</v>
      </c>
      <c r="I48" s="113" t="s">
        <v>18</v>
      </c>
      <c r="L48" s="120" t="s">
        <v>4605</v>
      </c>
      <c r="M48" s="109" t="str">
        <f>IF(K48="Specific mutant",VLOOKUP($L48,Mutants!$A$2:$L$560,11,FALSE),L48)</f>
        <v xml:space="preserve"> </v>
      </c>
      <c r="N48" s="9" t="str">
        <f t="shared" si="0"/>
        <v/>
      </c>
    </row>
    <row r="49" spans="1:14" ht="31.5" customHeight="1">
      <c r="A49" s="9">
        <v>44</v>
      </c>
      <c r="B49" s="80" t="s">
        <v>255</v>
      </c>
      <c r="C49" s="9" t="s">
        <v>256</v>
      </c>
      <c r="D49" s="9">
        <v>0</v>
      </c>
      <c r="E49" s="9" t="s">
        <v>257</v>
      </c>
      <c r="F49" s="9">
        <v>150</v>
      </c>
      <c r="G49" s="9">
        <v>2</v>
      </c>
      <c r="H49" s="9">
        <v>0</v>
      </c>
      <c r="I49" s="113" t="s">
        <v>18</v>
      </c>
      <c r="L49" s="120" t="s">
        <v>4605</v>
      </c>
      <c r="M49" s="109" t="str">
        <f>IF(K49="Specific mutant",VLOOKUP($L49,Mutants!$A$2:$L$560,11,FALSE),L49)</f>
        <v xml:space="preserve"> </v>
      </c>
      <c r="N49" s="9" t="str">
        <f t="shared" si="0"/>
        <v/>
      </c>
    </row>
    <row r="50" spans="1:14" ht="31.5" customHeight="1">
      <c r="A50" s="9">
        <v>50</v>
      </c>
      <c r="B50" s="80" t="s">
        <v>258</v>
      </c>
      <c r="C50" s="9" t="s">
        <v>259</v>
      </c>
      <c r="D50" s="9">
        <v>1</v>
      </c>
      <c r="E50" s="9" t="s">
        <v>260</v>
      </c>
      <c r="F50" s="9">
        <v>150</v>
      </c>
      <c r="G50" s="9">
        <v>2</v>
      </c>
      <c r="H50" s="9" t="s">
        <v>119</v>
      </c>
      <c r="I50" s="113" t="s">
        <v>18</v>
      </c>
      <c r="L50" s="120" t="s">
        <v>4605</v>
      </c>
      <c r="M50" s="109" t="str">
        <f>IF(K50="Specific mutant",VLOOKUP($L50,Mutants!$A$2:$L$560,11,FALSE),L50)</f>
        <v xml:space="preserve"> </v>
      </c>
      <c r="N50" s="9" t="str">
        <f t="shared" si="0"/>
        <v/>
      </c>
    </row>
    <row r="51" spans="1:14" ht="31.5" customHeight="1">
      <c r="A51" s="9">
        <v>13</v>
      </c>
      <c r="B51" s="9" t="s">
        <v>261</v>
      </c>
      <c r="C51" s="9" t="s">
        <v>262</v>
      </c>
      <c r="D51" s="9">
        <v>1</v>
      </c>
      <c r="E51" s="9" t="s">
        <v>263</v>
      </c>
      <c r="F51" s="9">
        <v>151</v>
      </c>
      <c r="G51" s="9">
        <v>2</v>
      </c>
      <c r="H51" s="9">
        <v>1</v>
      </c>
      <c r="I51" s="113" t="s">
        <v>18</v>
      </c>
      <c r="J51" s="118" t="s">
        <v>99</v>
      </c>
      <c r="K51" s="119" t="s">
        <v>91</v>
      </c>
      <c r="L51" s="120" t="s">
        <v>4605</v>
      </c>
      <c r="M51" s="109" t="str">
        <f>IF(K51="Specific mutant",VLOOKUP($L51,Mutants!$A$2:$L$560,11,FALSE),L51)</f>
        <v xml:space="preserve"> </v>
      </c>
      <c r="N51" s="9" t="str">
        <f t="shared" si="0"/>
        <v/>
      </c>
    </row>
    <row r="52" spans="1:14" ht="31.5" customHeight="1">
      <c r="A52" s="9">
        <v>32</v>
      </c>
      <c r="B52" s="9" t="s">
        <v>264</v>
      </c>
      <c r="C52" s="9" t="s">
        <v>265</v>
      </c>
      <c r="D52" s="9">
        <v>1</v>
      </c>
      <c r="E52" s="9" t="s">
        <v>266</v>
      </c>
      <c r="F52" s="9">
        <v>151</v>
      </c>
      <c r="G52" s="9">
        <v>2</v>
      </c>
      <c r="H52" s="9">
        <v>0</v>
      </c>
      <c r="I52" s="113" t="s">
        <v>18</v>
      </c>
      <c r="J52" s="118" t="s">
        <v>83</v>
      </c>
      <c r="K52" s="119" t="s">
        <v>88</v>
      </c>
      <c r="L52" s="121" t="s">
        <v>160</v>
      </c>
      <c r="M52" s="109" t="str">
        <f>IF(K52="Specific mutant",VLOOKUP($L52,Mutants!$A$2:$L$560,11,FALSE),L52)</f>
        <v>stripLeadingHyphens</v>
      </c>
      <c r="N52" s="9" t="str">
        <f t="shared" si="0"/>
        <v/>
      </c>
    </row>
    <row r="53" spans="1:14" ht="31.5" customHeight="1">
      <c r="A53" s="9">
        <v>76</v>
      </c>
      <c r="B53" s="9" t="s">
        <v>267</v>
      </c>
      <c r="C53" s="9" t="s">
        <v>268</v>
      </c>
      <c r="D53" s="9">
        <v>1</v>
      </c>
      <c r="E53" s="9" t="s">
        <v>269</v>
      </c>
      <c r="F53" s="9">
        <v>151</v>
      </c>
      <c r="G53" s="9">
        <v>2</v>
      </c>
      <c r="H53" s="9">
        <v>0</v>
      </c>
      <c r="I53" s="113" t="s">
        <v>18</v>
      </c>
      <c r="J53" s="118" t="s">
        <v>83</v>
      </c>
      <c r="K53" s="119" t="s">
        <v>91</v>
      </c>
      <c r="L53" s="120" t="s">
        <v>4605</v>
      </c>
      <c r="M53" s="109" t="str">
        <f>IF(K53="Specific mutant",VLOOKUP($L53,Mutants!$A$2:$L$560,11,FALSE),L53)</f>
        <v xml:space="preserve"> </v>
      </c>
      <c r="N53" s="9" t="str">
        <f t="shared" si="0"/>
        <v/>
      </c>
    </row>
    <row r="54" spans="1:14" ht="31.5" customHeight="1">
      <c r="A54" s="9">
        <v>87</v>
      </c>
      <c r="B54" s="9" t="s">
        <v>270</v>
      </c>
      <c r="C54" s="9" t="s">
        <v>271</v>
      </c>
      <c r="D54" s="9">
        <v>1</v>
      </c>
      <c r="E54" s="9" t="s">
        <v>272</v>
      </c>
      <c r="F54" s="9">
        <v>151</v>
      </c>
      <c r="G54" s="9">
        <v>2</v>
      </c>
      <c r="H54" s="9">
        <v>0</v>
      </c>
      <c r="I54" s="113" t="s">
        <v>18</v>
      </c>
      <c r="J54" s="118" t="s">
        <v>83</v>
      </c>
      <c r="K54" s="119" t="s">
        <v>85</v>
      </c>
      <c r="L54" s="121">
        <v>117</v>
      </c>
      <c r="M54" s="109" t="str">
        <f>IF(K54="Specific mutant",VLOOKUP($L54,Mutants!$A$2:$L$560,11,FALSE),L54)</f>
        <v xml:space="preserve">getMatchingOptions
</v>
      </c>
      <c r="N54" s="9" t="str">
        <f t="shared" si="0"/>
        <v/>
      </c>
    </row>
    <row r="55" spans="1:14" ht="31.5" customHeight="1">
      <c r="A55" s="9">
        <v>18</v>
      </c>
      <c r="B55" s="9" t="s">
        <v>273</v>
      </c>
      <c r="C55" s="9" t="s">
        <v>274</v>
      </c>
      <c r="D55" s="9">
        <v>0</v>
      </c>
      <c r="E55" s="9" t="s">
        <v>206</v>
      </c>
      <c r="F55" s="9">
        <v>152</v>
      </c>
      <c r="G55" s="9">
        <v>2</v>
      </c>
      <c r="H55" s="9">
        <v>0</v>
      </c>
      <c r="I55" s="113" t="s">
        <v>18</v>
      </c>
      <c r="J55" s="118" t="s">
        <v>83</v>
      </c>
      <c r="K55" s="119" t="s">
        <v>88</v>
      </c>
      <c r="L55" s="121" t="s">
        <v>248</v>
      </c>
      <c r="M55" s="109" t="str">
        <f>IF(K55="Specific mutant",VLOOKUP($L55,Mutants!$A$2:$L$560,11,FALSE),L55)</f>
        <v>toString</v>
      </c>
      <c r="N55" s="9" t="str">
        <f t="shared" si="0"/>
        <v/>
      </c>
    </row>
    <row r="56" spans="1:14" ht="31.5" customHeight="1">
      <c r="A56" s="9">
        <v>24</v>
      </c>
      <c r="B56" s="9" t="s">
        <v>275</v>
      </c>
      <c r="C56" s="9" t="s">
        <v>276</v>
      </c>
      <c r="D56" s="9">
        <v>0</v>
      </c>
      <c r="E56" s="9" t="s">
        <v>277</v>
      </c>
      <c r="F56" s="9">
        <v>152</v>
      </c>
      <c r="G56" s="9">
        <v>2</v>
      </c>
      <c r="H56" s="9" t="s">
        <v>119</v>
      </c>
      <c r="I56" s="113" t="s">
        <v>18</v>
      </c>
      <c r="J56" s="118" t="s">
        <v>83</v>
      </c>
      <c r="K56" s="119" t="s">
        <v>88</v>
      </c>
      <c r="L56" s="121" t="s">
        <v>248</v>
      </c>
      <c r="M56" s="109" t="str">
        <f>IF(K56="Specific mutant",VLOOKUP($L56,Mutants!$A$2:$L$560,11,FALSE),L56)</f>
        <v>toString</v>
      </c>
      <c r="N56" s="9" t="str">
        <f t="shared" si="0"/>
        <v/>
      </c>
    </row>
    <row r="57" spans="1:14" ht="31.5" customHeight="1">
      <c r="A57" s="9">
        <v>28</v>
      </c>
      <c r="B57" s="9" t="s">
        <v>278</v>
      </c>
      <c r="C57" s="9" t="s">
        <v>279</v>
      </c>
      <c r="D57" s="9">
        <v>1</v>
      </c>
      <c r="E57" s="9" t="s">
        <v>280</v>
      </c>
      <c r="F57" s="9">
        <v>152</v>
      </c>
      <c r="G57" s="9">
        <v>2</v>
      </c>
      <c r="H57" s="9" t="s">
        <v>119</v>
      </c>
      <c r="I57" s="113" t="s">
        <v>18</v>
      </c>
      <c r="J57" s="118" t="s">
        <v>83</v>
      </c>
      <c r="K57" s="119" t="s">
        <v>88</v>
      </c>
      <c r="L57" s="121" t="s">
        <v>248</v>
      </c>
      <c r="M57" s="109" t="str">
        <f>IF(K57="Specific mutant",VLOOKUP($L57,Mutants!$A$2:$L$560,11,FALSE),L57)</f>
        <v>toString</v>
      </c>
      <c r="N57" s="9" t="str">
        <f t="shared" si="0"/>
        <v/>
      </c>
    </row>
    <row r="58" spans="1:14" ht="31.5" customHeight="1">
      <c r="A58" s="9">
        <v>49</v>
      </c>
      <c r="B58" s="9" t="s">
        <v>281</v>
      </c>
      <c r="C58" s="9" t="s">
        <v>282</v>
      </c>
      <c r="D58" s="9">
        <v>1</v>
      </c>
      <c r="E58" s="9" t="s">
        <v>283</v>
      </c>
      <c r="F58" s="9">
        <v>152</v>
      </c>
      <c r="G58" s="9">
        <v>2</v>
      </c>
      <c r="H58" s="9" t="s">
        <v>119</v>
      </c>
      <c r="I58" s="113" t="s">
        <v>18</v>
      </c>
      <c r="J58" s="118" t="s">
        <v>99</v>
      </c>
      <c r="K58" s="119" t="s">
        <v>101</v>
      </c>
      <c r="L58" s="120" t="s">
        <v>4605</v>
      </c>
      <c r="M58" s="109" t="str">
        <f>IF(K58="Specific mutant",VLOOKUP($L58,Mutants!$A$2:$L$560,11,FALSE),L58)</f>
        <v xml:space="preserve"> </v>
      </c>
      <c r="N58" s="9" t="str">
        <f t="shared" si="0"/>
        <v/>
      </c>
    </row>
    <row r="59" spans="1:14" ht="31.5" customHeight="1">
      <c r="A59" s="9">
        <v>62</v>
      </c>
      <c r="B59" s="9" t="s">
        <v>284</v>
      </c>
      <c r="C59" s="9" t="s">
        <v>285</v>
      </c>
      <c r="D59" s="9">
        <v>1</v>
      </c>
      <c r="E59" s="9" t="s">
        <v>286</v>
      </c>
      <c r="F59" s="9">
        <v>152</v>
      </c>
      <c r="G59" s="9">
        <v>2</v>
      </c>
      <c r="H59" s="9" t="s">
        <v>119</v>
      </c>
      <c r="I59" s="113" t="s">
        <v>18</v>
      </c>
      <c r="J59" s="118" t="s">
        <v>99</v>
      </c>
      <c r="K59" s="119" t="s">
        <v>91</v>
      </c>
      <c r="L59" s="120" t="s">
        <v>4605</v>
      </c>
      <c r="M59" s="109" t="str">
        <f>IF(K59="Specific mutant",VLOOKUP($L59,Mutants!$A$2:$L$560,11,FALSE),L59)</f>
        <v xml:space="preserve"> </v>
      </c>
      <c r="N59" s="9" t="str">
        <f t="shared" si="0"/>
        <v/>
      </c>
    </row>
    <row r="60" spans="1:14" ht="31.5" customHeight="1">
      <c r="A60" s="9">
        <v>69</v>
      </c>
      <c r="B60" s="9" t="s">
        <v>287</v>
      </c>
      <c r="C60" s="9" t="s">
        <v>288</v>
      </c>
      <c r="D60" s="9">
        <v>1</v>
      </c>
      <c r="E60" s="9" t="s">
        <v>289</v>
      </c>
      <c r="F60" s="9">
        <v>152</v>
      </c>
      <c r="G60" s="9">
        <v>2</v>
      </c>
      <c r="H60" s="9" t="s">
        <v>119</v>
      </c>
      <c r="I60" s="113" t="s">
        <v>18</v>
      </c>
      <c r="J60" s="118" t="s">
        <v>99</v>
      </c>
      <c r="K60" s="119" t="s">
        <v>91</v>
      </c>
      <c r="L60" s="120" t="s">
        <v>4605</v>
      </c>
      <c r="M60" s="109" t="str">
        <f>IF(K60="Specific mutant",VLOOKUP($L60,Mutants!$A$2:$L$560,11,FALSE),L60)</f>
        <v xml:space="preserve"> </v>
      </c>
      <c r="N60" s="9" t="str">
        <f t="shared" si="0"/>
        <v/>
      </c>
    </row>
    <row r="61" spans="1:14" ht="31.5" customHeight="1">
      <c r="A61" s="9">
        <v>74</v>
      </c>
      <c r="B61" s="9" t="s">
        <v>290</v>
      </c>
      <c r="C61" s="9" t="s">
        <v>291</v>
      </c>
      <c r="D61" s="9">
        <v>1</v>
      </c>
      <c r="E61" s="9" t="s">
        <v>292</v>
      </c>
      <c r="F61" s="9">
        <v>152</v>
      </c>
      <c r="G61" s="9">
        <v>2</v>
      </c>
      <c r="H61" s="9">
        <v>0</v>
      </c>
      <c r="I61" s="113" t="s">
        <v>18</v>
      </c>
      <c r="J61" s="118" t="s">
        <v>99</v>
      </c>
      <c r="K61" s="119" t="s">
        <v>91</v>
      </c>
      <c r="L61" s="120" t="s">
        <v>4605</v>
      </c>
      <c r="M61" s="109" t="str">
        <f>IF(K61="Specific mutant",VLOOKUP($L61,Mutants!$A$2:$L$560,11,FALSE),L61)</f>
        <v xml:space="preserve"> </v>
      </c>
      <c r="N61" s="9" t="str">
        <f t="shared" si="0"/>
        <v/>
      </c>
    </row>
    <row r="62" spans="1:14" ht="31.5" customHeight="1">
      <c r="A62" s="9">
        <v>7</v>
      </c>
      <c r="B62" s="80" t="s">
        <v>293</v>
      </c>
      <c r="C62" s="9" t="s">
        <v>294</v>
      </c>
      <c r="D62" s="9">
        <v>1</v>
      </c>
      <c r="E62" s="9" t="s">
        <v>295</v>
      </c>
      <c r="F62" s="9">
        <v>155</v>
      </c>
      <c r="G62" s="9">
        <v>2</v>
      </c>
      <c r="H62" s="9" t="s">
        <v>119</v>
      </c>
      <c r="I62" s="113" t="s">
        <v>18</v>
      </c>
      <c r="L62" s="120" t="s">
        <v>4605</v>
      </c>
      <c r="M62" s="109" t="str">
        <f>IF(K62="Specific mutant",VLOOKUP($L62,Mutants!$A$2:$L$560,11,FALSE),L62)</f>
        <v xml:space="preserve"> </v>
      </c>
      <c r="N62" s="9" t="str">
        <f t="shared" si="0"/>
        <v/>
      </c>
    </row>
    <row r="63" spans="1:14" ht="31.5" customHeight="1">
      <c r="A63" s="9">
        <v>48</v>
      </c>
      <c r="B63" s="9" t="s">
        <v>296</v>
      </c>
      <c r="C63" s="9" t="s">
        <v>297</v>
      </c>
      <c r="D63" s="9">
        <v>1</v>
      </c>
      <c r="E63" s="9" t="s">
        <v>298</v>
      </c>
      <c r="F63" s="9">
        <v>155</v>
      </c>
      <c r="G63" s="9">
        <v>2</v>
      </c>
      <c r="H63" s="9" t="s">
        <v>119</v>
      </c>
      <c r="I63" s="113" t="s">
        <v>18</v>
      </c>
      <c r="J63" s="118" t="s">
        <v>99</v>
      </c>
      <c r="K63" s="119" t="s">
        <v>101</v>
      </c>
      <c r="L63" s="120" t="s">
        <v>4605</v>
      </c>
      <c r="M63" s="109" t="str">
        <f>IF(K63="Specific mutant",VLOOKUP($L63,Mutants!$A$2:$L$560,11,FALSE),L63)</f>
        <v xml:space="preserve"> </v>
      </c>
      <c r="N63" s="9" t="str">
        <f t="shared" si="0"/>
        <v/>
      </c>
    </row>
    <row r="64" spans="1:14" ht="31.5" customHeight="1">
      <c r="A64" s="9">
        <v>51</v>
      </c>
      <c r="B64" s="9" t="s">
        <v>299</v>
      </c>
      <c r="C64" s="9" t="s">
        <v>300</v>
      </c>
      <c r="D64" s="9">
        <v>1</v>
      </c>
      <c r="E64" s="9" t="s">
        <v>301</v>
      </c>
      <c r="F64" s="9">
        <v>155</v>
      </c>
      <c r="G64" s="9">
        <v>2</v>
      </c>
      <c r="H64" s="9" t="s">
        <v>119</v>
      </c>
      <c r="I64" s="113" t="s">
        <v>18</v>
      </c>
      <c r="J64" s="118" t="s">
        <v>99</v>
      </c>
      <c r="K64" s="119" t="s">
        <v>101</v>
      </c>
      <c r="L64" s="120" t="s">
        <v>4605</v>
      </c>
      <c r="M64" s="109" t="str">
        <f>IF(K64="Specific mutant",VLOOKUP($L64,Mutants!$A$2:$L$560,11,FALSE),L64)</f>
        <v xml:space="preserve"> </v>
      </c>
      <c r="N64" s="9" t="str">
        <f t="shared" si="0"/>
        <v/>
      </c>
    </row>
    <row r="65" spans="1:14" ht="31.5" customHeight="1">
      <c r="A65" s="9">
        <v>14</v>
      </c>
      <c r="B65" s="9" t="s">
        <v>302</v>
      </c>
      <c r="C65" s="9" t="s">
        <v>303</v>
      </c>
      <c r="D65" s="9">
        <v>0</v>
      </c>
      <c r="E65" s="9" t="s">
        <v>304</v>
      </c>
      <c r="F65" s="9">
        <v>156</v>
      </c>
      <c r="G65" s="9">
        <v>2</v>
      </c>
      <c r="H65" s="9">
        <v>0</v>
      </c>
      <c r="I65" s="113" t="s">
        <v>19</v>
      </c>
      <c r="L65" s="120" t="s">
        <v>4605</v>
      </c>
      <c r="M65" s="109" t="str">
        <f>IF(K65="Specific mutant",VLOOKUP($L65,Mutants!$A$2:$L$560,11,FALSE),L65)</f>
        <v xml:space="preserve"> </v>
      </c>
      <c r="N65" s="9" t="str">
        <f t="shared" si="0"/>
        <v>DUPLICATED</v>
      </c>
    </row>
    <row r="66" spans="1:14" ht="31.5" customHeight="1">
      <c r="A66" s="9">
        <v>21</v>
      </c>
      <c r="B66" s="9" t="s">
        <v>302</v>
      </c>
      <c r="C66" s="9" t="s">
        <v>303</v>
      </c>
      <c r="D66" s="9">
        <v>1</v>
      </c>
      <c r="E66" s="9" t="s">
        <v>251</v>
      </c>
      <c r="F66" s="9">
        <v>156</v>
      </c>
      <c r="G66" s="9">
        <v>2</v>
      </c>
      <c r="H66" s="9" t="s">
        <v>119</v>
      </c>
      <c r="I66" s="113" t="s">
        <v>19</v>
      </c>
      <c r="L66" s="120" t="s">
        <v>4605</v>
      </c>
      <c r="M66" s="109" t="str">
        <f>IF(K66="Specific mutant",VLOOKUP($L66,Mutants!$A$2:$L$560,11,FALSE),L66)</f>
        <v xml:space="preserve"> </v>
      </c>
      <c r="N66" s="9" t="str">
        <f t="shared" si="0"/>
        <v>DUPLICATED</v>
      </c>
    </row>
    <row r="67" spans="1:14" ht="31.5" customHeight="1">
      <c r="A67" s="9">
        <v>25</v>
      </c>
      <c r="B67" s="9" t="s">
        <v>302</v>
      </c>
      <c r="C67" s="9" t="s">
        <v>303</v>
      </c>
      <c r="D67" s="9">
        <v>1</v>
      </c>
      <c r="E67" s="9" t="s">
        <v>305</v>
      </c>
      <c r="F67" s="9">
        <v>156</v>
      </c>
      <c r="G67" s="9">
        <v>2</v>
      </c>
      <c r="H67" s="9">
        <v>1</v>
      </c>
      <c r="I67" s="113" t="s">
        <v>18</v>
      </c>
      <c r="J67" s="118" t="s">
        <v>83</v>
      </c>
      <c r="K67" s="119" t="s">
        <v>88</v>
      </c>
      <c r="L67" s="121" t="s">
        <v>306</v>
      </c>
      <c r="M67" s="109" t="str">
        <f>IF(K67="Specific mutant",VLOOKUP($L67,Mutants!$A$2:$L$560,11,FALSE),L67)</f>
        <v>addOption</v>
      </c>
      <c r="N67" s="9" t="str">
        <f t="shared" si="0"/>
        <v/>
      </c>
    </row>
    <row r="68" spans="1:14" ht="31.5" customHeight="1">
      <c r="A68" s="9">
        <v>31</v>
      </c>
      <c r="B68" s="9" t="s">
        <v>307</v>
      </c>
      <c r="C68" s="9" t="s">
        <v>308</v>
      </c>
      <c r="D68" s="9">
        <v>0</v>
      </c>
      <c r="E68" s="9" t="s">
        <v>309</v>
      </c>
      <c r="F68" s="9">
        <v>156</v>
      </c>
      <c r="G68" s="9">
        <v>2</v>
      </c>
      <c r="H68" s="9">
        <v>0</v>
      </c>
      <c r="I68" s="113" t="s">
        <v>18</v>
      </c>
      <c r="J68" s="118" t="s">
        <v>99</v>
      </c>
      <c r="K68" s="119" t="s">
        <v>101</v>
      </c>
      <c r="L68" s="120" t="s">
        <v>4605</v>
      </c>
      <c r="M68" s="109" t="str">
        <f>IF(K68="Specific mutant",VLOOKUP($L68,Mutants!$A$2:$L$560,11,FALSE),L68)</f>
        <v xml:space="preserve"> </v>
      </c>
      <c r="N68" s="9" t="str">
        <f t="shared" si="0"/>
        <v/>
      </c>
    </row>
    <row r="69" spans="1:14" ht="31.5" customHeight="1">
      <c r="A69" s="9">
        <v>34</v>
      </c>
      <c r="B69" s="9" t="s">
        <v>310</v>
      </c>
      <c r="C69" s="9" t="s">
        <v>311</v>
      </c>
      <c r="D69" s="9">
        <v>0</v>
      </c>
      <c r="E69" s="9" t="s">
        <v>312</v>
      </c>
      <c r="F69" s="9">
        <v>156</v>
      </c>
      <c r="G69" s="9">
        <v>2</v>
      </c>
      <c r="H69" s="9">
        <v>0</v>
      </c>
      <c r="I69" s="113" t="s">
        <v>18</v>
      </c>
      <c r="J69" s="118" t="s">
        <v>99</v>
      </c>
      <c r="K69" s="119" t="s">
        <v>101</v>
      </c>
      <c r="L69" s="120" t="s">
        <v>4605</v>
      </c>
      <c r="M69" s="109" t="str">
        <f>IF(K69="Specific mutant",VLOOKUP($L69,Mutants!$A$2:$L$560,11,FALSE),L69)</f>
        <v xml:space="preserve"> </v>
      </c>
      <c r="N69" s="9" t="str">
        <f t="shared" si="0"/>
        <v/>
      </c>
    </row>
    <row r="70" spans="1:14" ht="31.5" customHeight="1">
      <c r="A70" s="9">
        <v>38</v>
      </c>
      <c r="B70" s="9" t="s">
        <v>313</v>
      </c>
      <c r="C70" s="9" t="s">
        <v>314</v>
      </c>
      <c r="D70" s="9">
        <v>0</v>
      </c>
      <c r="E70" s="9" t="s">
        <v>315</v>
      </c>
      <c r="F70" s="9">
        <v>156</v>
      </c>
      <c r="G70" s="9">
        <v>2</v>
      </c>
      <c r="H70" s="9" t="s">
        <v>119</v>
      </c>
      <c r="I70" s="113" t="s">
        <v>19</v>
      </c>
      <c r="L70" s="120" t="s">
        <v>4605</v>
      </c>
      <c r="M70" s="109" t="str">
        <f>IF(K70="Specific mutant",VLOOKUP($L70,Mutants!$A$2:$L$560,11,FALSE),L70)</f>
        <v xml:space="preserve"> </v>
      </c>
      <c r="N70" s="9" t="str">
        <f t="shared" si="0"/>
        <v>DUPLICATED</v>
      </c>
    </row>
    <row r="71" spans="1:14" ht="31.5" customHeight="1">
      <c r="A71" s="9">
        <v>40</v>
      </c>
      <c r="B71" s="9" t="s">
        <v>313</v>
      </c>
      <c r="C71" s="9" t="s">
        <v>314</v>
      </c>
      <c r="D71" s="9">
        <v>1</v>
      </c>
      <c r="E71" s="9" t="s">
        <v>316</v>
      </c>
      <c r="F71" s="9">
        <v>156</v>
      </c>
      <c r="G71" s="9">
        <v>2</v>
      </c>
      <c r="H71" s="9" t="s">
        <v>119</v>
      </c>
      <c r="I71" s="113" t="s">
        <v>18</v>
      </c>
      <c r="J71" s="118" t="s">
        <v>99</v>
      </c>
      <c r="K71" s="119" t="s">
        <v>101</v>
      </c>
      <c r="L71" s="120" t="s">
        <v>4605</v>
      </c>
      <c r="M71" s="109" t="str">
        <f>IF(K71="Specific mutant",VLOOKUP($L71,Mutants!$A$2:$L$560,11,FALSE),L71)</f>
        <v xml:space="preserve"> </v>
      </c>
      <c r="N71" s="9" t="str">
        <f t="shared" si="0"/>
        <v/>
      </c>
    </row>
    <row r="72" spans="1:14" ht="31.5" customHeight="1">
      <c r="A72" s="9">
        <v>45</v>
      </c>
      <c r="B72" s="9" t="s">
        <v>317</v>
      </c>
      <c r="C72" s="9" t="s">
        <v>318</v>
      </c>
      <c r="D72" s="9">
        <v>1</v>
      </c>
      <c r="E72" s="9" t="s">
        <v>319</v>
      </c>
      <c r="F72" s="9">
        <v>156</v>
      </c>
      <c r="G72" s="9">
        <v>2</v>
      </c>
      <c r="H72" s="9" t="s">
        <v>119</v>
      </c>
      <c r="I72" s="113" t="s">
        <v>18</v>
      </c>
      <c r="J72" s="118" t="s">
        <v>99</v>
      </c>
      <c r="K72" s="119" t="s">
        <v>101</v>
      </c>
      <c r="L72" s="120" t="s">
        <v>4605</v>
      </c>
      <c r="M72" s="109" t="str">
        <f>IF(K72="Specific mutant",VLOOKUP($L72,Mutants!$A$2:$L$560,11,FALSE),L72)</f>
        <v xml:space="preserve"> </v>
      </c>
      <c r="N72" s="9" t="str">
        <f t="shared" si="0"/>
        <v/>
      </c>
    </row>
    <row r="73" spans="1:14" ht="31.5" customHeight="1">
      <c r="A73" s="9">
        <v>65</v>
      </c>
      <c r="B73" s="9" t="s">
        <v>320</v>
      </c>
      <c r="C73" s="9" t="s">
        <v>321</v>
      </c>
      <c r="D73" s="9">
        <v>0</v>
      </c>
      <c r="E73" s="9" t="s">
        <v>322</v>
      </c>
      <c r="F73" s="9">
        <v>156</v>
      </c>
      <c r="G73" s="9">
        <v>2</v>
      </c>
      <c r="H73" s="9">
        <v>0</v>
      </c>
      <c r="I73" s="113" t="s">
        <v>19</v>
      </c>
      <c r="L73" s="120" t="s">
        <v>4605</v>
      </c>
      <c r="M73" s="109" t="str">
        <f>IF(K73="Specific mutant",VLOOKUP($L73,Mutants!$A$2:$L$560,11,FALSE),L73)</f>
        <v xml:space="preserve"> </v>
      </c>
      <c r="N73" s="9" t="str">
        <f t="shared" si="0"/>
        <v>DUPLICATED</v>
      </c>
    </row>
    <row r="74" spans="1:14" ht="31.5" customHeight="1">
      <c r="A74" s="9">
        <v>67</v>
      </c>
      <c r="B74" s="9" t="s">
        <v>320</v>
      </c>
      <c r="C74" s="9" t="s">
        <v>321</v>
      </c>
      <c r="D74" s="9">
        <v>1</v>
      </c>
      <c r="E74" s="9" t="s">
        <v>323</v>
      </c>
      <c r="F74" s="9">
        <v>156</v>
      </c>
      <c r="G74" s="9">
        <v>2</v>
      </c>
      <c r="H74" s="9" t="s">
        <v>119</v>
      </c>
      <c r="I74" s="113" t="s">
        <v>18</v>
      </c>
      <c r="J74" s="118" t="s">
        <v>99</v>
      </c>
      <c r="K74" s="119" t="s">
        <v>103</v>
      </c>
      <c r="L74" s="120" t="s">
        <v>4605</v>
      </c>
      <c r="M74" s="109" t="str">
        <f>IF(K74="Specific mutant",VLOOKUP($L74,Mutants!$A$2:$L$560,11,FALSE),L74)</f>
        <v xml:space="preserve"> </v>
      </c>
      <c r="N74" s="9" t="str">
        <f t="shared" si="0"/>
        <v/>
      </c>
    </row>
    <row r="75" spans="1:14" ht="31.5" customHeight="1">
      <c r="A75" s="9">
        <v>71</v>
      </c>
      <c r="B75" s="9" t="s">
        <v>324</v>
      </c>
      <c r="C75" s="9" t="s">
        <v>325</v>
      </c>
      <c r="D75" s="9">
        <v>1</v>
      </c>
      <c r="E75" s="9" t="s">
        <v>326</v>
      </c>
      <c r="F75" s="9">
        <v>156</v>
      </c>
      <c r="G75" s="9">
        <v>2</v>
      </c>
      <c r="H75" s="9" t="s">
        <v>119</v>
      </c>
      <c r="I75" s="113" t="s">
        <v>18</v>
      </c>
      <c r="J75" s="118" t="s">
        <v>99</v>
      </c>
      <c r="K75" s="119" t="s">
        <v>103</v>
      </c>
      <c r="L75" s="120" t="s">
        <v>4605</v>
      </c>
      <c r="M75" s="109" t="str">
        <f>IF(K75="Specific mutant",VLOOKUP($L75,Mutants!$A$2:$L$560,11,FALSE),L75)</f>
        <v xml:space="preserve"> </v>
      </c>
      <c r="N75" s="9" t="str">
        <f t="shared" si="0"/>
        <v/>
      </c>
    </row>
    <row r="76" spans="1:14" ht="31.5" customHeight="1">
      <c r="A76" s="9">
        <v>16</v>
      </c>
      <c r="B76" s="9" t="s">
        <v>327</v>
      </c>
      <c r="C76" s="9" t="s">
        <v>328</v>
      </c>
      <c r="D76" s="9">
        <v>1</v>
      </c>
      <c r="E76" s="9" t="s">
        <v>329</v>
      </c>
      <c r="F76" s="9">
        <v>157</v>
      </c>
      <c r="G76" s="9">
        <v>2</v>
      </c>
      <c r="H76" s="9">
        <v>0</v>
      </c>
      <c r="I76" s="113" t="s">
        <v>18</v>
      </c>
      <c r="J76" s="118" t="s">
        <v>99</v>
      </c>
      <c r="K76" s="119" t="s">
        <v>103</v>
      </c>
      <c r="L76" s="120" t="s">
        <v>4605</v>
      </c>
      <c r="M76" s="109" t="str">
        <f>IF(K76="Specific mutant",VLOOKUP($L76,Mutants!$A$2:$L$560,11,FALSE),L76)</f>
        <v xml:space="preserve"> </v>
      </c>
      <c r="N76" s="9" t="str">
        <f t="shared" si="0"/>
        <v/>
      </c>
    </row>
    <row r="77" spans="1:14" ht="31.5" customHeight="1">
      <c r="A77" s="9">
        <v>30</v>
      </c>
      <c r="B77" s="9" t="s">
        <v>330</v>
      </c>
      <c r="C77" s="9" t="s">
        <v>331</v>
      </c>
      <c r="D77" s="9">
        <v>0</v>
      </c>
      <c r="E77" s="9" t="s">
        <v>332</v>
      </c>
      <c r="F77" s="9">
        <v>157</v>
      </c>
      <c r="G77" s="9">
        <v>2</v>
      </c>
      <c r="H77" s="9" t="s">
        <v>119</v>
      </c>
      <c r="I77" s="113" t="s">
        <v>18</v>
      </c>
      <c r="J77" s="118" t="s">
        <v>99</v>
      </c>
      <c r="K77" s="119" t="s">
        <v>103</v>
      </c>
      <c r="L77" s="120" t="s">
        <v>4605</v>
      </c>
      <c r="M77" s="109" t="str">
        <f>IF(K77="Specific mutant",VLOOKUP($L77,Mutants!$A$2:$L$560,11,FALSE),L77)</f>
        <v xml:space="preserve"> </v>
      </c>
      <c r="N77" s="9" t="str">
        <f t="shared" si="0"/>
        <v/>
      </c>
    </row>
    <row r="78" spans="1:14" ht="31.5" customHeight="1">
      <c r="A78" s="9">
        <v>37</v>
      </c>
      <c r="B78" s="9" t="s">
        <v>333</v>
      </c>
      <c r="C78" s="9" t="s">
        <v>334</v>
      </c>
      <c r="D78" s="9">
        <v>1</v>
      </c>
      <c r="E78" s="9" t="s">
        <v>335</v>
      </c>
      <c r="F78" s="9">
        <v>157</v>
      </c>
      <c r="G78" s="9">
        <v>2</v>
      </c>
      <c r="H78" s="9">
        <v>1</v>
      </c>
      <c r="I78" s="113" t="s">
        <v>18</v>
      </c>
      <c r="J78" s="118" t="s">
        <v>99</v>
      </c>
      <c r="K78" s="119" t="s">
        <v>103</v>
      </c>
      <c r="L78" s="120" t="s">
        <v>4605</v>
      </c>
      <c r="M78" s="109" t="str">
        <f>IF(K78="Specific mutant",VLOOKUP($L78,Mutants!$A$2:$L$560,11,FALSE),L78)</f>
        <v xml:space="preserve"> </v>
      </c>
      <c r="N78" s="9" t="str">
        <f t="shared" si="0"/>
        <v/>
      </c>
    </row>
    <row r="79" spans="1:14" ht="31.5" customHeight="1">
      <c r="A79" s="9">
        <v>56</v>
      </c>
      <c r="B79" s="9" t="s">
        <v>336</v>
      </c>
      <c r="C79" s="9" t="s">
        <v>337</v>
      </c>
      <c r="D79" s="9">
        <v>0</v>
      </c>
      <c r="E79" s="9" t="s">
        <v>338</v>
      </c>
      <c r="F79" s="9">
        <v>157</v>
      </c>
      <c r="G79" s="9">
        <v>2</v>
      </c>
      <c r="H79" s="9">
        <v>0</v>
      </c>
      <c r="I79" s="113" t="s">
        <v>19</v>
      </c>
      <c r="L79" s="120" t="s">
        <v>4605</v>
      </c>
      <c r="M79" s="109" t="str">
        <f>IF(K79="Specific mutant",VLOOKUP($L79,Mutants!$A$2:$L$560,11,FALSE),L79)</f>
        <v xml:space="preserve"> </v>
      </c>
      <c r="N79" s="9" t="str">
        <f t="shared" si="0"/>
        <v>DUPLICATED</v>
      </c>
    </row>
    <row r="80" spans="1:14" ht="31.5" customHeight="1">
      <c r="A80" s="9">
        <v>59</v>
      </c>
      <c r="B80" s="9" t="s">
        <v>336</v>
      </c>
      <c r="C80" s="9" t="s">
        <v>339</v>
      </c>
      <c r="D80" s="9">
        <v>1</v>
      </c>
      <c r="E80" s="9" t="s">
        <v>340</v>
      </c>
      <c r="F80" s="9">
        <v>157</v>
      </c>
      <c r="G80" s="9">
        <v>2</v>
      </c>
      <c r="H80" s="9" t="s">
        <v>119</v>
      </c>
      <c r="I80" s="113" t="s">
        <v>18</v>
      </c>
      <c r="J80" s="118" t="s">
        <v>99</v>
      </c>
      <c r="K80" s="119" t="s">
        <v>101</v>
      </c>
      <c r="L80" s="120" t="s">
        <v>4605</v>
      </c>
      <c r="M80" s="109" t="str">
        <f>IF(K80="Specific mutant",VLOOKUP($L80,Mutants!$A$2:$L$560,11,FALSE),L80)</f>
        <v xml:space="preserve"> </v>
      </c>
      <c r="N80" s="9" t="str">
        <f t="shared" si="0"/>
        <v/>
      </c>
    </row>
    <row r="81" spans="1:14" ht="31.5" customHeight="1">
      <c r="A81" s="9">
        <v>72</v>
      </c>
      <c r="B81" s="9" t="s">
        <v>341</v>
      </c>
      <c r="C81" s="9" t="s">
        <v>342</v>
      </c>
      <c r="D81" s="9">
        <v>1</v>
      </c>
      <c r="E81" s="9" t="s">
        <v>343</v>
      </c>
      <c r="F81" s="9">
        <v>157</v>
      </c>
      <c r="G81" s="9">
        <v>2</v>
      </c>
      <c r="H81" s="9">
        <v>0</v>
      </c>
      <c r="I81" s="113" t="s">
        <v>18</v>
      </c>
      <c r="J81" s="118" t="s">
        <v>83</v>
      </c>
      <c r="K81" s="119" t="s">
        <v>88</v>
      </c>
      <c r="L81" s="121" t="s">
        <v>248</v>
      </c>
      <c r="M81" s="109" t="str">
        <f>IF(K81="Specific mutant",VLOOKUP($L81,Mutants!$A$2:$L$560,11,FALSE),L81)</f>
        <v>toString</v>
      </c>
      <c r="N81" s="9" t="str">
        <f t="shared" si="0"/>
        <v/>
      </c>
    </row>
    <row r="82" spans="1:14" ht="31.5" customHeight="1">
      <c r="A82" s="9">
        <v>81</v>
      </c>
      <c r="B82" s="9" t="s">
        <v>344</v>
      </c>
      <c r="C82" s="9" t="s">
        <v>345</v>
      </c>
      <c r="D82" s="9">
        <v>0</v>
      </c>
      <c r="E82" s="9" t="s">
        <v>346</v>
      </c>
      <c r="F82" s="9">
        <v>157</v>
      </c>
      <c r="G82" s="9">
        <v>2</v>
      </c>
      <c r="H82" s="9">
        <v>0</v>
      </c>
      <c r="I82" s="113" t="s">
        <v>18</v>
      </c>
      <c r="J82" s="118" t="s">
        <v>83</v>
      </c>
      <c r="K82" s="119" t="s">
        <v>88</v>
      </c>
      <c r="L82" s="121" t="s">
        <v>160</v>
      </c>
      <c r="M82" s="109" t="str">
        <f>IF(K82="Specific mutant",VLOOKUP($L82,Mutants!$A$2:$L$560,11,FALSE),L82)</f>
        <v>stripLeadingHyphens</v>
      </c>
      <c r="N82" s="9" t="str">
        <f t="shared" si="0"/>
        <v/>
      </c>
    </row>
    <row r="83" spans="1:14" ht="31.5" customHeight="1">
      <c r="A83" s="9">
        <v>88</v>
      </c>
      <c r="B83" s="9" t="s">
        <v>347</v>
      </c>
      <c r="C83" s="9" t="s">
        <v>348</v>
      </c>
      <c r="D83" s="9">
        <v>0</v>
      </c>
      <c r="E83" s="9" t="s">
        <v>349</v>
      </c>
      <c r="F83" s="9">
        <v>157</v>
      </c>
      <c r="G83" s="9">
        <v>2</v>
      </c>
      <c r="H83" s="9">
        <v>0</v>
      </c>
      <c r="I83" s="113" t="s">
        <v>18</v>
      </c>
      <c r="J83" s="118" t="s">
        <v>83</v>
      </c>
      <c r="K83" s="119" t="s">
        <v>85</v>
      </c>
      <c r="L83" s="121">
        <v>177</v>
      </c>
      <c r="M83" s="109" t="str">
        <f>IF(K83="Specific mutant",VLOOKUP($L83,Mutants!$A$2:$L$560,11,FALSE),L83)</f>
        <v xml:space="preserve">stripLeadingHyphens
</v>
      </c>
      <c r="N83" s="9" t="str">
        <f t="shared" si="0"/>
        <v/>
      </c>
    </row>
    <row r="84" spans="1:14" ht="31.5" customHeight="1">
      <c r="A84" s="9">
        <v>90</v>
      </c>
      <c r="B84" s="9" t="s">
        <v>350</v>
      </c>
      <c r="C84" s="9" t="s">
        <v>351</v>
      </c>
      <c r="D84" s="9">
        <v>1</v>
      </c>
      <c r="E84" s="9" t="s">
        <v>352</v>
      </c>
      <c r="F84" s="9">
        <v>157</v>
      </c>
      <c r="G84" s="9">
        <v>2</v>
      </c>
      <c r="H84" s="9" t="s">
        <v>119</v>
      </c>
      <c r="I84" s="113" t="s">
        <v>18</v>
      </c>
      <c r="J84" s="118" t="s">
        <v>83</v>
      </c>
      <c r="K84" s="119" t="s">
        <v>85</v>
      </c>
      <c r="L84" s="121">
        <v>177</v>
      </c>
      <c r="M84" s="109" t="str">
        <f>IF(K84="Specific mutant",VLOOKUP($L84,Mutants!$A$2:$L$560,11,FALSE),L84)</f>
        <v xml:space="preserve">stripLeadingHyphens
</v>
      </c>
      <c r="N84" s="9" t="str">
        <f t="shared" si="0"/>
        <v/>
      </c>
    </row>
    <row r="85" spans="1:14" ht="31.5" customHeight="1">
      <c r="A85" s="9">
        <v>93</v>
      </c>
      <c r="B85" s="9" t="s">
        <v>353</v>
      </c>
      <c r="C85" s="9" t="s">
        <v>354</v>
      </c>
      <c r="D85" s="9">
        <v>1</v>
      </c>
      <c r="E85" s="9" t="s">
        <v>355</v>
      </c>
      <c r="F85" s="9">
        <v>157</v>
      </c>
      <c r="G85" s="9">
        <v>2</v>
      </c>
      <c r="H85" s="9" t="s">
        <v>119</v>
      </c>
      <c r="I85" s="113" t="s">
        <v>18</v>
      </c>
      <c r="J85" s="118" t="s">
        <v>83</v>
      </c>
      <c r="K85" s="119" t="s">
        <v>85</v>
      </c>
      <c r="L85" s="121">
        <v>177</v>
      </c>
      <c r="M85" s="109" t="str">
        <f>IF(K85="Specific mutant",VLOOKUP($L85,Mutants!$A$2:$L$560,11,FALSE),L85)</f>
        <v xml:space="preserve">stripLeadingHyphens
</v>
      </c>
      <c r="N85" s="9" t="str">
        <f t="shared" si="0"/>
        <v/>
      </c>
    </row>
    <row r="86" spans="1:14" ht="31.5" customHeight="1">
      <c r="A86" s="9">
        <v>9</v>
      </c>
      <c r="B86" s="9" t="s">
        <v>356</v>
      </c>
      <c r="C86" s="9" t="s">
        <v>357</v>
      </c>
      <c r="D86" s="9">
        <v>0</v>
      </c>
      <c r="E86" s="9" t="s">
        <v>358</v>
      </c>
      <c r="F86" s="9">
        <v>158</v>
      </c>
      <c r="G86" s="9">
        <v>2</v>
      </c>
      <c r="H86" s="9">
        <v>1</v>
      </c>
      <c r="I86" s="113" t="s">
        <v>18</v>
      </c>
      <c r="J86" s="118" t="s">
        <v>99</v>
      </c>
      <c r="K86" s="119" t="s">
        <v>103</v>
      </c>
      <c r="L86" s="120" t="s">
        <v>4605</v>
      </c>
      <c r="M86" s="109" t="str">
        <f>IF(K86="Specific mutant",VLOOKUP($L86,Mutants!$A$2:$L$560,11,FALSE),L86)</f>
        <v xml:space="preserve"> </v>
      </c>
      <c r="N86" s="9" t="str">
        <f t="shared" si="0"/>
        <v/>
      </c>
    </row>
    <row r="87" spans="1:14" ht="31.5" customHeight="1">
      <c r="A87" s="9">
        <v>58</v>
      </c>
      <c r="B87" s="9" t="s">
        <v>359</v>
      </c>
      <c r="C87" s="9" t="s">
        <v>360</v>
      </c>
      <c r="D87" s="9">
        <v>0</v>
      </c>
      <c r="E87" s="9" t="s">
        <v>361</v>
      </c>
      <c r="F87" s="9">
        <v>158</v>
      </c>
      <c r="G87" s="9">
        <v>2</v>
      </c>
      <c r="H87" s="9">
        <v>1</v>
      </c>
      <c r="I87" s="113" t="s">
        <v>18</v>
      </c>
      <c r="J87" s="118" t="s">
        <v>83</v>
      </c>
      <c r="K87" s="119" t="s">
        <v>88</v>
      </c>
      <c r="L87" s="121" t="s">
        <v>362</v>
      </c>
      <c r="M87" s="109" t="str">
        <f>IF(K87="Specific mutant",VLOOKUP($L87,Mutants!$A$2:$L$560,11,FALSE),L87)</f>
        <v>addOptionGroup</v>
      </c>
      <c r="N87" s="9" t="str">
        <f t="shared" si="0"/>
        <v/>
      </c>
    </row>
    <row r="88" spans="1:14" ht="31.5" customHeight="1">
      <c r="A88" s="9">
        <v>64</v>
      </c>
      <c r="B88" s="9" t="s">
        <v>363</v>
      </c>
      <c r="C88" s="9" t="s">
        <v>364</v>
      </c>
      <c r="D88" s="9">
        <v>0</v>
      </c>
      <c r="E88" s="9" t="s">
        <v>365</v>
      </c>
      <c r="F88" s="9">
        <v>158</v>
      </c>
      <c r="G88" s="9">
        <v>2</v>
      </c>
      <c r="H88" s="9" t="s">
        <v>119</v>
      </c>
      <c r="I88" s="113" t="s">
        <v>18</v>
      </c>
      <c r="J88" s="118" t="s">
        <v>99</v>
      </c>
      <c r="K88" s="119" t="s">
        <v>103</v>
      </c>
      <c r="L88" s="120" t="s">
        <v>4605</v>
      </c>
      <c r="M88" s="109" t="str">
        <f>IF(K88="Specific mutant",VLOOKUP($L88,Mutants!$A$2:$L$560,11,FALSE),L88)</f>
        <v xml:space="preserve"> </v>
      </c>
      <c r="N88" s="9" t="str">
        <f t="shared" si="0"/>
        <v/>
      </c>
    </row>
    <row r="89" spans="1:14" ht="31.5" customHeight="1">
      <c r="A89" s="9">
        <v>82</v>
      </c>
      <c r="B89" s="80" t="s">
        <v>366</v>
      </c>
      <c r="C89" s="9" t="s">
        <v>367</v>
      </c>
      <c r="D89" s="9">
        <v>1</v>
      </c>
      <c r="E89" s="9" t="s">
        <v>368</v>
      </c>
      <c r="F89" s="9">
        <v>189</v>
      </c>
      <c r="G89" s="9">
        <v>2</v>
      </c>
      <c r="H89" s="9">
        <v>1</v>
      </c>
      <c r="I89" s="113" t="s">
        <v>18</v>
      </c>
      <c r="L89" s="120" t="s">
        <v>4605</v>
      </c>
      <c r="M89" s="109" t="str">
        <f>IF(K89="Specific mutant",VLOOKUP($L89,Mutants!$A$2:$L$560,11,FALSE),L89)</f>
        <v xml:space="preserve"> </v>
      </c>
      <c r="N89" s="9" t="str">
        <f t="shared" si="0"/>
        <v/>
      </c>
    </row>
    <row r="90" spans="1:14" ht="31.5" customHeight="1">
      <c r="A90" s="9">
        <v>86</v>
      </c>
      <c r="B90" s="80" t="s">
        <v>369</v>
      </c>
      <c r="C90" s="9" t="s">
        <v>370</v>
      </c>
      <c r="D90" s="9">
        <v>1</v>
      </c>
      <c r="E90" s="9" t="s">
        <v>371</v>
      </c>
      <c r="F90" s="9">
        <v>189</v>
      </c>
      <c r="G90" s="9">
        <v>2</v>
      </c>
      <c r="H90" s="9" t="s">
        <v>119</v>
      </c>
      <c r="I90" s="113" t="s">
        <v>18</v>
      </c>
      <c r="L90" s="120" t="s">
        <v>4605</v>
      </c>
      <c r="M90" s="109" t="str">
        <f>IF(K90="Specific mutant",VLOOKUP($L90,Mutants!$A$2:$L$560,11,FALSE),L90)</f>
        <v xml:space="preserve"> </v>
      </c>
      <c r="N90" s="9" t="str">
        <f t="shared" si="0"/>
        <v/>
      </c>
    </row>
    <row r="91" spans="1:14" ht="31.5" customHeight="1">
      <c r="A91" s="9">
        <v>106</v>
      </c>
      <c r="B91" s="9" t="s">
        <v>372</v>
      </c>
      <c r="C91" s="9" t="s">
        <v>373</v>
      </c>
      <c r="D91" s="9">
        <v>1</v>
      </c>
      <c r="E91" s="9" t="s">
        <v>374</v>
      </c>
      <c r="F91" s="9">
        <v>220</v>
      </c>
      <c r="G91" s="9">
        <v>2</v>
      </c>
      <c r="H91" s="9" t="s">
        <v>119</v>
      </c>
      <c r="I91" s="113" t="s">
        <v>18</v>
      </c>
      <c r="J91" s="118" t="s">
        <v>83</v>
      </c>
      <c r="K91" s="119" t="s">
        <v>88</v>
      </c>
      <c r="L91" s="121" t="s">
        <v>375</v>
      </c>
      <c r="M91" s="109" t="str">
        <f>IF(K91="Specific mutant",VLOOKUP($L91,Mutants!$A$2:$L$560,11,FALSE),L91)</f>
        <v>removeField</v>
      </c>
      <c r="N91" s="9" t="str">
        <f t="shared" si="0"/>
        <v/>
      </c>
    </row>
    <row r="92" spans="1:14" ht="31.5" customHeight="1">
      <c r="A92" s="9">
        <v>137</v>
      </c>
      <c r="B92" s="9" t="s">
        <v>376</v>
      </c>
      <c r="C92" s="9" t="s">
        <v>377</v>
      </c>
      <c r="D92" s="9">
        <v>0</v>
      </c>
      <c r="E92" s="9" t="s">
        <v>378</v>
      </c>
      <c r="F92" s="9">
        <v>220</v>
      </c>
      <c r="G92" s="9">
        <v>2</v>
      </c>
      <c r="H92" s="9">
        <v>0</v>
      </c>
      <c r="I92" s="113" t="s">
        <v>18</v>
      </c>
      <c r="J92" s="118" t="s">
        <v>99</v>
      </c>
      <c r="K92" s="119" t="s">
        <v>91</v>
      </c>
      <c r="L92" s="120" t="s">
        <v>4605</v>
      </c>
      <c r="M92" s="109" t="str">
        <f>IF(K92="Specific mutant",VLOOKUP($L92,Mutants!$A$2:$L$560,11,FALSE),L92)</f>
        <v xml:space="preserve"> </v>
      </c>
      <c r="N92" s="9" t="str">
        <f t="shared" si="0"/>
        <v/>
      </c>
    </row>
    <row r="93" spans="1:14" ht="31.5" customHeight="1">
      <c r="A93" s="9">
        <v>101</v>
      </c>
      <c r="B93" s="9" t="s">
        <v>379</v>
      </c>
      <c r="C93" s="9" t="s">
        <v>380</v>
      </c>
      <c r="D93" s="9">
        <v>0</v>
      </c>
      <c r="E93" s="9" t="s">
        <v>381</v>
      </c>
      <c r="F93" s="9">
        <v>221</v>
      </c>
      <c r="G93" s="9">
        <v>2</v>
      </c>
      <c r="H93" s="9" t="s">
        <v>119</v>
      </c>
      <c r="I93" s="113" t="s">
        <v>18</v>
      </c>
      <c r="J93" s="118" t="s">
        <v>93</v>
      </c>
      <c r="K93" s="119" t="s">
        <v>91</v>
      </c>
      <c r="L93" s="120" t="s">
        <v>4605</v>
      </c>
      <c r="M93" s="109" t="str">
        <f>IF(K93="Specific mutant",VLOOKUP($L93,Mutants!$A$2:$L$560,11,FALSE),L93)</f>
        <v xml:space="preserve"> </v>
      </c>
      <c r="N93" s="9" t="str">
        <f t="shared" si="0"/>
        <v/>
      </c>
    </row>
    <row r="94" spans="1:14" ht="31.5" customHeight="1">
      <c r="A94" s="9">
        <v>116</v>
      </c>
      <c r="B94" s="9" t="s">
        <v>382</v>
      </c>
      <c r="C94" s="9" t="s">
        <v>383</v>
      </c>
      <c r="D94" s="9">
        <v>0</v>
      </c>
      <c r="E94" s="9" t="s">
        <v>384</v>
      </c>
      <c r="F94" s="9">
        <v>222</v>
      </c>
      <c r="G94" s="9">
        <v>2</v>
      </c>
      <c r="H94" s="9">
        <v>1</v>
      </c>
      <c r="I94" s="113" t="s">
        <v>19</v>
      </c>
      <c r="L94" s="120" t="s">
        <v>4605</v>
      </c>
      <c r="M94" s="109" t="str">
        <f>IF(K94="Specific mutant",VLOOKUP($L94,Mutants!$A$2:$L$560,11,FALSE),L94)</f>
        <v xml:space="preserve"> </v>
      </c>
      <c r="N94" s="9" t="str">
        <f t="shared" si="0"/>
        <v>DUPLICATED</v>
      </c>
    </row>
    <row r="95" spans="1:14" ht="31.5" customHeight="1">
      <c r="A95" s="9">
        <v>120</v>
      </c>
      <c r="B95" s="9" t="s">
        <v>382</v>
      </c>
      <c r="C95" s="9" t="s">
        <v>383</v>
      </c>
      <c r="D95" s="9">
        <v>1</v>
      </c>
      <c r="E95" s="9" t="s">
        <v>385</v>
      </c>
      <c r="F95" s="9">
        <v>222</v>
      </c>
      <c r="G95" s="9">
        <v>2</v>
      </c>
      <c r="H95" s="9" t="s">
        <v>119</v>
      </c>
      <c r="I95" s="113" t="s">
        <v>18</v>
      </c>
      <c r="J95" s="118" t="s">
        <v>83</v>
      </c>
      <c r="K95" s="119" t="s">
        <v>85</v>
      </c>
      <c r="L95" s="121">
        <v>460</v>
      </c>
      <c r="M95" s="109" t="str">
        <f>IF(K95="Specific mutant",VLOOKUP($L95,Mutants!$A$2:$L$560,11,FALSE),L95)</f>
        <v xml:space="preserve">removeField
</v>
      </c>
      <c r="N95" s="9" t="str">
        <f t="shared" si="0"/>
        <v/>
      </c>
    </row>
    <row r="96" spans="1:14" ht="31.5" customHeight="1">
      <c r="A96" s="9">
        <v>136</v>
      </c>
      <c r="B96" s="9" t="s">
        <v>386</v>
      </c>
      <c r="C96" s="9" t="s">
        <v>387</v>
      </c>
      <c r="D96" s="9">
        <v>1</v>
      </c>
      <c r="E96" s="9" t="s">
        <v>388</v>
      </c>
      <c r="F96" s="9">
        <v>222</v>
      </c>
      <c r="G96" s="9">
        <v>2</v>
      </c>
      <c r="H96" s="9" t="s">
        <v>119</v>
      </c>
      <c r="I96" s="113" t="s">
        <v>18</v>
      </c>
      <c r="J96" s="118" t="s">
        <v>83</v>
      </c>
      <c r="K96" s="119" t="s">
        <v>85</v>
      </c>
      <c r="L96" s="121">
        <v>460</v>
      </c>
      <c r="M96" s="109" t="str">
        <f>IF(K96="Specific mutant",VLOOKUP($L96,Mutants!$A$2:$L$560,11,FALSE),L96)</f>
        <v xml:space="preserve">removeField
</v>
      </c>
      <c r="N96" s="9" t="str">
        <f t="shared" si="0"/>
        <v/>
      </c>
    </row>
    <row r="97" spans="1:14" ht="31.5" customHeight="1">
      <c r="A97" s="9">
        <v>140</v>
      </c>
      <c r="B97" s="9" t="s">
        <v>389</v>
      </c>
      <c r="C97" s="9" t="s">
        <v>390</v>
      </c>
      <c r="D97" s="9">
        <v>0</v>
      </c>
      <c r="E97" s="9" t="s">
        <v>391</v>
      </c>
      <c r="F97" s="9">
        <v>222</v>
      </c>
      <c r="G97" s="9">
        <v>2</v>
      </c>
      <c r="H97" s="9">
        <v>1</v>
      </c>
      <c r="I97" s="113" t="s">
        <v>19</v>
      </c>
      <c r="L97" s="120" t="s">
        <v>4605</v>
      </c>
      <c r="M97" s="109" t="str">
        <f>IF(K97="Specific mutant",VLOOKUP($L97,Mutants!$A$2:$L$560,11,FALSE),L97)</f>
        <v xml:space="preserve"> </v>
      </c>
      <c r="N97" s="9" t="str">
        <f t="shared" si="0"/>
        <v>DUPLICATED</v>
      </c>
    </row>
    <row r="98" spans="1:14" ht="31.5" customHeight="1">
      <c r="A98" s="9">
        <v>143</v>
      </c>
      <c r="B98" s="9" t="s">
        <v>389</v>
      </c>
      <c r="C98" s="9" t="s">
        <v>392</v>
      </c>
      <c r="D98" s="9">
        <v>1</v>
      </c>
      <c r="E98" s="9" t="s">
        <v>393</v>
      </c>
      <c r="F98" s="9">
        <v>222</v>
      </c>
      <c r="G98" s="9">
        <v>2</v>
      </c>
      <c r="H98" s="9" t="s">
        <v>119</v>
      </c>
      <c r="I98" s="113" t="s">
        <v>18</v>
      </c>
      <c r="J98" s="118" t="s">
        <v>83</v>
      </c>
      <c r="K98" s="119" t="s">
        <v>85</v>
      </c>
      <c r="L98" s="121">
        <v>460</v>
      </c>
      <c r="M98" s="109" t="str">
        <f>IF(K98="Specific mutant",VLOOKUP($L98,Mutants!$A$2:$L$560,11,FALSE),L98)</f>
        <v xml:space="preserve">removeField
</v>
      </c>
      <c r="N98" s="9" t="str">
        <f t="shared" si="0"/>
        <v/>
      </c>
    </row>
    <row r="99" spans="1:14" ht="31.5" customHeight="1">
      <c r="A99" s="9">
        <v>156</v>
      </c>
      <c r="B99" s="9" t="s">
        <v>394</v>
      </c>
      <c r="C99" s="9" t="s">
        <v>395</v>
      </c>
      <c r="D99" s="9">
        <v>1</v>
      </c>
      <c r="E99" s="9" t="s">
        <v>396</v>
      </c>
      <c r="F99" s="9">
        <v>222</v>
      </c>
      <c r="G99" s="9">
        <v>2</v>
      </c>
      <c r="H99" s="9">
        <v>1</v>
      </c>
      <c r="I99" s="113" t="s">
        <v>18</v>
      </c>
      <c r="J99" s="118" t="s">
        <v>83</v>
      </c>
      <c r="K99" s="119" t="s">
        <v>85</v>
      </c>
      <c r="L99" s="121">
        <v>504</v>
      </c>
      <c r="M99" s="109" t="str">
        <f>IF(K99="Specific mutant",VLOOKUP($L99,Mutants!$A$2:$L$560,11,FALSE),L99)</f>
        <v xml:space="preserve">getFields_1
</v>
      </c>
      <c r="N99" s="9" t="str">
        <f t="shared" si="0"/>
        <v/>
      </c>
    </row>
    <row r="100" spans="1:14" ht="31.5" customHeight="1">
      <c r="A100" s="9">
        <v>160</v>
      </c>
      <c r="B100" s="9" t="s">
        <v>397</v>
      </c>
      <c r="C100" s="9" t="s">
        <v>398</v>
      </c>
      <c r="D100" s="9">
        <v>0</v>
      </c>
      <c r="E100" s="9" t="s">
        <v>399</v>
      </c>
      <c r="F100" s="9">
        <v>222</v>
      </c>
      <c r="G100" s="9">
        <v>2</v>
      </c>
      <c r="H100" s="9" t="s">
        <v>119</v>
      </c>
      <c r="I100" s="113" t="s">
        <v>18</v>
      </c>
      <c r="J100" s="118" t="s">
        <v>83</v>
      </c>
      <c r="K100" s="119" t="s">
        <v>85</v>
      </c>
      <c r="L100" s="121">
        <v>504</v>
      </c>
      <c r="M100" s="109" t="str">
        <f>IF(K100="Specific mutant",VLOOKUP($L100,Mutants!$A$2:$L$560,11,FALSE),L100)</f>
        <v xml:space="preserve">getFields_1
</v>
      </c>
      <c r="N100" s="9" t="str">
        <f t="shared" si="0"/>
        <v/>
      </c>
    </row>
    <row r="101" spans="1:14" ht="31.5" customHeight="1">
      <c r="A101" s="9">
        <v>161</v>
      </c>
      <c r="B101" s="9" t="s">
        <v>389</v>
      </c>
      <c r="C101" s="9" t="s">
        <v>390</v>
      </c>
      <c r="D101" s="9">
        <v>1</v>
      </c>
      <c r="E101" s="9" t="s">
        <v>400</v>
      </c>
      <c r="F101" s="9">
        <v>222</v>
      </c>
      <c r="G101" s="9">
        <v>2</v>
      </c>
      <c r="H101" s="9" t="s">
        <v>119</v>
      </c>
      <c r="I101" s="113" t="s">
        <v>18</v>
      </c>
      <c r="J101" s="118" t="s">
        <v>83</v>
      </c>
      <c r="K101" s="119" t="s">
        <v>85</v>
      </c>
      <c r="L101" s="121">
        <v>460</v>
      </c>
      <c r="M101" s="109" t="str">
        <f>IF(K101="Specific mutant",VLOOKUP($L101,Mutants!$A$2:$L$560,11,FALSE),L101)</f>
        <v xml:space="preserve">removeField
</v>
      </c>
      <c r="N101" s="9" t="str">
        <f t="shared" si="0"/>
        <v/>
      </c>
    </row>
    <row r="102" spans="1:14" ht="31.5" customHeight="1">
      <c r="A102" s="9">
        <v>171</v>
      </c>
      <c r="B102" s="9" t="s">
        <v>401</v>
      </c>
      <c r="C102" s="9" t="s">
        <v>402</v>
      </c>
      <c r="D102" s="9">
        <v>0</v>
      </c>
      <c r="E102" s="9" t="s">
        <v>403</v>
      </c>
      <c r="F102" s="9">
        <v>222</v>
      </c>
      <c r="G102" s="9">
        <v>2</v>
      </c>
      <c r="H102" s="9">
        <v>0</v>
      </c>
      <c r="I102" s="113" t="s">
        <v>19</v>
      </c>
      <c r="L102" s="124" t="s">
        <v>4605</v>
      </c>
      <c r="M102" s="109" t="str">
        <f>IF(K102="Specific mutant",VLOOKUP($L102,Mutants!$A$2:$L$560,11,FALSE),L102)</f>
        <v xml:space="preserve"> </v>
      </c>
      <c r="N102" s="9" t="str">
        <f t="shared" si="0"/>
        <v>DUPLICATED</v>
      </c>
    </row>
    <row r="103" spans="1:14" ht="31.5" customHeight="1">
      <c r="A103" s="9">
        <v>172</v>
      </c>
      <c r="B103" s="9" t="s">
        <v>401</v>
      </c>
      <c r="C103" s="9" t="s">
        <v>404</v>
      </c>
      <c r="D103" s="9">
        <v>1</v>
      </c>
      <c r="E103" s="9" t="s">
        <v>405</v>
      </c>
      <c r="F103" s="9">
        <v>222</v>
      </c>
      <c r="G103" s="9">
        <v>2</v>
      </c>
      <c r="H103" s="9" t="s">
        <v>119</v>
      </c>
      <c r="I103" s="113" t="s">
        <v>18</v>
      </c>
      <c r="J103" s="118" t="s">
        <v>83</v>
      </c>
      <c r="K103" s="119" t="s">
        <v>85</v>
      </c>
      <c r="L103" s="121">
        <v>460</v>
      </c>
      <c r="M103" s="109" t="str">
        <f>IF(K103="Specific mutant",VLOOKUP($L103,Mutants!$A$2:$L$560,11,FALSE),L103)</f>
        <v xml:space="preserve">removeField
</v>
      </c>
      <c r="N103" s="9" t="str">
        <f t="shared" si="0"/>
        <v/>
      </c>
    </row>
    <row r="104" spans="1:14" ht="31.5" customHeight="1">
      <c r="A104" s="9">
        <v>184</v>
      </c>
      <c r="B104" s="9" t="s">
        <v>406</v>
      </c>
      <c r="C104" s="9" t="s">
        <v>407</v>
      </c>
      <c r="D104" s="9">
        <v>1</v>
      </c>
      <c r="E104" s="9" t="s">
        <v>408</v>
      </c>
      <c r="F104" s="9">
        <v>222</v>
      </c>
      <c r="G104" s="9">
        <v>2</v>
      </c>
      <c r="H104" s="9" t="s">
        <v>119</v>
      </c>
      <c r="I104" s="113" t="s">
        <v>18</v>
      </c>
      <c r="J104" s="118" t="s">
        <v>83</v>
      </c>
      <c r="K104" s="119" t="s">
        <v>85</v>
      </c>
      <c r="L104" s="121">
        <v>593</v>
      </c>
      <c r="M104" s="109" t="str">
        <f>IF(K104="Specific mutant",VLOOKUP($L104,Mutants!$A$2:$L$560,11,FALSE),L104)</f>
        <v xml:space="preserve">toString
</v>
      </c>
      <c r="N104" s="9" t="str">
        <f t="shared" si="0"/>
        <v/>
      </c>
    </row>
    <row r="105" spans="1:14" ht="31.5" customHeight="1">
      <c r="A105" s="9">
        <v>187</v>
      </c>
      <c r="B105" s="9" t="s">
        <v>409</v>
      </c>
      <c r="C105" s="9" t="s">
        <v>410</v>
      </c>
      <c r="D105" s="9">
        <v>1</v>
      </c>
      <c r="E105" s="9" t="s">
        <v>411</v>
      </c>
      <c r="F105" s="9">
        <v>222</v>
      </c>
      <c r="G105" s="9">
        <v>2</v>
      </c>
      <c r="H105" s="9" t="s">
        <v>119</v>
      </c>
      <c r="I105" s="113" t="s">
        <v>18</v>
      </c>
      <c r="J105" s="118" t="s">
        <v>83</v>
      </c>
      <c r="K105" s="119" t="s">
        <v>85</v>
      </c>
      <c r="L105" s="121">
        <v>593</v>
      </c>
      <c r="M105" s="109" t="str">
        <f>IF(K105="Specific mutant",VLOOKUP($L105,Mutants!$A$2:$L$560,11,FALSE),L105)</f>
        <v xml:space="preserve">toString
</v>
      </c>
      <c r="N105" s="9" t="str">
        <f t="shared" si="0"/>
        <v/>
      </c>
    </row>
    <row r="106" spans="1:14" ht="31.5" customHeight="1">
      <c r="A106" s="9">
        <v>194</v>
      </c>
      <c r="B106" s="9" t="s">
        <v>412</v>
      </c>
      <c r="C106" s="9" t="s">
        <v>413</v>
      </c>
      <c r="D106" s="9">
        <v>0</v>
      </c>
      <c r="E106" s="9" t="s">
        <v>414</v>
      </c>
      <c r="F106" s="9">
        <v>222</v>
      </c>
      <c r="G106" s="9">
        <v>2</v>
      </c>
      <c r="H106" s="9">
        <v>1</v>
      </c>
      <c r="I106" s="113" t="s">
        <v>18</v>
      </c>
      <c r="J106" s="118" t="s">
        <v>83</v>
      </c>
      <c r="K106" s="119" t="s">
        <v>85</v>
      </c>
      <c r="L106" s="121">
        <v>399</v>
      </c>
      <c r="M106" s="109" t="str">
        <f>IF(K106="Specific mutant",VLOOKUP($L106,Mutants!$A$2:$L$560,11,FALSE),L106)</f>
        <v xml:space="preserve">toString
</v>
      </c>
      <c r="N106" s="9" t="str">
        <f t="shared" si="0"/>
        <v/>
      </c>
    </row>
    <row r="107" spans="1:14" ht="31.5" customHeight="1">
      <c r="A107" s="9">
        <v>198</v>
      </c>
      <c r="B107" s="9" t="s">
        <v>409</v>
      </c>
      <c r="C107" s="9" t="s">
        <v>410</v>
      </c>
      <c r="D107" s="9">
        <v>1</v>
      </c>
      <c r="E107" s="9" t="s">
        <v>415</v>
      </c>
      <c r="F107" s="9">
        <v>222</v>
      </c>
      <c r="G107" s="9">
        <v>2</v>
      </c>
      <c r="H107" s="9" t="s">
        <v>119</v>
      </c>
      <c r="I107" s="113" t="s">
        <v>18</v>
      </c>
      <c r="J107" s="118" t="s">
        <v>83</v>
      </c>
      <c r="K107" s="119" t="s">
        <v>85</v>
      </c>
      <c r="L107" s="121">
        <v>593</v>
      </c>
      <c r="M107" s="109" t="str">
        <f>IF(K107="Specific mutant",VLOOKUP($L107,Mutants!$A$2:$L$560,11,FALSE),L107)</f>
        <v xml:space="preserve">toString
</v>
      </c>
      <c r="N107" s="9" t="str">
        <f t="shared" si="0"/>
        <v/>
      </c>
    </row>
    <row r="108" spans="1:14" ht="31.5" customHeight="1">
      <c r="A108" s="9">
        <v>201</v>
      </c>
      <c r="B108" s="9" t="s">
        <v>416</v>
      </c>
      <c r="C108" s="9" t="s">
        <v>417</v>
      </c>
      <c r="D108" s="9">
        <v>0</v>
      </c>
      <c r="E108" s="9" t="s">
        <v>418</v>
      </c>
      <c r="F108" s="9">
        <v>222</v>
      </c>
      <c r="G108" s="9">
        <v>2</v>
      </c>
      <c r="H108" s="9" t="s">
        <v>119</v>
      </c>
      <c r="I108" s="113" t="s">
        <v>19</v>
      </c>
      <c r="L108" s="124" t="s">
        <v>4605</v>
      </c>
      <c r="M108" s="109" t="str">
        <f>IF(K108="Specific mutant",VLOOKUP($L108,Mutants!$A$2:$L$560,11,FALSE),L108)</f>
        <v xml:space="preserve"> </v>
      </c>
      <c r="N108" s="9" t="str">
        <f t="shared" si="0"/>
        <v>DUPLICATED</v>
      </c>
    </row>
    <row r="109" spans="1:14" ht="31.5" customHeight="1">
      <c r="A109" s="9">
        <v>202</v>
      </c>
      <c r="B109" s="9" t="s">
        <v>416</v>
      </c>
      <c r="C109" s="9" t="s">
        <v>417</v>
      </c>
      <c r="D109" s="9">
        <v>1</v>
      </c>
      <c r="E109" s="9" t="s">
        <v>419</v>
      </c>
      <c r="F109" s="9">
        <v>222</v>
      </c>
      <c r="G109" s="9">
        <v>2</v>
      </c>
      <c r="H109" s="9" t="s">
        <v>119</v>
      </c>
      <c r="I109" s="113" t="s">
        <v>18</v>
      </c>
      <c r="J109" s="118" t="s">
        <v>83</v>
      </c>
      <c r="K109" s="119" t="s">
        <v>85</v>
      </c>
      <c r="L109" s="121">
        <v>449</v>
      </c>
      <c r="M109" s="109" t="str">
        <f>IF(K109="Specific mutant",VLOOKUP($L109,Mutants!$A$2:$L$560,11,FALSE),L109)</f>
        <v xml:space="preserve">getBinaryValue
</v>
      </c>
      <c r="N109" s="9" t="str">
        <f t="shared" si="0"/>
        <v/>
      </c>
    </row>
    <row r="110" spans="1:14" ht="31.5" customHeight="1">
      <c r="A110" s="9">
        <v>113</v>
      </c>
      <c r="B110" s="9" t="s">
        <v>420</v>
      </c>
      <c r="C110" s="9" t="s">
        <v>421</v>
      </c>
      <c r="D110" s="9">
        <v>1</v>
      </c>
      <c r="E110" s="9" t="s">
        <v>422</v>
      </c>
      <c r="F110" s="9">
        <v>223</v>
      </c>
      <c r="G110" s="9">
        <v>2</v>
      </c>
      <c r="H110" s="9" t="s">
        <v>119</v>
      </c>
      <c r="I110" s="113" t="s">
        <v>18</v>
      </c>
      <c r="J110" s="118" t="s">
        <v>99</v>
      </c>
      <c r="K110" s="119" t="s">
        <v>101</v>
      </c>
      <c r="L110" s="120" t="s">
        <v>4605</v>
      </c>
      <c r="M110" s="109" t="str">
        <f>IF(K110="Specific mutant",VLOOKUP($L110,Mutants!$A$2:$L$560,11,FALSE),L110)</f>
        <v xml:space="preserve"> </v>
      </c>
      <c r="N110" s="9" t="str">
        <f t="shared" si="0"/>
        <v/>
      </c>
    </row>
    <row r="111" spans="1:14" ht="31.5" customHeight="1">
      <c r="A111" s="9">
        <v>155</v>
      </c>
      <c r="B111" s="9" t="s">
        <v>423</v>
      </c>
      <c r="C111" s="9" t="s">
        <v>424</v>
      </c>
      <c r="D111" s="9">
        <v>1</v>
      </c>
      <c r="E111" s="9" t="s">
        <v>425</v>
      </c>
      <c r="F111" s="9">
        <v>223</v>
      </c>
      <c r="G111" s="9">
        <v>2</v>
      </c>
      <c r="H111" s="9">
        <v>1</v>
      </c>
      <c r="I111" s="113" t="s">
        <v>18</v>
      </c>
      <c r="J111" s="118" t="s">
        <v>93</v>
      </c>
      <c r="K111" s="119" t="s">
        <v>91</v>
      </c>
      <c r="L111" s="120" t="s">
        <v>4605</v>
      </c>
      <c r="M111" s="109" t="str">
        <f>IF(K111="Specific mutant",VLOOKUP($L111,Mutants!$A$2:$L$560,11,FALSE),L111)</f>
        <v xml:space="preserve"> </v>
      </c>
      <c r="N111" s="9" t="str">
        <f t="shared" si="0"/>
        <v/>
      </c>
    </row>
    <row r="112" spans="1:14" ht="31.5" customHeight="1">
      <c r="A112" s="9">
        <v>157</v>
      </c>
      <c r="B112" s="9" t="s">
        <v>426</v>
      </c>
      <c r="C112" s="9" t="s">
        <v>427</v>
      </c>
      <c r="D112" s="9">
        <v>1</v>
      </c>
      <c r="E112" s="9" t="s">
        <v>428</v>
      </c>
      <c r="F112" s="9">
        <v>223</v>
      </c>
      <c r="G112" s="9">
        <v>2</v>
      </c>
      <c r="H112" s="9">
        <v>0</v>
      </c>
      <c r="I112" s="113" t="s">
        <v>18</v>
      </c>
      <c r="J112" s="118" t="s">
        <v>93</v>
      </c>
      <c r="K112" s="119" t="s">
        <v>91</v>
      </c>
      <c r="L112" s="120" t="s">
        <v>4605</v>
      </c>
      <c r="M112" s="109" t="str">
        <f>IF(K112="Specific mutant",VLOOKUP($L112,Mutants!$A$2:$L$560,11,FALSE),L112)</f>
        <v xml:space="preserve"> </v>
      </c>
      <c r="N112" s="9" t="str">
        <f t="shared" si="0"/>
        <v/>
      </c>
    </row>
    <row r="113" spans="1:14" ht="31.5" customHeight="1">
      <c r="A113" s="9">
        <v>165</v>
      </c>
      <c r="B113" s="9" t="s">
        <v>429</v>
      </c>
      <c r="C113" s="9" t="s">
        <v>430</v>
      </c>
      <c r="D113" s="9">
        <v>1</v>
      </c>
      <c r="E113" s="9" t="s">
        <v>431</v>
      </c>
      <c r="F113" s="9">
        <v>223</v>
      </c>
      <c r="G113" s="9">
        <v>2</v>
      </c>
      <c r="H113" s="9" t="s">
        <v>119</v>
      </c>
      <c r="I113" s="113" t="s">
        <v>18</v>
      </c>
      <c r="J113" s="118" t="s">
        <v>83</v>
      </c>
      <c r="K113" s="119" t="s">
        <v>85</v>
      </c>
      <c r="L113" s="121">
        <v>559</v>
      </c>
      <c r="M113" s="109" t="str">
        <f>IF(K113="Specific mutant",VLOOKUP($L113,Mutants!$A$2:$L$560,11,FALSE),L113)</f>
        <v xml:space="preserve">iterator
</v>
      </c>
      <c r="N113" s="9" t="str">
        <f t="shared" si="0"/>
        <v/>
      </c>
    </row>
    <row r="114" spans="1:14" ht="31.5" customHeight="1">
      <c r="A114" s="9">
        <v>170</v>
      </c>
      <c r="B114" s="9" t="s">
        <v>432</v>
      </c>
      <c r="C114" s="9" t="s">
        <v>433</v>
      </c>
      <c r="D114" s="9">
        <v>1</v>
      </c>
      <c r="E114" s="9" t="s">
        <v>434</v>
      </c>
      <c r="F114" s="9">
        <v>223</v>
      </c>
      <c r="G114" s="9">
        <v>2</v>
      </c>
      <c r="H114" s="9" t="s">
        <v>119</v>
      </c>
      <c r="I114" s="113" t="s">
        <v>18</v>
      </c>
      <c r="J114" s="118" t="s">
        <v>83</v>
      </c>
      <c r="K114" s="119" t="s">
        <v>88</v>
      </c>
      <c r="L114" s="121" t="s">
        <v>435</v>
      </c>
      <c r="M114" s="109" t="str">
        <f>IF(K114="Specific mutant",VLOOKUP($L114,Mutants!$A$2:$L$560,11,FALSE),L114)</f>
        <v>add</v>
      </c>
      <c r="N114" s="9" t="str">
        <f t="shared" si="0"/>
        <v/>
      </c>
    </row>
    <row r="115" spans="1:14" ht="31.5" customHeight="1">
      <c r="A115" s="9">
        <v>189</v>
      </c>
      <c r="B115" s="80" t="s">
        <v>436</v>
      </c>
      <c r="C115" s="9" t="s">
        <v>437</v>
      </c>
      <c r="D115" s="9">
        <v>1</v>
      </c>
      <c r="E115" s="9" t="s">
        <v>438</v>
      </c>
      <c r="F115" s="9">
        <v>223</v>
      </c>
      <c r="G115" s="9">
        <v>2</v>
      </c>
      <c r="H115" s="9" t="s">
        <v>119</v>
      </c>
      <c r="I115" s="113" t="s">
        <v>18</v>
      </c>
      <c r="L115" s="120" t="s">
        <v>4605</v>
      </c>
      <c r="M115" s="109" t="str">
        <f>IF(K115="Specific mutant",VLOOKUP($L115,Mutants!$A$2:$L$560,11,FALSE),L115)</f>
        <v xml:space="preserve"> </v>
      </c>
      <c r="N115" s="9" t="str">
        <f t="shared" si="0"/>
        <v/>
      </c>
    </row>
    <row r="116" spans="1:14" ht="31.5" customHeight="1">
      <c r="A116" s="9">
        <v>196</v>
      </c>
      <c r="B116" s="9" t="s">
        <v>439</v>
      </c>
      <c r="C116" s="9" t="s">
        <v>440</v>
      </c>
      <c r="D116" s="9">
        <v>1</v>
      </c>
      <c r="E116" s="9" t="s">
        <v>441</v>
      </c>
      <c r="F116" s="9">
        <v>223</v>
      </c>
      <c r="G116" s="9">
        <v>2</v>
      </c>
      <c r="H116" s="9" t="s">
        <v>119</v>
      </c>
      <c r="I116" s="113" t="s">
        <v>18</v>
      </c>
      <c r="J116" s="118" t="s">
        <v>83</v>
      </c>
      <c r="K116" s="119" t="s">
        <v>85</v>
      </c>
      <c r="L116" s="121">
        <v>461</v>
      </c>
      <c r="M116" s="109" t="str">
        <f>IF(K116="Specific mutant",VLOOKUP($L116,Mutants!$A$2:$L$560,11,FALSE),L116)</f>
        <v xml:space="preserve">removeField
</v>
      </c>
      <c r="N116" s="9" t="str">
        <f t="shared" si="0"/>
        <v/>
      </c>
    </row>
    <row r="117" spans="1:14" ht="31.5" customHeight="1">
      <c r="A117" s="9">
        <v>200</v>
      </c>
      <c r="B117" s="9" t="s">
        <v>442</v>
      </c>
      <c r="C117" s="9" t="s">
        <v>443</v>
      </c>
      <c r="D117" s="9">
        <v>1</v>
      </c>
      <c r="E117" s="9" t="s">
        <v>444</v>
      </c>
      <c r="F117" s="9">
        <v>223</v>
      </c>
      <c r="G117" s="9">
        <v>2</v>
      </c>
      <c r="H117" s="9" t="s">
        <v>119</v>
      </c>
      <c r="I117" s="113" t="s">
        <v>18</v>
      </c>
      <c r="J117" s="118" t="s">
        <v>83</v>
      </c>
      <c r="K117" s="119" t="s">
        <v>85</v>
      </c>
      <c r="L117" s="121">
        <v>461</v>
      </c>
      <c r="M117" s="109" t="str">
        <f>IF(K117="Specific mutant",VLOOKUP($L117,Mutants!$A$2:$L$560,11,FALSE),L117)</f>
        <v xml:space="preserve">removeField
</v>
      </c>
      <c r="N117" s="9" t="str">
        <f t="shared" si="0"/>
        <v/>
      </c>
    </row>
    <row r="118" spans="1:14" ht="31.5" customHeight="1">
      <c r="A118" s="9">
        <v>205</v>
      </c>
      <c r="B118" s="9" t="s">
        <v>445</v>
      </c>
      <c r="C118" s="9" t="s">
        <v>446</v>
      </c>
      <c r="D118" s="9">
        <v>1</v>
      </c>
      <c r="E118" s="9" t="s">
        <v>447</v>
      </c>
      <c r="F118" s="9">
        <v>223</v>
      </c>
      <c r="G118" s="9">
        <v>2</v>
      </c>
      <c r="H118" s="9">
        <v>0</v>
      </c>
      <c r="I118" s="113" t="s">
        <v>19</v>
      </c>
      <c r="L118" s="124" t="s">
        <v>4605</v>
      </c>
      <c r="M118" s="109" t="str">
        <f>IF(K118="Specific mutant",VLOOKUP($L118,Mutants!$A$2:$L$560,11,FALSE),L118)</f>
        <v xml:space="preserve"> </v>
      </c>
      <c r="N118" s="9" t="str">
        <f t="shared" si="0"/>
        <v/>
      </c>
    </row>
    <row r="119" spans="1:14" ht="31.5" customHeight="1">
      <c r="A119" s="9">
        <v>132</v>
      </c>
      <c r="B119" s="9" t="s">
        <v>448</v>
      </c>
      <c r="C119" s="9" t="s">
        <v>449</v>
      </c>
      <c r="D119" s="9">
        <v>1</v>
      </c>
      <c r="E119" s="9" t="s">
        <v>450</v>
      </c>
      <c r="F119" s="9">
        <v>226</v>
      </c>
      <c r="G119" s="9">
        <v>2</v>
      </c>
      <c r="H119" s="9" t="s">
        <v>119</v>
      </c>
      <c r="I119" s="113" t="s">
        <v>19</v>
      </c>
      <c r="L119" s="120" t="s">
        <v>4605</v>
      </c>
      <c r="M119" s="109" t="str">
        <f>IF(K119="Specific mutant",VLOOKUP($L119,Mutants!$A$2:$L$560,11,FALSE),L119)</f>
        <v xml:space="preserve"> </v>
      </c>
      <c r="N119" s="9" t="str">
        <f t="shared" si="0"/>
        <v/>
      </c>
    </row>
    <row r="120" spans="1:14" ht="31.5" customHeight="1">
      <c r="A120" s="9">
        <v>141</v>
      </c>
      <c r="B120" s="9" t="s">
        <v>451</v>
      </c>
      <c r="C120" s="9" t="s">
        <v>452</v>
      </c>
      <c r="D120" s="9">
        <v>0</v>
      </c>
      <c r="E120" s="9" t="s">
        <v>453</v>
      </c>
      <c r="F120" s="9">
        <v>226</v>
      </c>
      <c r="G120" s="9">
        <v>2</v>
      </c>
      <c r="H120" s="9" t="s">
        <v>119</v>
      </c>
      <c r="I120" s="113" t="s">
        <v>18</v>
      </c>
      <c r="J120" s="118" t="s">
        <v>99</v>
      </c>
      <c r="K120" s="119" t="s">
        <v>103</v>
      </c>
      <c r="L120" s="120" t="s">
        <v>4605</v>
      </c>
      <c r="M120" s="109" t="str">
        <f>IF(K120="Specific mutant",VLOOKUP($L120,Mutants!$A$2:$L$560,11,FALSE),L120)</f>
        <v xml:space="preserve"> </v>
      </c>
      <c r="N120" s="9" t="str">
        <f t="shared" si="0"/>
        <v/>
      </c>
    </row>
    <row r="121" spans="1:14" ht="31.5" customHeight="1">
      <c r="A121" s="9">
        <v>146</v>
      </c>
      <c r="B121" s="9" t="s">
        <v>454</v>
      </c>
      <c r="C121" s="9" t="s">
        <v>455</v>
      </c>
      <c r="D121" s="9">
        <v>1</v>
      </c>
      <c r="E121" s="9" t="s">
        <v>456</v>
      </c>
      <c r="F121" s="9">
        <v>226</v>
      </c>
      <c r="G121" s="9">
        <v>2</v>
      </c>
      <c r="H121" s="9" t="s">
        <v>119</v>
      </c>
      <c r="I121" s="113" t="s">
        <v>18</v>
      </c>
      <c r="J121" s="118" t="s">
        <v>99</v>
      </c>
      <c r="K121" s="119" t="s">
        <v>103</v>
      </c>
      <c r="L121" s="120" t="s">
        <v>4605</v>
      </c>
      <c r="M121" s="109" t="str">
        <f>IF(K121="Specific mutant",VLOOKUP($L121,Mutants!$A$2:$L$560,11,FALSE),L121)</f>
        <v xml:space="preserve"> </v>
      </c>
      <c r="N121" s="9" t="str">
        <f t="shared" si="0"/>
        <v/>
      </c>
    </row>
    <row r="122" spans="1:14" ht="31.5" customHeight="1">
      <c r="A122" s="9">
        <v>151</v>
      </c>
      <c r="B122" s="9" t="s">
        <v>457</v>
      </c>
      <c r="C122" s="9" t="s">
        <v>458</v>
      </c>
      <c r="D122" s="9">
        <v>1</v>
      </c>
      <c r="E122" s="9" t="s">
        <v>459</v>
      </c>
      <c r="F122" s="9">
        <v>226</v>
      </c>
      <c r="G122" s="9">
        <v>2</v>
      </c>
      <c r="H122" s="9" t="s">
        <v>119</v>
      </c>
      <c r="I122" s="113" t="s">
        <v>18</v>
      </c>
      <c r="J122" s="118" t="s">
        <v>99</v>
      </c>
      <c r="K122" s="119" t="s">
        <v>91</v>
      </c>
      <c r="L122" s="120" t="s">
        <v>4605</v>
      </c>
      <c r="M122" s="109" t="str">
        <f>IF(K122="Specific mutant",VLOOKUP($L122,Mutants!$A$2:$L$560,11,FALSE),L122)</f>
        <v xml:space="preserve"> </v>
      </c>
      <c r="N122" s="9" t="str">
        <f t="shared" si="0"/>
        <v/>
      </c>
    </row>
    <row r="123" spans="1:14" ht="31.5" customHeight="1">
      <c r="A123" s="9">
        <v>166</v>
      </c>
      <c r="B123" s="9" t="s">
        <v>460</v>
      </c>
      <c r="C123" s="9" t="s">
        <v>461</v>
      </c>
      <c r="D123" s="9">
        <v>1</v>
      </c>
      <c r="E123" s="9" t="s">
        <v>462</v>
      </c>
      <c r="F123" s="9">
        <v>226</v>
      </c>
      <c r="G123" s="9">
        <v>2</v>
      </c>
      <c r="H123" s="9" t="s">
        <v>119</v>
      </c>
      <c r="I123" s="113" t="s">
        <v>18</v>
      </c>
      <c r="J123" s="118" t="s">
        <v>99</v>
      </c>
      <c r="K123" s="119" t="s">
        <v>101</v>
      </c>
      <c r="L123" s="120" t="s">
        <v>4605</v>
      </c>
      <c r="M123" s="109" t="str">
        <f>IF(K123="Specific mutant",VLOOKUP($L123,Mutants!$A$2:$L$560,11,FALSE),L123)</f>
        <v xml:space="preserve"> </v>
      </c>
      <c r="N123" s="9" t="str">
        <f t="shared" si="0"/>
        <v/>
      </c>
    </row>
    <row r="124" spans="1:14" ht="31.5" customHeight="1">
      <c r="A124" s="9">
        <v>173</v>
      </c>
      <c r="B124" s="9" t="s">
        <v>463</v>
      </c>
      <c r="C124" s="9" t="s">
        <v>464</v>
      </c>
      <c r="D124" s="9">
        <v>0</v>
      </c>
      <c r="E124" s="9" t="s">
        <v>465</v>
      </c>
      <c r="F124" s="9">
        <v>226</v>
      </c>
      <c r="G124" s="9">
        <v>2</v>
      </c>
      <c r="H124" s="9" t="s">
        <v>119</v>
      </c>
      <c r="I124" s="113" t="s">
        <v>19</v>
      </c>
      <c r="L124" s="120" t="s">
        <v>4605</v>
      </c>
      <c r="M124" s="109" t="str">
        <f>IF(K124="Specific mutant",VLOOKUP($L124,Mutants!$A$2:$L$560,11,FALSE),L124)</f>
        <v xml:space="preserve"> </v>
      </c>
      <c r="N124" s="9" t="str">
        <f t="shared" si="0"/>
        <v/>
      </c>
    </row>
    <row r="125" spans="1:14" ht="31.5" customHeight="1">
      <c r="A125" s="9">
        <v>174</v>
      </c>
      <c r="B125" s="9" t="s">
        <v>466</v>
      </c>
      <c r="C125" s="9" t="s">
        <v>467</v>
      </c>
      <c r="D125" s="9">
        <v>0</v>
      </c>
      <c r="E125" s="9" t="s">
        <v>468</v>
      </c>
      <c r="F125" s="9">
        <v>226</v>
      </c>
      <c r="G125" s="9">
        <v>2</v>
      </c>
      <c r="H125" s="9">
        <v>0</v>
      </c>
      <c r="I125" s="113" t="s">
        <v>18</v>
      </c>
      <c r="J125" s="118" t="s">
        <v>99</v>
      </c>
      <c r="K125" s="119" t="s">
        <v>91</v>
      </c>
      <c r="L125" s="120" t="s">
        <v>4605</v>
      </c>
      <c r="M125" s="109" t="str">
        <f>IF(K125="Specific mutant",VLOOKUP($L125,Mutants!$A$2:$L$560,11,FALSE),L125)</f>
        <v xml:space="preserve"> </v>
      </c>
      <c r="N125" s="9" t="str">
        <f t="shared" si="0"/>
        <v/>
      </c>
    </row>
    <row r="126" spans="1:14" ht="31.5" customHeight="1">
      <c r="A126" s="9">
        <v>177</v>
      </c>
      <c r="B126" s="9" t="s">
        <v>469</v>
      </c>
      <c r="C126" s="9" t="s">
        <v>470</v>
      </c>
      <c r="D126" s="9">
        <v>1</v>
      </c>
      <c r="E126" s="9" t="s">
        <v>471</v>
      </c>
      <c r="F126" s="9">
        <v>226</v>
      </c>
      <c r="G126" s="9">
        <v>2</v>
      </c>
      <c r="H126" s="9" t="s">
        <v>119</v>
      </c>
      <c r="I126" s="113" t="s">
        <v>18</v>
      </c>
      <c r="J126" s="118" t="s">
        <v>99</v>
      </c>
      <c r="K126" s="119" t="s">
        <v>91</v>
      </c>
      <c r="L126" s="120" t="s">
        <v>4605</v>
      </c>
      <c r="M126" s="109" t="str">
        <f>IF(K126="Specific mutant",VLOOKUP($L126,Mutants!$A$2:$L$560,11,FALSE),L126)</f>
        <v xml:space="preserve"> </v>
      </c>
      <c r="N126" s="9" t="str">
        <f t="shared" si="0"/>
        <v/>
      </c>
    </row>
    <row r="127" spans="1:14" ht="31.5" customHeight="1">
      <c r="A127" s="9">
        <v>180</v>
      </c>
      <c r="B127" s="9" t="s">
        <v>472</v>
      </c>
      <c r="C127" s="9" t="s">
        <v>473</v>
      </c>
      <c r="D127" s="9">
        <v>0</v>
      </c>
      <c r="E127" s="9" t="s">
        <v>474</v>
      </c>
      <c r="F127" s="9">
        <v>226</v>
      </c>
      <c r="G127" s="9">
        <v>2</v>
      </c>
      <c r="H127" s="9" t="s">
        <v>119</v>
      </c>
      <c r="I127" s="113" t="s">
        <v>18</v>
      </c>
      <c r="J127" s="118" t="s">
        <v>99</v>
      </c>
      <c r="K127" s="119" t="s">
        <v>101</v>
      </c>
      <c r="L127" s="120" t="s">
        <v>4605</v>
      </c>
      <c r="M127" s="109" t="str">
        <f>IF(K127="Specific mutant",VLOOKUP($L127,Mutants!$A$2:$L$560,11,FALSE),L127)</f>
        <v xml:space="preserve"> </v>
      </c>
      <c r="N127" s="9" t="str">
        <f t="shared" si="0"/>
        <v/>
      </c>
    </row>
    <row r="128" spans="1:14" ht="31.5" customHeight="1">
      <c r="A128" s="9">
        <v>181</v>
      </c>
      <c r="B128" s="9" t="s">
        <v>475</v>
      </c>
      <c r="C128" s="9" t="s">
        <v>476</v>
      </c>
      <c r="D128" s="9">
        <v>1</v>
      </c>
      <c r="E128" s="9" t="s">
        <v>477</v>
      </c>
      <c r="F128" s="9">
        <v>226</v>
      </c>
      <c r="G128" s="9">
        <v>2</v>
      </c>
      <c r="H128" s="9" t="s">
        <v>119</v>
      </c>
      <c r="I128" s="113" t="s">
        <v>18</v>
      </c>
      <c r="J128" s="118" t="s">
        <v>99</v>
      </c>
      <c r="K128" s="119" t="s">
        <v>101</v>
      </c>
      <c r="L128" s="120" t="s">
        <v>4605</v>
      </c>
      <c r="M128" s="109" t="str">
        <f>IF(K128="Specific mutant",VLOOKUP($L128,Mutants!$A$2:$L$560,11,FALSE),L128)</f>
        <v xml:space="preserve"> </v>
      </c>
      <c r="N128" s="9" t="str">
        <f t="shared" si="0"/>
        <v/>
      </c>
    </row>
    <row r="129" spans="1:14" ht="31.5" customHeight="1">
      <c r="A129" s="9">
        <v>190</v>
      </c>
      <c r="B129" s="9" t="s">
        <v>478</v>
      </c>
      <c r="C129" s="9" t="s">
        <v>479</v>
      </c>
      <c r="D129" s="9">
        <v>1</v>
      </c>
      <c r="E129" s="9" t="s">
        <v>480</v>
      </c>
      <c r="F129" s="9">
        <v>226</v>
      </c>
      <c r="G129" s="9">
        <v>2</v>
      </c>
      <c r="H129" s="9" t="s">
        <v>119</v>
      </c>
      <c r="I129" s="113" t="s">
        <v>18</v>
      </c>
      <c r="J129" s="118" t="s">
        <v>99</v>
      </c>
      <c r="K129" s="119" t="s">
        <v>101</v>
      </c>
      <c r="L129" s="120" t="s">
        <v>4605</v>
      </c>
      <c r="M129" s="109" t="str">
        <f>IF(K129="Specific mutant",VLOOKUP($L129,Mutants!$A$2:$L$560,11,FALSE),L129)</f>
        <v xml:space="preserve"> </v>
      </c>
      <c r="N129" s="9" t="str">
        <f t="shared" si="0"/>
        <v/>
      </c>
    </row>
    <row r="130" spans="1:14" ht="31.5" customHeight="1">
      <c r="A130" s="9">
        <v>99</v>
      </c>
      <c r="B130" s="9" t="s">
        <v>481</v>
      </c>
      <c r="C130" s="9" t="s">
        <v>482</v>
      </c>
      <c r="D130" s="9">
        <v>0</v>
      </c>
      <c r="E130" s="9" t="s">
        <v>483</v>
      </c>
      <c r="F130" s="9">
        <v>227</v>
      </c>
      <c r="G130" s="9">
        <v>2</v>
      </c>
      <c r="H130" s="9" t="s">
        <v>119</v>
      </c>
      <c r="I130" s="113" t="s">
        <v>18</v>
      </c>
      <c r="J130" s="118" t="s">
        <v>93</v>
      </c>
      <c r="K130" s="119" t="s">
        <v>88</v>
      </c>
      <c r="L130" s="121" t="s">
        <v>484</v>
      </c>
      <c r="M130" s="109" t="str">
        <f>IF(K130="Specific mutant",VLOOKUP($L130,Mutants!$A$2:$L$560,11,FALSE),L130)</f>
        <v>getValues</v>
      </c>
      <c r="N130" s="9" t="str">
        <f t="shared" si="0"/>
        <v/>
      </c>
    </row>
    <row r="131" spans="1:14" ht="31.5" customHeight="1">
      <c r="A131" s="9">
        <v>110</v>
      </c>
      <c r="B131" s="9" t="s">
        <v>485</v>
      </c>
      <c r="C131" s="9" t="s">
        <v>486</v>
      </c>
      <c r="D131" s="9">
        <v>1</v>
      </c>
      <c r="E131" s="9" t="s">
        <v>487</v>
      </c>
      <c r="F131" s="9">
        <v>227</v>
      </c>
      <c r="G131" s="9">
        <v>2</v>
      </c>
      <c r="H131" s="9" t="s">
        <v>119</v>
      </c>
      <c r="I131" s="113" t="s">
        <v>18</v>
      </c>
      <c r="J131" s="118" t="s">
        <v>83</v>
      </c>
      <c r="K131" s="119" t="s">
        <v>88</v>
      </c>
      <c r="L131" s="121" t="s">
        <v>375</v>
      </c>
      <c r="M131" s="109" t="str">
        <f>IF(K131="Specific mutant",VLOOKUP($L131,Mutants!$A$2:$L$560,11,FALSE),L131)</f>
        <v>removeField</v>
      </c>
      <c r="N131" s="9" t="str">
        <f t="shared" si="0"/>
        <v/>
      </c>
    </row>
    <row r="132" spans="1:14" ht="31.5" customHeight="1">
      <c r="A132" s="9">
        <v>119</v>
      </c>
      <c r="B132" s="9" t="s">
        <v>488</v>
      </c>
      <c r="C132" s="9" t="s">
        <v>489</v>
      </c>
      <c r="D132" s="9">
        <v>0</v>
      </c>
      <c r="E132" s="9" t="s">
        <v>490</v>
      </c>
      <c r="F132" s="9">
        <v>227</v>
      </c>
      <c r="G132" s="9">
        <v>2</v>
      </c>
      <c r="H132" s="9" t="s">
        <v>119</v>
      </c>
      <c r="I132" s="113" t="s">
        <v>18</v>
      </c>
      <c r="J132" s="118" t="s">
        <v>83</v>
      </c>
      <c r="K132" s="119" t="s">
        <v>88</v>
      </c>
      <c r="L132" s="121" t="s">
        <v>248</v>
      </c>
      <c r="M132" s="109" t="str">
        <f>IF(K132="Specific mutant",VLOOKUP($L132,Mutants!$A$2:$L$560,11,FALSE),L132)</f>
        <v>toString</v>
      </c>
      <c r="N132" s="9" t="str">
        <f t="shared" si="0"/>
        <v/>
      </c>
    </row>
    <row r="133" spans="1:14" ht="31.5" customHeight="1">
      <c r="A133" s="9">
        <v>122</v>
      </c>
      <c r="B133" s="9" t="s">
        <v>491</v>
      </c>
      <c r="C133" s="9" t="s">
        <v>492</v>
      </c>
      <c r="D133" s="9">
        <v>1</v>
      </c>
      <c r="E133" s="9" t="s">
        <v>493</v>
      </c>
      <c r="F133" s="9">
        <v>227</v>
      </c>
      <c r="G133" s="9">
        <v>2</v>
      </c>
      <c r="H133" s="9">
        <v>1</v>
      </c>
      <c r="I133" s="113" t="s">
        <v>18</v>
      </c>
      <c r="J133" s="118" t="s">
        <v>83</v>
      </c>
      <c r="K133" s="119" t="s">
        <v>88</v>
      </c>
      <c r="L133" s="121" t="s">
        <v>248</v>
      </c>
      <c r="M133" s="109" t="str">
        <f>IF(K133="Specific mutant",VLOOKUP($L133,Mutants!$A$2:$L$560,11,FALSE),L133)</f>
        <v>toString</v>
      </c>
      <c r="N133" s="9" t="str">
        <f t="shared" si="0"/>
        <v/>
      </c>
    </row>
    <row r="134" spans="1:14" ht="31.5" customHeight="1">
      <c r="A134" s="9">
        <v>129</v>
      </c>
      <c r="B134" s="9" t="s">
        <v>494</v>
      </c>
      <c r="C134" s="9" t="s">
        <v>495</v>
      </c>
      <c r="D134" s="9">
        <v>0</v>
      </c>
      <c r="E134" s="9" t="s">
        <v>496</v>
      </c>
      <c r="F134" s="9">
        <v>227</v>
      </c>
      <c r="G134" s="9">
        <v>2</v>
      </c>
      <c r="H134" s="9" t="s">
        <v>119</v>
      </c>
      <c r="I134" s="113" t="s">
        <v>18</v>
      </c>
      <c r="J134" s="118" t="s">
        <v>99</v>
      </c>
      <c r="K134" s="119" t="s">
        <v>103</v>
      </c>
      <c r="L134" s="120" t="s">
        <v>4605</v>
      </c>
      <c r="M134" s="109" t="str">
        <f>IF(K134="Specific mutant",VLOOKUP($L134,Mutants!$A$2:$L$560,11,FALSE),L134)</f>
        <v xml:space="preserve"> </v>
      </c>
      <c r="N134" s="9" t="str">
        <f t="shared" si="0"/>
        <v/>
      </c>
    </row>
    <row r="135" spans="1:14" ht="31.5" customHeight="1">
      <c r="A135" s="9">
        <v>133</v>
      </c>
      <c r="B135" s="9" t="s">
        <v>497</v>
      </c>
      <c r="C135" s="9" t="s">
        <v>498</v>
      </c>
      <c r="D135" s="9">
        <v>1</v>
      </c>
      <c r="E135" s="9" t="s">
        <v>499</v>
      </c>
      <c r="F135" s="9">
        <v>227</v>
      </c>
      <c r="G135" s="9">
        <v>2</v>
      </c>
      <c r="H135" s="9" t="s">
        <v>119</v>
      </c>
      <c r="I135" s="113" t="s">
        <v>18</v>
      </c>
      <c r="J135" s="118" t="s">
        <v>99</v>
      </c>
      <c r="K135" s="119" t="s">
        <v>103</v>
      </c>
      <c r="L135" s="120" t="s">
        <v>4605</v>
      </c>
      <c r="M135" s="109" t="str">
        <f>IF(K135="Specific mutant",VLOOKUP($L135,Mutants!$A$2:$L$560,11,FALSE),L135)</f>
        <v xml:space="preserve"> </v>
      </c>
      <c r="N135" s="9" t="str">
        <f t="shared" si="0"/>
        <v/>
      </c>
    </row>
    <row r="136" spans="1:14" ht="31.5" customHeight="1">
      <c r="A136" s="9">
        <v>148</v>
      </c>
      <c r="B136" s="9" t="s">
        <v>500</v>
      </c>
      <c r="C136" s="9" t="s">
        <v>501</v>
      </c>
      <c r="D136" s="9">
        <v>0</v>
      </c>
      <c r="E136" s="9" t="s">
        <v>502</v>
      </c>
      <c r="F136" s="9">
        <v>227</v>
      </c>
      <c r="G136" s="9">
        <v>2</v>
      </c>
      <c r="H136" s="9" t="s">
        <v>119</v>
      </c>
      <c r="I136" s="113" t="s">
        <v>18</v>
      </c>
      <c r="J136" s="118" t="s">
        <v>99</v>
      </c>
      <c r="K136" s="119" t="s">
        <v>103</v>
      </c>
      <c r="L136" s="120" t="s">
        <v>4605</v>
      </c>
      <c r="M136" s="109" t="str">
        <f>IF(K136="Specific mutant",VLOOKUP($L136,Mutants!$A$2:$L$560,11,FALSE),L136)</f>
        <v xml:space="preserve"> </v>
      </c>
      <c r="N136" s="9" t="str">
        <f t="shared" si="0"/>
        <v/>
      </c>
    </row>
    <row r="137" spans="1:14" ht="31.5" customHeight="1">
      <c r="A137" s="9">
        <v>153</v>
      </c>
      <c r="B137" s="9" t="s">
        <v>503</v>
      </c>
      <c r="C137" s="9" t="s">
        <v>504</v>
      </c>
      <c r="D137" s="9">
        <v>1</v>
      </c>
      <c r="E137" s="9" t="s">
        <v>505</v>
      </c>
      <c r="F137" s="9">
        <v>227</v>
      </c>
      <c r="G137" s="9">
        <v>2</v>
      </c>
      <c r="H137" s="9" t="s">
        <v>119</v>
      </c>
      <c r="I137" s="113" t="s">
        <v>18</v>
      </c>
      <c r="J137" s="118" t="s">
        <v>83</v>
      </c>
      <c r="K137" s="119" t="s">
        <v>88</v>
      </c>
      <c r="L137" s="121" t="s">
        <v>248</v>
      </c>
      <c r="M137" s="109" t="str">
        <f>IF(K137="Specific mutant",VLOOKUP($L137,Mutants!$A$2:$L$560,11,FALSE),L137)</f>
        <v>toString</v>
      </c>
      <c r="N137" s="9" t="str">
        <f t="shared" si="0"/>
        <v/>
      </c>
    </row>
    <row r="138" spans="1:14" ht="31.5" customHeight="1">
      <c r="A138" s="9">
        <v>178</v>
      </c>
      <c r="B138" s="9" t="s">
        <v>506</v>
      </c>
      <c r="C138" s="9" t="s">
        <v>507</v>
      </c>
      <c r="D138" s="9">
        <v>1</v>
      </c>
      <c r="E138" s="9" t="s">
        <v>508</v>
      </c>
      <c r="F138" s="9">
        <v>227</v>
      </c>
      <c r="G138" s="9">
        <v>2</v>
      </c>
      <c r="H138" s="9">
        <v>0</v>
      </c>
      <c r="I138" s="113" t="s">
        <v>18</v>
      </c>
      <c r="J138" s="118" t="s">
        <v>99</v>
      </c>
      <c r="K138" s="119" t="s">
        <v>103</v>
      </c>
      <c r="L138" s="120" t="s">
        <v>4605</v>
      </c>
      <c r="M138" s="109" t="str">
        <f>IF(K138="Specific mutant",VLOOKUP($L138,Mutants!$A$2:$L$560,11,FALSE),L138)</f>
        <v xml:space="preserve"> </v>
      </c>
      <c r="N138" s="9" t="str">
        <f t="shared" si="0"/>
        <v/>
      </c>
    </row>
    <row r="139" spans="1:14" ht="31.5" customHeight="1">
      <c r="A139" s="9">
        <v>182</v>
      </c>
      <c r="B139" s="9" t="s">
        <v>509</v>
      </c>
      <c r="C139" s="9" t="s">
        <v>510</v>
      </c>
      <c r="D139" s="9">
        <v>0</v>
      </c>
      <c r="E139" s="9" t="s">
        <v>511</v>
      </c>
      <c r="F139" s="9">
        <v>227</v>
      </c>
      <c r="G139" s="9">
        <v>2</v>
      </c>
      <c r="H139" s="9" t="s">
        <v>119</v>
      </c>
      <c r="I139" s="113" t="s">
        <v>18</v>
      </c>
      <c r="J139" s="118" t="s">
        <v>99</v>
      </c>
      <c r="K139" s="119" t="s">
        <v>103</v>
      </c>
      <c r="L139" s="120" t="s">
        <v>4605</v>
      </c>
      <c r="M139" s="109" t="str">
        <f>IF(K139="Specific mutant",VLOOKUP($L139,Mutants!$A$2:$L$560,11,FALSE),L139)</f>
        <v xml:space="preserve"> </v>
      </c>
      <c r="N139" s="9" t="str">
        <f t="shared" si="0"/>
        <v/>
      </c>
    </row>
    <row r="140" spans="1:14" ht="31.5" customHeight="1">
      <c r="A140" s="9">
        <v>197</v>
      </c>
      <c r="B140" s="9" t="s">
        <v>512</v>
      </c>
      <c r="C140" s="9" t="s">
        <v>513</v>
      </c>
      <c r="D140" s="9">
        <v>0</v>
      </c>
      <c r="E140" s="9" t="s">
        <v>514</v>
      </c>
      <c r="F140" s="9">
        <v>227</v>
      </c>
      <c r="G140" s="9">
        <v>2</v>
      </c>
      <c r="H140" s="9" t="s">
        <v>119</v>
      </c>
      <c r="I140" s="113" t="s">
        <v>18</v>
      </c>
      <c r="J140" s="118" t="s">
        <v>83</v>
      </c>
      <c r="K140" s="119" t="s">
        <v>88</v>
      </c>
      <c r="L140" s="121" t="s">
        <v>515</v>
      </c>
      <c r="M140" s="109" t="str">
        <f>IF(K140="Specific mutant",VLOOKUP($L140,Mutants!$A$2:$L$560,11,FALSE),L140)</f>
        <v>getBinaryValue</v>
      </c>
      <c r="N140" s="9" t="str">
        <f t="shared" si="0"/>
        <v/>
      </c>
    </row>
    <row r="141" spans="1:14" ht="31.5" customHeight="1">
      <c r="A141" s="9">
        <v>203</v>
      </c>
      <c r="B141" s="9" t="s">
        <v>516</v>
      </c>
      <c r="C141" s="9" t="s">
        <v>517</v>
      </c>
      <c r="D141" s="9">
        <v>1</v>
      </c>
      <c r="E141" s="9" t="s">
        <v>518</v>
      </c>
      <c r="F141" s="9">
        <v>227</v>
      </c>
      <c r="G141" s="9">
        <v>2</v>
      </c>
      <c r="H141" s="9" t="s">
        <v>119</v>
      </c>
      <c r="I141" s="113" t="s">
        <v>18</v>
      </c>
      <c r="J141" s="118" t="s">
        <v>83</v>
      </c>
      <c r="K141" s="119" t="s">
        <v>88</v>
      </c>
      <c r="L141" s="121" t="s">
        <v>519</v>
      </c>
      <c r="M141" s="109" t="str">
        <f>IF(K141="Specific mutant",VLOOKUP($L141,Mutants!$A$2:$L$560,11,FALSE),L141)</f>
        <v>iterator</v>
      </c>
      <c r="N141" s="9" t="str">
        <f t="shared" si="0"/>
        <v/>
      </c>
    </row>
    <row r="142" spans="1:14" ht="31.5" customHeight="1">
      <c r="A142" s="9">
        <v>123</v>
      </c>
      <c r="B142" s="49" t="s">
        <v>520</v>
      </c>
      <c r="C142" s="9" t="s">
        <v>521</v>
      </c>
      <c r="D142" s="9">
        <v>0</v>
      </c>
      <c r="E142" s="9" t="s">
        <v>522</v>
      </c>
      <c r="F142" s="9">
        <v>228</v>
      </c>
      <c r="G142" s="9">
        <v>2</v>
      </c>
      <c r="H142" s="9">
        <v>0</v>
      </c>
      <c r="I142" s="113" t="s">
        <v>19</v>
      </c>
      <c r="L142" s="120" t="s">
        <v>4605</v>
      </c>
      <c r="M142" s="109" t="str">
        <f>IF(K142="Specific mutant",VLOOKUP($L142,Mutants!$A$2:$L$560,11,FALSE),L142)</f>
        <v xml:space="preserve"> </v>
      </c>
      <c r="N142" s="9" t="str">
        <f t="shared" si="0"/>
        <v>DUPLICATED</v>
      </c>
    </row>
    <row r="143" spans="1:14" ht="31.5" customHeight="1">
      <c r="A143" s="9">
        <v>130</v>
      </c>
      <c r="B143" s="80" t="s">
        <v>520</v>
      </c>
      <c r="C143" s="9" t="s">
        <v>521</v>
      </c>
      <c r="D143" s="9">
        <v>1</v>
      </c>
      <c r="E143" s="9" t="s">
        <v>523</v>
      </c>
      <c r="F143" s="9">
        <v>228</v>
      </c>
      <c r="G143" s="9">
        <v>2</v>
      </c>
      <c r="H143" s="9" t="s">
        <v>119</v>
      </c>
      <c r="I143" s="113" t="s">
        <v>18</v>
      </c>
      <c r="L143" s="120" t="s">
        <v>4605</v>
      </c>
      <c r="M143" s="109" t="str">
        <f>IF(K143="Specific mutant",VLOOKUP($L143,Mutants!$A$2:$L$560,11,FALSE),L143)</f>
        <v xml:space="preserve"> </v>
      </c>
      <c r="N143" s="9" t="str">
        <f t="shared" si="0"/>
        <v/>
      </c>
    </row>
    <row r="144" spans="1:14" ht="31.5" customHeight="1">
      <c r="A144" s="9">
        <v>142</v>
      </c>
      <c r="B144" s="80" t="s">
        <v>524</v>
      </c>
      <c r="C144" s="9" t="s">
        <v>525</v>
      </c>
      <c r="D144" s="9">
        <v>1</v>
      </c>
      <c r="E144" s="9" t="s">
        <v>526</v>
      </c>
      <c r="F144" s="9">
        <v>228</v>
      </c>
      <c r="G144" s="9">
        <v>2</v>
      </c>
      <c r="H144" s="9" t="s">
        <v>119</v>
      </c>
      <c r="I144" s="113" t="s">
        <v>18</v>
      </c>
      <c r="L144" s="120" t="s">
        <v>4605</v>
      </c>
      <c r="M144" s="109" t="str">
        <f>IF(K144="Specific mutant",VLOOKUP($L144,Mutants!$A$2:$L$560,11,FALSE),L144)</f>
        <v xml:space="preserve"> </v>
      </c>
      <c r="N144" s="9" t="str">
        <f t="shared" si="0"/>
        <v/>
      </c>
    </row>
    <row r="145" spans="1:14" ht="31.5" customHeight="1">
      <c r="A145" s="9">
        <v>135</v>
      </c>
      <c r="B145" s="9" t="s">
        <v>527</v>
      </c>
      <c r="C145" s="9" t="s">
        <v>528</v>
      </c>
      <c r="D145" s="9">
        <v>1</v>
      </c>
      <c r="E145" s="9" t="s">
        <v>529</v>
      </c>
      <c r="F145" s="9">
        <v>229</v>
      </c>
      <c r="G145" s="9">
        <v>2</v>
      </c>
      <c r="H145" s="9">
        <v>0</v>
      </c>
      <c r="I145" s="113" t="s">
        <v>18</v>
      </c>
      <c r="J145" s="118" t="s">
        <v>93</v>
      </c>
      <c r="K145" s="119" t="s">
        <v>91</v>
      </c>
      <c r="L145" s="120" t="s">
        <v>4605</v>
      </c>
      <c r="M145" s="109" t="str">
        <f>IF(K145="Specific mutant",VLOOKUP($L145,Mutants!$A$2:$L$560,11,FALSE),L145)</f>
        <v xml:space="preserve"> </v>
      </c>
      <c r="N145" s="9" t="str">
        <f t="shared" si="0"/>
        <v/>
      </c>
    </row>
    <row r="146" spans="1:14" ht="31.5" customHeight="1">
      <c r="A146" s="9">
        <v>139</v>
      </c>
      <c r="B146" s="9" t="s">
        <v>530</v>
      </c>
      <c r="C146" s="9" t="s">
        <v>531</v>
      </c>
      <c r="D146" s="9">
        <v>1</v>
      </c>
      <c r="E146" s="9" t="s">
        <v>532</v>
      </c>
      <c r="F146" s="9">
        <v>229</v>
      </c>
      <c r="G146" s="9">
        <v>2</v>
      </c>
      <c r="H146" s="9">
        <v>1</v>
      </c>
      <c r="I146" s="113" t="s">
        <v>18</v>
      </c>
      <c r="J146" s="118" t="s">
        <v>83</v>
      </c>
      <c r="K146" s="119" t="s">
        <v>85</v>
      </c>
      <c r="L146" s="121">
        <v>375</v>
      </c>
      <c r="M146" s="109" t="str">
        <f>IF(K146="Specific mutant",VLOOKUP($L146,Mutants!$A$2:$L$560,11,FALSE),L146)</f>
        <v xml:space="preserve">removeField
</v>
      </c>
      <c r="N146" s="9" t="str">
        <f t="shared" si="0"/>
        <v/>
      </c>
    </row>
    <row r="147" spans="1:14" ht="31.5" customHeight="1">
      <c r="A147" s="9">
        <v>149</v>
      </c>
      <c r="B147" s="9" t="s">
        <v>533</v>
      </c>
      <c r="C147" s="9" t="s">
        <v>534</v>
      </c>
      <c r="D147" s="9">
        <v>1</v>
      </c>
      <c r="E147" s="9" t="s">
        <v>535</v>
      </c>
      <c r="F147" s="9">
        <v>229</v>
      </c>
      <c r="G147" s="9">
        <v>2</v>
      </c>
      <c r="H147" s="9" t="s">
        <v>119</v>
      </c>
      <c r="I147" s="113" t="s">
        <v>18</v>
      </c>
      <c r="J147" s="118" t="s">
        <v>83</v>
      </c>
      <c r="K147" s="119" t="s">
        <v>85</v>
      </c>
      <c r="L147" s="121">
        <v>429</v>
      </c>
      <c r="M147" s="109" t="str">
        <f>IF(K147="Specific mutant",VLOOKUP($L147,Mutants!$A$2:$L$560,11,FALSE),L147)</f>
        <v xml:space="preserve">get
</v>
      </c>
      <c r="N147" s="9" t="str">
        <f t="shared" si="0"/>
        <v/>
      </c>
    </row>
    <row r="148" spans="1:14" ht="31.5" customHeight="1">
      <c r="A148" s="9">
        <v>162</v>
      </c>
      <c r="B148" s="9" t="s">
        <v>536</v>
      </c>
      <c r="C148" s="9" t="s">
        <v>537</v>
      </c>
      <c r="D148" s="9">
        <v>1</v>
      </c>
      <c r="E148" s="9" t="s">
        <v>538</v>
      </c>
      <c r="F148" s="9">
        <v>229</v>
      </c>
      <c r="G148" s="9">
        <v>2</v>
      </c>
      <c r="H148" s="9" t="s">
        <v>119</v>
      </c>
      <c r="I148" s="113" t="s">
        <v>18</v>
      </c>
      <c r="J148" s="118" t="s">
        <v>83</v>
      </c>
      <c r="K148" s="119" t="s">
        <v>85</v>
      </c>
      <c r="L148" s="121">
        <v>401</v>
      </c>
      <c r="M148" s="109" t="str">
        <f>IF(K148="Specific mutant",VLOOKUP($L148,Mutants!$A$2:$L$560,11,FALSE),L148)</f>
        <v xml:space="preserve">getField
</v>
      </c>
      <c r="N148" s="9" t="str">
        <f t="shared" si="0"/>
        <v/>
      </c>
    </row>
    <row r="149" spans="1:14" ht="31.5" customHeight="1">
      <c r="A149" s="9">
        <v>186</v>
      </c>
      <c r="B149" s="9" t="s">
        <v>539</v>
      </c>
      <c r="C149" s="9" t="s">
        <v>540</v>
      </c>
      <c r="D149" s="9">
        <v>0</v>
      </c>
      <c r="E149" s="9" t="s">
        <v>541</v>
      </c>
      <c r="F149" s="9">
        <v>229</v>
      </c>
      <c r="G149" s="9">
        <v>2</v>
      </c>
      <c r="H149" s="9">
        <v>0</v>
      </c>
      <c r="I149" s="113" t="s">
        <v>19</v>
      </c>
      <c r="L149" s="124" t="s">
        <v>4605</v>
      </c>
      <c r="M149" s="109" t="str">
        <f>IF(K149="Specific mutant",VLOOKUP($L149,Mutants!$A$2:$L$560,11,FALSE),L149)</f>
        <v xml:space="preserve"> </v>
      </c>
      <c r="N149" s="9" t="str">
        <f t="shared" si="0"/>
        <v>DUPLICATED</v>
      </c>
    </row>
    <row r="150" spans="1:14" ht="31.5" customHeight="1">
      <c r="A150" s="9">
        <v>188</v>
      </c>
      <c r="B150" s="9" t="s">
        <v>539</v>
      </c>
      <c r="C150" s="9" t="s">
        <v>540</v>
      </c>
      <c r="D150" s="9">
        <v>1</v>
      </c>
      <c r="E150" s="9" t="s">
        <v>542</v>
      </c>
      <c r="F150" s="9">
        <v>229</v>
      </c>
      <c r="G150" s="9">
        <v>2</v>
      </c>
      <c r="H150" s="9" t="s">
        <v>119</v>
      </c>
      <c r="I150" s="113" t="s">
        <v>18</v>
      </c>
      <c r="J150" s="118" t="s">
        <v>83</v>
      </c>
      <c r="K150" s="119" t="s">
        <v>85</v>
      </c>
      <c r="L150" s="121">
        <v>458</v>
      </c>
      <c r="M150" s="109" t="str">
        <f>IF(K150="Specific mutant",VLOOKUP($L150,Mutants!$A$2:$L$560,11,FALSE),L150)</f>
        <v xml:space="preserve">getBinaryValues, getValues, toString
</v>
      </c>
      <c r="N150" s="9" t="str">
        <f t="shared" si="0"/>
        <v/>
      </c>
    </row>
    <row r="151" spans="1:14" ht="31.5" customHeight="1">
      <c r="A151" s="9">
        <v>118</v>
      </c>
      <c r="B151" s="9" t="s">
        <v>543</v>
      </c>
      <c r="C151" s="9" t="s">
        <v>544</v>
      </c>
      <c r="D151" s="9">
        <v>0</v>
      </c>
      <c r="E151" s="9" t="s">
        <v>545</v>
      </c>
      <c r="F151" s="9">
        <v>232</v>
      </c>
      <c r="G151" s="9">
        <v>2</v>
      </c>
      <c r="H151" s="9" t="s">
        <v>119</v>
      </c>
      <c r="I151" s="113" t="s">
        <v>18</v>
      </c>
      <c r="J151" s="118" t="s">
        <v>83</v>
      </c>
      <c r="K151" s="119" t="s">
        <v>85</v>
      </c>
      <c r="L151" s="121">
        <v>502</v>
      </c>
      <c r="M151" s="109" t="str">
        <f>IF(K151="Specific mutant",VLOOKUP($L151,Mutants!$A$2:$L$560,11,FALSE),L151)</f>
        <v xml:space="preserve">removeField
</v>
      </c>
      <c r="N151" s="9" t="str">
        <f t="shared" si="0"/>
        <v/>
      </c>
    </row>
    <row r="152" spans="1:14" ht="31.5" customHeight="1">
      <c r="A152" s="9">
        <v>121</v>
      </c>
      <c r="B152" s="9" t="s">
        <v>546</v>
      </c>
      <c r="C152" s="9" t="s">
        <v>547</v>
      </c>
      <c r="D152" s="9">
        <v>0</v>
      </c>
      <c r="E152" s="9" t="s">
        <v>548</v>
      </c>
      <c r="F152" s="9">
        <v>232</v>
      </c>
      <c r="G152" s="9">
        <v>2</v>
      </c>
      <c r="H152" s="9" t="s">
        <v>119</v>
      </c>
      <c r="I152" s="113" t="s">
        <v>19</v>
      </c>
      <c r="L152" s="124" t="s">
        <v>4605</v>
      </c>
      <c r="M152" s="109" t="str">
        <f>IF(K152="Specific mutant",VLOOKUP($L152,Mutants!$A$2:$L$560,11,FALSE),L152)</f>
        <v xml:space="preserve"> </v>
      </c>
      <c r="N152" s="9" t="str">
        <f t="shared" si="0"/>
        <v>DUPLICATED</v>
      </c>
    </row>
    <row r="153" spans="1:14" ht="31.5" customHeight="1">
      <c r="A153" s="9">
        <v>164</v>
      </c>
      <c r="B153" s="9" t="s">
        <v>546</v>
      </c>
      <c r="C153" s="9" t="s">
        <v>547</v>
      </c>
      <c r="D153" s="9">
        <v>1</v>
      </c>
      <c r="E153" s="9" t="s">
        <v>549</v>
      </c>
      <c r="F153" s="9">
        <v>232</v>
      </c>
      <c r="G153" s="9">
        <v>2</v>
      </c>
      <c r="H153" s="9" t="s">
        <v>119</v>
      </c>
      <c r="I153" s="113" t="s">
        <v>18</v>
      </c>
      <c r="J153" s="118" t="s">
        <v>83</v>
      </c>
      <c r="K153" s="119" t="s">
        <v>85</v>
      </c>
      <c r="L153" s="121">
        <v>502</v>
      </c>
      <c r="M153" s="109" t="str">
        <f>IF(K153="Specific mutant",VLOOKUP($L153,Mutants!$A$2:$L$560,11,FALSE),L153)</f>
        <v xml:space="preserve">removeField
</v>
      </c>
      <c r="N153" s="9" t="str">
        <f t="shared" si="0"/>
        <v/>
      </c>
    </row>
    <row r="154" spans="1:14" ht="31.5" customHeight="1">
      <c r="A154" s="9">
        <v>179</v>
      </c>
      <c r="B154" s="9" t="s">
        <v>550</v>
      </c>
      <c r="C154" s="9" t="s">
        <v>551</v>
      </c>
      <c r="D154" s="9">
        <v>1</v>
      </c>
      <c r="E154" s="9" t="s">
        <v>552</v>
      </c>
      <c r="F154" s="9">
        <v>232</v>
      </c>
      <c r="G154" s="9">
        <v>2</v>
      </c>
      <c r="H154" s="9" t="s">
        <v>119</v>
      </c>
      <c r="I154" s="113" t="s">
        <v>18</v>
      </c>
      <c r="J154" s="118" t="s">
        <v>83</v>
      </c>
      <c r="K154" s="119" t="s">
        <v>85</v>
      </c>
      <c r="L154" s="121">
        <v>608</v>
      </c>
      <c r="M154" s="109" t="str">
        <f>IF(K154="Specific mutant",VLOOKUP($L154,Mutants!$A$2:$L$560,11,FALSE),L154)</f>
        <v xml:space="preserve">getField
</v>
      </c>
      <c r="N154" s="9" t="str">
        <f t="shared" si="0"/>
        <v/>
      </c>
    </row>
    <row r="155" spans="1:14" ht="31.5" customHeight="1">
      <c r="A155" s="9">
        <v>183</v>
      </c>
      <c r="B155" s="9" t="s">
        <v>553</v>
      </c>
      <c r="C155" s="9" t="s">
        <v>554</v>
      </c>
      <c r="D155" s="9">
        <v>1</v>
      </c>
      <c r="E155" s="9" t="s">
        <v>555</v>
      </c>
      <c r="F155" s="9">
        <v>232</v>
      </c>
      <c r="G155" s="9">
        <v>2</v>
      </c>
      <c r="H155" s="9" t="s">
        <v>119</v>
      </c>
      <c r="I155" s="113" t="s">
        <v>19</v>
      </c>
      <c r="L155" s="124" t="s">
        <v>4605</v>
      </c>
      <c r="M155" s="109" t="str">
        <f>IF(K155="Specific mutant",VLOOKUP($L155,Mutants!$A$2:$L$560,11,FALSE),L155)</f>
        <v xml:space="preserve"> </v>
      </c>
      <c r="N155" s="9" t="str">
        <f t="shared" si="0"/>
        <v/>
      </c>
    </row>
    <row r="156" spans="1:14" ht="31.5" customHeight="1">
      <c r="A156" s="9">
        <v>108</v>
      </c>
      <c r="B156" s="9" t="s">
        <v>556</v>
      </c>
      <c r="C156" s="9" t="s">
        <v>557</v>
      </c>
      <c r="D156" s="9">
        <v>1</v>
      </c>
      <c r="E156" s="9" t="s">
        <v>558</v>
      </c>
      <c r="F156" s="9">
        <v>235</v>
      </c>
      <c r="G156" s="9">
        <v>2</v>
      </c>
      <c r="H156" s="9">
        <v>0</v>
      </c>
      <c r="I156" s="113" t="s">
        <v>18</v>
      </c>
      <c r="J156" s="118" t="s">
        <v>99</v>
      </c>
      <c r="K156" s="119" t="s">
        <v>101</v>
      </c>
      <c r="L156" s="120" t="s">
        <v>4605</v>
      </c>
      <c r="M156" s="109" t="str">
        <f>IF(K156="Specific mutant",VLOOKUP($L156,Mutants!$A$2:$L$560,11,FALSE),L156)</f>
        <v xml:space="preserve"> </v>
      </c>
      <c r="N156" s="9" t="str">
        <f t="shared" si="0"/>
        <v/>
      </c>
    </row>
    <row r="157" spans="1:14" ht="31.5" customHeight="1">
      <c r="A157" s="9">
        <v>112</v>
      </c>
      <c r="B157" s="9" t="s">
        <v>559</v>
      </c>
      <c r="C157" s="9" t="s">
        <v>560</v>
      </c>
      <c r="D157" s="9">
        <v>0</v>
      </c>
      <c r="E157" s="9" t="s">
        <v>561</v>
      </c>
      <c r="F157" s="9">
        <v>235</v>
      </c>
      <c r="G157" s="9">
        <v>2</v>
      </c>
      <c r="H157" s="9" t="s">
        <v>119</v>
      </c>
      <c r="I157" s="113" t="s">
        <v>18</v>
      </c>
      <c r="J157" s="118" t="s">
        <v>99</v>
      </c>
      <c r="K157" s="119" t="s">
        <v>101</v>
      </c>
      <c r="L157" s="120" t="s">
        <v>4605</v>
      </c>
      <c r="M157" s="109" t="str">
        <f>IF(K157="Specific mutant",VLOOKUP($L157,Mutants!$A$2:$L$560,11,FALSE),L157)</f>
        <v xml:space="preserve"> </v>
      </c>
      <c r="N157" s="9" t="str">
        <f t="shared" si="0"/>
        <v/>
      </c>
    </row>
    <row r="158" spans="1:14" ht="31.5" customHeight="1">
      <c r="A158" s="9">
        <v>114</v>
      </c>
      <c r="B158" s="9" t="s">
        <v>562</v>
      </c>
      <c r="C158" s="9" t="s">
        <v>563</v>
      </c>
      <c r="D158" s="9">
        <v>1</v>
      </c>
      <c r="E158" s="9" t="s">
        <v>564</v>
      </c>
      <c r="F158" s="9">
        <v>235</v>
      </c>
      <c r="G158" s="9">
        <v>2</v>
      </c>
      <c r="H158" s="9">
        <v>1</v>
      </c>
      <c r="I158" s="113" t="s">
        <v>18</v>
      </c>
      <c r="J158" s="118" t="s">
        <v>99</v>
      </c>
      <c r="K158" s="119" t="s">
        <v>101</v>
      </c>
      <c r="L158" s="120" t="s">
        <v>4605</v>
      </c>
      <c r="M158" s="109" t="str">
        <f>IF(K158="Specific mutant",VLOOKUP($L158,Mutants!$A$2:$L$560,11,FALSE),L158)</f>
        <v xml:space="preserve"> </v>
      </c>
      <c r="N158" s="9" t="str">
        <f t="shared" si="0"/>
        <v/>
      </c>
    </row>
    <row r="159" spans="1:14" ht="31.5" customHeight="1">
      <c r="A159" s="9">
        <v>163</v>
      </c>
      <c r="B159" s="9" t="s">
        <v>565</v>
      </c>
      <c r="C159" s="9" t="s">
        <v>566</v>
      </c>
      <c r="D159" s="9">
        <v>1</v>
      </c>
      <c r="E159" s="9" t="s">
        <v>567</v>
      </c>
      <c r="F159" s="9">
        <v>235</v>
      </c>
      <c r="G159" s="9">
        <v>2</v>
      </c>
      <c r="H159" s="9" t="s">
        <v>119</v>
      </c>
      <c r="I159" s="113" t="s">
        <v>18</v>
      </c>
      <c r="J159" s="118" t="s">
        <v>99</v>
      </c>
      <c r="K159" s="119" t="s">
        <v>91</v>
      </c>
      <c r="L159" s="120" t="s">
        <v>4605</v>
      </c>
      <c r="M159" s="109" t="str">
        <f>IF(K159="Specific mutant",VLOOKUP($L159,Mutants!$A$2:$L$560,11,FALSE),L159)</f>
        <v xml:space="preserve"> </v>
      </c>
      <c r="N159" s="9" t="str">
        <f t="shared" si="0"/>
        <v/>
      </c>
    </row>
    <row r="160" spans="1:14" ht="31.5" customHeight="1">
      <c r="A160" s="9">
        <v>103</v>
      </c>
      <c r="B160" s="9" t="s">
        <v>568</v>
      </c>
      <c r="C160" s="9" t="s">
        <v>569</v>
      </c>
      <c r="D160" s="9">
        <v>1</v>
      </c>
      <c r="E160" s="9" t="s">
        <v>570</v>
      </c>
      <c r="F160" s="9">
        <v>238</v>
      </c>
      <c r="G160" s="9">
        <v>2</v>
      </c>
      <c r="H160" s="9" t="s">
        <v>119</v>
      </c>
      <c r="I160" s="113" t="s">
        <v>18</v>
      </c>
      <c r="J160" s="118" t="s">
        <v>83</v>
      </c>
      <c r="K160" s="119" t="s">
        <v>85</v>
      </c>
      <c r="L160" s="121">
        <v>446</v>
      </c>
      <c r="M160" s="109" t="str">
        <f>IF(K160="Specific mutant",VLOOKUP($L160,Mutants!$A$2:$L$560,11,FALSE),L160)</f>
        <v xml:space="preserve">removeFields
</v>
      </c>
      <c r="N160" s="9" t="str">
        <f t="shared" si="0"/>
        <v/>
      </c>
    </row>
    <row r="161" spans="1:14" ht="31.5" customHeight="1">
      <c r="A161" s="9">
        <v>159</v>
      </c>
      <c r="B161" s="9" t="s">
        <v>571</v>
      </c>
      <c r="C161" s="9" t="s">
        <v>572</v>
      </c>
      <c r="D161" s="9">
        <v>1</v>
      </c>
      <c r="E161" s="9" t="s">
        <v>573</v>
      </c>
      <c r="F161" s="9">
        <v>238</v>
      </c>
      <c r="G161" s="9">
        <v>2</v>
      </c>
      <c r="H161" s="9" t="s">
        <v>119</v>
      </c>
      <c r="I161" s="113" t="s">
        <v>18</v>
      </c>
      <c r="J161" s="118" t="s">
        <v>83</v>
      </c>
      <c r="K161" s="119" t="s">
        <v>85</v>
      </c>
      <c r="L161" s="121">
        <v>481</v>
      </c>
      <c r="M161" s="109" t="str">
        <f>IF(K161="Specific mutant",VLOOKUP($L161,Mutants!$A$2:$L$560,11,FALSE),L161)</f>
        <v xml:space="preserve">removeFields
</v>
      </c>
      <c r="N161" s="9" t="str">
        <f t="shared" si="0"/>
        <v/>
      </c>
    </row>
    <row r="162" spans="1:14" ht="31.5" customHeight="1">
      <c r="A162" s="9">
        <v>168</v>
      </c>
      <c r="B162" s="9" t="s">
        <v>574</v>
      </c>
      <c r="C162" s="9" t="s">
        <v>575</v>
      </c>
      <c r="D162" s="9">
        <v>1</v>
      </c>
      <c r="E162" s="9" t="s">
        <v>576</v>
      </c>
      <c r="F162" s="9">
        <v>238</v>
      </c>
      <c r="G162" s="9">
        <v>2</v>
      </c>
      <c r="H162" s="9" t="s">
        <v>119</v>
      </c>
      <c r="I162" s="113" t="s">
        <v>18</v>
      </c>
      <c r="J162" s="118" t="s">
        <v>83</v>
      </c>
      <c r="K162" s="119" t="s">
        <v>85</v>
      </c>
      <c r="L162" s="121">
        <v>430</v>
      </c>
      <c r="M162" s="109" t="str">
        <f>IF(K162="Specific mutant",VLOOKUP($L162,Mutants!$A$2:$L$560,11,FALSE),L162)</f>
        <v xml:space="preserve">removeField
</v>
      </c>
      <c r="N162" s="9" t="str">
        <f t="shared" si="0"/>
        <v/>
      </c>
    </row>
    <row r="163" spans="1:14" ht="31.5" customHeight="1">
      <c r="A163" s="9">
        <v>175</v>
      </c>
      <c r="B163" s="9" t="s">
        <v>577</v>
      </c>
      <c r="C163" s="9" t="s">
        <v>578</v>
      </c>
      <c r="D163" s="9">
        <v>1</v>
      </c>
      <c r="E163" s="9" t="s">
        <v>579</v>
      </c>
      <c r="F163" s="9">
        <v>238</v>
      </c>
      <c r="G163" s="9">
        <v>2</v>
      </c>
      <c r="H163" s="9" t="s">
        <v>119</v>
      </c>
      <c r="I163" s="113" t="s">
        <v>18</v>
      </c>
      <c r="J163" s="118" t="s">
        <v>83</v>
      </c>
      <c r="K163" s="119" t="s">
        <v>85</v>
      </c>
      <c r="L163" s="121">
        <v>604</v>
      </c>
      <c r="M163" s="109" t="str">
        <f>IF(K163="Specific mutant",VLOOKUP($L163,Mutants!$A$2:$L$560,11,FALSE),L163)</f>
        <v xml:space="preserve">getFields_1
</v>
      </c>
      <c r="N163" s="9" t="str">
        <f t="shared" si="0"/>
        <v/>
      </c>
    </row>
    <row r="164" spans="1:14" ht="31.5" customHeight="1">
      <c r="A164" s="9">
        <v>193</v>
      </c>
      <c r="B164" s="9" t="s">
        <v>580</v>
      </c>
      <c r="C164" s="9" t="s">
        <v>581</v>
      </c>
      <c r="D164" s="9">
        <v>1</v>
      </c>
      <c r="E164" s="9" t="s">
        <v>582</v>
      </c>
      <c r="F164" s="9">
        <v>238</v>
      </c>
      <c r="G164" s="9">
        <v>2</v>
      </c>
      <c r="H164" s="9" t="s">
        <v>119</v>
      </c>
      <c r="I164" s="113" t="s">
        <v>18</v>
      </c>
      <c r="J164" s="118" t="s">
        <v>83</v>
      </c>
      <c r="K164" s="119" t="s">
        <v>85</v>
      </c>
      <c r="L164" s="121">
        <v>604</v>
      </c>
      <c r="M164" s="109" t="str">
        <f>IF(K164="Specific mutant",VLOOKUP($L164,Mutants!$A$2:$L$560,11,FALSE),L164)</f>
        <v xml:space="preserve">getFields_1
</v>
      </c>
      <c r="N164" s="9" t="str">
        <f t="shared" si="0"/>
        <v/>
      </c>
    </row>
    <row r="165" spans="1:14" ht="31.5" customHeight="1">
      <c r="A165" s="9">
        <v>97</v>
      </c>
      <c r="B165" s="9" t="s">
        <v>583</v>
      </c>
      <c r="C165" s="9" t="s">
        <v>584</v>
      </c>
      <c r="D165" s="9">
        <v>1</v>
      </c>
      <c r="E165" s="9" t="s">
        <v>585</v>
      </c>
      <c r="F165" s="9">
        <v>239</v>
      </c>
      <c r="G165" s="9">
        <v>2</v>
      </c>
      <c r="H165" s="9">
        <v>0</v>
      </c>
      <c r="I165" s="113" t="s">
        <v>18</v>
      </c>
      <c r="J165" s="118" t="s">
        <v>99</v>
      </c>
      <c r="K165" s="119" t="s">
        <v>103</v>
      </c>
      <c r="L165" s="120" t="s">
        <v>4605</v>
      </c>
      <c r="M165" s="109" t="str">
        <f>IF(K165="Specific mutant",VLOOKUP($L165,Mutants!$A$2:$L$560,11,FALSE),L165)</f>
        <v xml:space="preserve"> </v>
      </c>
      <c r="N165" s="9" t="str">
        <f t="shared" si="0"/>
        <v/>
      </c>
    </row>
    <row r="166" spans="1:14" ht="31.5" customHeight="1">
      <c r="A166" s="9">
        <v>100</v>
      </c>
      <c r="B166" s="9" t="s">
        <v>586</v>
      </c>
      <c r="C166" s="9" t="s">
        <v>587</v>
      </c>
      <c r="D166" s="9">
        <v>1</v>
      </c>
      <c r="E166" s="9" t="s">
        <v>588</v>
      </c>
      <c r="F166" s="9">
        <v>239</v>
      </c>
      <c r="G166" s="9">
        <v>2</v>
      </c>
      <c r="H166" s="9" t="s">
        <v>119</v>
      </c>
      <c r="I166" s="113" t="s">
        <v>18</v>
      </c>
      <c r="J166" s="118" t="s">
        <v>83</v>
      </c>
      <c r="K166" s="119" t="s">
        <v>88</v>
      </c>
      <c r="L166" s="121" t="s">
        <v>515</v>
      </c>
      <c r="M166" s="109" t="str">
        <f>IF(K166="Specific mutant",VLOOKUP($L166,Mutants!$A$2:$L$560,11,FALSE),L166)</f>
        <v>getBinaryValue</v>
      </c>
      <c r="N166" s="9" t="str">
        <f t="shared" si="0"/>
        <v/>
      </c>
    </row>
    <row r="167" spans="1:14" ht="31.5" customHeight="1">
      <c r="A167" s="9">
        <v>104</v>
      </c>
      <c r="B167" s="9" t="s">
        <v>589</v>
      </c>
      <c r="C167" s="9" t="s">
        <v>590</v>
      </c>
      <c r="D167" s="9">
        <v>1</v>
      </c>
      <c r="E167" s="9" t="s">
        <v>591</v>
      </c>
      <c r="F167" s="9">
        <v>239</v>
      </c>
      <c r="G167" s="9">
        <v>2</v>
      </c>
      <c r="H167" s="9" t="s">
        <v>119</v>
      </c>
      <c r="I167" s="113" t="s">
        <v>18</v>
      </c>
      <c r="J167" s="118" t="s">
        <v>83</v>
      </c>
      <c r="K167" s="119" t="s">
        <v>88</v>
      </c>
      <c r="L167" s="121" t="s">
        <v>515</v>
      </c>
      <c r="M167" s="109" t="str">
        <f>IF(K167="Specific mutant",VLOOKUP($L167,Mutants!$A$2:$L$560,11,FALSE),L167)</f>
        <v>getBinaryValue</v>
      </c>
      <c r="N167" s="9" t="str">
        <f t="shared" si="0"/>
        <v/>
      </c>
    </row>
    <row r="168" spans="1:14" ht="31.5" customHeight="1">
      <c r="A168" s="9">
        <v>138</v>
      </c>
      <c r="B168" s="9" t="s">
        <v>592</v>
      </c>
      <c r="C168" s="9" t="s">
        <v>593</v>
      </c>
      <c r="D168" s="9">
        <v>0</v>
      </c>
      <c r="E168" s="9" t="s">
        <v>594</v>
      </c>
      <c r="F168" s="9">
        <v>239</v>
      </c>
      <c r="G168" s="9">
        <v>2</v>
      </c>
      <c r="H168" s="9" t="s">
        <v>119</v>
      </c>
      <c r="I168" s="113" t="s">
        <v>18</v>
      </c>
      <c r="J168" s="118" t="s">
        <v>83</v>
      </c>
      <c r="K168" s="119" t="s">
        <v>91</v>
      </c>
      <c r="L168" s="120" t="s">
        <v>4605</v>
      </c>
      <c r="M168" s="109" t="str">
        <f>IF(K168="Specific mutant",VLOOKUP($L168,Mutants!$A$2:$L$560,11,FALSE),L168)</f>
        <v xml:space="preserve"> </v>
      </c>
      <c r="N168" s="9" t="str">
        <f t="shared" si="0"/>
        <v/>
      </c>
    </row>
    <row r="169" spans="1:14" ht="31.5" customHeight="1">
      <c r="A169" s="9">
        <v>144</v>
      </c>
      <c r="B169" s="9" t="s">
        <v>595</v>
      </c>
      <c r="C169" s="9" t="s">
        <v>596</v>
      </c>
      <c r="D169" s="9">
        <v>1</v>
      </c>
      <c r="E169" s="9" t="s">
        <v>597</v>
      </c>
      <c r="F169" s="9">
        <v>239</v>
      </c>
      <c r="G169" s="9">
        <v>2</v>
      </c>
      <c r="H169" s="9" t="s">
        <v>119</v>
      </c>
      <c r="I169" s="113" t="s">
        <v>18</v>
      </c>
      <c r="J169" s="118" t="s">
        <v>83</v>
      </c>
      <c r="K169" s="119" t="s">
        <v>91</v>
      </c>
      <c r="L169" s="120" t="s">
        <v>4605</v>
      </c>
      <c r="M169" s="109" t="str">
        <f>IF(K169="Specific mutant",VLOOKUP($L169,Mutants!$A$2:$L$560,11,FALSE),L169)</f>
        <v xml:space="preserve"> </v>
      </c>
      <c r="N169" s="9" t="str">
        <f t="shared" si="0"/>
        <v/>
      </c>
    </row>
    <row r="170" spans="1:14" ht="31.5" customHeight="1">
      <c r="A170" s="9">
        <v>96</v>
      </c>
      <c r="B170" s="9" t="s">
        <v>598</v>
      </c>
      <c r="C170" s="9" t="s">
        <v>599</v>
      </c>
      <c r="D170" s="9">
        <v>0</v>
      </c>
      <c r="E170" s="9" t="s">
        <v>600</v>
      </c>
      <c r="F170" s="9">
        <v>241</v>
      </c>
      <c r="G170" s="9">
        <v>2</v>
      </c>
      <c r="H170" s="9" t="s">
        <v>119</v>
      </c>
      <c r="I170" s="113" t="s">
        <v>18</v>
      </c>
      <c r="J170" s="118" t="s">
        <v>99</v>
      </c>
      <c r="K170" s="119" t="s">
        <v>103</v>
      </c>
      <c r="L170" s="120" t="s">
        <v>4605</v>
      </c>
      <c r="M170" s="109" t="str">
        <f>IF(K170="Specific mutant",VLOOKUP($L170,Mutants!$A$2:$L$560,11,FALSE),L170)</f>
        <v xml:space="preserve"> </v>
      </c>
      <c r="N170" s="9" t="str">
        <f t="shared" si="0"/>
        <v/>
      </c>
    </row>
    <row r="171" spans="1:14" ht="31.5" customHeight="1">
      <c r="A171" s="9">
        <v>107</v>
      </c>
      <c r="B171" s="9" t="s">
        <v>601</v>
      </c>
      <c r="C171" s="9" t="s">
        <v>602</v>
      </c>
      <c r="D171" s="9">
        <v>0</v>
      </c>
      <c r="E171" s="9" t="s">
        <v>603</v>
      </c>
      <c r="F171" s="9">
        <v>241</v>
      </c>
      <c r="G171" s="9">
        <v>2</v>
      </c>
      <c r="H171" s="9">
        <v>0</v>
      </c>
      <c r="I171" s="113" t="s">
        <v>18</v>
      </c>
      <c r="J171" s="118" t="s">
        <v>93</v>
      </c>
      <c r="K171" s="119" t="s">
        <v>91</v>
      </c>
      <c r="L171" s="120" t="s">
        <v>4605</v>
      </c>
      <c r="M171" s="109" t="str">
        <f>IF(K171="Specific mutant",VLOOKUP($L171,Mutants!$A$2:$L$560,11,FALSE),L171)</f>
        <v xml:space="preserve"> </v>
      </c>
      <c r="N171" s="9" t="str">
        <f t="shared" si="0"/>
        <v/>
      </c>
    </row>
    <row r="172" spans="1:14" ht="31.5" customHeight="1">
      <c r="A172" s="9">
        <v>191</v>
      </c>
      <c r="B172" s="9" t="s">
        <v>604</v>
      </c>
      <c r="C172" s="9" t="s">
        <v>605</v>
      </c>
      <c r="D172" s="9">
        <v>0</v>
      </c>
      <c r="E172" s="9" t="s">
        <v>606</v>
      </c>
      <c r="F172" s="9">
        <v>241</v>
      </c>
      <c r="G172" s="9">
        <v>2</v>
      </c>
      <c r="H172" s="9" t="s">
        <v>119</v>
      </c>
      <c r="I172" s="113" t="s">
        <v>18</v>
      </c>
      <c r="J172" s="118" t="s">
        <v>83</v>
      </c>
      <c r="K172" s="119" t="s">
        <v>85</v>
      </c>
      <c r="L172" s="121">
        <v>448</v>
      </c>
      <c r="M172" s="109" t="str">
        <f>IF(K172="Specific mutant",VLOOKUP($L172,Mutants!$A$2:$L$560,11,FALSE),L172)</f>
        <v xml:space="preserve">getBinaryValue
</v>
      </c>
      <c r="N172" s="9" t="str">
        <f t="shared" si="0"/>
        <v/>
      </c>
    </row>
    <row r="173" spans="1:14" ht="31.5" customHeight="1">
      <c r="A173" s="9">
        <v>195</v>
      </c>
      <c r="B173" s="9" t="s">
        <v>607</v>
      </c>
      <c r="C173" s="9" t="s">
        <v>608</v>
      </c>
      <c r="D173" s="9">
        <v>0</v>
      </c>
      <c r="E173" s="9" t="s">
        <v>441</v>
      </c>
      <c r="F173" s="9">
        <v>241</v>
      </c>
      <c r="G173" s="9">
        <v>2</v>
      </c>
      <c r="H173" s="9" t="s">
        <v>119</v>
      </c>
      <c r="I173" s="113" t="s">
        <v>18</v>
      </c>
      <c r="J173" s="118" t="s">
        <v>83</v>
      </c>
      <c r="K173" s="119" t="s">
        <v>85</v>
      </c>
      <c r="L173" s="121">
        <v>430</v>
      </c>
      <c r="M173" s="109" t="str">
        <f>IF(K173="Specific mutant",VLOOKUP($L173,Mutants!$A$2:$L$560,11,FALSE),L173)</f>
        <v xml:space="preserve">removeField
</v>
      </c>
      <c r="N173" s="9" t="str">
        <f t="shared" si="0"/>
        <v/>
      </c>
    </row>
    <row r="174" spans="1:14" ht="31.5" customHeight="1">
      <c r="A174" s="9">
        <v>204</v>
      </c>
      <c r="B174" s="9" t="s">
        <v>609</v>
      </c>
      <c r="C174" s="9" t="s">
        <v>610</v>
      </c>
      <c r="D174" s="9">
        <v>1</v>
      </c>
      <c r="E174" s="9" t="s">
        <v>611</v>
      </c>
      <c r="F174" s="9">
        <v>241</v>
      </c>
      <c r="G174" s="9">
        <v>2</v>
      </c>
      <c r="H174" s="9" t="s">
        <v>119</v>
      </c>
      <c r="I174" s="113" t="s">
        <v>18</v>
      </c>
      <c r="J174" s="118" t="s">
        <v>83</v>
      </c>
      <c r="K174" s="119" t="s">
        <v>85</v>
      </c>
      <c r="L174" s="121">
        <v>604</v>
      </c>
      <c r="M174" s="109" t="str">
        <f>IF(K174="Specific mutant",VLOOKUP($L174,Mutants!$A$2:$L$560,11,FALSE),L174)</f>
        <v xml:space="preserve">getFields_1
</v>
      </c>
      <c r="N174" s="9" t="str">
        <f t="shared" si="0"/>
        <v/>
      </c>
    </row>
    <row r="175" spans="1:14" ht="31.5" customHeight="1">
      <c r="A175" s="9">
        <v>95</v>
      </c>
      <c r="B175" s="9" t="s">
        <v>612</v>
      </c>
      <c r="C175" s="9" t="s">
        <v>613</v>
      </c>
      <c r="D175" s="9">
        <v>1</v>
      </c>
      <c r="E175" s="9" t="s">
        <v>614</v>
      </c>
      <c r="F175" s="9">
        <v>244</v>
      </c>
      <c r="G175" s="9">
        <v>2</v>
      </c>
      <c r="H175" s="9">
        <v>0</v>
      </c>
      <c r="I175" s="113" t="s">
        <v>18</v>
      </c>
      <c r="J175" s="118" t="s">
        <v>93</v>
      </c>
      <c r="K175" s="119" t="s">
        <v>88</v>
      </c>
      <c r="L175" s="121" t="s">
        <v>375</v>
      </c>
      <c r="M175" s="109" t="str">
        <f>IF(K175="Specific mutant",VLOOKUP($L175,Mutants!$A$2:$L$560,11,FALSE),L175)</f>
        <v>removeField</v>
      </c>
      <c r="N175" s="9" t="str">
        <f t="shared" si="0"/>
        <v/>
      </c>
    </row>
    <row r="176" spans="1:14" ht="31.5" customHeight="1">
      <c r="A176" s="9">
        <v>98</v>
      </c>
      <c r="B176" s="9" t="s">
        <v>615</v>
      </c>
      <c r="C176" s="9" t="s">
        <v>616</v>
      </c>
      <c r="D176" s="9">
        <v>0</v>
      </c>
      <c r="E176" s="9" t="s">
        <v>617</v>
      </c>
      <c r="F176" s="9">
        <v>244</v>
      </c>
      <c r="G176" s="9">
        <v>2</v>
      </c>
      <c r="H176" s="9" t="s">
        <v>119</v>
      </c>
      <c r="I176" s="113" t="s">
        <v>18</v>
      </c>
      <c r="J176" s="118" t="s">
        <v>93</v>
      </c>
      <c r="K176" s="119" t="s">
        <v>88</v>
      </c>
      <c r="L176" s="121" t="s">
        <v>375</v>
      </c>
      <c r="M176" s="109" t="str">
        <f>IF(K176="Specific mutant",VLOOKUP($L176,Mutants!$A$2:$L$560,11,FALSE),L176)</f>
        <v>removeField</v>
      </c>
      <c r="N176" s="9" t="str">
        <f t="shared" si="0"/>
        <v/>
      </c>
    </row>
    <row r="177" spans="1:14" ht="31.5" customHeight="1">
      <c r="A177" s="9">
        <v>102</v>
      </c>
      <c r="B177" s="9" t="s">
        <v>618</v>
      </c>
      <c r="C177" s="9" t="s">
        <v>619</v>
      </c>
      <c r="D177" s="9">
        <v>1</v>
      </c>
      <c r="E177" s="9" t="s">
        <v>620</v>
      </c>
      <c r="F177" s="9">
        <v>244</v>
      </c>
      <c r="G177" s="9">
        <v>2</v>
      </c>
      <c r="H177" s="9" t="s">
        <v>119</v>
      </c>
      <c r="I177" s="113" t="s">
        <v>18</v>
      </c>
      <c r="J177" s="118" t="s">
        <v>83</v>
      </c>
      <c r="K177" s="119" t="s">
        <v>88</v>
      </c>
      <c r="L177" s="121" t="s">
        <v>519</v>
      </c>
      <c r="M177" s="109" t="str">
        <f>IF(K177="Specific mutant",VLOOKUP($L177,Mutants!$A$2:$L$560,11,FALSE),L177)</f>
        <v>iterator</v>
      </c>
      <c r="N177" s="9" t="str">
        <f t="shared" si="0"/>
        <v/>
      </c>
    </row>
    <row r="178" spans="1:14" ht="31.5" customHeight="1">
      <c r="A178" s="9">
        <v>115</v>
      </c>
      <c r="B178" s="9" t="s">
        <v>621</v>
      </c>
      <c r="C178" s="9" t="s">
        <v>622</v>
      </c>
      <c r="D178" s="9">
        <v>0</v>
      </c>
      <c r="E178" s="9" t="s">
        <v>623</v>
      </c>
      <c r="F178" s="9">
        <v>244</v>
      </c>
      <c r="G178" s="9">
        <v>2</v>
      </c>
      <c r="H178" s="9" t="s">
        <v>119</v>
      </c>
      <c r="I178" s="113" t="s">
        <v>18</v>
      </c>
      <c r="J178" s="118" t="s">
        <v>83</v>
      </c>
      <c r="K178" s="119" t="s">
        <v>85</v>
      </c>
      <c r="L178" s="121">
        <v>513</v>
      </c>
      <c r="M178" s="109" t="str">
        <f>IF(K178="Specific mutant",VLOOKUP($L178,Mutants!$A$2:$L$560,11,FALSE),L178)</f>
        <v xml:space="preserve">add
</v>
      </c>
      <c r="N178" s="9" t="str">
        <f t="shared" si="0"/>
        <v/>
      </c>
    </row>
    <row r="179" spans="1:14" ht="31.5" customHeight="1">
      <c r="A179" s="9">
        <v>117</v>
      </c>
      <c r="B179" s="9" t="s">
        <v>624</v>
      </c>
      <c r="C179" s="9" t="s">
        <v>625</v>
      </c>
      <c r="D179" s="9">
        <v>1</v>
      </c>
      <c r="E179" s="9" t="s">
        <v>626</v>
      </c>
      <c r="F179" s="9">
        <v>244</v>
      </c>
      <c r="G179" s="9">
        <v>2</v>
      </c>
      <c r="H179" s="9" t="s">
        <v>119</v>
      </c>
      <c r="I179" s="113" t="s">
        <v>18</v>
      </c>
      <c r="J179" s="118" t="s">
        <v>83</v>
      </c>
      <c r="K179" s="119" t="s">
        <v>85</v>
      </c>
      <c r="L179" s="121">
        <v>513</v>
      </c>
      <c r="M179" s="109" t="str">
        <f>IF(K179="Specific mutant",VLOOKUP($L179,Mutants!$A$2:$L$560,11,FALSE),L179)</f>
        <v xml:space="preserve">add
</v>
      </c>
      <c r="N179" s="9" t="str">
        <f t="shared" si="0"/>
        <v/>
      </c>
    </row>
    <row r="180" spans="1:14" ht="31.5" customHeight="1">
      <c r="A180" s="9">
        <v>127</v>
      </c>
      <c r="B180" s="9" t="s">
        <v>627</v>
      </c>
      <c r="C180" s="9" t="s">
        <v>628</v>
      </c>
      <c r="D180" s="9">
        <v>1</v>
      </c>
      <c r="E180" s="9" t="s">
        <v>629</v>
      </c>
      <c r="F180" s="9">
        <v>244</v>
      </c>
      <c r="G180" s="9">
        <v>2</v>
      </c>
      <c r="H180" s="9" t="s">
        <v>119</v>
      </c>
      <c r="I180" s="113" t="s">
        <v>18</v>
      </c>
      <c r="J180" s="118" t="s">
        <v>83</v>
      </c>
      <c r="K180" s="119" t="s">
        <v>85</v>
      </c>
      <c r="L180" s="121">
        <v>513</v>
      </c>
      <c r="M180" s="109" t="str">
        <f>IF(K180="Specific mutant",VLOOKUP($L180,Mutants!$A$2:$L$560,11,FALSE),L180)</f>
        <v xml:space="preserve">add
</v>
      </c>
      <c r="N180" s="9" t="str">
        <f t="shared" si="0"/>
        <v/>
      </c>
    </row>
    <row r="181" spans="1:14" ht="31.5" customHeight="1">
      <c r="A181" s="9">
        <v>134</v>
      </c>
      <c r="B181" s="9" t="s">
        <v>630</v>
      </c>
      <c r="C181" s="9" t="s">
        <v>631</v>
      </c>
      <c r="D181" s="9">
        <v>1</v>
      </c>
      <c r="E181" s="9" t="s">
        <v>632</v>
      </c>
      <c r="F181" s="9">
        <v>244</v>
      </c>
      <c r="G181" s="9">
        <v>2</v>
      </c>
      <c r="H181" s="9" t="s">
        <v>119</v>
      </c>
      <c r="I181" s="113" t="s">
        <v>18</v>
      </c>
      <c r="J181" s="118" t="s">
        <v>83</v>
      </c>
      <c r="K181" s="119" t="s">
        <v>85</v>
      </c>
      <c r="L181" s="121">
        <v>513</v>
      </c>
      <c r="M181" s="109" t="str">
        <f>IF(K181="Specific mutant",VLOOKUP($L181,Mutants!$A$2:$L$560,11,FALSE),L181)</f>
        <v xml:space="preserve">add
</v>
      </c>
      <c r="N181" s="9" t="str">
        <f t="shared" si="0"/>
        <v/>
      </c>
    </row>
    <row r="182" spans="1:14" ht="31.5" customHeight="1">
      <c r="A182" s="9">
        <v>154</v>
      </c>
      <c r="B182" s="9" t="s">
        <v>633</v>
      </c>
      <c r="C182" s="9" t="s">
        <v>634</v>
      </c>
      <c r="D182" s="9">
        <v>1</v>
      </c>
      <c r="E182" s="9" t="s">
        <v>635</v>
      </c>
      <c r="F182" s="9">
        <v>244</v>
      </c>
      <c r="G182" s="9">
        <v>2</v>
      </c>
      <c r="H182" s="9" t="s">
        <v>119</v>
      </c>
      <c r="I182" s="113" t="s">
        <v>18</v>
      </c>
      <c r="J182" s="118" t="s">
        <v>83</v>
      </c>
      <c r="K182" s="119" t="s">
        <v>88</v>
      </c>
      <c r="L182" s="121" t="s">
        <v>375</v>
      </c>
      <c r="M182" s="109" t="str">
        <f>IF(K182="Specific mutant",VLOOKUP($L182,Mutants!$A$2:$L$560,11,FALSE),L182)</f>
        <v>removeField</v>
      </c>
      <c r="N182" s="9" t="str">
        <f t="shared" si="0"/>
        <v/>
      </c>
    </row>
    <row r="183" spans="1:14" ht="31.5" customHeight="1">
      <c r="A183" s="9">
        <v>169</v>
      </c>
      <c r="B183" s="9" t="s">
        <v>636</v>
      </c>
      <c r="C183" s="9" t="s">
        <v>637</v>
      </c>
      <c r="D183" s="9">
        <v>1</v>
      </c>
      <c r="E183" s="9" t="s">
        <v>638</v>
      </c>
      <c r="F183" s="9">
        <v>244</v>
      </c>
      <c r="G183" s="9">
        <v>2</v>
      </c>
      <c r="H183" s="9">
        <v>1</v>
      </c>
      <c r="I183" s="113" t="s">
        <v>18</v>
      </c>
      <c r="J183" s="118" t="s">
        <v>83</v>
      </c>
      <c r="K183" s="119" t="s">
        <v>88</v>
      </c>
      <c r="L183" s="121" t="s">
        <v>375</v>
      </c>
      <c r="M183" s="109" t="str">
        <f>IF(K183="Specific mutant",VLOOKUP($L183,Mutants!$A$2:$L$560,11,FALSE),L183)</f>
        <v>removeField</v>
      </c>
      <c r="N183" s="9" t="str">
        <f t="shared" si="0"/>
        <v/>
      </c>
    </row>
    <row r="184" spans="1:14" ht="31.5" customHeight="1">
      <c r="A184" s="9">
        <v>185</v>
      </c>
      <c r="B184" s="9" t="s">
        <v>639</v>
      </c>
      <c r="C184" s="9" t="s">
        <v>640</v>
      </c>
      <c r="D184" s="9">
        <v>1</v>
      </c>
      <c r="E184" s="9" t="s">
        <v>641</v>
      </c>
      <c r="F184" s="9">
        <v>244</v>
      </c>
      <c r="G184" s="9">
        <v>2</v>
      </c>
      <c r="H184" s="9" t="s">
        <v>119</v>
      </c>
      <c r="I184" s="113" t="s">
        <v>18</v>
      </c>
      <c r="J184" s="118" t="s">
        <v>83</v>
      </c>
      <c r="K184" s="119" t="s">
        <v>88</v>
      </c>
      <c r="L184" s="121" t="s">
        <v>642</v>
      </c>
      <c r="M184" s="109" t="str">
        <f>IF(K184="Specific mutant",VLOOKUP($L184,Mutants!$A$2:$L$560,11,FALSE),L184)</f>
        <v>getBinaryValues</v>
      </c>
      <c r="N184" s="9" t="str">
        <f t="shared" si="0"/>
        <v/>
      </c>
    </row>
    <row r="185" spans="1:14" ht="31.5" customHeight="1">
      <c r="A185" s="9">
        <v>192</v>
      </c>
      <c r="B185" s="9" t="s">
        <v>643</v>
      </c>
      <c r="C185" s="9" t="s">
        <v>644</v>
      </c>
      <c r="D185" s="9">
        <v>1</v>
      </c>
      <c r="E185" s="9" t="s">
        <v>645</v>
      </c>
      <c r="F185" s="9">
        <v>244</v>
      </c>
      <c r="G185" s="9">
        <v>2</v>
      </c>
      <c r="H185" s="9" t="s">
        <v>119</v>
      </c>
      <c r="I185" s="113" t="s">
        <v>18</v>
      </c>
      <c r="J185" s="118" t="s">
        <v>83</v>
      </c>
      <c r="K185" s="119" t="s">
        <v>88</v>
      </c>
      <c r="L185" s="121" t="s">
        <v>375</v>
      </c>
      <c r="M185" s="109" t="str">
        <f>IF(K185="Specific mutant",VLOOKUP($L185,Mutants!$A$2:$L$560,11,FALSE),L185)</f>
        <v>removeField</v>
      </c>
      <c r="N185" s="9" t="str">
        <f t="shared" si="0"/>
        <v/>
      </c>
    </row>
    <row r="186" spans="1:14" ht="31.5" customHeight="1">
      <c r="A186" s="9">
        <v>199</v>
      </c>
      <c r="B186" s="9" t="s">
        <v>646</v>
      </c>
      <c r="C186" s="9" t="s">
        <v>647</v>
      </c>
      <c r="D186" s="9">
        <v>1</v>
      </c>
      <c r="E186" s="9" t="s">
        <v>648</v>
      </c>
      <c r="F186" s="9">
        <v>244</v>
      </c>
      <c r="G186" s="9">
        <v>2</v>
      </c>
      <c r="H186" s="9">
        <v>1</v>
      </c>
      <c r="I186" s="113" t="s">
        <v>18</v>
      </c>
      <c r="J186" s="118" t="s">
        <v>83</v>
      </c>
      <c r="K186" s="119" t="s">
        <v>88</v>
      </c>
      <c r="L186" s="121" t="s">
        <v>642</v>
      </c>
      <c r="M186" s="109" t="str">
        <f>IF(K186="Specific mutant",VLOOKUP($L186,Mutants!$A$2:$L$560,11,FALSE),L186)</f>
        <v>getBinaryValues</v>
      </c>
      <c r="N186" s="9" t="str">
        <f t="shared" si="0"/>
        <v/>
      </c>
    </row>
    <row r="187" spans="1:14" ht="31.5" customHeight="1">
      <c r="A187" s="9">
        <v>111</v>
      </c>
      <c r="B187" s="9" t="s">
        <v>649</v>
      </c>
      <c r="C187" s="9" t="s">
        <v>650</v>
      </c>
      <c r="D187" s="9">
        <v>1</v>
      </c>
      <c r="E187" s="9" t="s">
        <v>651</v>
      </c>
      <c r="F187" s="9">
        <v>245</v>
      </c>
      <c r="G187" s="9">
        <v>2</v>
      </c>
      <c r="H187" s="9" t="s">
        <v>119</v>
      </c>
      <c r="I187" s="113" t="s">
        <v>18</v>
      </c>
      <c r="J187" s="118" t="s">
        <v>83</v>
      </c>
      <c r="K187" s="119" t="s">
        <v>85</v>
      </c>
      <c r="L187" s="121">
        <v>380</v>
      </c>
      <c r="M187" s="109" t="str">
        <f>IF(K187="Specific mutant",VLOOKUP($L187,Mutants!$A$2:$L$560,11,FALSE),L187)</f>
        <v xml:space="preserve">iterator
</v>
      </c>
      <c r="N187" s="9" t="str">
        <f t="shared" si="0"/>
        <v/>
      </c>
    </row>
    <row r="188" spans="1:14" ht="31.5" customHeight="1">
      <c r="A188" s="9">
        <v>125</v>
      </c>
      <c r="B188" s="9" t="s">
        <v>652</v>
      </c>
      <c r="C188" s="9" t="s">
        <v>653</v>
      </c>
      <c r="D188" s="9">
        <v>0</v>
      </c>
      <c r="E188" s="9" t="s">
        <v>654</v>
      </c>
      <c r="F188" s="9">
        <v>245</v>
      </c>
      <c r="G188" s="9">
        <v>2</v>
      </c>
      <c r="H188" s="9" t="s">
        <v>119</v>
      </c>
      <c r="I188" s="113" t="s">
        <v>19</v>
      </c>
      <c r="L188" s="120" t="s">
        <v>4605</v>
      </c>
      <c r="M188" s="109" t="str">
        <f>IF(K188="Specific mutant",VLOOKUP($L188,Mutants!$A$2:$L$560,11,FALSE),L188)</f>
        <v xml:space="preserve"> </v>
      </c>
      <c r="N188" s="9" t="str">
        <f t="shared" si="0"/>
        <v>DUPLICATED</v>
      </c>
    </row>
    <row r="189" spans="1:14" ht="31.5" customHeight="1">
      <c r="A189" s="9">
        <v>126</v>
      </c>
      <c r="B189" s="9" t="s">
        <v>652</v>
      </c>
      <c r="C189" s="9" t="s">
        <v>655</v>
      </c>
      <c r="D189" s="9">
        <v>1</v>
      </c>
      <c r="E189" s="9" t="s">
        <v>629</v>
      </c>
      <c r="F189" s="9">
        <v>245</v>
      </c>
      <c r="G189" s="9">
        <v>2</v>
      </c>
      <c r="H189" s="9" t="s">
        <v>119</v>
      </c>
      <c r="I189" s="113" t="s">
        <v>18</v>
      </c>
      <c r="J189" s="118" t="s">
        <v>83</v>
      </c>
      <c r="K189" s="119" t="s">
        <v>85</v>
      </c>
      <c r="L189" s="121">
        <v>380</v>
      </c>
      <c r="M189" s="109" t="str">
        <f>IF(K189="Specific mutant",VLOOKUP($L189,Mutants!$A$2:$L$560,11,FALSE),L189)</f>
        <v xml:space="preserve">iterator
</v>
      </c>
      <c r="N189" s="9" t="str">
        <f t="shared" si="0"/>
        <v/>
      </c>
    </row>
    <row r="190" spans="1:14" ht="31.5" customHeight="1">
      <c r="A190" s="9">
        <v>150</v>
      </c>
      <c r="B190" s="9" t="s">
        <v>656</v>
      </c>
      <c r="C190" s="9" t="s">
        <v>657</v>
      </c>
      <c r="D190" s="9">
        <v>1</v>
      </c>
      <c r="E190" s="9" t="s">
        <v>658</v>
      </c>
      <c r="F190" s="9">
        <v>245</v>
      </c>
      <c r="G190" s="9">
        <v>2</v>
      </c>
      <c r="H190" s="9" t="s">
        <v>119</v>
      </c>
      <c r="I190" s="113" t="s">
        <v>18</v>
      </c>
      <c r="J190" s="118" t="s">
        <v>83</v>
      </c>
      <c r="K190" s="119" t="s">
        <v>85</v>
      </c>
      <c r="L190" s="121">
        <v>396</v>
      </c>
      <c r="M190" s="109" t="str">
        <f>IF(K190="Specific mutant",VLOOKUP($L190,Mutants!$A$2:$L$560,11,FALSE),L190)</f>
        <v xml:space="preserve">removeField, removeFields
</v>
      </c>
      <c r="N190" s="9" t="str">
        <f t="shared" si="0"/>
        <v/>
      </c>
    </row>
    <row r="191" spans="1:14" ht="31.5" customHeight="1">
      <c r="A191" s="9">
        <v>176</v>
      </c>
      <c r="B191" s="9" t="s">
        <v>659</v>
      </c>
      <c r="C191" s="9" t="s">
        <v>660</v>
      </c>
      <c r="D191" s="9">
        <v>1</v>
      </c>
      <c r="E191" s="9" t="s">
        <v>661</v>
      </c>
      <c r="F191" s="9">
        <v>245</v>
      </c>
      <c r="G191" s="9">
        <v>2</v>
      </c>
      <c r="H191" s="9" t="s">
        <v>119</v>
      </c>
      <c r="I191" s="113" t="s">
        <v>18</v>
      </c>
      <c r="J191" s="118" t="s">
        <v>83</v>
      </c>
      <c r="K191" s="119" t="s">
        <v>85</v>
      </c>
      <c r="L191" s="121">
        <v>418</v>
      </c>
      <c r="M191" s="109" t="str">
        <f>IF(K191="Specific mutant",VLOOKUP($L191,Mutants!$A$2:$L$560,11,FALSE),L191)</f>
        <v xml:space="preserve">getBinaryValues
</v>
      </c>
      <c r="N191" s="9" t="str">
        <f t="shared" si="0"/>
        <v/>
      </c>
    </row>
    <row r="192" spans="1:14" ht="31.5" customHeight="1">
      <c r="A192" s="9">
        <v>105</v>
      </c>
      <c r="B192" s="9" t="s">
        <v>662</v>
      </c>
      <c r="C192" s="9" t="s">
        <v>663</v>
      </c>
      <c r="D192" s="9">
        <v>0</v>
      </c>
      <c r="E192" s="9" t="s">
        <v>664</v>
      </c>
      <c r="F192" s="9">
        <v>246</v>
      </c>
      <c r="G192" s="9">
        <v>2</v>
      </c>
      <c r="H192" s="9" t="s">
        <v>119</v>
      </c>
      <c r="I192" s="113" t="s">
        <v>19</v>
      </c>
      <c r="L192" s="124" t="s">
        <v>4605</v>
      </c>
      <c r="M192" s="109" t="str">
        <f>IF(K192="Specific mutant",VLOOKUP($L192,Mutants!$A$2:$L$560,11,FALSE),L192)</f>
        <v xml:space="preserve"> </v>
      </c>
      <c r="N192" s="9" t="str">
        <f t="shared" si="0"/>
        <v>DUPLICATED</v>
      </c>
    </row>
    <row r="193" spans="1:14" ht="31.5" customHeight="1">
      <c r="A193" s="9">
        <v>109</v>
      </c>
      <c r="B193" s="9" t="s">
        <v>662</v>
      </c>
      <c r="C193" s="9" t="s">
        <v>663</v>
      </c>
      <c r="D193" s="9">
        <v>1</v>
      </c>
      <c r="E193" s="9" t="s">
        <v>665</v>
      </c>
      <c r="F193" s="9">
        <v>246</v>
      </c>
      <c r="G193" s="9">
        <v>2</v>
      </c>
      <c r="H193" s="9" t="s">
        <v>119</v>
      </c>
      <c r="I193" s="113" t="s">
        <v>18</v>
      </c>
      <c r="J193" s="118" t="s">
        <v>93</v>
      </c>
      <c r="K193" s="119" t="s">
        <v>91</v>
      </c>
      <c r="L193" s="120" t="s">
        <v>4605</v>
      </c>
      <c r="M193" s="109" t="str">
        <f>IF(K193="Specific mutant",VLOOKUP($L193,Mutants!$A$2:$L$560,11,FALSE),L193)</f>
        <v xml:space="preserve"> </v>
      </c>
      <c r="N193" s="9" t="str">
        <f t="shared" si="0"/>
        <v/>
      </c>
    </row>
    <row r="194" spans="1:14" ht="31.5" customHeight="1">
      <c r="A194" s="9">
        <v>128</v>
      </c>
      <c r="B194" s="9" t="s">
        <v>666</v>
      </c>
      <c r="C194" s="9" t="s">
        <v>667</v>
      </c>
      <c r="D194" s="9">
        <v>0</v>
      </c>
      <c r="E194" s="9" t="s">
        <v>668</v>
      </c>
      <c r="F194" s="9">
        <v>246</v>
      </c>
      <c r="G194" s="9">
        <v>2</v>
      </c>
      <c r="H194" s="9">
        <v>0</v>
      </c>
      <c r="I194" s="113" t="s">
        <v>18</v>
      </c>
      <c r="J194" s="118" t="s">
        <v>83</v>
      </c>
      <c r="K194" s="119" t="s">
        <v>85</v>
      </c>
      <c r="L194" s="121">
        <v>513</v>
      </c>
      <c r="M194" s="109" t="str">
        <f>IF(K194="Specific mutant",VLOOKUP($L194,Mutants!$A$2:$L$560,11,FALSE),L194)</f>
        <v xml:space="preserve">add
</v>
      </c>
      <c r="N194" s="9" t="str">
        <f t="shared" si="0"/>
        <v/>
      </c>
    </row>
    <row r="195" spans="1:14" ht="31.5" customHeight="1">
      <c r="A195" s="9">
        <v>131</v>
      </c>
      <c r="B195" s="9" t="s">
        <v>669</v>
      </c>
      <c r="C195" s="9" t="s">
        <v>670</v>
      </c>
      <c r="D195" s="9">
        <v>1</v>
      </c>
      <c r="E195" s="9" t="s">
        <v>671</v>
      </c>
      <c r="F195" s="9">
        <v>246</v>
      </c>
      <c r="G195" s="9">
        <v>2</v>
      </c>
      <c r="H195" s="9" t="s">
        <v>119</v>
      </c>
      <c r="I195" s="113" t="s">
        <v>18</v>
      </c>
      <c r="J195" s="118" t="s">
        <v>83</v>
      </c>
      <c r="K195" s="119" t="s">
        <v>85</v>
      </c>
      <c r="L195" s="121">
        <v>513</v>
      </c>
      <c r="M195" s="109" t="str">
        <f>IF(K195="Specific mutant",VLOOKUP($L195,Mutants!$A$2:$L$560,11,FALSE),L195)</f>
        <v xml:space="preserve">add
</v>
      </c>
      <c r="N195" s="9" t="str">
        <f t="shared" si="0"/>
        <v/>
      </c>
    </row>
    <row r="196" spans="1:14" ht="31.5" customHeight="1">
      <c r="A196" s="9">
        <v>147</v>
      </c>
      <c r="B196" s="9" t="s">
        <v>672</v>
      </c>
      <c r="C196" s="9" t="s">
        <v>673</v>
      </c>
      <c r="D196" s="9">
        <v>0</v>
      </c>
      <c r="E196" s="9" t="s">
        <v>674</v>
      </c>
      <c r="F196" s="9">
        <v>246</v>
      </c>
      <c r="G196" s="9">
        <v>2</v>
      </c>
      <c r="H196" s="9">
        <v>0</v>
      </c>
      <c r="I196" s="113" t="s">
        <v>18</v>
      </c>
      <c r="J196" s="118" t="s">
        <v>83</v>
      </c>
      <c r="K196" s="119" t="s">
        <v>85</v>
      </c>
      <c r="L196" s="121">
        <v>540</v>
      </c>
      <c r="M196" s="109" t="str">
        <f>IF(K196="Specific mutant",VLOOKUP($L196,Mutants!$A$2:$L$560,11,FALSE),L196)</f>
        <v xml:space="preserve">getBinaryValue
</v>
      </c>
      <c r="N196" s="9" t="str">
        <f t="shared" si="0"/>
        <v/>
      </c>
    </row>
    <row r="197" spans="1:14" ht="31.5" customHeight="1">
      <c r="A197" s="9">
        <v>152</v>
      </c>
      <c r="B197" s="9" t="s">
        <v>675</v>
      </c>
      <c r="C197" s="9" t="s">
        <v>676</v>
      </c>
      <c r="D197" s="9">
        <v>1</v>
      </c>
      <c r="E197" s="9" t="s">
        <v>677</v>
      </c>
      <c r="F197" s="9">
        <v>246</v>
      </c>
      <c r="G197" s="9">
        <v>2</v>
      </c>
      <c r="H197" s="9" t="s">
        <v>119</v>
      </c>
      <c r="I197" s="113" t="s">
        <v>18</v>
      </c>
      <c r="J197" s="118" t="s">
        <v>83</v>
      </c>
      <c r="K197" s="119" t="s">
        <v>85</v>
      </c>
      <c r="L197" s="121">
        <v>540</v>
      </c>
      <c r="M197" s="109" t="str">
        <f>IF(K197="Specific mutant",VLOOKUP($L197,Mutants!$A$2:$L$560,11,FALSE),L197)</f>
        <v xml:space="preserve">getBinaryValue
</v>
      </c>
      <c r="N197" s="9" t="str">
        <f t="shared" si="0"/>
        <v/>
      </c>
    </row>
    <row r="198" spans="1:14" ht="31.5" customHeight="1">
      <c r="A198" s="9">
        <v>158</v>
      </c>
      <c r="B198" s="9" t="s">
        <v>678</v>
      </c>
      <c r="C198" s="9" t="s">
        <v>679</v>
      </c>
      <c r="D198" s="9">
        <v>0</v>
      </c>
      <c r="E198" s="9" t="s">
        <v>680</v>
      </c>
      <c r="F198" s="9">
        <v>246</v>
      </c>
      <c r="G198" s="9">
        <v>2</v>
      </c>
      <c r="H198" s="9" t="s">
        <v>119</v>
      </c>
      <c r="I198" s="113" t="s">
        <v>19</v>
      </c>
      <c r="L198" s="124" t="s">
        <v>4605</v>
      </c>
      <c r="M198" s="109" t="str">
        <f>IF(K198="Specific mutant",VLOOKUP($L198,Mutants!$A$2:$L$560,11,FALSE),L198)</f>
        <v xml:space="preserve"> </v>
      </c>
      <c r="N198" s="9" t="str">
        <f t="shared" si="0"/>
        <v/>
      </c>
    </row>
    <row r="199" spans="1:14" ht="31.5" customHeight="1">
      <c r="A199" s="9">
        <v>124</v>
      </c>
      <c r="B199" s="9" t="s">
        <v>681</v>
      </c>
      <c r="C199" s="9" t="s">
        <v>682</v>
      </c>
      <c r="D199" s="9">
        <v>1</v>
      </c>
      <c r="E199" s="9" t="s">
        <v>683</v>
      </c>
      <c r="F199" s="9">
        <v>247</v>
      </c>
      <c r="G199" s="9">
        <v>2</v>
      </c>
      <c r="H199" s="9" t="s">
        <v>119</v>
      </c>
      <c r="I199" s="113" t="s">
        <v>18</v>
      </c>
      <c r="J199" s="118" t="s">
        <v>99</v>
      </c>
      <c r="K199" s="119" t="s">
        <v>103</v>
      </c>
      <c r="L199" s="120" t="s">
        <v>4605</v>
      </c>
      <c r="M199" s="109" t="str">
        <f>IF(K199="Specific mutant",VLOOKUP($L199,Mutants!$A$2:$L$560,11,FALSE),L199)</f>
        <v xml:space="preserve"> </v>
      </c>
      <c r="N199" s="9" t="str">
        <f t="shared" si="0"/>
        <v/>
      </c>
    </row>
    <row r="200" spans="1:14" ht="31.5" customHeight="1">
      <c r="A200" s="9">
        <v>145</v>
      </c>
      <c r="B200" s="9" t="s">
        <v>684</v>
      </c>
      <c r="C200" s="9" t="s">
        <v>685</v>
      </c>
      <c r="D200" s="9">
        <v>1</v>
      </c>
      <c r="E200" s="9" t="s">
        <v>456</v>
      </c>
      <c r="F200" s="9">
        <v>247</v>
      </c>
      <c r="G200" s="9">
        <v>2</v>
      </c>
      <c r="H200" s="9" t="s">
        <v>119</v>
      </c>
      <c r="I200" s="113" t="s">
        <v>18</v>
      </c>
      <c r="J200" s="118" t="s">
        <v>99</v>
      </c>
      <c r="K200" s="119" t="s">
        <v>101</v>
      </c>
      <c r="L200" s="120" t="s">
        <v>4605</v>
      </c>
      <c r="M200" s="109" t="str">
        <f>IF(K200="Specific mutant",VLOOKUP($L200,Mutants!$A$2:$L$560,11,FALSE),L200)</f>
        <v xml:space="preserve"> </v>
      </c>
      <c r="N200" s="9" t="str">
        <f t="shared" si="0"/>
        <v/>
      </c>
    </row>
    <row r="201" spans="1:14" ht="31.5" customHeight="1">
      <c r="A201" s="9">
        <v>167</v>
      </c>
      <c r="B201" s="9" t="s">
        <v>686</v>
      </c>
      <c r="C201" s="9" t="s">
        <v>687</v>
      </c>
      <c r="D201" s="9">
        <v>0</v>
      </c>
      <c r="E201" s="9" t="s">
        <v>688</v>
      </c>
      <c r="F201" s="9">
        <v>247</v>
      </c>
      <c r="G201" s="9">
        <v>2</v>
      </c>
      <c r="H201" s="9" t="s">
        <v>119</v>
      </c>
      <c r="I201" s="113" t="s">
        <v>18</v>
      </c>
      <c r="J201" s="118" t="s">
        <v>99</v>
      </c>
      <c r="K201" s="119" t="s">
        <v>101</v>
      </c>
      <c r="L201" s="120" t="s">
        <v>4605</v>
      </c>
      <c r="M201" s="109" t="str">
        <f>IF(K201="Specific mutant",VLOOKUP($L201,Mutants!$A$2:$L$560,11,FALSE),L201)</f>
        <v xml:space="preserve"> </v>
      </c>
      <c r="N201" s="9" t="str">
        <f t="shared" si="0"/>
        <v/>
      </c>
    </row>
    <row r="207" spans="1:14" ht="15.75" customHeight="1">
      <c r="L207" s="125"/>
    </row>
  </sheetData>
  <mergeCells count="11">
    <mergeCell ref="F1:F2"/>
    <mergeCell ref="A1:A2"/>
    <mergeCell ref="B1:B2"/>
    <mergeCell ref="C1:C2"/>
    <mergeCell ref="D1:D2"/>
    <mergeCell ref="E1:E2"/>
    <mergeCell ref="G1:G2"/>
    <mergeCell ref="H1:H2"/>
    <mergeCell ref="I1:I2"/>
    <mergeCell ref="J1:L1"/>
    <mergeCell ref="M1: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Q178"/>
  <sheetViews>
    <sheetView workbookViewId="0">
      <pane ySplit="1" topLeftCell="A2" activePane="bottomLeft" state="frozen"/>
      <selection pane="bottomLeft" activeCell="R15" sqref="R15"/>
    </sheetView>
  </sheetViews>
  <sheetFormatPr defaultColWidth="12.5703125" defaultRowHeight="15.75" customHeight="1"/>
  <cols>
    <col min="1" max="1" width="3.7109375" customWidth="1"/>
    <col min="2" max="2" width="47" customWidth="1"/>
    <col min="3" max="3" width="18.42578125" customWidth="1"/>
    <col min="4" max="4" width="16" customWidth="1"/>
    <col min="5" max="5" width="16.42578125" customWidth="1"/>
    <col min="6" max="6" width="8.42578125" customWidth="1"/>
    <col min="7" max="7" width="9" customWidth="1"/>
    <col min="8" max="8" width="10.28515625" customWidth="1"/>
    <col min="12" max="12" width="16.5703125" customWidth="1"/>
    <col min="13" max="13" width="28.42578125" customWidth="1"/>
    <col min="14" max="14" width="7" hidden="1" customWidth="1"/>
    <col min="15" max="16" width="0" hidden="1" customWidth="1"/>
  </cols>
  <sheetData>
    <row r="1" spans="1:16" ht="12.75">
      <c r="A1" s="9" t="s">
        <v>44</v>
      </c>
      <c r="B1" s="9" t="s">
        <v>107</v>
      </c>
      <c r="C1" s="9" t="s">
        <v>108</v>
      </c>
      <c r="D1" s="9" t="s">
        <v>109</v>
      </c>
      <c r="E1" s="9" t="s">
        <v>110</v>
      </c>
      <c r="F1" s="9" t="s">
        <v>3</v>
      </c>
      <c r="G1" s="9" t="s">
        <v>111</v>
      </c>
      <c r="H1" s="9" t="s">
        <v>112</v>
      </c>
      <c r="I1" s="9" t="s">
        <v>113</v>
      </c>
      <c r="J1" s="9" t="s">
        <v>114</v>
      </c>
      <c r="K1" s="9" t="s">
        <v>80</v>
      </c>
      <c r="L1" s="9" t="s">
        <v>115</v>
      </c>
    </row>
    <row r="2" spans="1:16" ht="15.75" customHeight="1">
      <c r="A2" s="9">
        <f ca="1">IFERROR(__xludf.DUMMYFUNCTION("FILTER(Questions!A2:M1000, Questions!I2:I1000 = ""Y"")"),43)</f>
        <v>43</v>
      </c>
      <c r="B2" s="9" t="str">
        <f ca="1">IFERROR(__xludf.DUMMYFUNCTION("""COMPUTED_VALUE"""),"How do i create a mock object of the Interface ""Option""?")</f>
        <v>How do i create a mock object of the Interface "Option"?</v>
      </c>
      <c r="C2" s="9" t="str">
        <f ca="1">IFERROR(__xludf.DUMMYFUNCTION("""COMPUTED_VALUE"""),"Answer:
You can use a mocking framework like Mockito to create a mock object of the Interface 'Option'.
Explanation:
Mockito is a popular mocking framework in Java that allows you to create mock objects of interfaces and classes for testing purposes.
Co"&amp;"de:
Option optionMock = Mockito.mock(Option.class);")</f>
        <v>Answer:
You can use a mocking framework like Mockito to create a mock object of the Interface 'Option'.
Explanation:
Mockito is a popular mocking framework in Java that allows you to create mock objects of interfaces and classes for testing purposes.
Code:
Option optionMock = Mockito.mock(Option.class);</v>
      </c>
      <c r="D2" s="9">
        <f ca="1">IFERROR(__xludf.DUMMYFUNCTION("""COMPUTED_VALUE"""),0)</f>
        <v>0</v>
      </c>
      <c r="E2" s="9" t="str">
        <f ca="1">IFERROR(__xludf.DUMMYFUNCTION("""COMPUTED_VALUE"""),"2024-01-10 14:40:49")</f>
        <v>2024-01-10 14:40:49</v>
      </c>
      <c r="F2" s="9">
        <f ca="1">IFERROR(__xludf.DUMMYFUNCTION("""COMPUTED_VALUE"""),135)</f>
        <v>135</v>
      </c>
      <c r="G2" s="9">
        <f ca="1">IFERROR(__xludf.DUMMYFUNCTION("""COMPUTED_VALUE"""),2)</f>
        <v>2</v>
      </c>
      <c r="H2" s="9" t="str">
        <f ca="1">IFERROR(__xludf.DUMMYFUNCTION("""COMPUTED_VALUE"""),"null")</f>
        <v>null</v>
      </c>
      <c r="I2" s="9" t="str">
        <f ca="1">IFERROR(__xludf.DUMMYFUNCTION("""COMPUTED_VALUE"""),"Y")</f>
        <v>Y</v>
      </c>
      <c r="J2" s="9" t="str">
        <f ca="1">IFERROR(__xludf.DUMMYFUNCTION("""COMPUTED_VALUE"""),"OTHER")</f>
        <v>OTHER</v>
      </c>
      <c r="K2" s="9" t="str">
        <f ca="1">IFERROR(__xludf.DUMMYFUNCTION("""COMPUTED_VALUE"""),"Mock")</f>
        <v>Mock</v>
      </c>
      <c r="L2" s="9"/>
      <c r="M2" s="9"/>
      <c r="N2" s="9">
        <f ca="1">IFERROR(__xludf.DUMMYFUNCTION("counta(split(B2,"" ""))"),11)</f>
        <v>11</v>
      </c>
      <c r="O2" s="9">
        <f t="shared" ref="O2:O20" ca="1" si="0">(AVERAGE($N$2:$N$173)-N2)*(AVERAGE($N$2:$N$173)-N2)</f>
        <v>25.130038792376439</v>
      </c>
    </row>
    <row r="3" spans="1:16" ht="15.75" customHeight="1">
      <c r="A3" s="9">
        <f ca="1">IFERROR(__xludf.DUMMYFUNCTION("""COMPUTED_VALUE"""),94)</f>
        <v>94</v>
      </c>
      <c r="B3" s="9" t="str">
        <f ca="1">IFERROR(__xludf.DUMMYFUNCTION("""COMPUTED_VALUE"""),"How would i test @mutant184?")</f>
        <v>How would i test @mutant184?</v>
      </c>
      <c r="C3" s="9" t="str">
        <f ca="1">IFERROR(__xludf.DUMMYFUNCTION("""COMPUTED_VALUE"""),"{
  ""answer"": ""To test @mutant184, you can verify if the 'shortOpts' and 'longOpts' maps in the Options class are correctly populated."",
  ""explanation"": ""You can check if the 'shortOpts' and 'longOpts' maps contain the expected options after addin"&amp;"g them using the addOption method."",
  ""code"": ""Options options = new Options();
Option option = new Option(""o"", ""option"", false, ""Option description"");
options.addOption(option);
assert options.hasOption(""o"");
assert options.hasLongOption("""&amp;"option"");""
}")</f>
        <v>{
  "answer": "To test @mutant184, you can verify if the 'shortOpts' and 'longOpts' maps in the Options class are correctly populated.",
  "explanation": "You can check if the 'shortOpts' and 'longOpts' maps contain the expected options after adding them using the addOption method.",
  "code": "Options options = new Options();
Option option = new Option("o", "option", false, "Option description");
options.addOption(option);
assert options.hasOption("o");
assert options.hasLongOption("option");"
}</v>
      </c>
      <c r="D3" s="9">
        <f ca="1">IFERROR(__xludf.DUMMYFUNCTION("""COMPUTED_VALUE"""),0)</f>
        <v>0</v>
      </c>
      <c r="E3" s="9" t="str">
        <f ca="1">IFERROR(__xludf.DUMMYFUNCTION("""COMPUTED_VALUE"""),"2024-01-10 15:00:04")</f>
        <v>2024-01-10 15:00:04</v>
      </c>
      <c r="F3" s="9">
        <f ca="1">IFERROR(__xludf.DUMMYFUNCTION("""COMPUTED_VALUE"""),135)</f>
        <v>135</v>
      </c>
      <c r="G3" s="9">
        <f ca="1">IFERROR(__xludf.DUMMYFUNCTION("""COMPUTED_VALUE"""),2)</f>
        <v>2</v>
      </c>
      <c r="H3" s="9" t="str">
        <f ca="1">IFERROR(__xludf.DUMMYFUNCTION("""COMPUTED_VALUE"""),"null")</f>
        <v>null</v>
      </c>
      <c r="I3" s="9" t="str">
        <f ca="1">IFERROR(__xludf.DUMMYFUNCTION("""COMPUTED_VALUE"""),"Y")</f>
        <v>Y</v>
      </c>
      <c r="J3" s="9" t="str">
        <f ca="1">IFERROR(__xludf.DUMMYFUNCTION("""COMPUTED_VALUE"""),"TEST")</f>
        <v>TEST</v>
      </c>
      <c r="K3" s="9" t="str">
        <f ca="1">IFERROR(__xludf.DUMMYFUNCTION("""COMPUTED_VALUE"""),"Specific mutant")</f>
        <v>Specific mutant</v>
      </c>
      <c r="L3" s="9">
        <f ca="1">IFERROR(__xludf.DUMMYFUNCTION("""COMPUTED_VALUE"""),184)</f>
        <v>184</v>
      </c>
      <c r="M3" s="9" t="str">
        <f ca="1">IFERROR(__xludf.DUMMYFUNCTION("""COMPUTED_VALUE"""),"toString
")</f>
        <v xml:space="preserve">toString
</v>
      </c>
      <c r="N3" s="9">
        <f ca="1">IFERROR(__xludf.DUMMYFUNCTION("counta(split(B3,"" ""))"),5)</f>
        <v>5</v>
      </c>
      <c r="O3" s="9">
        <f t="shared" ca="1" si="0"/>
        <v>121.28588294822057</v>
      </c>
      <c r="P3" s="111" t="s">
        <v>689</v>
      </c>
    </row>
    <row r="4" spans="1:16" ht="15.75" customHeight="1">
      <c r="A4" s="9">
        <f ca="1">IFERROR(__xludf.DUMMYFUNCTION("""COMPUTED_VALUE"""),11)</f>
        <v>11</v>
      </c>
      <c r="B4" s="9" t="str">
        <f ca="1">IFERROR(__xludf.DUMMYFUNCTION("""COMPUTED_VALUE"""),"Create a unit test for the addOption and hasOption method which should mock the Option interface and test if hasOption is true after adding an option")</f>
        <v>Create a unit test for the addOption and hasOption method which should mock the Option interface and test if hasOption is true after adding an option</v>
      </c>
      <c r="C4" s="9" t="str">
        <f ca="1">IFERROR(__xludf.DUMMYFUNCTION("""COMPUTED_VALUE"""),"{
  ""answer"": ""Yes"",
  ""explanation"": ""We can create a unit test to mock the Option interface and verify that hasOption returns true after adding an option."",
  ""code"": ""```java
import org.junit.Test;
import static org.junit.Assert.assertTrue;
"&amp;"import static org.mockito.Mockito.mock;
import static org.mockito.Mockito.when;
public class OptionsTest {
  @Test
  public void testAddOptionAndHasOption() {
    Options options = new Options();
    Option option = mock(Option.class);
    when(option.g"&amp;"etKey()).thenReturn(""test"");
    options.addOption(option);
    assertTrue(options.hasOption(""test""));
  }
}
```""
}")</f>
        <v>{
  "answer": "Yes",
  "explanation": "We can create a unit test to mock the Option interface and verify that hasOption returns true after adding an option.",
  "code": "```java
import org.junit.Test;
import static org.junit.Assert.assertTrue;
import static org.mockito.Mockito.mock;
import static org.mockito.Mockito.when;
public class OptionsTest {
  @Test
  public void testAddOptionAndHasOption() {
    Options options = new Options();
    Option option = mock(Option.class);
    when(option.getKey()).thenReturn("test");
    options.addOption(option);
    assertTrue(options.hasOption("test"));
  }
}
```"
}</v>
      </c>
      <c r="D4" s="9">
        <f ca="1">IFERROR(__xludf.DUMMYFUNCTION("""COMPUTED_VALUE"""),1)</f>
        <v>1</v>
      </c>
      <c r="E4" s="9" t="str">
        <f ca="1">IFERROR(__xludf.DUMMYFUNCTION("""COMPUTED_VALUE"""),"2024-01-10 14:32:56")</f>
        <v>2024-01-10 14:32:56</v>
      </c>
      <c r="F4" s="9">
        <f ca="1">IFERROR(__xludf.DUMMYFUNCTION("""COMPUTED_VALUE"""),136)</f>
        <v>136</v>
      </c>
      <c r="G4" s="9">
        <f ca="1">IFERROR(__xludf.DUMMYFUNCTION("""COMPUTED_VALUE"""),2)</f>
        <v>2</v>
      </c>
      <c r="H4" s="9" t="str">
        <f ca="1">IFERROR(__xludf.DUMMYFUNCTION("""COMPUTED_VALUE"""),"null")</f>
        <v>null</v>
      </c>
      <c r="I4" s="9" t="str">
        <f ca="1">IFERROR(__xludf.DUMMYFUNCTION("""COMPUTED_VALUE"""),"Y")</f>
        <v>Y</v>
      </c>
      <c r="J4" s="9" t="str">
        <f ca="1">IFERROR(__xludf.DUMMYFUNCTION("""COMPUTED_VALUE"""),"TEST")</f>
        <v>TEST</v>
      </c>
      <c r="K4" s="9" t="str">
        <f ca="1">IFERROR(__xludf.DUMMYFUNCTION("""COMPUTED_VALUE"""),"Specific method")</f>
        <v>Specific method</v>
      </c>
      <c r="L4" s="9" t="str">
        <f ca="1">IFERROR(__xludf.DUMMYFUNCTION("""COMPUTED_VALUE"""),"addOption, hasOption")</f>
        <v>addOption, hasOption</v>
      </c>
      <c r="M4" s="9" t="str">
        <f ca="1">IFERROR(__xludf.DUMMYFUNCTION("""COMPUTED_VALUE"""),"addOption, hasOption")</f>
        <v>addOption, hasOption</v>
      </c>
      <c r="N4" s="9">
        <f ca="1">IFERROR(__xludf.DUMMYFUNCTION("counta(split(B4,"" ""))"),26)</f>
        <v>26</v>
      </c>
      <c r="O4" s="9">
        <f t="shared" ca="1" si="0"/>
        <v>99.740428402766099</v>
      </c>
    </row>
    <row r="5" spans="1:16" ht="15.75" customHeight="1">
      <c r="A5" s="9">
        <f ca="1">IFERROR(__xludf.DUMMYFUNCTION("""COMPUTED_VALUE"""),41)</f>
        <v>41</v>
      </c>
      <c r="B5" s="9" t="str">
        <f ca="1">IFERROR(__xludf.DUMMYFUNCTION("""COMPUTED_VALUE"""),"What does the toString method of shortOpts return?")</f>
        <v>What does the toString method of shortOpts return?</v>
      </c>
      <c r="C5" s="9" t="str">
        <f ca="1">IFERROR(__xludf.DUMMYFUNCTION("""COMPUTED_VALUE"""),"Answer:
A string representation of the shortOpts map.
Explanation:
The toString method of shortOpts returns a string representation of the map, showing the key-value pairs.
Code:
System.out.println(shortOpts.toString());")</f>
        <v>Answer:
A string representation of the shortOpts map.
Explanation:
The toString method of shortOpts returns a string representation of the map, showing the key-value pairs.
Code:
System.out.println(shortOpts.toString());</v>
      </c>
      <c r="D5" s="9">
        <f ca="1">IFERROR(__xludf.DUMMYFUNCTION("""COMPUTED_VALUE"""),0)</f>
        <v>0</v>
      </c>
      <c r="E5" s="9" t="str">
        <f ca="1">IFERROR(__xludf.DUMMYFUNCTION("""COMPUTED_VALUE"""),"2024-01-10 14:40:28")</f>
        <v>2024-01-10 14:40:28</v>
      </c>
      <c r="F5" s="9">
        <f ca="1">IFERROR(__xludf.DUMMYFUNCTION("""COMPUTED_VALUE"""),136)</f>
        <v>136</v>
      </c>
      <c r="G5" s="9">
        <f ca="1">IFERROR(__xludf.DUMMYFUNCTION("""COMPUTED_VALUE"""),2)</f>
        <v>2</v>
      </c>
      <c r="H5" s="9">
        <f ca="1">IFERROR(__xludf.DUMMYFUNCTION("""COMPUTED_VALUE"""),0)</f>
        <v>0</v>
      </c>
      <c r="I5" s="9" t="str">
        <f ca="1">IFERROR(__xludf.DUMMYFUNCTION("""COMPUTED_VALUE"""),"Y")</f>
        <v>Y</v>
      </c>
      <c r="J5" s="9" t="str">
        <f ca="1">IFERROR(__xludf.DUMMYFUNCTION("""COMPUTED_VALUE"""),"OTHER")</f>
        <v>OTHER</v>
      </c>
      <c r="K5" s="9" t="str">
        <f ca="1">IFERROR(__xludf.DUMMYFUNCTION("""COMPUTED_VALUE"""),"Code under test")</f>
        <v>Code under test</v>
      </c>
      <c r="L5" s="9"/>
      <c r="M5" s="9"/>
      <c r="N5" s="9">
        <f ca="1">IFERROR(__xludf.DUMMYFUNCTION("counta(split(B5,"" ""))"),8)</f>
        <v>8</v>
      </c>
      <c r="O5" s="9">
        <f t="shared" ca="1" si="0"/>
        <v>64.207960870298507</v>
      </c>
    </row>
    <row r="6" spans="1:16" ht="15.75" customHeight="1">
      <c r="A6" s="9">
        <f ca="1">IFERROR(__xludf.DUMMYFUNCTION("""COMPUTED_VALUE"""),46)</f>
        <v>46</v>
      </c>
      <c r="B6" s="9" t="str">
        <f ca="1">IFERROR(__xludf.DUMMYFUNCTION("""COMPUTED_VALUE"""),"what does shortOpts.toString() return when it has one option in the map?")</f>
        <v>what does shortOpts.toString() return when it has one option in the map?</v>
      </c>
      <c r="C6" s="9" t="str">
        <f ca="1">IFERROR(__xludf.DUMMYFUNCTION("""COMPUTED_VALUE"""),"Answer:
The string representation of the shortOpts map when it has one option.
Explanation:
The toString() method of the Map interface returns a string representation of the map, showing its key-value pairs.
Code:
shortOpts.toString()")</f>
        <v>Answer:
The string representation of the shortOpts map when it has one option.
Explanation:
The toString() method of the Map interface returns a string representation of the map, showing its key-value pairs.
Code:
shortOpts.toString()</v>
      </c>
      <c r="D6" s="9">
        <f ca="1">IFERROR(__xludf.DUMMYFUNCTION("""COMPUTED_VALUE"""),0)</f>
        <v>0</v>
      </c>
      <c r="E6" s="9" t="str">
        <f ca="1">IFERROR(__xludf.DUMMYFUNCTION("""COMPUTED_VALUE"""),"2024-01-10 14:41:34")</f>
        <v>2024-01-10 14:41:34</v>
      </c>
      <c r="F6" s="9">
        <f ca="1">IFERROR(__xludf.DUMMYFUNCTION("""COMPUTED_VALUE"""),136)</f>
        <v>136</v>
      </c>
      <c r="G6" s="9">
        <f ca="1">IFERROR(__xludf.DUMMYFUNCTION("""COMPUTED_VALUE"""),2)</f>
        <v>2</v>
      </c>
      <c r="H6" s="9" t="str">
        <f ca="1">IFERROR(__xludf.DUMMYFUNCTION("""COMPUTED_VALUE"""),"null")</f>
        <v>null</v>
      </c>
      <c r="I6" s="9" t="str">
        <f ca="1">IFERROR(__xludf.DUMMYFUNCTION("""COMPUTED_VALUE"""),"Y")</f>
        <v>Y</v>
      </c>
      <c r="J6" s="9" t="str">
        <f ca="1">IFERROR(__xludf.DUMMYFUNCTION("""COMPUTED_VALUE"""),"OTHER")</f>
        <v>OTHER</v>
      </c>
      <c r="K6" s="9" t="str">
        <f ca="1">IFERROR(__xludf.DUMMYFUNCTION("""COMPUTED_VALUE"""),"Code under test")</f>
        <v>Code under test</v>
      </c>
      <c r="L6" s="9"/>
      <c r="M6" s="9"/>
      <c r="N6" s="9">
        <f ca="1">IFERROR(__xludf.DUMMYFUNCTION("counta(split(B6,"" ""))"),12)</f>
        <v>12</v>
      </c>
      <c r="O6" s="9">
        <f t="shared" ca="1" si="0"/>
        <v>16.104064766402416</v>
      </c>
    </row>
    <row r="7" spans="1:16" ht="15.75" customHeight="1">
      <c r="A7" s="9">
        <f ca="1">IFERROR(__xludf.DUMMYFUNCTION("""COMPUTED_VALUE"""),53)</f>
        <v>53</v>
      </c>
      <c r="B7" s="9" t="str">
        <f ca="1">IFERROR(__xludf.DUMMYFUNCTION("""COMPUTED_VALUE"""),"What does 
Options return in the toString method when this is how it's created.
        Options options = new Options();
        Option option = mock(Option.class);
        when(option.getLongOpt()).thenReturn(""long_test"");
        when(option.getKey()"&amp;").thenReturn(""test"");
        options.addOption(option);
Be as specific as possible when displaying the string")</f>
        <v>What does 
Options return in the toString method when this is how it's created.
        Options options = new Options();
        Option option = mock(Option.class);
        when(option.getLongOpt()).thenReturn("long_test");
        when(option.getKey()).thenReturn("test");
        options.addOption(option);
Be as specific as possible when displaying the string</v>
      </c>
      <c r="C7" s="9" t="str">
        <f ca="1">IFERROR(__xludf.DUMMYFUNCTION("""COMPUTED_VALUE"""),"{
  ""answer"": ""Options: [ short {test=Option} ] [ long {long_test=Option} ]"",
  ""explanation"": ""The toString method of Options class returns a string representation of the Options object, including the short and long options."",
  ""code"": ""Optio"&amp;"ns options = new Options();
Option option = mock(Option.class);
when(option.getLongOpt()).thenReturn(""long_test"");
when(option.getKey()).thenReturn(""test"");
options.addOption(option);
System.out.println(options.toString());""
}")</f>
        <v>{
  "answer": "Options: [ short {test=Option} ] [ long {long_test=Option} ]",
  "explanation": "The toString method of Options class returns a string representation of the Options object, including the short and long options.",
  "code": "Options options = new Options();
Option option = mock(Option.class);
when(option.getLongOpt()).thenReturn("long_test");
when(option.getKey()).thenReturn("test");
options.addOption(option);
System.out.println(options.toString());"
}</v>
      </c>
      <c r="D7" s="9">
        <f ca="1">IFERROR(__xludf.DUMMYFUNCTION("""COMPUTED_VALUE"""),0)</f>
        <v>0</v>
      </c>
      <c r="E7" s="9" t="str">
        <f ca="1">IFERROR(__xludf.DUMMYFUNCTION("""COMPUTED_VALUE"""),"2024-01-10 14:43:25")</f>
        <v>2024-01-10 14:43:25</v>
      </c>
      <c r="F7" s="9">
        <f ca="1">IFERROR(__xludf.DUMMYFUNCTION("""COMPUTED_VALUE"""),136)</f>
        <v>136</v>
      </c>
      <c r="G7" s="9">
        <f ca="1">IFERROR(__xludf.DUMMYFUNCTION("""COMPUTED_VALUE"""),2)</f>
        <v>2</v>
      </c>
      <c r="H7" s="9" t="str">
        <f ca="1">IFERROR(__xludf.DUMMYFUNCTION("""COMPUTED_VALUE"""),"null")</f>
        <v>null</v>
      </c>
      <c r="I7" s="9" t="str">
        <f ca="1">IFERROR(__xludf.DUMMYFUNCTION("""COMPUTED_VALUE"""),"Y")</f>
        <v>Y</v>
      </c>
      <c r="J7" s="9" t="str">
        <f ca="1">IFERROR(__xludf.DUMMYFUNCTION("""COMPUTED_VALUE"""),"OTHER")</f>
        <v>OTHER</v>
      </c>
      <c r="K7" s="9" t="str">
        <f ca="1">IFERROR(__xludf.DUMMYFUNCTION("""COMPUTED_VALUE"""),"Code under test")</f>
        <v>Code under test</v>
      </c>
      <c r="L7" s="9"/>
      <c r="M7" s="9"/>
      <c r="N7" s="9">
        <f ca="1">IFERROR(__xludf.DUMMYFUNCTION("counta(split(B7,"" ""))"),34)</f>
        <v>34</v>
      </c>
      <c r="O7" s="9">
        <f t="shared" ca="1" si="0"/>
        <v>323.53263619497392</v>
      </c>
    </row>
    <row r="8" spans="1:16" ht="15.75" customHeight="1">
      <c r="A8" s="9">
        <f ca="1">IFERROR(__xludf.DUMMYFUNCTION("""COMPUTED_VALUE"""),20)</f>
        <v>20</v>
      </c>
      <c r="B8" s="9" t="str">
        <f ca="1">IFERROR(__xludf.DUMMYFUNCTION("""COMPUTED_VALUE"""),"Can you show me how I can setup a mock for an object in Java using Mockito?")</f>
        <v>Can you show me how I can setup a mock for an object in Java using Mockito?</v>
      </c>
      <c r="C8" s="9" t="str">
        <f ca="1">IFERROR(__xludf.DUMMYFUNCTION("""COMPUTED_VALUE"""),"{
  ""answer"": ""Yes, you can setup a mock for an object in Java using Mockito."",
  ""explanation"": ""Mockito is a popular mocking framework in Java that allows you to create mock objects and define their behavior."",
  ""code"": ""import org.mockito.M"&amp;"ockito;
// Create a mock object
MyObject myObjectMock = Mockito.mock(MyObject.class);
// Define the behavior of the mock object
Mockito.when(myObjectMock.someMethod()).thenReturn(someValue);
// Use the mock object in your test
myObjectMock.someMethod()"&amp;";""
}")</f>
        <v>{
  "answer": "Yes, you can setup a mock for an object in Java using Mockito.",
  "explanation": "Mockito is a popular mocking framework in Java that allows you to create mock objects and define their behavior.",
  "code": "import org.mockito.Mockito;
// Create a mock object
MyObject myObjectMock = Mockito.mock(MyObject.class);
// Define the behavior of the mock object
Mockito.when(myObjectMock.someMethod()).thenReturn(someValue);
// Use the mock object in your test
myObjectMock.someMethod();"
}</v>
      </c>
      <c r="D8" s="9">
        <f ca="1">IFERROR(__xludf.DUMMYFUNCTION("""COMPUTED_VALUE"""),1)</f>
        <v>1</v>
      </c>
      <c r="E8" s="9" t="str">
        <f ca="1">IFERROR(__xludf.DUMMYFUNCTION("""COMPUTED_VALUE"""),"2024-01-10 14:35:18")</f>
        <v>2024-01-10 14:35:18</v>
      </c>
      <c r="F8" s="9">
        <f ca="1">IFERROR(__xludf.DUMMYFUNCTION("""COMPUTED_VALUE"""),137)</f>
        <v>137</v>
      </c>
      <c r="G8" s="9">
        <f ca="1">IFERROR(__xludf.DUMMYFUNCTION("""COMPUTED_VALUE"""),2)</f>
        <v>2</v>
      </c>
      <c r="H8" s="9" t="str">
        <f ca="1">IFERROR(__xludf.DUMMYFUNCTION("""COMPUTED_VALUE"""),"null")</f>
        <v>null</v>
      </c>
      <c r="I8" s="9" t="str">
        <f ca="1">IFERROR(__xludf.DUMMYFUNCTION("""COMPUTED_VALUE"""),"Y")</f>
        <v>Y</v>
      </c>
      <c r="J8" s="9" t="str">
        <f ca="1">IFERROR(__xludf.DUMMYFUNCTION("""COMPUTED_VALUE"""),"OTHER")</f>
        <v>OTHER</v>
      </c>
      <c r="K8" s="9" t="str">
        <f ca="1">IFERROR(__xludf.DUMMYFUNCTION("""COMPUTED_VALUE"""),"Mock")</f>
        <v>Mock</v>
      </c>
      <c r="L8" s="9"/>
      <c r="M8" s="9"/>
      <c r="N8" s="9">
        <f ca="1">IFERROR(__xludf.DUMMYFUNCTION("counta(split(B8,"" ""))"),17)</f>
        <v>17</v>
      </c>
      <c r="O8" s="9">
        <f t="shared" ca="1" si="0"/>
        <v>0.97419463653230209</v>
      </c>
    </row>
    <row r="9" spans="1:16" ht="15.75" customHeight="1">
      <c r="A9" s="9">
        <f ca="1">IFERROR(__xludf.DUMMYFUNCTION("""COMPUTED_VALUE"""),8)</f>
        <v>8</v>
      </c>
      <c r="B9" s="9" t="str">
        <f ca="1">IFERROR(__xludf.DUMMYFUNCTION("""COMPUTED_VALUE"""),"Can you give me a short description what the class and the methods each do?")</f>
        <v>Can you give me a short description what the class and the methods each do?</v>
      </c>
      <c r="C9" s="9" t="str">
        <f ca="1">IFERROR(__xludf.DUMMYFUNCTION("""COMPUTED_VALUE"""),"{
  ""answer"": ""The Options class represents a collection of Option objects, which describe the possible options for a command-line."",
  ""explanation"": ""The Options class is used to store and manage a collection of Option objects, which represent th"&amp;"e possible options that can be used in a command-line interface. It provides methods to add options, retrieve options, check if an option exists, and get the required options."",
  ""code"": ""Options options = new Options();
Option option1 = new Option("&amp;"""h"", ""help"", false, ""Display help message."");
options.addOption(option1);
Option option2 = new Option(""v"", ""version"", false, ""Display version information."");
options.addOption(option2);
if (options.hasOption(""help"")) {
    // Display help "&amp;"message
}
if (options.hasOption(""version"")) {
    // Display version information
}""
}")</f>
        <v>{
  "answer": "The Options class represents a collection of Option objects, which describe the possible options for a command-line.",
  "explanation": "The Options class is used to store and manage a collection of Option objects, which represent the possible options that can be used in a command-line interface. It provides methods to add options, retrieve options, check if an option exists, and get the required options.",
  "code": "Options options = new Options();
Option option1 = new Option("h", "help", false, "Display help message.");
options.addOption(option1);
Option option2 = new Option("v", "version", false, "Display version information.");
options.addOption(option2);
if (options.hasOption("help")) {
    // Display help message
}
if (options.hasOption("version")) {
    // Display version information
}"
}</v>
      </c>
      <c r="D9" s="9">
        <f ca="1">IFERROR(__xludf.DUMMYFUNCTION("""COMPUTED_VALUE"""),1)</f>
        <v>1</v>
      </c>
      <c r="E9" s="9" t="str">
        <f ca="1">IFERROR(__xludf.DUMMYFUNCTION("""COMPUTED_VALUE"""),"2024-01-10 14:30:20")</f>
        <v>2024-01-10 14:30:20</v>
      </c>
      <c r="F9" s="9">
        <f ca="1">IFERROR(__xludf.DUMMYFUNCTION("""COMPUTED_VALUE"""),139)</f>
        <v>139</v>
      </c>
      <c r="G9" s="9">
        <f ca="1">IFERROR(__xludf.DUMMYFUNCTION("""COMPUTED_VALUE"""),2)</f>
        <v>2</v>
      </c>
      <c r="H9" s="9">
        <f ca="1">IFERROR(__xludf.DUMMYFUNCTION("""COMPUTED_VALUE"""),0)</f>
        <v>0</v>
      </c>
      <c r="I9" s="9" t="str">
        <f ca="1">IFERROR(__xludf.DUMMYFUNCTION("""COMPUTED_VALUE"""),"Y")</f>
        <v>Y</v>
      </c>
      <c r="J9" s="9" t="str">
        <f ca="1">IFERROR(__xludf.DUMMYFUNCTION("""COMPUTED_VALUE"""),"OTHER")</f>
        <v>OTHER</v>
      </c>
      <c r="K9" s="9" t="str">
        <f ca="1">IFERROR(__xludf.DUMMYFUNCTION("""COMPUTED_VALUE"""),"Code under test")</f>
        <v>Code under test</v>
      </c>
      <c r="L9" s="9"/>
      <c r="M9" s="9"/>
      <c r="N9" s="9">
        <f ca="1">IFERROR(__xludf.DUMMYFUNCTION("counta(split(B9,"" ""))"),15)</f>
        <v>15</v>
      </c>
      <c r="O9" s="9">
        <f t="shared" ca="1" si="0"/>
        <v>1.0261426884803475</v>
      </c>
    </row>
    <row r="10" spans="1:16" ht="15.75" customHeight="1">
      <c r="A10" s="9">
        <f ca="1">IFERROR(__xludf.DUMMYFUNCTION("""COMPUTED_VALUE"""),27)</f>
        <v>27</v>
      </c>
      <c r="B10" s="9" t="str">
        <f ca="1">IFERROR(__xludf.DUMMYFUNCTION("""COMPUTED_VALUE"""),"How can I test the private method stripLeadingHyphens()?")</f>
        <v>How can I test the private method stripLeadingHyphens()?</v>
      </c>
      <c r="C10" s="9" t="str">
        <f ca="1">IFERROR(__xludf.DUMMYFUNCTION("""COMPUTED_VALUE"""),"{
  ""answer"": ""You can use reflection to access and test private methods."",
  ""explanation"": ""By using reflection, you can access and invoke private methods, allowing you to test them."",
  ""code"": ""Method method = Options.class.getDeclaredMetho"&amp;"d(""stripLeadingHyphens"", String.class);
method.setAccessible(true);
String result = (String) method.invoke(optionsInstance, ""--test"");""
}")</f>
        <v>{
  "answer": "You can use reflection to access and test private methods.",
  "explanation": "By using reflection, you can access and invoke private methods, allowing you to test them.",
  "code": "Method method = Options.class.getDeclaredMethod("stripLeadingHyphens", String.class);
method.setAccessible(true);
String result = (String) method.invoke(optionsInstance, "--test");"
}</v>
      </c>
      <c r="D10" s="9">
        <f ca="1">IFERROR(__xludf.DUMMYFUNCTION("""COMPUTED_VALUE"""),1)</f>
        <v>1</v>
      </c>
      <c r="E10" s="9" t="str">
        <f ca="1">IFERROR(__xludf.DUMMYFUNCTION("""COMPUTED_VALUE"""),"2024-01-10 14:36:19")</f>
        <v>2024-01-10 14:36:19</v>
      </c>
      <c r="F10" s="9">
        <f ca="1">IFERROR(__xludf.DUMMYFUNCTION("""COMPUTED_VALUE"""),139)</f>
        <v>139</v>
      </c>
      <c r="G10" s="9">
        <f ca="1">IFERROR(__xludf.DUMMYFUNCTION("""COMPUTED_VALUE"""),2)</f>
        <v>2</v>
      </c>
      <c r="H10" s="9">
        <f ca="1">IFERROR(__xludf.DUMMYFUNCTION("""COMPUTED_VALUE"""),0)</f>
        <v>0</v>
      </c>
      <c r="I10" s="9" t="str">
        <f ca="1">IFERROR(__xludf.DUMMYFUNCTION("""COMPUTED_VALUE"""),"Y")</f>
        <v>Y</v>
      </c>
      <c r="J10" s="9" t="str">
        <f ca="1">IFERROR(__xludf.DUMMYFUNCTION("""COMPUTED_VALUE"""),"TEST")</f>
        <v>TEST</v>
      </c>
      <c r="K10" s="9" t="str">
        <f ca="1">IFERROR(__xludf.DUMMYFUNCTION("""COMPUTED_VALUE"""),"Specific method")</f>
        <v>Specific method</v>
      </c>
      <c r="L10" s="9" t="str">
        <f ca="1">IFERROR(__xludf.DUMMYFUNCTION("""COMPUTED_VALUE"""),"stripLeadingHyphens")</f>
        <v>stripLeadingHyphens</v>
      </c>
      <c r="M10" s="9" t="str">
        <f ca="1">IFERROR(__xludf.DUMMYFUNCTION("""COMPUTED_VALUE"""),"stripLeadingHyphens")</f>
        <v>stripLeadingHyphens</v>
      </c>
      <c r="N10" s="9">
        <f ca="1">IFERROR(__xludf.DUMMYFUNCTION("counta(split(B10,"" ""))"),8)</f>
        <v>8</v>
      </c>
      <c r="O10" s="9">
        <f t="shared" ca="1" si="0"/>
        <v>64.207960870298507</v>
      </c>
      <c r="P10" s="9" t="s">
        <v>689</v>
      </c>
    </row>
    <row r="11" spans="1:16" ht="15.75" customHeight="1">
      <c r="A11" s="9">
        <f ca="1">IFERROR(__xludf.DUMMYFUNCTION("""COMPUTED_VALUE"""),39)</f>
        <v>39</v>
      </c>
      <c r="B11" s="9" t="str">
        <f ca="1">IFERROR(__xludf.DUMMYFUNCTION("""COMPUTED_VALUE"""),"Can you build me a simple junit test for testing the method getMatchingOptions(String opt)?")</f>
        <v>Can you build me a simple junit test for testing the method getMatchingOptions(String opt)?</v>
      </c>
      <c r="C11" s="9" t="str">
        <f ca="1">IFERROR(__xludf.DUMMYFUNCTION("""COMPUTED_VALUE"""),"{
  ""answer"": ""Yes, I can provide a simple JUnit test for testing the getMatchingOptions(String opt) method."",
  ""explanation"": ""The JUnit test will verify that the method returns the expected list of matching options for a given input."",
  ""code"&amp;""": ""import org.junit.Test;
import static org.junit.Assert.*;
public class OptionsTest {
  @Test
  public void testGetMatchingOptions() {
    Options options = new Options();
    options.addOption(new Option(""a"", ""apple""));
    options.addOption(ne"&amp;"w Option(""b"", ""banana""));
    options.addOption(new Option(""c"", ""cherry""));
    List&lt;String&gt; expected = Arrays.asList(""apple"", ""banana"");
    List&lt;String&gt; actual = options.getMatchingOptions(""a"");
    assertEquals(expected, actual);
  }
}"&amp;""" 
}")</f>
        <v>{
  "answer": "Yes, I can provide a simple JUnit test for testing the getMatchingOptions(String opt) method.",
  "explanation": "The JUnit test will verify that the method returns the expected list of matching options for a given input.",
  "code": "import org.junit.Test;
import static org.junit.Assert.*;
public class OptionsTest {
  @Test
  public void testGetMatchingOptions() {
    Options options = new Options();
    options.addOption(new Option("a", "apple"));
    options.addOption(new Option("b", "banana"));
    options.addOption(new Option("c", "cherry"));
    List&lt;String&gt; expected = Arrays.asList("apple", "banana");
    List&lt;String&gt; actual = options.getMatchingOptions("a");
    assertEquals(expected, actual);
  }
}" 
}</v>
      </c>
      <c r="D11" s="9">
        <f ca="1">IFERROR(__xludf.DUMMYFUNCTION("""COMPUTED_VALUE"""),1)</f>
        <v>1</v>
      </c>
      <c r="E11" s="9" t="str">
        <f ca="1">IFERROR(__xludf.DUMMYFUNCTION("""COMPUTED_VALUE"""),"2024-01-10 14:38:56")</f>
        <v>2024-01-10 14:38:56</v>
      </c>
      <c r="F11" s="9">
        <f ca="1">IFERROR(__xludf.DUMMYFUNCTION("""COMPUTED_VALUE"""),139)</f>
        <v>139</v>
      </c>
      <c r="G11" s="9">
        <f ca="1">IFERROR(__xludf.DUMMYFUNCTION("""COMPUTED_VALUE"""),2)</f>
        <v>2</v>
      </c>
      <c r="H11" s="9" t="str">
        <f ca="1">IFERROR(__xludf.DUMMYFUNCTION("""COMPUTED_VALUE"""),"null")</f>
        <v>null</v>
      </c>
      <c r="I11" s="9" t="str">
        <f ca="1">IFERROR(__xludf.DUMMYFUNCTION("""COMPUTED_VALUE"""),"Y")</f>
        <v>Y</v>
      </c>
      <c r="J11" s="9" t="str">
        <f ca="1">IFERROR(__xludf.DUMMYFUNCTION("""COMPUTED_VALUE"""),"TEST")</f>
        <v>TEST</v>
      </c>
      <c r="K11" s="9" t="str">
        <f ca="1">IFERROR(__xludf.DUMMYFUNCTION("""COMPUTED_VALUE"""),"Specific method")</f>
        <v>Specific method</v>
      </c>
      <c r="L11" s="9" t="str">
        <f ca="1">IFERROR(__xludf.DUMMYFUNCTION("""COMPUTED_VALUE"""),"getMatchingOptions")</f>
        <v>getMatchingOptions</v>
      </c>
      <c r="M11" s="9" t="str">
        <f ca="1">IFERROR(__xludf.DUMMYFUNCTION("""COMPUTED_VALUE"""),"getMatchingOptions")</f>
        <v>getMatchingOptions</v>
      </c>
      <c r="N11" s="9">
        <f ca="1">IFERROR(__xludf.DUMMYFUNCTION("counta(split(B11,"" ""))"),14)</f>
        <v>14</v>
      </c>
      <c r="O11" s="9">
        <f t="shared" ca="1" si="0"/>
        <v>4.0521167144543702</v>
      </c>
      <c r="P11" s="9" t="s">
        <v>689</v>
      </c>
    </row>
    <row r="12" spans="1:16" ht="15.75" customHeight="1">
      <c r="A12" s="9">
        <f ca="1">IFERROR(__xludf.DUMMYFUNCTION("""COMPUTED_VALUE"""),66)</f>
        <v>66</v>
      </c>
      <c r="B12" s="9" t="str">
        <f ca="1">IFERROR(__xludf.DUMMYFUNCTION("""COMPUTED_VALUE"""),"public void testGetMatchingOptions() {
Options options = new Options();
options.addOption(new Option(""a"", ""apple""));
options.addOption(new Option(""b"", ""banana""));
options.addOption(new Option(""c"", ""cherry""));
List&lt;String&gt; expected = Arrays.as"&amp;"List(""apple"", ""banana"");
List&lt;String&gt; actual = options.getMatchingOptions(""a"");
assertEquals(expected, actual);
}
}
This test gives back the error ""The submitted test is not valid:
-[Test does not contain any valid statement.]""
Why? And can you"&amp;" fix that?")</f>
        <v>public void testGetMatchingOptions() {
Options options = new Options();
options.addOption(new Option("a", "apple"));
options.addOption(new Option("b", "banana"));
options.addOption(new Option("c", "cherry"));
List&lt;String&gt; expected = Arrays.asList("apple", "banana");
List&lt;String&gt; actual = options.getMatchingOptions("a");
assertEquals(expected, actual);
}
}
This test gives back the error "The submitted test is not valid:
-[Test does not contain any valid statement.]"
Why? And can you fix that?</v>
      </c>
      <c r="C12" s="9" t="str">
        <f ca="1">IFERROR(__xludf.DUMMYFUNCTION("""COMPUTED_VALUE"""),"{
  ""answer"": ""The test is not valid because it is missing the import statements and the assertion statement."",
  ""explanation"": ""The test method is missing the necessary import statements for the Options class and the Assertion class, and it is al"&amp;"so missing the assertion statement to compare the expected and actual results."",
  ""code"": ""import org.junit.Test;
import static org.junit.Assert.assertEquals;
public class OptionsTest {
  @Test
  public void testGetMatchingOptions() {
    Options o"&amp;"ptions = new Options();
    options.addOption(new Option(""a"", ""apple""));
    options.addOption(new Option(""b"", ""banana""));
    options.addOption(new Option(""c"", ""cherry""));
    List&lt;String&gt; expected = Arrays.asList(""apple"", ""banana"");
   "&amp;" List&lt;String&gt; actual = options.getMatchingOptions(""a"");
    assertEquals(expected, actual);
  }
}""
}")</f>
        <v>{
  "answer": "The test is not valid because it is missing the import statements and the assertion statement.",
  "explanation": "The test method is missing the necessary import statements for the Options class and the Assertion class, and it is also missing the assertion statement to compare the expected and actual results.",
  "code": "import org.junit.Test;
import static org.junit.Assert.assertEquals;
public class OptionsTest {
  @Test
  public void testGetMatchingOptions() {
    Options options = new Options();
    options.addOption(new Option("a", "apple"));
    options.addOption(new Option("b", "banana"));
    options.addOption(new Option("c", "cherry"));
    List&lt;String&gt; expected = Arrays.asList("apple", "banana");
    List&lt;String&gt; actual = options.getMatchingOptions("a");
    assertEquals(expected, actual);
  }
}"
}</v>
      </c>
      <c r="D12" s="9">
        <f ca="1">IFERROR(__xludf.DUMMYFUNCTION("""COMPUTED_VALUE"""),1)</f>
        <v>1</v>
      </c>
      <c r="E12" s="9" t="str">
        <f ca="1">IFERROR(__xludf.DUMMYFUNCTION("""COMPUTED_VALUE"""),"2024-01-10 14:48:40")</f>
        <v>2024-01-10 14:48:40</v>
      </c>
      <c r="F12" s="9">
        <f ca="1">IFERROR(__xludf.DUMMYFUNCTION("""COMPUTED_VALUE"""),139)</f>
        <v>139</v>
      </c>
      <c r="G12" s="9">
        <f ca="1">IFERROR(__xludf.DUMMYFUNCTION("""COMPUTED_VALUE"""),2)</f>
        <v>2</v>
      </c>
      <c r="H12" s="9">
        <f ca="1">IFERROR(__xludf.DUMMYFUNCTION("""COMPUTED_VALUE"""),0)</f>
        <v>0</v>
      </c>
      <c r="I12" s="9" t="str">
        <f ca="1">IFERROR(__xludf.DUMMYFUNCTION("""COMPUTED_VALUE"""),"Y")</f>
        <v>Y</v>
      </c>
      <c r="J12" s="9" t="str">
        <f ca="1">IFERROR(__xludf.DUMMYFUNCTION("""COMPUTED_VALUE"""),"TEST")</f>
        <v>TEST</v>
      </c>
      <c r="K12" s="9" t="str">
        <f ca="1">IFERROR(__xludf.DUMMYFUNCTION("""COMPUTED_VALUE"""),"Specific method")</f>
        <v>Specific method</v>
      </c>
      <c r="L12" s="9" t="str">
        <f ca="1">IFERROR(__xludf.DUMMYFUNCTION("""COMPUTED_VALUE"""),"getMatchingOptions")</f>
        <v>getMatchingOptions</v>
      </c>
      <c r="M12" s="9" t="str">
        <f ca="1">IFERROR(__xludf.DUMMYFUNCTION("""COMPUTED_VALUE"""),"getMatchingOptions")</f>
        <v>getMatchingOptions</v>
      </c>
      <c r="N12" s="9">
        <f ca="1">IFERROR(__xludf.DUMMYFUNCTION("counta(split(B12,"" ""))"),44)</f>
        <v>44</v>
      </c>
      <c r="O12" s="9">
        <f t="shared" ca="1" si="0"/>
        <v>783.27289593523369</v>
      </c>
    </row>
    <row r="13" spans="1:16" ht="15.75" customHeight="1">
      <c r="A13" s="9">
        <f ca="1">IFERROR(__xludf.DUMMYFUNCTION("""COMPUTED_VALUE"""),73)</f>
        <v>73</v>
      </c>
      <c r="B13" s="9" t="str">
        <f ca="1">IFERROR(__xludf.DUMMYFUNCTION("""COMPUTED_VALUE"""),"Code:
import org.junit.Test;
import static org.junit.Assert.*;
public class OptionsTest {
  @ Test
  public void testGetMatchingOptions() {
    Options options = new Options();
    options.addOption(new Option(""a"", ""apple""));
    options.addOption(n"&amp;"ew Option(""b"", ""banana""));
    options.addOption(new Option(""c"", ""cherry""));
    List&lt;String&gt; expected = Arrays.asList(""apple"", ""banana"");
    List&lt;String&gt; actual = options.getMatchingOptions(""a"");
    assertEquals(expected, actual);
  }
}"&amp;"
This test gives back the error ""The submitted test is not valid:
-[Test does not contain any valid statement.]""
Why? And can you fix that?")</f>
        <v>Code:
import org.junit.Test;
import static org.junit.Assert.*;
public class OptionsTest {
  @ Test
  public void testGetMatchingOptions() {
    Options options = new Options();
    options.addOption(new Option("a", "apple"));
    options.addOption(new Option("b", "banana"));
    options.addOption(new Option("c", "cherry"));
    List&lt;String&gt; expected = Arrays.asList("apple", "banana");
    List&lt;String&gt; actual = options.getMatchingOptions("a");
    assertEquals(expected, actual);
  }
}
This test gives back the error "The submitted test is not valid:
-[Test does not contain any valid statement.]"
Why? And can you fix that?</v>
      </c>
      <c r="C13" s="9" t="str">
        <f ca="1">IFERROR(__xludf.DUMMYFUNCTION("""COMPUTED_VALUE"""),"{
  ""answer"": ""The test method should be annotated with @Test, not @ Test."",
  ""explanation"": ""The @Test annotation is case-sensitive and should not have a space between the '@' and 'Test'."",
  ""code"": ""import org.junit.Test;
import static org."&amp;"junit.Assert.*;
public class OptionsTest {
  @Test
  public void testGetMatchingOptions() {
    Options options = new Options();
    options.addOption(new Option(""a"", ""apple""));
    options.addOption(new Option(""b"", ""banana""));
    options.addOp"&amp;"tion(new Option(""c"", ""cherry""));
    List&lt;String&gt; expected = Arrays.asList(""apple"", ""banana"");
    List&lt;String&gt; actual = options.getMatchingOptions(""a"");
    assertEquals(expected, actual);
  }
}"" 
}")</f>
        <v>{
  "answer": "The test method should be annotated with @Test, not @ Test.",
  "explanation": "The @Test annotation is case-sensitive and should not have a space between the '@' and 'Test'.",
  "code": "import org.junit.Test;
import static org.junit.Assert.*;
public class OptionsTest {
  @Test
  public void testGetMatchingOptions() {
    Options options = new Options();
    options.addOption(new Option("a", "apple"));
    options.addOption(new Option("b", "banana"));
    options.addOption(new Option("c", "cherry"));
    List&lt;String&gt; expected = Arrays.asList("apple", "banana");
    List&lt;String&gt; actual = options.getMatchingOptions("a");
    assertEquals(expected, actual);
  }
}" 
}</v>
      </c>
      <c r="D13" s="9">
        <f ca="1">IFERROR(__xludf.DUMMYFUNCTION("""COMPUTED_VALUE"""),1)</f>
        <v>1</v>
      </c>
      <c r="E13" s="9" t="str">
        <f ca="1">IFERROR(__xludf.DUMMYFUNCTION("""COMPUTED_VALUE"""),"2024-01-10 14:50:51")</f>
        <v>2024-01-10 14:50:51</v>
      </c>
      <c r="F13" s="9">
        <f ca="1">IFERROR(__xludf.DUMMYFUNCTION("""COMPUTED_VALUE"""),139)</f>
        <v>139</v>
      </c>
      <c r="G13" s="9">
        <f ca="1">IFERROR(__xludf.DUMMYFUNCTION("""COMPUTED_VALUE"""),2)</f>
        <v>2</v>
      </c>
      <c r="H13" s="9" t="str">
        <f ca="1">IFERROR(__xludf.DUMMYFUNCTION("""COMPUTED_VALUE"""),"null")</f>
        <v>null</v>
      </c>
      <c r="I13" s="9" t="str">
        <f ca="1">IFERROR(__xludf.DUMMYFUNCTION("""COMPUTED_VALUE"""),"Y")</f>
        <v>Y</v>
      </c>
      <c r="J13" s="9" t="str">
        <f ca="1">IFERROR(__xludf.DUMMYFUNCTION("""COMPUTED_VALUE"""),"TEST")</f>
        <v>TEST</v>
      </c>
      <c r="K13" s="9" t="str">
        <f ca="1">IFERROR(__xludf.DUMMYFUNCTION("""COMPUTED_VALUE"""),"Specific method")</f>
        <v>Specific method</v>
      </c>
      <c r="L13" s="9" t="str">
        <f ca="1">IFERROR(__xludf.DUMMYFUNCTION("""COMPUTED_VALUE"""),"getMatchingOptions")</f>
        <v>getMatchingOptions</v>
      </c>
      <c r="M13" s="9" t="str">
        <f ca="1">IFERROR(__xludf.DUMMYFUNCTION("""COMPUTED_VALUE"""),"getMatchingOptions")</f>
        <v>getMatchingOptions</v>
      </c>
      <c r="N13" s="9">
        <f ca="1">IFERROR(__xludf.DUMMYFUNCTION("counta(split(B13,"" ""))"),61)</f>
        <v>61</v>
      </c>
      <c r="O13" s="9">
        <f t="shared" ca="1" si="0"/>
        <v>2023.8313374936754</v>
      </c>
    </row>
    <row r="14" spans="1:16" ht="15.75" customHeight="1">
      <c r="A14" s="9">
        <f ca="1">IFERROR(__xludf.DUMMYFUNCTION("""COMPUTED_VALUE"""),85)</f>
        <v>85</v>
      </c>
      <c r="B14" s="9" t="str">
        <f ca="1">IFERROR(__xludf.DUMMYFUNCTION("""COMPUTED_VALUE"""),"I have problems initiating and declarating an Option object, sind Option is only a interface. Can you write me a possible way to initiate and declarate an Option object with a few attributes?")</f>
        <v>I have problems initiating and declarating an Option object, sind Option is only a interface. Can you write me a possible way to initiate and declarate an Option object with a few attributes?</v>
      </c>
      <c r="C14" s="9" t="str">
        <f ca="1">IFERROR(__xludf.DUMMYFUNCTION("""COMPUTED_VALUE"""),"{
  ""answer"": ""You can create an Option object by using a class that implements the Option interface, such as the DefaultOption class."",
  ""explanation"": ""The Option interface is implemented by various classes, such as DefaultOption, which provides"&amp;" a concrete implementation of the Option interface with attributes like shortOpt, longOpt, description, etc."",
  ""code"": ""Option option = new DefaultOption(""o"", ""output"", true, ""Specify the output file"");""
}")</f>
        <v>{
  "answer": "You can create an Option object by using a class that implements the Option interface, such as the DefaultOption class.",
  "explanation": "The Option interface is implemented by various classes, such as DefaultOption, which provides a concrete implementation of the Option interface with attributes like shortOpt, longOpt, description, etc.",
  "code": "Option option = new DefaultOption("o", "output", true, "Specify the output file");"
}</v>
      </c>
      <c r="D14" s="9">
        <f ca="1">IFERROR(__xludf.DUMMYFUNCTION("""COMPUTED_VALUE"""),1)</f>
        <v>1</v>
      </c>
      <c r="E14" s="9" t="str">
        <f ca="1">IFERROR(__xludf.DUMMYFUNCTION("""COMPUTED_VALUE"""),"2024-01-10 14:56:36")</f>
        <v>2024-01-10 14:56:36</v>
      </c>
      <c r="F14" s="9">
        <f ca="1">IFERROR(__xludf.DUMMYFUNCTION("""COMPUTED_VALUE"""),139)</f>
        <v>139</v>
      </c>
      <c r="G14" s="9">
        <f ca="1">IFERROR(__xludf.DUMMYFUNCTION("""COMPUTED_VALUE"""),2)</f>
        <v>2</v>
      </c>
      <c r="H14" s="9" t="str">
        <f ca="1">IFERROR(__xludf.DUMMYFUNCTION("""COMPUTED_VALUE"""),"null")</f>
        <v>null</v>
      </c>
      <c r="I14" s="9" t="str">
        <f ca="1">IFERROR(__xludf.DUMMYFUNCTION("""COMPUTED_VALUE"""),"Y")</f>
        <v>Y</v>
      </c>
      <c r="J14" s="9" t="str">
        <f ca="1">IFERROR(__xludf.DUMMYFUNCTION("""COMPUTED_VALUE"""),"OTHER")</f>
        <v>OTHER</v>
      </c>
      <c r="K14" s="9" t="str">
        <f ca="1">IFERROR(__xludf.DUMMYFUNCTION("""COMPUTED_VALUE"""),"Mock")</f>
        <v>Mock</v>
      </c>
      <c r="L14" s="9"/>
      <c r="M14" s="9"/>
      <c r="N14" s="9">
        <f ca="1">IFERROR(__xludf.DUMMYFUNCTION("counta(split(B14,"" ""))"),33)</f>
        <v>33</v>
      </c>
      <c r="O14" s="9">
        <f t="shared" ca="1" si="0"/>
        <v>288.55861022094791</v>
      </c>
    </row>
    <row r="15" spans="1:16" ht="15.75" customHeight="1">
      <c r="A15" s="9">
        <f ca="1">IFERROR(__xludf.DUMMYFUNCTION("""COMPUTED_VALUE"""),91)</f>
        <v>91</v>
      </c>
      <c r="B15" s="9" t="str">
        <f ca="1">IFERROR(__xludf.DUMMYFUNCTION("""COMPUTED_VALUE"""),"I have problems initiating and declarating an Option object, sind Option is only a interface. Can you write me a possible way to initiate and declarate an Option object with a few attributes?
We only have these imports available:
import java.util.ArrayL"&amp;"ist;
import java.util.Collection;
import java.util.Collections;
import java.util.HashSet;
import java.util.LinkedHashMap;
import java.util.List;
import java.util.Map;
import org.junit.Test;
import static org.junit.jupiter.api.Assertions.*;
import static"&amp;" com.google.common.truth.Truth.*;
import static com.google.common.truth.Truth8.*;
import static org.mockito.Mockito.*;")</f>
        <v>I have problems initiating and declarating an Option object, sind Option is only a interface. Can you write me a possible way to initiate and declarate an Option object with a few attributes?
We only have these imports available:
import java.util.ArrayList;
import java.util.Collection;
import java.util.Collections;
import java.util.HashSet;
import java.util.LinkedHashMap;
import java.util.List;
import java.util.Map;
import org.junit.Test;
import static org.junit.jupiter.api.Assertions.*;
import static com.google.common.truth.Truth.*;
import static com.google.common.truth.Truth8.*;
import static org.mockito.Mockito.*;</v>
      </c>
      <c r="C15" s="9" t="str">
        <f ca="1">IFERROR(__xludf.DUMMYFUNCTION("""COMPUTED_VALUE"""),"Answer:
You cannot directly instantiate an Option object since it is an interface.
Explanation:
The Option interface is meant to be implemented by concrete classes that provide the necessary functionality. You can create a custom class that implements th"&amp;"e Option interface and provides the required attributes and methods.
Code:
")</f>
        <v xml:space="preserve">Answer:
You cannot directly instantiate an Option object since it is an interface.
Explanation:
The Option interface is meant to be implemented by concrete classes that provide the necessary functionality. You can create a custom class that implements the Option interface and provides the required attributes and methods.
Code:
</v>
      </c>
      <c r="D15" s="9">
        <f ca="1">IFERROR(__xludf.DUMMYFUNCTION("""COMPUTED_VALUE"""),0)</f>
        <v>0</v>
      </c>
      <c r="E15" s="9" t="str">
        <f ca="1">IFERROR(__xludf.DUMMYFUNCTION("""COMPUTED_VALUE"""),"2024-01-10 14:59:18")</f>
        <v>2024-01-10 14:59:18</v>
      </c>
      <c r="F15" s="9">
        <f ca="1">IFERROR(__xludf.DUMMYFUNCTION("""COMPUTED_VALUE"""),139)</f>
        <v>139</v>
      </c>
      <c r="G15" s="9">
        <f ca="1">IFERROR(__xludf.DUMMYFUNCTION("""COMPUTED_VALUE"""),2)</f>
        <v>2</v>
      </c>
      <c r="H15" s="9">
        <f ca="1">IFERROR(__xludf.DUMMYFUNCTION("""COMPUTED_VALUE"""),1)</f>
        <v>1</v>
      </c>
      <c r="I15" s="9" t="str">
        <f ca="1">IFERROR(__xludf.DUMMYFUNCTION("""COMPUTED_VALUE"""),"Y")</f>
        <v>Y</v>
      </c>
      <c r="J15" s="9" t="str">
        <f ca="1">IFERROR(__xludf.DUMMYFUNCTION("""COMPUTED_VALUE"""),"OTHER")</f>
        <v>OTHER</v>
      </c>
      <c r="K15" s="9" t="str">
        <f ca="1">IFERROR(__xludf.DUMMYFUNCTION("""COMPUTED_VALUE"""),"Mock")</f>
        <v>Mock</v>
      </c>
      <c r="L15" s="9"/>
      <c r="M15" s="9"/>
      <c r="N15" s="9">
        <f ca="1">IFERROR(__xludf.DUMMYFUNCTION("counta(split(B15,"" ""))"),54)</f>
        <v>54</v>
      </c>
      <c r="O15" s="9">
        <f t="shared" ca="1" si="0"/>
        <v>1443.0131556754934</v>
      </c>
    </row>
    <row r="16" spans="1:16" ht="15.75" customHeight="1">
      <c r="A16" s="9">
        <f ca="1">IFERROR(__xludf.DUMMYFUNCTION("""COMPUTED_VALUE"""),47)</f>
        <v>47</v>
      </c>
      <c r="B16" s="9" t="str">
        <f ca="1">IFERROR(__xludf.DUMMYFUNCTION("""COMPUTED_VALUE"""),"Write a JUnit test for the method getOption(String opt), which should find as many mutants as possible.")</f>
        <v>Write a JUnit test for the method getOption(String opt), which should find as many mutants as possible.</v>
      </c>
      <c r="C16" s="9" t="str">
        <f ca="1">IFERROR(__xludf.DUMMYFUNCTION("""COMPUTED_VALUE"""),"{
  ""answer"": ""The JUnit test should cover the following scenarios: opt is null, opt is an empty string, opt is a short option, opt is a long option, opt is a partial long option."",
  ""explanation"": ""To find as many mutants as possible, the JUnit t"&amp;"est should cover different scenarios and edge cases for the getOption(String opt) method."",
  ""code"": ""```java
import org.junit.Test;
import static org.junit.Assert.*;
public class OptionsTest {
  @Test
  public void testGetOption() {
    Options op"&amp;"tions = new Options();
    Option option = new Option(""a"", ""apple"", false, ""Apple option"");
    options.addOption(option);
    // Test null option
    assertNull(options.getOption(null));
    // Test empty option
    assertNull(options.getOption("&amp;""""")
    // Test short option
    assertEquals(option, options.getOption(""a""));
    // Test long option
    assertEquals(option, options.getOption(""apple""));
    // Test partial long option
    assertNull(options.getOption(""app""));
  }
}
```""
}")</f>
        <v>{
  "answer": "The JUnit test should cover the following scenarios: opt is null, opt is an empty string, opt is a short option, opt is a long option, opt is a partial long option.",
  "explanation": "To find as many mutants as possible, the JUnit test should cover different scenarios and edge cases for the getOption(String opt) method.",
  "code": "```java
import org.junit.Test;
import static org.junit.Assert.*;
public class OptionsTest {
  @Test
  public void testGetOption() {
    Options options = new Options();
    Option option = new Option("a", "apple", false, "Apple option");
    options.addOption(option);
    // Test null option
    assertNull(options.getOption(null));
    // Test empty option
    assertNull(options.getOption("")
    // Test short option
    assertEquals(option, options.getOption("a"));
    // Test long option
    assertEquals(option, options.getOption("apple"));
    // Test partial long option
    assertNull(options.getOption("app"));
  }
}
```"
}</v>
      </c>
      <c r="D16" s="9">
        <f ca="1">IFERROR(__xludf.DUMMYFUNCTION("""COMPUTED_VALUE"""),1)</f>
        <v>1</v>
      </c>
      <c r="E16" s="9" t="str">
        <f ca="1">IFERROR(__xludf.DUMMYFUNCTION("""COMPUTED_VALUE"""),"2024-01-10 14:41:38")</f>
        <v>2024-01-10 14:41:38</v>
      </c>
      <c r="F16" s="9">
        <f ca="1">IFERROR(__xludf.DUMMYFUNCTION("""COMPUTED_VALUE"""),142)</f>
        <v>142</v>
      </c>
      <c r="G16" s="9">
        <f ca="1">IFERROR(__xludf.DUMMYFUNCTION("""COMPUTED_VALUE"""),2)</f>
        <v>2</v>
      </c>
      <c r="H16" s="9" t="str">
        <f ca="1">IFERROR(__xludf.DUMMYFUNCTION("""COMPUTED_VALUE"""),"null")</f>
        <v>null</v>
      </c>
      <c r="I16" s="9" t="str">
        <f ca="1">IFERROR(__xludf.DUMMYFUNCTION("""COMPUTED_VALUE"""),"Y")</f>
        <v>Y</v>
      </c>
      <c r="J16" s="9" t="str">
        <f ca="1">IFERROR(__xludf.DUMMYFUNCTION("""COMPUTED_VALUE"""),"TEST")</f>
        <v>TEST</v>
      </c>
      <c r="K16" s="9" t="str">
        <f ca="1">IFERROR(__xludf.DUMMYFUNCTION("""COMPUTED_VALUE"""),"Specific method")</f>
        <v>Specific method</v>
      </c>
      <c r="L16" s="9" t="str">
        <f ca="1">IFERROR(__xludf.DUMMYFUNCTION("""COMPUTED_VALUE"""),"getOption")</f>
        <v>getOption</v>
      </c>
      <c r="M16" s="9" t="str">
        <f ca="1">IFERROR(__xludf.DUMMYFUNCTION("""COMPUTED_VALUE"""),"getOption")</f>
        <v>getOption</v>
      </c>
      <c r="N16" s="9">
        <f ca="1">IFERROR(__xludf.DUMMYFUNCTION("counta(split(B16,"" ""))"),17)</f>
        <v>17</v>
      </c>
      <c r="O16" s="9">
        <f t="shared" ca="1" si="0"/>
        <v>0.97419463653230209</v>
      </c>
      <c r="P16" s="9" t="s">
        <v>689</v>
      </c>
    </row>
    <row r="17" spans="1:16" ht="15.75" customHeight="1">
      <c r="A17" s="9">
        <f ca="1">IFERROR(__xludf.DUMMYFUNCTION("""COMPUTED_VALUE"""),57)</f>
        <v>57</v>
      </c>
      <c r="B17" s="9" t="str">
        <f ca="1">IFERROR(__xludf.DUMMYFUNCTION("""COMPUTED_VALUE"""),"How do i instaniate a Option object, which is a interface?")</f>
        <v>How do i instaniate a Option object, which is a interface?</v>
      </c>
      <c r="C17" s="9" t="str">
        <f ca="1">IFERROR(__xludf.DUMMYFUNCTION("""COMPUTED_VALUE"""),"Answer:
You cannot directly instantiate an Option object as it is an interface.
Explanation:
Interfaces in Java cannot be instantiated directly, they need to be implemented by a class.
Code:
")</f>
        <v xml:space="preserve">Answer:
You cannot directly instantiate an Option object as it is an interface.
Explanation:
Interfaces in Java cannot be instantiated directly, they need to be implemented by a class.
Code:
</v>
      </c>
      <c r="D17" s="9">
        <f ca="1">IFERROR(__xludf.DUMMYFUNCTION("""COMPUTED_VALUE"""),0)</f>
        <v>0</v>
      </c>
      <c r="E17" s="9" t="str">
        <f ca="1">IFERROR(__xludf.DUMMYFUNCTION("""COMPUTED_VALUE"""),"2024-01-10 14:45:06")</f>
        <v>2024-01-10 14:45:06</v>
      </c>
      <c r="F17" s="9">
        <f ca="1">IFERROR(__xludf.DUMMYFUNCTION("""COMPUTED_VALUE"""),142)</f>
        <v>142</v>
      </c>
      <c r="G17" s="9">
        <f ca="1">IFERROR(__xludf.DUMMYFUNCTION("""COMPUTED_VALUE"""),2)</f>
        <v>2</v>
      </c>
      <c r="H17" s="9">
        <f ca="1">IFERROR(__xludf.DUMMYFUNCTION("""COMPUTED_VALUE"""),0)</f>
        <v>0</v>
      </c>
      <c r="I17" s="9" t="str">
        <f ca="1">IFERROR(__xludf.DUMMYFUNCTION("""COMPUTED_VALUE"""),"Y")</f>
        <v>Y</v>
      </c>
      <c r="J17" s="9" t="str">
        <f ca="1">IFERROR(__xludf.DUMMYFUNCTION("""COMPUTED_VALUE"""),"OTHER")</f>
        <v>OTHER</v>
      </c>
      <c r="K17" s="9" t="str">
        <f ca="1">IFERROR(__xludf.DUMMYFUNCTION("""COMPUTED_VALUE"""),"Mock")</f>
        <v>Mock</v>
      </c>
      <c r="L17" s="9"/>
      <c r="M17" s="9"/>
      <c r="N17" s="9">
        <f ca="1">IFERROR(__xludf.DUMMYFUNCTION("counta(split(B17,"" ""))"),11)</f>
        <v>11</v>
      </c>
      <c r="O17" s="9">
        <f t="shared" ca="1" si="0"/>
        <v>25.130038792376439</v>
      </c>
    </row>
    <row r="18" spans="1:16" ht="15.75" customHeight="1">
      <c r="A18" s="9">
        <f ca="1">IFERROR(__xludf.DUMMYFUNCTION("""COMPUTED_VALUE"""),60)</f>
        <v>60</v>
      </c>
      <c r="B18" s="9" t="str">
        <f ca="1">IFERROR(__xludf.DUMMYFUNCTION("""COMPUTED_VALUE"""),"So how do i test my code if i need a Option object but i only have the Option interface?")</f>
        <v>So how do i test my code if i need a Option object but i only have the Option interface?</v>
      </c>
      <c r="C18" s="9" t="str">
        <f ca="1">IFERROR(__xludf.DUMMYFUNCTION("""COMPUTED_VALUE"""),"Answer:
You can create a mock object implementing the Option interface using a mocking framework like Mockito.
Explanation:
To test your code that requires an Option object, you can use a mocking framework like Mockito to create a mock object that implem"&amp;"ents the Option interface.
Code:
Option optionMock = Mockito.mock(Option.class);")</f>
        <v>Answer:
You can create a mock object implementing the Option interface using a mocking framework like Mockito.
Explanation:
To test your code that requires an Option object, you can use a mocking framework like Mockito to create a mock object that implements the Option interface.
Code:
Option optionMock = Mockito.mock(Option.class);</v>
      </c>
      <c r="D18" s="9">
        <f ca="1">IFERROR(__xludf.DUMMYFUNCTION("""COMPUTED_VALUE"""),0)</f>
        <v>0</v>
      </c>
      <c r="E18" s="9" t="str">
        <f ca="1">IFERROR(__xludf.DUMMYFUNCTION("""COMPUTED_VALUE"""),"2024-01-10 14:46:00")</f>
        <v>2024-01-10 14:46:00</v>
      </c>
      <c r="F18" s="9">
        <f ca="1">IFERROR(__xludf.DUMMYFUNCTION("""COMPUTED_VALUE"""),142)</f>
        <v>142</v>
      </c>
      <c r="G18" s="9">
        <f ca="1">IFERROR(__xludf.DUMMYFUNCTION("""COMPUTED_VALUE"""),2)</f>
        <v>2</v>
      </c>
      <c r="H18" s="9" t="str">
        <f ca="1">IFERROR(__xludf.DUMMYFUNCTION("""COMPUTED_VALUE"""),"null")</f>
        <v>null</v>
      </c>
      <c r="I18" s="9" t="str">
        <f ca="1">IFERROR(__xludf.DUMMYFUNCTION("""COMPUTED_VALUE"""),"Y")</f>
        <v>Y</v>
      </c>
      <c r="J18" s="9" t="str">
        <f ca="1">IFERROR(__xludf.DUMMYFUNCTION("""COMPUTED_VALUE"""),"OTHER")</f>
        <v>OTHER</v>
      </c>
      <c r="K18" s="9" t="str">
        <f ca="1">IFERROR(__xludf.DUMMYFUNCTION("""COMPUTED_VALUE"""),"Mock")</f>
        <v>Mock</v>
      </c>
      <c r="L18" s="9"/>
      <c r="M18" s="9"/>
      <c r="N18" s="9">
        <f ca="1">IFERROR(__xludf.DUMMYFUNCTION("counta(split(B18,"" ""))"),20)</f>
        <v>20</v>
      </c>
      <c r="O18" s="9">
        <f t="shared" ca="1" si="0"/>
        <v>15.896272558610233</v>
      </c>
    </row>
    <row r="19" spans="1:16" ht="15.75" customHeight="1">
      <c r="A19" s="9">
        <f ca="1">IFERROR(__xludf.DUMMYFUNCTION("""COMPUTED_VALUE"""),63)</f>
        <v>63</v>
      </c>
      <c r="B19" s="9" t="str">
        <f ca="1">IFERROR(__xludf.DUMMYFUNCTION("""COMPUTED_VALUE"""),"This is my current test: ""Options options = new Options();
    Option option = new Option(""a"", ""apple"", false, ""Apple option"");
    options.addOption(option);
    // Test long option
    assertEquals(option, options.getOption(""apple""));
    //"&amp;" Test partial long option
    assertNull(options.getOption(""app""));"" I created a option object, but thats not correct. Mock it for me pleaase")</f>
        <v>This is my current test: "Options options = new Options();
    Option option = new Option("a", "apple", false, "Apple option");
    options.addOption(option);
    // Test long option
    assertEquals(option, options.getOption("apple"));
    // Test partial long option
    assertNull(options.getOption("app"));" I created a option object, but thats not correct. Mock it for me pleaase</v>
      </c>
      <c r="C19" s="9" t="str">
        <f ca="1">IFERROR(__xludf.DUMMYFUNCTION("""COMPUTED_VALUE"""),"{
  ""answer"": ""You can use a mocking framework like Mockito to mock the Option object."",
  ""explanation"": ""To mock the Option object, you can use a mocking framework like Mockito to create a mock object that simulates the behavior of the Option cla"&amp;"ss."",
  ""code"": ""import org.mockito.Mockito;
Option option = Mockito.mock(Option.class);
// Use the mocked option object in your test
options.addOption(option);
// Test long option
assertEquals(option, options.getOption(""apple""));
// Test partia"&amp;"l long option
assertNull(options.getOption(""app""));""
}")</f>
        <v>{
  "answer": "You can use a mocking framework like Mockito to mock the Option object.",
  "explanation": "To mock the Option object, you can use a mocking framework like Mockito to create a mock object that simulates the behavior of the Option class.",
  "code": "import org.mockito.Mockito;
Option option = Mockito.mock(Option.class);
// Use the mocked option object in your test
options.addOption(option);
// Test long option
assertEquals(option, options.getOption("apple"));
// Test partial long option
assertNull(options.getOption("app"));"
}</v>
      </c>
      <c r="D19" s="9">
        <f ca="1">IFERROR(__xludf.DUMMYFUNCTION("""COMPUTED_VALUE"""),0)</f>
        <v>0</v>
      </c>
      <c r="E19" s="9" t="str">
        <f ca="1">IFERROR(__xludf.DUMMYFUNCTION("""COMPUTED_VALUE"""),"2024-01-10 14:47:32")</f>
        <v>2024-01-10 14:47:32</v>
      </c>
      <c r="F19" s="9">
        <f ca="1">IFERROR(__xludf.DUMMYFUNCTION("""COMPUTED_VALUE"""),142)</f>
        <v>142</v>
      </c>
      <c r="G19" s="9">
        <f ca="1">IFERROR(__xludf.DUMMYFUNCTION("""COMPUTED_VALUE"""),2)</f>
        <v>2</v>
      </c>
      <c r="H19" s="9" t="str">
        <f ca="1">IFERROR(__xludf.DUMMYFUNCTION("""COMPUTED_VALUE"""),"null")</f>
        <v>null</v>
      </c>
      <c r="I19" s="9" t="str">
        <f ca="1">IFERROR(__xludf.DUMMYFUNCTION("""COMPUTED_VALUE"""),"Y")</f>
        <v>Y</v>
      </c>
      <c r="J19" s="9" t="str">
        <f ca="1">IFERROR(__xludf.DUMMYFUNCTION("""COMPUTED_VALUE"""),"OTHER")</f>
        <v>OTHER</v>
      </c>
      <c r="K19" s="9" t="str">
        <f ca="1">IFERROR(__xludf.DUMMYFUNCTION("""COMPUTED_VALUE"""),"Mock")</f>
        <v>Mock</v>
      </c>
      <c r="L19" s="9"/>
      <c r="M19" s="9"/>
      <c r="N19" s="9">
        <f ca="1">IFERROR(__xludf.DUMMYFUNCTION("counta(split(B19,"" ""))"),46)</f>
        <v>46</v>
      </c>
      <c r="O19" s="9">
        <f t="shared" ca="1" si="0"/>
        <v>899.22094788328559</v>
      </c>
    </row>
    <row r="20" spans="1:16" ht="15.75" customHeight="1">
      <c r="A20" s="9">
        <f ca="1">IFERROR(__xludf.DUMMYFUNCTION("""COMPUTED_VALUE"""),68)</f>
        <v>68</v>
      </c>
      <c r="B20" s="9" t="str">
        <f ca="1">IFERROR(__xludf.DUMMYFUNCTION("""COMPUTED_VALUE"""),"How do i mock a object with example")</f>
        <v>How do i mock a object with example</v>
      </c>
      <c r="C20" s="9" t="str">
        <f ca="1">IFERROR(__xludf.DUMMYFUNCTION("""COMPUTED_VALUE"""),"{
  ""answer"": ""You can mock an object using a mocking framework like Mockito."",
  ""explanation"": ""Mocking an object allows you to create a fake implementation of the object for testing purposes."",
  ""code"": ""import org.mockito.Mock;
import stat"&amp;"ic org.mockito.Mockito.when;
public class ExampleTest {
  @Mock
  private MyObject myObject;
  public void testMethod() {
    when(myObject.someMethod()).thenReturn(""mocked value"");
    // test code
  }
}"" 
}")</f>
        <v>{
  "answer": "You can mock an object using a mocking framework like Mockito.",
  "explanation": "Mocking an object allows you to create a fake implementation of the object for testing purposes.",
  "code": "import org.mockito.Mock;
import static org.mockito.Mockito.when;
public class ExampleTest {
  @Mock
  private MyObject myObject;
  public void testMethod() {
    when(myObject.someMethod()).thenReturn("mocked value");
    // test code
  }
}" 
}</v>
      </c>
      <c r="D20" s="9">
        <f ca="1">IFERROR(__xludf.DUMMYFUNCTION("""COMPUTED_VALUE"""),0)</f>
        <v>0</v>
      </c>
      <c r="E20" s="9" t="str">
        <f ca="1">IFERROR(__xludf.DUMMYFUNCTION("""COMPUTED_VALUE"""),"2024-01-10 14:49:16")</f>
        <v>2024-01-10 14:49:16</v>
      </c>
      <c r="F20" s="9">
        <f ca="1">IFERROR(__xludf.DUMMYFUNCTION("""COMPUTED_VALUE"""),142)</f>
        <v>142</v>
      </c>
      <c r="G20" s="9">
        <f ca="1">IFERROR(__xludf.DUMMYFUNCTION("""COMPUTED_VALUE"""),2)</f>
        <v>2</v>
      </c>
      <c r="H20" s="9" t="str">
        <f ca="1">IFERROR(__xludf.DUMMYFUNCTION("""COMPUTED_VALUE"""),"null")</f>
        <v>null</v>
      </c>
      <c r="I20" s="9" t="str">
        <f ca="1">IFERROR(__xludf.DUMMYFUNCTION("""COMPUTED_VALUE"""),"Y")</f>
        <v>Y</v>
      </c>
      <c r="J20" s="9" t="str">
        <f ca="1">IFERROR(__xludf.DUMMYFUNCTION("""COMPUTED_VALUE"""),"OTHER")</f>
        <v>OTHER</v>
      </c>
      <c r="K20" s="9" t="str">
        <f ca="1">IFERROR(__xludf.DUMMYFUNCTION("""COMPUTED_VALUE"""),"Mock")</f>
        <v>Mock</v>
      </c>
      <c r="L20" s="9"/>
      <c r="M20" s="9"/>
      <c r="N20" s="9">
        <f ca="1">IFERROR(__xludf.DUMMYFUNCTION("counta(split(B20,"" ""))"),8)</f>
        <v>8</v>
      </c>
      <c r="O20" s="9">
        <f t="shared" ca="1" si="0"/>
        <v>64.207960870298507</v>
      </c>
    </row>
    <row r="21" spans="1:16" ht="15.75" customHeight="1">
      <c r="A21" s="9">
        <f ca="1">IFERROR(__xludf.DUMMYFUNCTION("""COMPUTED_VALUE"""),35)</f>
        <v>35</v>
      </c>
      <c r="B21" s="9" t="str">
        <f ca="1">IFERROR(__xludf.DUMMYFUNCTION("""COMPUTED_VALUE"""),"Schreibe mehrere Tests, die Mutanten in folgender Funktion killen:
 public Options addOptionGroup(final OptionGroup group) {
    if (group.isRequired()) {
      requiredOpts.add(group);
    }
    for (final Option option : group.getOptions()) {
      // "&amp;"an Option cannot be required if it is in an
      // OptionGroup, either the group is required or
      // nothing is required
      option.setRequired(false);
      addOption(option);
      optionGroups.put(option.getKey(), group);
    }")</f>
        <v>Schreibe mehrere Tests, die Mutanten in folgender Funktion killen:
 public Options addOptionGroup(final OptionGroup group) {
    if (group.isRequired()) {
      requiredOpts.add(group);
    }
    for (final Option option : group.getOptions()) {
      // an Option cannot be required if it is in an
      // OptionGroup, either the group is required or
      // nothing is required
      option.setRequired(false);
      addOption(option);
      optionGroups.put(option.getKey(), group);
    }</v>
      </c>
      <c r="C21" s="9" t="str">
        <f ca="1">IFERROR(__xludf.DUMMYFUNCTION("""COMPUTED_VALUE"""),"{
  ""answer"": ""Die Tests sollten sicherstellen, dass die Optionen einer OptionGroup korrekt hinzugefügt und die erforderlichen Optionen korrekt aktualisiert werden."",
  ""explanation"": ""Die Tests sollten überprüfen, ob die Optionen einer OptionGroup"&amp;" korrekt zur Optionsliste hinzugefügt werden und ob die erforderlichen Optionen korrekt aktualisiert werden, wenn eine Option zur OptionGroup hinzugefügt wird."",
  ""code"": ""public void testAddOptionGroup() {
  OptionGroup group = new OptionGroup();
  "&amp;"Option option1 = new Option(""a"", ""option1"");
  Option option2 = new Option(""b"", ""option2"");
  group.addOption(option1);
  group.addOption(option2);
  Options options = new Options();
  options.addOptionGroup(group);
  assertTrue(options.hasOptio"&amp;"n(""a""));
  assertTrue(options.hasOption(""b""));
  assertTrue(options.getRequiredOptions().contains(group));
}""
}")</f>
        <v>{
  "answer": "Die Tests sollten sicherstellen, dass die Optionen einer OptionGroup korrekt hinzugefügt und die erforderlichen Optionen korrekt aktualisiert werden.",
  "explanation": "Die Tests sollten überprüfen, ob die Optionen einer OptionGroup korrekt zur Optionsliste hinzugefügt werden und ob die erforderlichen Optionen korrekt aktualisiert werden, wenn eine Option zur OptionGroup hinzugefügt wird.",
  "code": "public void testAddOptionGroup() {
  OptionGroup group = new OptionGroup();
  Option option1 = new Option("a", "option1");
  Option option2 = new Option("b", "option2");
  group.addOption(option1);
  group.addOption(option2);
  Options options = new Options();
  options.addOptionGroup(group);
  assertTrue(options.hasOption("a"));
  assertTrue(options.hasOption("b"));
  assertTrue(options.getRequiredOptions().contains(group));
}"
}</v>
      </c>
      <c r="D21" s="9">
        <f ca="1">IFERROR(__xludf.DUMMYFUNCTION("""COMPUTED_VALUE"""),1)</f>
        <v>1</v>
      </c>
      <c r="E21" s="9" t="str">
        <f ca="1">IFERROR(__xludf.DUMMYFUNCTION("""COMPUTED_VALUE"""),"2024-01-10 14:38:15")</f>
        <v>2024-01-10 14:38:15</v>
      </c>
      <c r="F21" s="9">
        <f ca="1">IFERROR(__xludf.DUMMYFUNCTION("""COMPUTED_VALUE"""),143)</f>
        <v>143</v>
      </c>
      <c r="G21" s="9">
        <f ca="1">IFERROR(__xludf.DUMMYFUNCTION("""COMPUTED_VALUE"""),2)</f>
        <v>2</v>
      </c>
      <c r="H21" s="9" t="str">
        <f ca="1">IFERROR(__xludf.DUMMYFUNCTION("""COMPUTED_VALUE"""),"null")</f>
        <v>null</v>
      </c>
      <c r="I21" s="9" t="str">
        <f ca="1">IFERROR(__xludf.DUMMYFUNCTION("""COMPUTED_VALUE"""),"Y")</f>
        <v>Y</v>
      </c>
      <c r="J21" s="9"/>
      <c r="K21" s="9"/>
      <c r="L21" s="9"/>
      <c r="M21" s="9"/>
    </row>
    <row r="22" spans="1:16" ht="15.75" customHeight="1">
      <c r="A22" s="9">
        <f ca="1">IFERROR(__xludf.DUMMYFUNCTION("""COMPUTED_VALUE"""),54)</f>
        <v>54</v>
      </c>
      <c r="B22" s="9" t="str">
        <f ca="1">IFERROR(__xludf.DUMMYFUNCTION("""COMPUTED_VALUE"""),"write a killing test for @mutant155")</f>
        <v>write a killing test for @mutant155</v>
      </c>
      <c r="C22" s="9" t="str">
        <f ca="1">IFERROR(__xludf.DUMMYFUNCTION("""COMPUTED_VALUE"""),"{
  ""answer"": ""To kill mutant @mutant155, we can write a test that checks if the 'shortOpts' map is empty after adding an option."",
  ""explanation"": ""The mutant @mutant155 removes the 'shortOpts' map from the 'toString' method, so a test that verif"&amp;"ies if the map is empty will fail if the mutant is alive."",
  ""code"": ""import org.junit.Test;
import static org.junit.Assert.assertTrue;
public class OptionsTest {
  @Test
  public void testToString_shortOptsEmpty() {
    Options options = new Optio"&amp;"ns();
    Option option = new Option(""a"", ""option"");
    options.addOption(option);
    assertTrue(options.toString().contains(""short {}""));
  }
}""
}")</f>
        <v>{
  "answer": "To kill mutant @mutant155, we can write a test that checks if the 'shortOpts' map is empty after adding an option.",
  "explanation": "The mutant @mutant155 removes the 'shortOpts' map from the 'toString' method, so a test that verifies if the map is empty will fail if the mutant is alive.",
  "code": "import org.junit.Test;
import static org.junit.Assert.assertTrue;
public class OptionsTest {
  @Test
  public void testToString_shortOptsEmpty() {
    Options options = new Options();
    Option option = new Option("a", "option");
    options.addOption(option);
    assertTrue(options.toString().contains("short {}"));
  }
}"
}</v>
      </c>
      <c r="D22" s="9">
        <f ca="1">IFERROR(__xludf.DUMMYFUNCTION("""COMPUTED_VALUE"""),1)</f>
        <v>1</v>
      </c>
      <c r="E22" s="9" t="str">
        <f ca="1">IFERROR(__xludf.DUMMYFUNCTION("""COMPUTED_VALUE"""),"2024-01-10 14:44:26")</f>
        <v>2024-01-10 14:44:26</v>
      </c>
      <c r="F22" s="9">
        <f ca="1">IFERROR(__xludf.DUMMYFUNCTION("""COMPUTED_VALUE"""),143)</f>
        <v>143</v>
      </c>
      <c r="G22" s="9">
        <f ca="1">IFERROR(__xludf.DUMMYFUNCTION("""COMPUTED_VALUE"""),2)</f>
        <v>2</v>
      </c>
      <c r="H22" s="9" t="str">
        <f ca="1">IFERROR(__xludf.DUMMYFUNCTION("""COMPUTED_VALUE"""),"null")</f>
        <v>null</v>
      </c>
      <c r="I22" s="9" t="str">
        <f ca="1">IFERROR(__xludf.DUMMYFUNCTION("""COMPUTED_VALUE"""),"Y")</f>
        <v>Y</v>
      </c>
      <c r="J22" s="9" t="str">
        <f ca="1">IFERROR(__xludf.DUMMYFUNCTION("""COMPUTED_VALUE"""),"TEST")</f>
        <v>TEST</v>
      </c>
      <c r="K22" s="9" t="str">
        <f ca="1">IFERROR(__xludf.DUMMYFUNCTION("""COMPUTED_VALUE"""),"Specific mutant")</f>
        <v>Specific mutant</v>
      </c>
      <c r="L22" s="9">
        <f ca="1">IFERROR(__xludf.DUMMYFUNCTION("""COMPUTED_VALUE"""),155)</f>
        <v>155</v>
      </c>
      <c r="M22" s="9" t="str">
        <f ca="1">IFERROR(__xludf.DUMMYFUNCTION("""COMPUTED_VALUE"""),"toString
")</f>
        <v xml:space="preserve">toString
</v>
      </c>
      <c r="N22" s="9">
        <f ca="1">IFERROR(__xludf.DUMMYFUNCTION("counta(split(B22,"" ""))"),6)</f>
        <v>6</v>
      </c>
      <c r="O22" s="9">
        <f ca="1">(AVERAGE($N$2:$N$173)-N22)*(AVERAGE($N$2:$N$173)-N22)</f>
        <v>100.25990892224655</v>
      </c>
      <c r="P22" s="9" t="s">
        <v>689</v>
      </c>
    </row>
    <row r="23" spans="1:16" ht="15.75" customHeight="1">
      <c r="A23" s="9">
        <f ca="1">IFERROR(__xludf.DUMMYFUNCTION("""COMPUTED_VALUE"""),92)</f>
        <v>92</v>
      </c>
      <c r="B23" s="9" t="str">
        <f ca="1">IFERROR(__xludf.DUMMYFUNCTION("""COMPUTED_VALUE"""),"schreibe einen killing test aber bedenke dass optiongroup und option nur mit mockito verwendet werden können")</f>
        <v>schreibe einen killing test aber bedenke dass optiongroup und option nur mit mockito verwendet werden können</v>
      </c>
      <c r="C23" s="9" t="str">
        <f ca="1">IFERROR(__xludf.DUMMYFUNCTION("""COMPUTED_VALUE"""),"{
  ""answer"": ""To write a killing test for Options class, you can use Mockito to mock OptionGroup and Option objects."",
  ""explanation"": ""Mockito can be used to create mock objects of OptionGroup and Option classes, which can be used in the test to"&amp;" simulate their behavior and interactions with the Options class."",
  ""code"": ""import org.junit.Test;
import org.mockito.Mock;
import static org.mockito.Mockito.*;
public class OptionsTest {
  @Mock
  private OptionGroup optionGroup;
  @Mock
  priv"&amp;"ate Option option;
  @Test
  public void testOptions() {
    // Create an instance of Options
    Options options = new Options();
    // Mock the behavior of OptionGroup and Option
    when(optionGroup.isRequired()).thenReturn(true);
    when(option.ge"&amp;"tRequiredOptions()).thenReturn(Collections.singletonList(option));
    // Add the mocked OptionGroup and Option to Options
    options.addOptionGroup(optionGroup);
    options.addOption(option);
    // Perform the test assertions
    // ...
  }
}""
}")</f>
        <v>{
  "answer": "To write a killing test for Options class, you can use Mockito to mock OptionGroup and Option objects.",
  "explanation": "Mockito can be used to create mock objects of OptionGroup and Option classes, which can be used in the test to simulate their behavior and interactions with the Options class.",
  "code": "import org.junit.Test;
import org.mockito.Mock;
import static org.mockito.Mockito.*;
public class OptionsTest {
  @Mock
  private OptionGroup optionGroup;
  @Mock
  private Option option;
  @Test
  public void testOptions() {
    // Create an instance of Options
    Options options = new Options();
    // Mock the behavior of OptionGroup and Option
    when(optionGroup.isRequired()).thenReturn(true);
    when(option.getRequiredOptions()).thenReturn(Collections.singletonList(option));
    // Add the mocked OptionGroup and Option to Options
    options.addOptionGroup(optionGroup);
    options.addOption(option);
    // Perform the test assertions
    // ...
  }
}"
}</v>
      </c>
      <c r="D23" s="9">
        <f ca="1">IFERROR(__xludf.DUMMYFUNCTION("""COMPUTED_VALUE"""),1)</f>
        <v>1</v>
      </c>
      <c r="E23" s="9" t="str">
        <f ca="1">IFERROR(__xludf.DUMMYFUNCTION("""COMPUTED_VALUE"""),"2024-01-10 14:59:41")</f>
        <v>2024-01-10 14:59:41</v>
      </c>
      <c r="F23" s="9">
        <f ca="1">IFERROR(__xludf.DUMMYFUNCTION("""COMPUTED_VALUE"""),143)</f>
        <v>143</v>
      </c>
      <c r="G23" s="9">
        <f ca="1">IFERROR(__xludf.DUMMYFUNCTION("""COMPUTED_VALUE"""),2)</f>
        <v>2</v>
      </c>
      <c r="H23" s="9">
        <f ca="1">IFERROR(__xludf.DUMMYFUNCTION("""COMPUTED_VALUE"""),0)</f>
        <v>0</v>
      </c>
      <c r="I23" s="9" t="str">
        <f ca="1">IFERROR(__xludf.DUMMYFUNCTION("""COMPUTED_VALUE"""),"Y")</f>
        <v>Y</v>
      </c>
      <c r="J23" s="9"/>
      <c r="K23" s="9"/>
      <c r="L23" s="9"/>
      <c r="M23" s="9"/>
    </row>
    <row r="24" spans="1:16" ht="15.75" customHeight="1">
      <c r="A24" s="9">
        <f ca="1">IFERROR(__xludf.DUMMYFUNCTION("""COMPUTED_VALUE"""),19)</f>
        <v>19</v>
      </c>
      <c r="B24" s="9" t="str">
        <f ca="1">IFERROR(__xludf.DUMMYFUNCTION("""COMPUTED_VALUE"""),"Write a code snippet that creates an options object filled with a few sample objections. Then add a test for the getOption Method")</f>
        <v>Write a code snippet that creates an options object filled with a few sample objections. Then add a test for the getOption Method</v>
      </c>
      <c r="C24" s="9" t="str">
        <f ca="1">IFERROR(__xludf.DUMMYFUNCTION("""COMPUTED_VALUE"""),"{
  ""answer"": ""Here is a code snippet that creates an Options object and adds sample options to it."",
  ""explanation"": ""The code snippet creates an Options object, adds three sample options to it, and then tests the getOption method to retrieve one"&amp;" of the options."",
  ""code"": ""Options options = new Options();
Option option1 = new Option(""a"", ""apple"", false, ""This is option 1"");
Option option2 = new Option(""b"", ""banana"", true, ""This is option 2"");
Option option3 = new Option(""c"", "&amp;"""cherry"", false, ""This is option 3"");
options.addOption(option1);
options.addOption(option2);
options.addOption(option3);
Option retrievedOption = options.getOption(""b"");
System.out.println(retrievedOption.getDescription());""
}")</f>
        <v>{
  "answer": "Here is a code snippet that creates an Options object and adds sample options to it.",
  "explanation": "The code snippet creates an Options object, adds three sample options to it, and then tests the getOption method to retrieve one of the options.",
  "code": "Options options = new Options();
Option option1 = new Option("a", "apple", false, "This is option 1");
Option option2 = new Option("b", "banana", true, "This is option 2");
Option option3 = new Option("c", "cherry", false, "This is option 3");
options.addOption(option1);
options.addOption(option2);
options.addOption(option3);
Option retrievedOption = options.getOption("b");
System.out.println(retrievedOption.getDescription());"
}</v>
      </c>
      <c r="D24" s="9">
        <f ca="1">IFERROR(__xludf.DUMMYFUNCTION("""COMPUTED_VALUE"""),1)</f>
        <v>1</v>
      </c>
      <c r="E24" s="9" t="str">
        <f ca="1">IFERROR(__xludf.DUMMYFUNCTION("""COMPUTED_VALUE"""),"2024-01-10 14:35:14")</f>
        <v>2024-01-10 14:35:14</v>
      </c>
      <c r="F24" s="9">
        <f ca="1">IFERROR(__xludf.DUMMYFUNCTION("""COMPUTED_VALUE"""),144)</f>
        <v>144</v>
      </c>
      <c r="G24" s="9">
        <f ca="1">IFERROR(__xludf.DUMMYFUNCTION("""COMPUTED_VALUE"""),2)</f>
        <v>2</v>
      </c>
      <c r="H24" s="9">
        <f ca="1">IFERROR(__xludf.DUMMYFUNCTION("""COMPUTED_VALUE"""),1)</f>
        <v>1</v>
      </c>
      <c r="I24" s="9" t="str">
        <f ca="1">IFERROR(__xludf.DUMMYFUNCTION("""COMPUTED_VALUE"""),"Y")</f>
        <v>Y</v>
      </c>
      <c r="J24" s="9" t="str">
        <f ca="1">IFERROR(__xludf.DUMMYFUNCTION("""COMPUTED_VALUE"""),"TEST")</f>
        <v>TEST</v>
      </c>
      <c r="K24" s="9" t="str">
        <f ca="1">IFERROR(__xludf.DUMMYFUNCTION("""COMPUTED_VALUE"""),"Specific method")</f>
        <v>Specific method</v>
      </c>
      <c r="L24" s="9" t="str">
        <f ca="1">IFERROR(__xludf.DUMMYFUNCTION("""COMPUTED_VALUE"""),"getOption")</f>
        <v>getOption</v>
      </c>
      <c r="M24" s="9" t="str">
        <f ca="1">IFERROR(__xludf.DUMMYFUNCTION("""COMPUTED_VALUE"""),"getOption")</f>
        <v>getOption</v>
      </c>
      <c r="N24" s="9">
        <f ca="1">IFERROR(__xludf.DUMMYFUNCTION("counta(split(B24,"" ""))"),23)</f>
        <v>23</v>
      </c>
      <c r="O24" s="9">
        <f t="shared" ref="O24:O27" ca="1" si="1">(AVERAGE($N$2:$N$173)-N24)*(AVERAGE($N$2:$N$173)-N24)</f>
        <v>48.818350480688167</v>
      </c>
    </row>
    <row r="25" spans="1:16" ht="15.75" customHeight="1">
      <c r="A25" s="9">
        <f ca="1">IFERROR(__xludf.DUMMYFUNCTION("""COMPUTED_VALUE"""),29)</f>
        <v>29</v>
      </c>
      <c r="B25" s="9" t="str">
        <f ca="1">IFERROR(__xludf.DUMMYFUNCTION("""COMPUTED_VALUE"""),"Write a code snippet that creates an options object filled with a few sample objections. Then add a test for the getOption Method. Please mock the option class using mockito")</f>
        <v>Write a code snippet that creates an options object filled with a few sample objections. Then add a test for the getOption Method. Please mock the option class using mockito</v>
      </c>
      <c r="C25" s="9" t="str">
        <f ca="1">IFERROR(__xludf.DUMMYFUNCTION("""COMPUTED_VALUE"""),"{
  ""answer"": ""Here is a code snippet that creates an Options object and adds a test for the getOption method."",
  ""explanation"": ""The code snippet creates an Options object, adds some sample options to it, and then tests the getOption method using"&amp;" Mockito to mock the Option class."",
  ""code"": ""import org.junit.Test;
import org.mockito.Mockito;
public class OptionsTest {
  @Test
  public void testGetOption() {
    Options options = new Options();
    // Create a mock Option object
    Option"&amp;" mockOption = Mockito.mock(Option.class);
    Mockito.when(mockOption.getKey()).thenReturn(""opt1"");
    // Add the mock Option to the Options object
    options.addOption(mockOption);
    // Test the getOption method
    Option result = options.getOpt"&amp;"ion(""opt1"");
    // Assert the result
    Assert.assertEquals(mockOption, result);
  }
}""
}")</f>
        <v>{
  "answer": "Here is a code snippet that creates an Options object and adds a test for the getOption method.",
  "explanation": "The code snippet creates an Options object, adds some sample options to it, and then tests the getOption method using Mockito to mock the Option class.",
  "code": "import org.junit.Test;
import org.mockito.Mockito;
public class OptionsTest {
  @Test
  public void testGetOption() {
    Options options = new Options();
    // Create a mock Option object
    Option mockOption = Mockito.mock(Option.class);
    Mockito.when(mockOption.getKey()).thenReturn("opt1");
    // Add the mock Option to the Options object
    options.addOption(mockOption);
    // Test the getOption method
    Option result = options.getOption("opt1");
    // Assert the result
    Assert.assertEquals(mockOption, result);
  }
}"
}</v>
      </c>
      <c r="D25" s="9">
        <f ca="1">IFERROR(__xludf.DUMMYFUNCTION("""COMPUTED_VALUE"""),1)</f>
        <v>1</v>
      </c>
      <c r="E25" s="9" t="str">
        <f ca="1">IFERROR(__xludf.DUMMYFUNCTION("""COMPUTED_VALUE"""),"2024-01-10 14:36:31")</f>
        <v>2024-01-10 14:36:31</v>
      </c>
      <c r="F25" s="9">
        <f ca="1">IFERROR(__xludf.DUMMYFUNCTION("""COMPUTED_VALUE"""),144)</f>
        <v>144</v>
      </c>
      <c r="G25" s="9">
        <f ca="1">IFERROR(__xludf.DUMMYFUNCTION("""COMPUTED_VALUE"""),2)</f>
        <v>2</v>
      </c>
      <c r="H25" s="9" t="str">
        <f ca="1">IFERROR(__xludf.DUMMYFUNCTION("""COMPUTED_VALUE"""),"null")</f>
        <v>null</v>
      </c>
      <c r="I25" s="9" t="str">
        <f ca="1">IFERROR(__xludf.DUMMYFUNCTION("""COMPUTED_VALUE"""),"Y")</f>
        <v>Y</v>
      </c>
      <c r="J25" s="9" t="str">
        <f ca="1">IFERROR(__xludf.DUMMYFUNCTION("""COMPUTED_VALUE"""),"TEST")</f>
        <v>TEST</v>
      </c>
      <c r="K25" s="9" t="str">
        <f ca="1">IFERROR(__xludf.DUMMYFUNCTION("""COMPUTED_VALUE"""),"Specific method")</f>
        <v>Specific method</v>
      </c>
      <c r="L25" s="9" t="str">
        <f ca="1">IFERROR(__xludf.DUMMYFUNCTION("""COMPUTED_VALUE"""),"getOption")</f>
        <v>getOption</v>
      </c>
      <c r="M25" s="9" t="str">
        <f ca="1">IFERROR(__xludf.DUMMYFUNCTION("""COMPUTED_VALUE"""),"getOption")</f>
        <v>getOption</v>
      </c>
      <c r="N25" s="9">
        <f ca="1">IFERROR(__xludf.DUMMYFUNCTION("counta(split(B25,"" ""))"),30)</f>
        <v>30</v>
      </c>
      <c r="O25" s="9">
        <f t="shared" ca="1" si="1"/>
        <v>195.63653229887001</v>
      </c>
    </row>
    <row r="26" spans="1:16" ht="15.75" customHeight="1">
      <c r="A26" s="9">
        <f ca="1">IFERROR(__xludf.DUMMYFUNCTION("""COMPUTED_VALUE"""),55)</f>
        <v>55</v>
      </c>
      <c r="B26" s="9" t="str">
        <f ca="1">IFERROR(__xludf.DUMMYFUNCTION("""COMPUTED_VALUE"""),"What would be a test that would kill mutant @mutant104 ? Mock the OptionGroup and Option interfaces using mockito")</f>
        <v>What would be a test that would kill mutant @mutant104 ? Mock the OptionGroup and Option interfaces using mockito</v>
      </c>
      <c r="C26" s="9" t="str">
        <f ca="1">IFERROR(__xludf.DUMMYFUNCTION("""COMPUTED_VALUE"""),"{
  ""answer"": ""Calling the addOptionGroup method with a required OptionGroup should throw an exception."",
  ""explanation"": ""The mutant modifies the addOptionGroup method, so a test that checks if the method throws an exception when adding a require"&amp;"d OptionGroup would kill the mutant."",
  ""code"": ""OptionGroup optionGroup = mock(OptionGroup.class);
when(optionGroup.isRequired()).thenReturn(true);
options.addOptionGroup(optionGroup);""
}")</f>
        <v>{
  "answer": "Calling the addOptionGroup method with a required OptionGroup should throw an exception.",
  "explanation": "The mutant modifies the addOptionGroup method, so a test that checks if the method throws an exception when adding a required OptionGroup would kill the mutant.",
  "code": "OptionGroup optionGroup = mock(OptionGroup.class);
when(optionGroup.isRequired()).thenReturn(true);
options.addOptionGroup(optionGroup);"
}</v>
      </c>
      <c r="D26" s="9">
        <f ca="1">IFERROR(__xludf.DUMMYFUNCTION("""COMPUTED_VALUE"""),1)</f>
        <v>1</v>
      </c>
      <c r="E26" s="9" t="str">
        <f ca="1">IFERROR(__xludf.DUMMYFUNCTION("""COMPUTED_VALUE"""),"2024-01-10 14:44:28")</f>
        <v>2024-01-10 14:44:28</v>
      </c>
      <c r="F26" s="9">
        <f ca="1">IFERROR(__xludf.DUMMYFUNCTION("""COMPUTED_VALUE"""),144)</f>
        <v>144</v>
      </c>
      <c r="G26" s="9">
        <f ca="1">IFERROR(__xludf.DUMMYFUNCTION("""COMPUTED_VALUE"""),2)</f>
        <v>2</v>
      </c>
      <c r="H26" s="9" t="str">
        <f ca="1">IFERROR(__xludf.DUMMYFUNCTION("""COMPUTED_VALUE"""),"null")</f>
        <v>null</v>
      </c>
      <c r="I26" s="9" t="str">
        <f ca="1">IFERROR(__xludf.DUMMYFUNCTION("""COMPUTED_VALUE"""),"Y")</f>
        <v>Y</v>
      </c>
      <c r="J26" s="9" t="str">
        <f ca="1">IFERROR(__xludf.DUMMYFUNCTION("""COMPUTED_VALUE"""),"TEST")</f>
        <v>TEST</v>
      </c>
      <c r="K26" s="9" t="str">
        <f ca="1">IFERROR(__xludf.DUMMYFUNCTION("""COMPUTED_VALUE"""),"Specific mutant")</f>
        <v>Specific mutant</v>
      </c>
      <c r="L26" s="9">
        <f ca="1">IFERROR(__xludf.DUMMYFUNCTION("""COMPUTED_VALUE"""),104)</f>
        <v>104</v>
      </c>
      <c r="M26" s="9" t="str">
        <f ca="1">IFERROR(__xludf.DUMMYFUNCTION("""COMPUTED_VALUE"""),"addOptionGroup
")</f>
        <v xml:space="preserve">addOptionGroup
</v>
      </c>
      <c r="N26" s="9">
        <f ca="1">IFERROR(__xludf.DUMMYFUNCTION("counta(split(B26,"" ""))"),19)</f>
        <v>19</v>
      </c>
      <c r="O26" s="9">
        <f t="shared" ca="1" si="1"/>
        <v>8.922246584584256</v>
      </c>
    </row>
    <row r="27" spans="1:16" ht="15.75" customHeight="1">
      <c r="A27" s="9">
        <f ca="1">IFERROR(__xludf.DUMMYFUNCTION("""COMPUTED_VALUE"""),79)</f>
        <v>79</v>
      </c>
      <c r="B27" s="9" t="str">
        <f ca="1">IFERROR(__xludf.DUMMYFUNCTION("""COMPUTED_VALUE"""),"How could i kill @mutant256 ? Mock OptionGroup and Option interfaces")</f>
        <v>How could i kill @mutant256 ? Mock OptionGroup and Option interfaces</v>
      </c>
      <c r="C27" s="9" t="str">
        <f ca="1">IFERROR(__xludf.DUMMYFUNCTION("""COMPUTED_VALUE"""),"{
  ""answer"": ""To kill @mutant256, you can mock the OptionGroup and Option interfaces."",
  ""explanation"": ""By mocking the OptionGroup and Option interfaces, you can control the behavior of the getOptionGroups() method and ensure that it returns the"&amp;" expected result for testing purposes."",
  ""code"": ""OptionGroup optionGroupMock = Mockito.mock(OptionGroup.class);
Option optionMock = Mockito.mock(Option.class);
Options options = new Options();
options.addOptionGroup(optionGroupMock);
options.addOp"&amp;"tion(optionMock);
// Test the getOptionGroups() method
Collection&lt;OptionGroup&gt; result = options.getOptionGroups();
// Assert the expected result
Assert.assertEquals(Collections.singletonList(optionGroupMock), result);""
}")</f>
        <v>{
  "answer": "To kill @mutant256, you can mock the OptionGroup and Option interfaces.",
  "explanation": "By mocking the OptionGroup and Option interfaces, you can control the behavior of the getOptionGroups() method and ensure that it returns the expected result for testing purposes.",
  "code": "OptionGroup optionGroupMock = Mockito.mock(OptionGroup.class);
Option optionMock = Mockito.mock(Option.class);
Options options = new Options();
options.addOptionGroup(optionGroupMock);
options.addOption(optionMock);
// Test the getOptionGroups() method
Collection&lt;OptionGroup&gt; result = options.getOptionGroups();
// Assert the expected result
Assert.assertEquals(Collections.singletonList(optionGroupMock), result);"
}</v>
      </c>
      <c r="D27" s="9">
        <f ca="1">IFERROR(__xludf.DUMMYFUNCTION("""COMPUTED_VALUE"""),1)</f>
        <v>1</v>
      </c>
      <c r="E27" s="9" t="str">
        <f ca="1">IFERROR(__xludf.DUMMYFUNCTION("""COMPUTED_VALUE"""),"2024-01-10 14:53:44")</f>
        <v>2024-01-10 14:53:44</v>
      </c>
      <c r="F27" s="9">
        <f ca="1">IFERROR(__xludf.DUMMYFUNCTION("""COMPUTED_VALUE"""),144)</f>
        <v>144</v>
      </c>
      <c r="G27" s="9">
        <f ca="1">IFERROR(__xludf.DUMMYFUNCTION("""COMPUTED_VALUE"""),2)</f>
        <v>2</v>
      </c>
      <c r="H27" s="9" t="str">
        <f ca="1">IFERROR(__xludf.DUMMYFUNCTION("""COMPUTED_VALUE"""),"null")</f>
        <v>null</v>
      </c>
      <c r="I27" s="9" t="str">
        <f ca="1">IFERROR(__xludf.DUMMYFUNCTION("""COMPUTED_VALUE"""),"Y")</f>
        <v>Y</v>
      </c>
      <c r="J27" s="9" t="str">
        <f ca="1">IFERROR(__xludf.DUMMYFUNCTION("""COMPUTED_VALUE"""),"TEST")</f>
        <v>TEST</v>
      </c>
      <c r="K27" s="9" t="str">
        <f ca="1">IFERROR(__xludf.DUMMYFUNCTION("""COMPUTED_VALUE"""),"Specific mutant")</f>
        <v>Specific mutant</v>
      </c>
      <c r="L27" s="9">
        <f ca="1">IFERROR(__xludf.DUMMYFUNCTION("""COMPUTED_VALUE"""),256)</f>
        <v>256</v>
      </c>
      <c r="M27" s="9" t="str">
        <f ca="1">IFERROR(__xludf.DUMMYFUNCTION("""COMPUTED_VALUE"""),"getOptionGroups
")</f>
        <v xml:space="preserve">getOptionGroups
</v>
      </c>
      <c r="N27" s="9">
        <f ca="1">IFERROR(__xludf.DUMMYFUNCTION("counta(split(B27,"" ""))"),11)</f>
        <v>11</v>
      </c>
      <c r="O27" s="9">
        <f t="shared" ca="1" si="1"/>
        <v>25.130038792376439</v>
      </c>
    </row>
    <row r="28" spans="1:16" ht="15.75" customHeight="1">
      <c r="A28" s="9">
        <f ca="1">IFERROR(__xludf.DUMMYFUNCTION("""COMPUTED_VALUE"""),84)</f>
        <v>84</v>
      </c>
      <c r="B28" s="9" t="str">
        <f ca="1">IFERROR(__xludf.DUMMYFUNCTION("""COMPUTED_VALUE"""),"Das funktioniert nicht. Expected :[Mock for OptionGroup, hashCode: 1133254368]
Actual   :[]")</f>
        <v>Das funktioniert nicht. Expected :[Mock for OptionGroup, hashCode: 1133254368]
Actual   :[]</v>
      </c>
      <c r="C28" s="9" t="str">
        <f ca="1">IFERROR(__xludf.DUMMYFUNCTION("""COMPUTED_VALUE"""),"{
  ""answer"": ""The actual result is an empty list because the expected result is a mock object."",
  ""explanation"": ""The expected result is a mock object of type OptionGroup, which is not equal to an empty list."",
  ""code"": ""OptionGroup expected"&amp;" = mock(OptionGroup.class);
List&lt;OptionGroup&gt; actual = new ArrayList&lt;&gt;();
assertEquals(expected, actual);""
}")</f>
        <v>{
  "answer": "The actual result is an empty list because the expected result is a mock object.",
  "explanation": "The expected result is a mock object of type OptionGroup, which is not equal to an empty list.",
  "code": "OptionGroup expected = mock(OptionGroup.class);
List&lt;OptionGroup&gt; actual = new ArrayList&lt;&gt;();
assertEquals(expected, actual);"
}</v>
      </c>
      <c r="D28" s="9">
        <f ca="1">IFERROR(__xludf.DUMMYFUNCTION("""COMPUTED_VALUE"""),0)</f>
        <v>0</v>
      </c>
      <c r="E28" s="9" t="str">
        <f ca="1">IFERROR(__xludf.DUMMYFUNCTION("""COMPUTED_VALUE"""),"2024-01-10 14:56:25")</f>
        <v>2024-01-10 14:56:25</v>
      </c>
      <c r="F28" s="9">
        <f ca="1">IFERROR(__xludf.DUMMYFUNCTION("""COMPUTED_VALUE"""),144)</f>
        <v>144</v>
      </c>
      <c r="G28" s="9">
        <f ca="1">IFERROR(__xludf.DUMMYFUNCTION("""COMPUTED_VALUE"""),2)</f>
        <v>2</v>
      </c>
      <c r="H28" s="9">
        <f ca="1">IFERROR(__xludf.DUMMYFUNCTION("""COMPUTED_VALUE"""),0)</f>
        <v>0</v>
      </c>
      <c r="I28" s="9" t="str">
        <f ca="1">IFERROR(__xludf.DUMMYFUNCTION("""COMPUTED_VALUE"""),"Y")</f>
        <v>Y</v>
      </c>
      <c r="J28" s="9"/>
      <c r="K28" s="9"/>
      <c r="L28" s="9"/>
      <c r="M28" s="9"/>
    </row>
    <row r="29" spans="1:16" ht="15.75" customHeight="1">
      <c r="A29" s="9">
        <f ca="1">IFERROR(__xludf.DUMMYFUNCTION("""COMPUTED_VALUE"""),23)</f>
        <v>23</v>
      </c>
      <c r="B29" s="9" t="str">
        <f ca="1">IFERROR(__xludf.DUMMYFUNCTION("""COMPUTED_VALUE"""),"Wie könnte ein junit test aussehen, welcher folgende Methode gegen mutanten testet? Hier die Methode")</f>
        <v>Wie könnte ein junit test aussehen, welcher folgende Methode gegen mutanten testet? Hier die Methode</v>
      </c>
      <c r="C29" s="9" t="str">
        <f ca="1">IFERROR(__xludf.DUMMYFUNCTION("""COMPUTED_VALUE"""),"```java
public boolean hasOption(String opt) {
    opt = stripLeadingHyphens(opt);
    return shortOpts.containsKey(opt) || longOpts.containsKey(opt);
}
```
```java
@Test
public void testHasOption() {
    Options options = new Options();
    options.add"&amp;"Option(new Option(""a"", ""optionA"", false, ""Option A""));
    options.addOption(new Option(""b"", ""optionB"", false, ""Option B""));
    assertTrue(options.hasOption(""a""));
    assertTrue(options.hasOption(""optionA""));
    assertFalse(options.has"&amp;"Option(""c""));
}
```
```json
{
  ""answer"": ""Der JUnit-Test überprüft, ob die Methode 'hasOption' korrekt funktioniert."",
  ""explanation"": ""Der Test erstellt eine Options-Instanz, fügt Optionen hinzu und überprüft dann, ob die Methode 'hasOption' "&amp;"die erwarteten Ergebnisse liefert."",
  ""code"": ""```java
@Test
public void testHasOption() {
    Options options = new Options();
    options.addOption(new Option(""a"", ""optionA"", false, ""Option A""));
    options.addOption(new Option(""b"", ""opti"&amp;"onB"", false, ""Option B""));
    assertTrue(options.hasOption(""a""));
    assertTrue(options.hasOption(""optionA""));
    assertFalse(options.hasOption(""c""));
}
```""
}
```")</f>
        <v>```java
public boolean hasOption(String opt) {
    opt = stripLeadingHyphens(opt);
    return shortOpts.containsKey(opt) || longOpts.containsKey(opt);
}
```
```java
@Test
public void testHasOption() {
    Options options = new Options();
    options.addOption(new Option("a", "optionA", false, "Option A"));
    options.addOption(new Option("b", "optionB", false, "Option B"));
    assertTrue(options.hasOption("a"));
    assertTrue(options.hasOption("optionA"));
    assertFalse(options.hasOption("c"));
}
```
```json
{
  "answer": "Der JUnit-Test überprüft, ob die Methode 'hasOption' korrekt funktioniert.",
  "explanation": "Der Test erstellt eine Options-Instanz, fügt Optionen hinzu und überprüft dann, ob die Methode 'hasOption' die erwarteten Ergebnisse liefert.",
  "code": "```java
@Test
public void testHasOption() {
    Options options = new Options();
    options.addOption(new Option("a", "optionA", false, "Option A"));
    options.addOption(new Option("b", "optionB", false, "Option B"));
    assertTrue(options.hasOption("a"));
    assertTrue(options.hasOption("optionA"));
    assertFalse(options.hasOption("c"));
}
```"
}
```</v>
      </c>
      <c r="D29" s="9">
        <f ca="1">IFERROR(__xludf.DUMMYFUNCTION("""COMPUTED_VALUE"""),1)</f>
        <v>1</v>
      </c>
      <c r="E29" s="9" t="str">
        <f ca="1">IFERROR(__xludf.DUMMYFUNCTION("""COMPUTED_VALUE"""),"2024-01-10 14:36:02")</f>
        <v>2024-01-10 14:36:02</v>
      </c>
      <c r="F29" s="9">
        <f ca="1">IFERROR(__xludf.DUMMYFUNCTION("""COMPUTED_VALUE"""),145)</f>
        <v>145</v>
      </c>
      <c r="G29" s="9">
        <f ca="1">IFERROR(__xludf.DUMMYFUNCTION("""COMPUTED_VALUE"""),2)</f>
        <v>2</v>
      </c>
      <c r="H29" s="9" t="str">
        <f ca="1">IFERROR(__xludf.DUMMYFUNCTION("""COMPUTED_VALUE"""),"null")</f>
        <v>null</v>
      </c>
      <c r="I29" s="9" t="str">
        <f ca="1">IFERROR(__xludf.DUMMYFUNCTION("""COMPUTED_VALUE"""),"Y")</f>
        <v>Y</v>
      </c>
      <c r="J29" s="9"/>
      <c r="K29" s="9"/>
      <c r="L29" s="9"/>
      <c r="M29" s="9"/>
    </row>
    <row r="30" spans="1:16" ht="15.75" customHeight="1">
      <c r="A30" s="9">
        <f ca="1">IFERROR(__xludf.DUMMYFUNCTION("""COMPUTED_VALUE"""),61)</f>
        <v>61</v>
      </c>
      <c r="B30" s="9" t="str">
        <f ca="1">IFERROR(__xludf.DUMMYFUNCTION("""COMPUTED_VALUE"""),"Wie kann mithilfe eines JUnit tests sicherstellen, dass in dieser Methode option.setRequired(false) wirklich auf false gesetzt wird. Hier die Methode:   public Options addOptionGroup(final OptionGroup group) {
    if (group.isRequired()) {
      requiredO"&amp;"pts.add(group);
    }
    for (final Option option : group.getOptions()) {
      // an Option cannot be required if it is in an
      // OptionGroup, either the group is required or
      // nothing is required
      option.setRequired(false);
      addO"&amp;"ption(option);
      optionGroups.put(option.getKey(), group);
    }
    return this;
  }")</f>
        <v>Wie kann mithilfe eines JUnit tests sicherstellen, dass in dieser Methode option.setRequired(false) wirklich auf false gesetzt wird. Hier die Methode:   public Options addOptionGroup(final OptionGroup group) {
    if (group.isRequired()) {
      requiredOpts.add(group);
    }
    for (final Option option : group.getOptions()) {
      // an Option cannot be required if it is in an
      // OptionGroup, either the group is required or
      // nothing is required
      option.setRequired(false);
      addOption(option);
      optionGroups.put(option.getKey(), group);
    }
    return this;
  }</v>
      </c>
      <c r="C30" s="9" t="str">
        <f ca="1">IFERROR(__xludf.DUMMYFUNCTION("""COMPUTED_VALUE"""),"{
  ""answer"": ""Durch den JUnit-Test kann überprüft werden, ob option.setRequired(false) auf false gesetzt wird."",
  ""explanation"": ""Um sicherzustellen, dass option.setRequired(false) auf false gesetzt wird, kann ein JUnit-Test geschrieben werden, d"&amp;"er die Methode addOptionGroup aufruft und dann überprüft, ob die Optionen in der OptionGroup tatsächlich als nicht erforderlich markiert sind."",
  ""code"": ""import org.junit.Test;
import static org.junit.Assert.assertFalse;
public class OptionsTest {
"&amp;"
    @Test
    public void testAddOptionGroup() {
        Options options = new Options();
        OptionGroup group = new OptionGroup();
        Option option1 = new Option(""o1"", ""option1"", false, ""Option 1"");
        Option option2 = new Option("""&amp;"o2"", ""option2"", false, ""Option 2"");
        group.addOption(option1);
        group.addOption(option2);
        options.addOptionGroup(group);
        assertFalse(option1.isRequired());
        assertFalse(option2.isRequired());
    }
}""
}")</f>
        <v>{
  "answer": "Durch den JUnit-Test kann überprüft werden, ob option.setRequired(false) auf false gesetzt wird.",
  "explanation": "Um sicherzustellen, dass option.setRequired(false) auf false gesetzt wird, kann ein JUnit-Test geschrieben werden, der die Methode addOptionGroup aufruft und dann überprüft, ob die Optionen in der OptionGroup tatsächlich als nicht erforderlich markiert sind.",
  "code": "import org.junit.Test;
import static org.junit.Assert.assertFalse;
public class OptionsTest {
    @Test
    public void testAddOptionGroup() {
        Options options = new Options();
        OptionGroup group = new OptionGroup();
        Option option1 = new Option("o1", "option1", false, "Option 1");
        Option option2 = new Option("o2", "option2", false, "Option 2");
        group.addOption(option1);
        group.addOption(option2);
        options.addOptionGroup(group);
        assertFalse(option1.isRequired());
        assertFalse(option2.isRequired());
    }
}"
}</v>
      </c>
      <c r="D30" s="9">
        <f ca="1">IFERROR(__xludf.DUMMYFUNCTION("""COMPUTED_VALUE"""),1)</f>
        <v>1</v>
      </c>
      <c r="E30" s="9" t="str">
        <f ca="1">IFERROR(__xludf.DUMMYFUNCTION("""COMPUTED_VALUE"""),"2024-01-10 14:46:05")</f>
        <v>2024-01-10 14:46:05</v>
      </c>
      <c r="F30" s="9">
        <f ca="1">IFERROR(__xludf.DUMMYFUNCTION("""COMPUTED_VALUE"""),145)</f>
        <v>145</v>
      </c>
      <c r="G30" s="9">
        <f ca="1">IFERROR(__xludf.DUMMYFUNCTION("""COMPUTED_VALUE"""),2)</f>
        <v>2</v>
      </c>
      <c r="H30" s="9">
        <f ca="1">IFERROR(__xludf.DUMMYFUNCTION("""COMPUTED_VALUE"""),0)</f>
        <v>0</v>
      </c>
      <c r="I30" s="9" t="str">
        <f ca="1">IFERROR(__xludf.DUMMYFUNCTION("""COMPUTED_VALUE"""),"Y")</f>
        <v>Y</v>
      </c>
      <c r="J30" s="9"/>
      <c r="K30" s="9"/>
      <c r="L30" s="9"/>
      <c r="M30" s="9"/>
    </row>
    <row r="31" spans="1:16" ht="15.75" customHeight="1">
      <c r="A31" s="9">
        <f ca="1">IFERROR(__xludf.DUMMYFUNCTION("""COMPUTED_VALUE"""),70)</f>
        <v>70</v>
      </c>
      <c r="B31" s="9" t="str">
        <f ca="1">IFERROR(__xludf.DUMMYFUNCTION("""COMPUTED_VALUE"""),"Geh davon aus, dass dies der innere Teil eines JunitTests ist: Options options = new Options();
        OptionGroup group = new OptionGroup();
        Option option1 = new Option(""o1"", ""option1"", false, ""Option 1"");
        Option option2 = new Opti"&amp;"on(""o2"", ""option2"", false, ""Option 2"");
        group.addOption(option1);
        group.addOption(option2);
        options.addOptionGroup(group);
        assertFalse(option1.isRequired());
        assertFalse(option2.isRequired());
Wie muss ich di"&amp;"esen umschreiben wenn Option abstract ist und somit nicht instanziert werden kann. Mocks sind erlaubt")</f>
        <v>Geh davon aus, dass dies der innere Teil eines JunitTests ist: Options options = new Options();
        OptionGroup group = new OptionGroup();
        Option option1 = new Option("o1", "option1", false, "Option 1");
        Option option2 = new Option("o2", "option2", false, "Option 2");
        group.addOption(option1);
        group.addOption(option2);
        options.addOptionGroup(group);
        assertFalse(option1.isRequired());
        assertFalse(option2.isRequired());
Wie muss ich diesen umschreiben wenn Option abstract ist und somit nicht instanziert werden kann. Mocks sind erlaubt</v>
      </c>
      <c r="C31" s="9" t="str">
        <f ca="1">IFERROR(__xludf.DUMMYFUNCTION("""COMPUTED_VALUE"""),"{
  ""answer"": ""Options options = new Options();
OptionGroup group = new OptionGroup();
Option option1 = mock(Option.class);
Option option2 = mock(Option.class);
group.addOption(option1);
group.addOption(option2);
options.addOptionGroup(group);
when(opt"&amp;"ion1.isRequired()).thenReturn(false);
when(option2.isRequired()).thenReturn(false);
assertFalse(option1.isRequired());
assertFalse(option2.isRequired());"",
  ""explanation"": ""In order to test the Options class when Option is abstract and cannot be inst"&amp;"antiated, you can use mocks to create instances of Option and set the required behavior for the tests."",
  ""code"": ""Options options = new Options();
OptionGroup group = new OptionGroup();
Option option1 = mock(Option.class);
Option option2 = mock(Opti"&amp;"on.class);
group.addOption(option1);
group.addOption(option2);
options.addOptionGroup(group);
when(option1.isRequired()).thenReturn(false);
when(option2.isRequired()).thenReturn(false);
assertFalse(option1.isRequired());
assertFalse(option2.isRequired());"&amp;"""
}")</f>
        <v>{
  "answer": "Options options = new Options();
OptionGroup group = new OptionGroup();
Option option1 = mock(Option.class);
Option option2 = mock(Option.class);
group.addOption(option1);
group.addOption(option2);
options.addOptionGroup(group);
when(option1.isRequired()).thenReturn(false);
when(option2.isRequired()).thenReturn(false);
assertFalse(option1.isRequired());
assertFalse(option2.isRequired());",
  "explanation": "In order to test the Options class when Option is abstract and cannot be instantiated, you can use mocks to create instances of Option and set the required behavior for the tests.",
  "code": "Options options = new Options();
OptionGroup group = new OptionGroup();
Option option1 = mock(Option.class);
Option option2 = mock(Option.class);
group.addOption(option1);
group.addOption(option2);
options.addOptionGroup(group);
when(option1.isRequired()).thenReturn(false);
when(option2.isRequired()).thenReturn(false);
assertFalse(option1.isRequired());
assertFalse(option2.isRequired());"
}</v>
      </c>
      <c r="D31" s="9">
        <f ca="1">IFERROR(__xludf.DUMMYFUNCTION("""COMPUTED_VALUE"""),1)</f>
        <v>1</v>
      </c>
      <c r="E31" s="9" t="str">
        <f ca="1">IFERROR(__xludf.DUMMYFUNCTION("""COMPUTED_VALUE"""),"2024-01-10 14:49:46")</f>
        <v>2024-01-10 14:49:46</v>
      </c>
      <c r="F31" s="9">
        <f ca="1">IFERROR(__xludf.DUMMYFUNCTION("""COMPUTED_VALUE"""),145)</f>
        <v>145</v>
      </c>
      <c r="G31" s="9">
        <f ca="1">IFERROR(__xludf.DUMMYFUNCTION("""COMPUTED_VALUE"""),2)</f>
        <v>2</v>
      </c>
      <c r="H31" s="9" t="str">
        <f ca="1">IFERROR(__xludf.DUMMYFUNCTION("""COMPUTED_VALUE"""),"null")</f>
        <v>null</v>
      </c>
      <c r="I31" s="9" t="str">
        <f ca="1">IFERROR(__xludf.DUMMYFUNCTION("""COMPUTED_VALUE"""),"Y")</f>
        <v>Y</v>
      </c>
      <c r="J31" s="9"/>
      <c r="K31" s="9"/>
      <c r="L31" s="9"/>
      <c r="M31" s="9"/>
    </row>
    <row r="32" spans="1:16" ht="15.75" customHeight="1">
      <c r="A32" s="9">
        <f ca="1">IFERROR(__xludf.DUMMYFUNCTION("""COMPUTED_VALUE"""),75)</f>
        <v>75</v>
      </c>
      <c r="B32" s="9" t="str">
        <f ca="1">IFERROR(__xludf.DUMMYFUNCTION("""COMPUTED_VALUE"""),"Das innere eines Junit Tests sieht so aus:        Options options = new Options();
OptionGroup group = mock(OptionGroup.class);
Option option1 = mock(Option.class);
Option option2 = mock(Option.class);
group.addOption(option1);
group.addOption(option2);
o"&amp;"ptions.addOptionGroup(group);
when(option1.isRequired()).thenReturn(false);
when(option2.isRequired()).thenReturn(false);
assertFalse(option1.isRequired());
assertFalse(option2.isRequired());
    }
Wie muss ich diesen umschreiben und folgende Fehler zu v"&amp;"erhindern: [javac] TestOptions.java:24: error: cannot find symbol
[javac] group.addOption(option1);
[javac]      ^
[javac]   symbol:   method addOption(Option)
[javac]   location: variable group of type OptionGroup
[javac] TestOptions.java:25: error: cann"&amp;"ot find symbol
[javac] group.addOption(option2);
[javac]      ^
[javac]   symbol:   method addOption(Option)
[javac]   location: variable group of type OptionGroup
[javac] 2 errors")</f>
        <v>Das innere eines Junit Tests sieht so aus:        Options options = new Options();
OptionGroup group = mock(OptionGroup.class);
Option option1 = mock(Option.class);
Option option2 = mock(Option.class);
group.addOption(option1);
group.addOption(option2);
options.addOptionGroup(group);
when(option1.isRequired()).thenReturn(false);
when(option2.isRequired()).thenReturn(false);
assertFalse(option1.isRequired());
assertFalse(option2.isRequired());
    }
Wie muss ich diesen umschreiben und folgende Fehler zu verhindern: [javac] TestOptions.java:24: error: cannot find symbol
[javac] group.addOption(option1);
[javac]      ^
[javac]   symbol:   method addOption(Option)
[javac]   location: variable group of type OptionGroup
[javac] TestOptions.java:25: error: cannot find symbol
[javac] group.addOption(option2);
[javac]      ^
[javac]   symbol:   method addOption(Option)
[javac]   location: variable group of type OptionGroup
[javac] 2 errors</v>
      </c>
      <c r="C32" s="9" t="str">
        <f ca="1">IFERROR(__xludf.DUMMYFUNCTION("""COMPUTED_VALUE"""),"{
  ""answer"": ""The addOption method does not exist in the OptionGroup class."",
  ""explanation"": ""The error occurs because the addOption method is not defined in the OptionGroup class. To fix the error, you need to use the addOption method of the Op"&amp;"tions class instead."",
  ""code"": ""options.addOption(option1);
options.addOption(option2);""
}")</f>
        <v>{
  "answer": "The addOption method does not exist in the OptionGroup class.",
  "explanation": "The error occurs because the addOption method is not defined in the OptionGroup class. To fix the error, you need to use the addOption method of the Options class instead.",
  "code": "options.addOption(option1);
options.addOption(option2);"
}</v>
      </c>
      <c r="D32" s="9">
        <f ca="1">IFERROR(__xludf.DUMMYFUNCTION("""COMPUTED_VALUE"""),1)</f>
        <v>1</v>
      </c>
      <c r="E32" s="9" t="str">
        <f ca="1">IFERROR(__xludf.DUMMYFUNCTION("""COMPUTED_VALUE"""),"2024-01-10 14:52:27")</f>
        <v>2024-01-10 14:52:27</v>
      </c>
      <c r="F32" s="9">
        <f ca="1">IFERROR(__xludf.DUMMYFUNCTION("""COMPUTED_VALUE"""),145)</f>
        <v>145</v>
      </c>
      <c r="G32" s="9">
        <f ca="1">IFERROR(__xludf.DUMMYFUNCTION("""COMPUTED_VALUE"""),2)</f>
        <v>2</v>
      </c>
      <c r="H32" s="9" t="str">
        <f ca="1">IFERROR(__xludf.DUMMYFUNCTION("""COMPUTED_VALUE"""),"null")</f>
        <v>null</v>
      </c>
      <c r="I32" s="9" t="str">
        <f ca="1">IFERROR(__xludf.DUMMYFUNCTION("""COMPUTED_VALUE"""),"Y")</f>
        <v>Y</v>
      </c>
      <c r="J32" s="9"/>
      <c r="K32" s="9"/>
      <c r="L32" s="9"/>
      <c r="M32" s="9"/>
    </row>
    <row r="33" spans="1:16" ht="15.75" customHeight="1">
      <c r="A33" s="9">
        <f ca="1">IFERROR(__xludf.DUMMYFUNCTION("""COMPUTED_VALUE"""),83)</f>
        <v>83</v>
      </c>
      <c r="B33" s="9" t="str">
        <f ca="1">IFERROR(__xludf.DUMMYFUNCTION("""COMPUTED_VALUE"""),"Wie könnte ein junit test aussehen, der folgende Methode auf mutanten testet:   /**
   * Returns whether the named {@link Option} is a member of this {@link Options}.
   *
   * @param opt long name of the {@link Option}
   * @return true if the named {@li"&amp;"nk Option} is a member of this {@link Options}
   */
  public boolean hasLongOption(String opt) {
    opt = stripLeadingHyphens(opt);
    return longOpts.containsKey(opt);
  }
Beachte dabei, dass die Option klasse abstract ist und die OptionGroup klasse"&amp;" auch. Mocks sind erlaubt")</f>
        <v>Wie könnte ein junit test aussehen, der folgende Methode auf mutanten testet:   /**
   * Returns whether the named {@link Option} is a member of this {@link Options}.
   *
   * @param opt long name of the {@link Option}
   * @return true if the named {@link Option} is a member of this {@link Options}
   */
  public boolean hasLongOption(String opt) {
    opt = stripLeadingHyphens(opt);
    return longOpts.containsKey(opt);
  }
Beachte dabei, dass die Option klasse abstract ist und die OptionGroup klasse auch. Mocks sind erlaubt</v>
      </c>
      <c r="C33" s="9" t="str">
        <f ca="1">IFERROR(__xludf.DUMMYFUNCTION("""COMPUTED_VALUE"""),"{
  ""answer"": ""Ein JUnit-Test könnte überprüfen, ob die Methode hasLongOption() den erwarteten Wert zurückgibt."",
  ""explanation"": ""Der Test sollte sicherstellen, dass die Methode hasLongOption() korrekt funktioniert und den erwarteten Wert zurückg"&amp;"ibt, basierend auf dem übergebenen Argument."",
  ""code"": ""import org.junit.Test;
import static org.junit.Assert.*;
import static org.mockito.Mockito.*;
public class OptionsTest {
  @Test
  public void testHasLongOption() {
    Options options = new "&amp;"Options();
    Option option = mock(Option.class);
    options.addOption(option);
    when(option.getKey()).thenReturn(""test"");
    assertTrue(options.hasLongOption(""test""));
  }
}""
}")</f>
        <v>{
  "answer": "Ein JUnit-Test könnte überprüfen, ob die Methode hasLongOption() den erwarteten Wert zurückgibt.",
  "explanation": "Der Test sollte sicherstellen, dass die Methode hasLongOption() korrekt funktioniert und den erwarteten Wert zurückgibt, basierend auf dem übergebenen Argument.",
  "code": "import org.junit.Test;
import static org.junit.Assert.*;
import static org.mockito.Mockito.*;
public class OptionsTest {
  @Test
  public void testHasLongOption() {
    Options options = new Options();
    Option option = mock(Option.class);
    options.addOption(option);
    when(option.getKey()).thenReturn("test");
    assertTrue(options.hasLongOption("test"));
  }
}"
}</v>
      </c>
      <c r="D33" s="9">
        <f ca="1">IFERROR(__xludf.DUMMYFUNCTION("""COMPUTED_VALUE"""),1)</f>
        <v>1</v>
      </c>
      <c r="E33" s="9" t="str">
        <f ca="1">IFERROR(__xludf.DUMMYFUNCTION("""COMPUTED_VALUE"""),"2024-01-10 14:55:41")</f>
        <v>2024-01-10 14:55:41</v>
      </c>
      <c r="F33" s="9">
        <f ca="1">IFERROR(__xludf.DUMMYFUNCTION("""COMPUTED_VALUE"""),145)</f>
        <v>145</v>
      </c>
      <c r="G33" s="9">
        <f ca="1">IFERROR(__xludf.DUMMYFUNCTION("""COMPUTED_VALUE"""),2)</f>
        <v>2</v>
      </c>
      <c r="H33" s="9" t="str">
        <f ca="1">IFERROR(__xludf.DUMMYFUNCTION("""COMPUTED_VALUE"""),"null")</f>
        <v>null</v>
      </c>
      <c r="I33" s="9" t="str">
        <f ca="1">IFERROR(__xludf.DUMMYFUNCTION("""COMPUTED_VALUE"""),"Y")</f>
        <v>Y</v>
      </c>
      <c r="J33" s="9"/>
      <c r="K33" s="9"/>
      <c r="L33" s="9"/>
      <c r="M33" s="9"/>
    </row>
    <row r="34" spans="1:16" ht="15.75" customHeight="1">
      <c r="A34" s="9">
        <f ca="1">IFERROR(__xludf.DUMMYFUNCTION("""COMPUTED_VALUE"""),89)</f>
        <v>89</v>
      </c>
      <c r="B34" s="9" t="str">
        <f ca="1">IFERROR(__xludf.DUMMYFUNCTION("""COMPUTED_VALUE"""),"Ich erhalte diese Fehlermeldung [junit] Testcase: test took 0.809 sec
[junit] expected: &lt;true&gt; but was: &lt;false&gt;
[junit] junit.framework.AssertionFailedError: expected: &lt;true&gt; but was: &lt;false&gt;
[junit] 	at TestOptions.test(TestOptions.java:24)
[junit] 	at j"&amp;"ava.base/jdk.internal.reflect.NativeMethodAccessorImpl.invoke0(Native Method)
[junit] 	at java.base/jdk.internal.reflect.NativeMethodAccessorImpl.invoke(NativeMethodAccessorImpl.java:77)
[junit] 	at java.base/jdk.internal.reflect.DelegatingMethodAccessorI"&amp;"mpl.invoke(DelegatingMethodAccessorImpl.java:43)
[junit] 	at java.base/java.util.concurrent.FutureTask.run(FutureTask.java:264)
[junit] 	at java.base/java.lang.Thread.run(Thread.java:833)
Bei einem JUnit Test dessen inneres so aussieht:     Options optio"&amp;"ns = new Options();
    Option option = mock(Option.class);
    options.addOption(option);
    when(option.getKey()).thenReturn(""test"");
    assertTrue(options.hasLongOption(""test""));")</f>
        <v>Ich erhalte diese Fehlermeldung [junit] Testcase: test took 0.809 sec
[junit] expected: &lt;true&gt; but was: &lt;false&gt;
[junit] junit.framework.AssertionFailedError: expected: &lt;true&gt; but was: &lt;false&gt;
[junit] 	at TestOptions.test(TestOptions.java:24)
[junit] 	at java.base/jdk.internal.reflect.NativeMethodAccessorImpl.invoke0(Native Method)
[junit] 	at java.base/jdk.internal.reflect.NativeMethodAccessorImpl.invoke(NativeMethodAccessorImpl.java:77)
[junit] 	at java.base/jdk.internal.reflect.DelegatingMethodAccessorImpl.invoke(DelegatingMethodAccessorImpl.java:43)
[junit] 	at java.base/java.util.concurrent.FutureTask.run(FutureTask.java:264)
[junit] 	at java.base/java.lang.Thread.run(Thread.java:833)
Bei einem JUnit Test dessen inneres so aussieht:     Options options = new Options();
    Option option = mock(Option.class);
    options.addOption(option);
    when(option.getKey()).thenReturn("test");
    assertTrue(options.hasLongOption("test"));</v>
      </c>
      <c r="C34" s="9" t="str">
        <f ca="1">IFERROR(__xludf.DUMMYFUNCTION("""COMPUTED_VALUE"""),"{
  ""answer"": ""Der JUnit-Test erwartet, dass die Methode hasLongOption('test') true zurückgibt, aber sie gibt false zurück."",
  ""explanation"": ""Die Methode hasLongOption('test') gibt false zurück, was nicht mit der erwarteten Ausgabe true übereinst"&amp;"immt."",
  ""code"": ""assertTrue(options.hasLongOption(""test""));""
}")</f>
        <v>{
  "answer": "Der JUnit-Test erwartet, dass die Methode hasLongOption('test') true zurückgibt, aber sie gibt false zurück.",
  "explanation": "Die Methode hasLongOption('test') gibt false zurück, was nicht mit der erwarteten Ausgabe true übereinstimmt.",
  "code": "assertTrue(options.hasLongOption("test"));"
}</v>
      </c>
      <c r="D34" s="9">
        <f ca="1">IFERROR(__xludf.DUMMYFUNCTION("""COMPUTED_VALUE"""),0)</f>
        <v>0</v>
      </c>
      <c r="E34" s="9" t="str">
        <f ca="1">IFERROR(__xludf.DUMMYFUNCTION("""COMPUTED_VALUE"""),"2024-01-10 14:59:09")</f>
        <v>2024-01-10 14:59:09</v>
      </c>
      <c r="F34" s="9">
        <f ca="1">IFERROR(__xludf.DUMMYFUNCTION("""COMPUTED_VALUE"""),145)</f>
        <v>145</v>
      </c>
      <c r="G34" s="9">
        <f ca="1">IFERROR(__xludf.DUMMYFUNCTION("""COMPUTED_VALUE"""),2)</f>
        <v>2</v>
      </c>
      <c r="H34" s="9" t="str">
        <f ca="1">IFERROR(__xludf.DUMMYFUNCTION("""COMPUTED_VALUE"""),"null")</f>
        <v>null</v>
      </c>
      <c r="I34" s="9" t="str">
        <f ca="1">IFERROR(__xludf.DUMMYFUNCTION("""COMPUTED_VALUE"""),"Y")</f>
        <v>Y</v>
      </c>
      <c r="J34" s="9"/>
      <c r="K34" s="9"/>
      <c r="L34" s="9"/>
      <c r="M34" s="9"/>
    </row>
    <row r="35" spans="1:16" ht="15.75" customHeight="1">
      <c r="A35" s="9">
        <f ca="1">IFERROR(__xludf.DUMMYFUNCTION("""COMPUTED_VALUE"""),17)</f>
        <v>17</v>
      </c>
      <c r="B35" s="9" t="str">
        <f ca="1">IFERROR(__xludf.DUMMYFUNCTION("""COMPUTED_VALUE"""),"How do I start a test for options?")</f>
        <v>How do I start a test for options?</v>
      </c>
      <c r="C35" s="9" t="str">
        <f ca="1">IFERROR(__xludf.DUMMYFUNCTION("""COMPUTED_VALUE"""),"{
  ""answer"": ""To start a test for options, you can create an instance of the Options class and add the desired options to it."",
  ""explanation"": ""To test options, you need to create an instance of the Options class and add the options you want to "&amp;"test using the addOption() method."",
  ""code"": ""Options options = new Options();
Option option = new Option(""o"", ""output"", true, ""output file"");
options.addOption(option);""
}")</f>
        <v>{
  "answer": "To start a test for options, you can create an instance of the Options class and add the desired options to it.",
  "explanation": "To test options, you need to create an instance of the Options class and add the options you want to test using the addOption() method.",
  "code": "Options options = new Options();
Option option = new Option("o", "output", true, "output file");
options.addOption(option);"
}</v>
      </c>
      <c r="D35" s="9">
        <f ca="1">IFERROR(__xludf.DUMMYFUNCTION("""COMPUTED_VALUE"""),0)</f>
        <v>0</v>
      </c>
      <c r="E35" s="9" t="str">
        <f ca="1">IFERROR(__xludf.DUMMYFUNCTION("""COMPUTED_VALUE"""),"2024-01-10 14:35:08")</f>
        <v>2024-01-10 14:35:08</v>
      </c>
      <c r="F35" s="9">
        <f ca="1">IFERROR(__xludf.DUMMYFUNCTION("""COMPUTED_VALUE"""),146)</f>
        <v>146</v>
      </c>
      <c r="G35" s="9">
        <f ca="1">IFERROR(__xludf.DUMMYFUNCTION("""COMPUTED_VALUE"""),2)</f>
        <v>2</v>
      </c>
      <c r="H35" s="9">
        <f ca="1">IFERROR(__xludf.DUMMYFUNCTION("""COMPUTED_VALUE"""),1)</f>
        <v>1</v>
      </c>
      <c r="I35" s="9" t="str">
        <f ca="1">IFERROR(__xludf.DUMMYFUNCTION("""COMPUTED_VALUE"""),"Y")</f>
        <v>Y</v>
      </c>
      <c r="J35" s="9" t="str">
        <f ca="1">IFERROR(__xludf.DUMMYFUNCTION("""COMPUTED_VALUE"""),"OTHER")</f>
        <v>OTHER</v>
      </c>
      <c r="K35" s="9" t="str">
        <f ca="1">IFERROR(__xludf.DUMMYFUNCTION("""COMPUTED_VALUE"""),"Code under test")</f>
        <v>Code under test</v>
      </c>
      <c r="L35" s="9"/>
      <c r="M35" s="9"/>
      <c r="N35" s="9">
        <f ca="1">IFERROR(__xludf.DUMMYFUNCTION("counta(split(B35,"" ""))"),8)</f>
        <v>8</v>
      </c>
      <c r="O35" s="9">
        <f t="shared" ref="O35:O38" ca="1" si="2">(AVERAGE($N$2:$N$173)-N35)*(AVERAGE($N$2:$N$173)-N35)</f>
        <v>64.207960870298507</v>
      </c>
    </row>
    <row r="36" spans="1:16" ht="15.75" customHeight="1">
      <c r="A36" s="9">
        <f ca="1">IFERROR(__xludf.DUMMYFUNCTION("""COMPUTED_VALUE"""),52)</f>
        <v>52</v>
      </c>
      <c r="B36" s="9" t="str">
        <f ca="1">IFERROR(__xludf.DUMMYFUNCTION("""COMPUTED_VALUE"""),"how do i mock with mockito")</f>
        <v>how do i mock with mockito</v>
      </c>
      <c r="C36" s="9" t="str">
        <f ca="1">IFERROR(__xludf.DUMMYFUNCTION("""COMPUTED_VALUE"""),"{
  ""answer"": ""You can mock objects using Mockito by using the `mock()` method."",
  ""explanation"": ""Mockito provides the `mock()` method to create mock objects that can be used for testing."",
  ""code"": ""Example:
// Create a mock object
List&lt;St"&amp;"ring&gt; mockList = Mockito.mock(List.class);
// Define the behavior of the mock object
Mockito.when(mockList.size()).thenReturn(5);
// Use the mock object in your test
int size = mockList.size();
// Verify the interactions with the mock object
Mockito.ve"&amp;"rify(mockList).size();""
}")</f>
        <v>{
  "answer": "You can mock objects using Mockito by using the `mock()` method.",
  "explanation": "Mockito provides the `mock()` method to create mock objects that can be used for testing.",
  "code": "Example:
// Create a mock object
List&lt;String&gt; mockList = Mockito.mock(List.class);
// Define the behavior of the mock object
Mockito.when(mockList.size()).thenReturn(5);
// Use the mock object in your test
int size = mockList.size();
// Verify the interactions with the mock object
Mockito.verify(mockList).size();"
}</v>
      </c>
      <c r="D36" s="9">
        <f ca="1">IFERROR(__xludf.DUMMYFUNCTION("""COMPUTED_VALUE"""),0)</f>
        <v>0</v>
      </c>
      <c r="E36" s="9" t="str">
        <f ca="1">IFERROR(__xludf.DUMMYFUNCTION("""COMPUTED_VALUE"""),"2024-01-10 14:42:48")</f>
        <v>2024-01-10 14:42:48</v>
      </c>
      <c r="F36" s="9">
        <f ca="1">IFERROR(__xludf.DUMMYFUNCTION("""COMPUTED_VALUE"""),146)</f>
        <v>146</v>
      </c>
      <c r="G36" s="9">
        <f ca="1">IFERROR(__xludf.DUMMYFUNCTION("""COMPUTED_VALUE"""),2)</f>
        <v>2</v>
      </c>
      <c r="H36" s="9" t="str">
        <f ca="1">IFERROR(__xludf.DUMMYFUNCTION("""COMPUTED_VALUE"""),"null")</f>
        <v>null</v>
      </c>
      <c r="I36" s="9" t="str">
        <f ca="1">IFERROR(__xludf.DUMMYFUNCTION("""COMPUTED_VALUE"""),"Y")</f>
        <v>Y</v>
      </c>
      <c r="J36" s="9" t="str">
        <f ca="1">IFERROR(__xludf.DUMMYFUNCTION("""COMPUTED_VALUE"""),"OTHER")</f>
        <v>OTHER</v>
      </c>
      <c r="K36" s="9" t="str">
        <f ca="1">IFERROR(__xludf.DUMMYFUNCTION("""COMPUTED_VALUE"""),"Mock")</f>
        <v>Mock</v>
      </c>
      <c r="L36" s="9"/>
      <c r="M36" s="9"/>
      <c r="N36" s="9">
        <f ca="1">IFERROR(__xludf.DUMMYFUNCTION("counta(split(B36,"" ""))"),6)</f>
        <v>6</v>
      </c>
      <c r="O36" s="9">
        <f t="shared" ca="1" si="2"/>
        <v>100.25990892224655</v>
      </c>
    </row>
    <row r="37" spans="1:16" ht="15.75" customHeight="1">
      <c r="A37" s="9">
        <f ca="1">IFERROR(__xludf.DUMMYFUNCTION("""COMPUTED_VALUE"""),10)</f>
        <v>10</v>
      </c>
      <c r="B37" s="9" t="str">
        <f ca="1">IFERROR(__xludf.DUMMYFUNCTION("""COMPUTED_VALUE"""),"can you write me a test for the toString method?")</f>
        <v>can you write me a test for the toString method?</v>
      </c>
      <c r="C37" s="9" t="str">
        <f ca="1">IFERROR(__xludf.DUMMYFUNCTION("""COMPUTED_VALUE"""),"{
  ""answer"": ""Yes, I can write a test for the toString method."",
  ""explanation"": ""To test the toString method, we can create an instance of the Options class, add some options to it, and then call the toString method to verify the expected output"&amp;"."",
  ""code"": ""import org.junit.Test;
import static org.junit.Assert.assertEquals;
public class OptionsTest {
  @Test
  public void testToString() {
    Options options = new Options();
    options.addOption(new Option(""a"", ""optionA"", false, ""O"&amp;"ption A""));
    options.addOption(new Option(""b"", ""optionB"", true, ""Option B""));
    String expected = ""[ Options: [ short {a=Option A, b=Option B} ] [ long {optionA=Option A, optionB=Option B} ]"";
    assertEquals(expected, options.toString());
"&amp;"  }
}"" 
}")</f>
        <v>{
  "answer": "Yes, I can write a test for the toString method.",
  "explanation": "To test the toString method, we can create an instance of the Options class, add some options to it, and then call the toString method to verify the expected output.",
  "code": "import org.junit.Test;
import static org.junit.Assert.assertEquals;
public class OptionsTest {
  @Test
  public void testToString() {
    Options options = new Options();
    options.addOption(new Option("a", "optionA", false, "Option A"));
    options.addOption(new Option("b", "optionB", true, "Option B"));
    String expected = "[ Options: [ short {a=Option A, b=Option B} ] [ long {optionA=Option A, optionB=Option B} ]";
    assertEquals(expected, options.toString());
  }
}" 
}</v>
      </c>
      <c r="D37" s="9">
        <f ca="1">IFERROR(__xludf.DUMMYFUNCTION("""COMPUTED_VALUE"""),0)</f>
        <v>0</v>
      </c>
      <c r="E37" s="9" t="str">
        <f ca="1">IFERROR(__xludf.DUMMYFUNCTION("""COMPUTED_VALUE"""),"2024-01-10 14:32:37")</f>
        <v>2024-01-10 14:32:37</v>
      </c>
      <c r="F37" s="9">
        <f ca="1">IFERROR(__xludf.DUMMYFUNCTION("""COMPUTED_VALUE"""),149)</f>
        <v>149</v>
      </c>
      <c r="G37" s="9">
        <f ca="1">IFERROR(__xludf.DUMMYFUNCTION("""COMPUTED_VALUE"""),2)</f>
        <v>2</v>
      </c>
      <c r="H37" s="9" t="str">
        <f ca="1">IFERROR(__xludf.DUMMYFUNCTION("""COMPUTED_VALUE"""),"null")</f>
        <v>null</v>
      </c>
      <c r="I37" s="9" t="str">
        <f ca="1">IFERROR(__xludf.DUMMYFUNCTION("""COMPUTED_VALUE"""),"Y")</f>
        <v>Y</v>
      </c>
      <c r="J37" s="9" t="str">
        <f ca="1">IFERROR(__xludf.DUMMYFUNCTION("""COMPUTED_VALUE"""),"TEST")</f>
        <v>TEST</v>
      </c>
      <c r="K37" s="9" t="str">
        <f ca="1">IFERROR(__xludf.DUMMYFUNCTION("""COMPUTED_VALUE"""),"Specific method")</f>
        <v>Specific method</v>
      </c>
      <c r="L37" s="9" t="str">
        <f ca="1">IFERROR(__xludf.DUMMYFUNCTION("""COMPUTED_VALUE"""),"toString")</f>
        <v>toString</v>
      </c>
      <c r="M37" s="9" t="str">
        <f ca="1">IFERROR(__xludf.DUMMYFUNCTION("""COMPUTED_VALUE"""),"toString")</f>
        <v>toString</v>
      </c>
      <c r="N37" s="9">
        <f ca="1">IFERROR(__xludf.DUMMYFUNCTION("counta(split(B37,"" ""))"),10)</f>
        <v>10</v>
      </c>
      <c r="O37" s="9">
        <f t="shared" ca="1" si="2"/>
        <v>36.156012818350462</v>
      </c>
      <c r="P37" s="9" t="s">
        <v>689</v>
      </c>
    </row>
    <row r="38" spans="1:16" ht="15.75" customHeight="1">
      <c r="A38" s="9">
        <f ca="1">IFERROR(__xludf.DUMMYFUNCTION("""COMPUTED_VALUE"""),22)</f>
        <v>22</v>
      </c>
      <c r="B38" s="9" t="str">
        <f ca="1">IFERROR(__xludf.DUMMYFUNCTION("""COMPUTED_VALUE"""),"how do you mock a option group?")</f>
        <v>how do you mock a option group?</v>
      </c>
      <c r="C38" s="9" t="str">
        <f ca="1">IFERROR(__xludf.DUMMYFUNCTION("""COMPUTED_VALUE"""),"{
  ""answer"": ""To mock an OptionGroup, you can create a new OptionGroup object and add mocked Option objects to it."",
  ""explanation"": ""To mock an OptionGroup, you can create a new OptionGroup object and add mocked Option objects to it. This allows"&amp;" you to simulate the behavior of an OptionGroup in your tests."",
  ""code"": ""OptionGroup optionGroup = new OptionGroup();
Option option1 = Mockito.mock(Option.class);
Option option2 = Mockito.mock(Option.class);
optionGroup.addOption(option1);
optionGr"&amp;"oup.addOption(option2);""
}")</f>
        <v>{
  "answer": "To mock an OptionGroup, you can create a new OptionGroup object and add mocked Option objects to it.",
  "explanation": "To mock an OptionGroup, you can create a new OptionGroup object and add mocked Option objects to it. This allows you to simulate the behavior of an OptionGroup in your tests.",
  "code": "OptionGroup optionGroup = new OptionGroup();
Option option1 = Mockito.mock(Option.class);
Option option2 = Mockito.mock(Option.class);
optionGroup.addOption(option1);
optionGroup.addOption(option2);"
}</v>
      </c>
      <c r="D38" s="9">
        <f ca="1">IFERROR(__xludf.DUMMYFUNCTION("""COMPUTED_VALUE"""),0)</f>
        <v>0</v>
      </c>
      <c r="E38" s="9" t="str">
        <f ca="1">IFERROR(__xludf.DUMMYFUNCTION("""COMPUTED_VALUE"""),"2024-01-10 14:35:29")</f>
        <v>2024-01-10 14:35:29</v>
      </c>
      <c r="F38" s="9">
        <f ca="1">IFERROR(__xludf.DUMMYFUNCTION("""COMPUTED_VALUE"""),149)</f>
        <v>149</v>
      </c>
      <c r="G38" s="9">
        <f ca="1">IFERROR(__xludf.DUMMYFUNCTION("""COMPUTED_VALUE"""),2)</f>
        <v>2</v>
      </c>
      <c r="H38" s="9" t="str">
        <f ca="1">IFERROR(__xludf.DUMMYFUNCTION("""COMPUTED_VALUE"""),"null")</f>
        <v>null</v>
      </c>
      <c r="I38" s="9" t="str">
        <f ca="1">IFERROR(__xludf.DUMMYFUNCTION("""COMPUTED_VALUE"""),"Y")</f>
        <v>Y</v>
      </c>
      <c r="J38" s="9" t="str">
        <f ca="1">IFERROR(__xludf.DUMMYFUNCTION("""COMPUTED_VALUE"""),"OTHER")</f>
        <v>OTHER</v>
      </c>
      <c r="K38" s="9" t="str">
        <f ca="1">IFERROR(__xludf.DUMMYFUNCTION("""COMPUTED_VALUE"""),"Mock")</f>
        <v>Mock</v>
      </c>
      <c r="L38" s="9"/>
      <c r="M38" s="9"/>
      <c r="N38" s="9">
        <f ca="1">IFERROR(__xludf.DUMMYFUNCTION("counta(split(B38,"" ""))"),7)</f>
        <v>7</v>
      </c>
      <c r="O38" s="9">
        <f t="shared" ca="1" si="2"/>
        <v>81.23393489627253</v>
      </c>
    </row>
    <row r="39" spans="1:16" ht="15.75" customHeight="1">
      <c r="A39" s="9">
        <f ca="1">IFERROR(__xludf.DUMMYFUNCTION("""COMPUTED_VALUE"""),42)</f>
        <v>42</v>
      </c>
      <c r="B39" s="9" t="str">
        <f ca="1">IFERROR(__xludf.DUMMYFUNCTION("""COMPUTED_VALUE"""),"Wie funktioniert Mocking?")</f>
        <v>Wie funktioniert Mocking?</v>
      </c>
      <c r="C39" s="9" t="str">
        <f ca="1">IFERROR(__xludf.DUMMYFUNCTION("""COMPUTED_VALUE"""),"{
  ""answer"": ""Mocking ermöglicht das Erstellen von simulierten Objekten, um den Test von abhängigen Komponenten zu vereinfachen."",
  ""explanation"": ""Mocking ist eine Technik in der Softwareentwicklung, bei der simuliertes Verhalten für abhängige O"&amp;"bjekte erstellt wird, um den Test von Komponenten zu erleichtern. Durch Mocking können bestimmte Szenarien nachgestellt und die Interaktionen zwischen den Komponenten überprüft werden."",
  ""code"": ""public class UserServiceTest {
  @Test
  public void "&amp;"testGetUser() {
    // Erstellen eines Mock-Objekts für die Datenbankverbindung
    DatabaseConnection dbConnectionMock = Mockito.mock(DatabaseConnection.class);
    // Definieren des erwarteten Verhaltens des Mock-Objekts
    Mockito.when(dbConnectionMo"&amp;"ck.getUser(1)).thenReturn(new User(1, ""John Doe""));
    // Erstellen der zu testenden Klasse mit dem Mock-Objekt
    UserService userService = new UserService(dbConnectionMock);
    // Testen der Methode
    User user = userService.getUser(1);
    //"&amp;" Überprüfen des erwarteten Ergebnisses
    assertEquals(1, user.getId());
    assertEquals(""John Doe"", user.getName());
  }
}""
}")</f>
        <v>{
  "answer": "Mocking ermöglicht das Erstellen von simulierten Objekten, um den Test von abhängigen Komponenten zu vereinfachen.",
  "explanation": "Mocking ist eine Technik in der Softwareentwicklung, bei der simuliertes Verhalten für abhängige Objekte erstellt wird, um den Test von Komponenten zu erleichtern. Durch Mocking können bestimmte Szenarien nachgestellt und die Interaktionen zwischen den Komponenten überprüft werden.",
  "code": "public class UserServiceTest {
  @Test
  public void testGetUser() {
    // Erstellen eines Mock-Objekts für die Datenbankverbindung
    DatabaseConnection dbConnectionMock = Mockito.mock(DatabaseConnection.class);
    // Definieren des erwarteten Verhaltens des Mock-Objekts
    Mockito.when(dbConnectionMock.getUser(1)).thenReturn(new User(1, "John Doe"));
    // Erstellen der zu testenden Klasse mit dem Mock-Objekt
    UserService userService = new UserService(dbConnectionMock);
    // Testen der Methode
    User user = userService.getUser(1);
    // Überprüfen des erwarteten Ergebnisses
    assertEquals(1, user.getId());
    assertEquals("John Doe", user.getName());
  }
}"
}</v>
      </c>
      <c r="D39" s="9">
        <f ca="1">IFERROR(__xludf.DUMMYFUNCTION("""COMPUTED_VALUE"""),0)</f>
        <v>0</v>
      </c>
      <c r="E39" s="9" t="str">
        <f ca="1">IFERROR(__xludf.DUMMYFUNCTION("""COMPUTED_VALUE"""),"2024-01-10 14:40:39")</f>
        <v>2024-01-10 14:40:39</v>
      </c>
      <c r="F39" s="9">
        <f ca="1">IFERROR(__xludf.DUMMYFUNCTION("""COMPUTED_VALUE"""),150)</f>
        <v>150</v>
      </c>
      <c r="G39" s="9">
        <f ca="1">IFERROR(__xludf.DUMMYFUNCTION("""COMPUTED_VALUE"""),2)</f>
        <v>2</v>
      </c>
      <c r="H39" s="9" t="str">
        <f ca="1">IFERROR(__xludf.DUMMYFUNCTION("""COMPUTED_VALUE"""),"null")</f>
        <v>null</v>
      </c>
      <c r="I39" s="9" t="str">
        <f ca="1">IFERROR(__xludf.DUMMYFUNCTION("""COMPUTED_VALUE"""),"Y")</f>
        <v>Y</v>
      </c>
      <c r="J39" s="9"/>
      <c r="K39" s="9"/>
      <c r="L39" s="9"/>
      <c r="M39" s="9"/>
    </row>
    <row r="40" spans="1:16" ht="15.75" customHeight="1">
      <c r="A40" s="9">
        <f ca="1">IFERROR(__xludf.DUMMYFUNCTION("""COMPUTED_VALUE"""),44)</f>
        <v>44</v>
      </c>
      <c r="B40" s="9" t="str">
        <f ca="1">IFERROR(__xludf.DUMMYFUNCTION("""COMPUTED_VALUE"""),"Wie funktioniert Mocking in Java? Mit Beispiel")</f>
        <v>Wie funktioniert Mocking in Java? Mit Beispiel</v>
      </c>
      <c r="C40" s="9" t="str">
        <f ca="1">IFERROR(__xludf.DUMMYFUNCTION("""COMPUTED_VALUE"""),"{
  ""answer"": ""Mocking in Java is a technique used to create fake objects that simulate the behavior of real objects during testing."",
  ""explanation"": ""Mocking allows developers to isolate the code being tested by replacing dependencies with mock "&amp;"objects that can be controlled and manipulated for testing purposes."",
  ""code"": ""Here is an example using the Mockito framework:
// Create a mock object
List&lt;String&gt; mockList = Mockito.mock(List.class);
// Define the behavior of the mock object
Moc"&amp;"kito.when(mockList.size()).thenReturn(5);
// Use the mock object in a test
assertEquals(5, mockList.size());""
}")</f>
        <v>{
  "answer": "Mocking in Java is a technique used to create fake objects that simulate the behavior of real objects during testing.",
  "explanation": "Mocking allows developers to isolate the code being tested by replacing dependencies with mock objects that can be controlled and manipulated for testing purposes.",
  "code": "Here is an example using the Mockito framework:
// Create a mock object
List&lt;String&gt; mockList = Mockito.mock(List.class);
// Define the behavior of the mock object
Mockito.when(mockList.size()).thenReturn(5);
// Use the mock object in a test
assertEquals(5, mockList.size());"
}</v>
      </c>
      <c r="D40" s="9">
        <f ca="1">IFERROR(__xludf.DUMMYFUNCTION("""COMPUTED_VALUE"""),0)</f>
        <v>0</v>
      </c>
      <c r="E40" s="9" t="str">
        <f ca="1">IFERROR(__xludf.DUMMYFUNCTION("""COMPUTED_VALUE"""),"2024-01-10 14:41:19")</f>
        <v>2024-01-10 14:41:19</v>
      </c>
      <c r="F40" s="9">
        <f ca="1">IFERROR(__xludf.DUMMYFUNCTION("""COMPUTED_VALUE"""),150)</f>
        <v>150</v>
      </c>
      <c r="G40" s="9">
        <f ca="1">IFERROR(__xludf.DUMMYFUNCTION("""COMPUTED_VALUE"""),2)</f>
        <v>2</v>
      </c>
      <c r="H40" s="9">
        <f ca="1">IFERROR(__xludf.DUMMYFUNCTION("""COMPUTED_VALUE"""),0)</f>
        <v>0</v>
      </c>
      <c r="I40" s="9" t="str">
        <f ca="1">IFERROR(__xludf.DUMMYFUNCTION("""COMPUTED_VALUE"""),"Y")</f>
        <v>Y</v>
      </c>
      <c r="J40" s="9"/>
      <c r="K40" s="9"/>
      <c r="L40" s="9"/>
      <c r="M40" s="9"/>
    </row>
    <row r="41" spans="1:16" ht="15.75" customHeight="1">
      <c r="A41" s="9">
        <f ca="1">IFERROR(__xludf.DUMMYFUNCTION("""COMPUTED_VALUE"""),50)</f>
        <v>50</v>
      </c>
      <c r="B41" s="9" t="str">
        <f ca="1">IFERROR(__xludf.DUMMYFUNCTION("""COMPUTED_VALUE"""),"Wie funktioniert Mocking in Java anhand von einem Beispiel mit Code?")</f>
        <v>Wie funktioniert Mocking in Java anhand von einem Beispiel mit Code?</v>
      </c>
      <c r="C41" s="9" t="str">
        <f ca="1">IFERROR(__xludf.DUMMYFUNCTION("""COMPUTED_VALUE"""),"{
  ""answer"": ""Mocking in Java is a technique used to create fake objects that simulate the behavior of real objects in order to test code in isolation."",
  ""explanation"": ""Mocking allows developers to create test doubles for dependencies, such as "&amp;"external services or databases, to isolate the code being tested and ensure reliable and repeatable test results."",
  ""code"": ""Here is an example using the Mockito framework:
public class MyClass {
  public String getData() {
    // Some code to fetc"&amp;"h data from an external service
  }
}
@Test
public void testGetData() {
  MyClass myClass = Mockito.mock(MyClass.class);
  Mockito.when(myClass.getData()).thenReturn(""Mocked Data"");
  // Test the code that depends on MyClass.getData()
}""
}")</f>
        <v>{
  "answer": "Mocking in Java is a technique used to create fake objects that simulate the behavior of real objects in order to test code in isolation.",
  "explanation": "Mocking allows developers to create test doubles for dependencies, such as external services or databases, to isolate the code being tested and ensure reliable and repeatable test results.",
  "code": "Here is an example using the Mockito framework:
public class MyClass {
  public String getData() {
    // Some code to fetch data from an external service
  }
}
@Test
public void testGetData() {
  MyClass myClass = Mockito.mock(MyClass.class);
  Mockito.when(myClass.getData()).thenReturn("Mocked Data");
  // Test the code that depends on MyClass.getData()
}"
}</v>
      </c>
      <c r="D41" s="9">
        <f ca="1">IFERROR(__xludf.DUMMYFUNCTION("""COMPUTED_VALUE"""),1)</f>
        <v>1</v>
      </c>
      <c r="E41" s="9" t="str">
        <f ca="1">IFERROR(__xludf.DUMMYFUNCTION("""COMPUTED_VALUE"""),"2024-01-10 14:42:22")</f>
        <v>2024-01-10 14:42:22</v>
      </c>
      <c r="F41" s="9">
        <f ca="1">IFERROR(__xludf.DUMMYFUNCTION("""COMPUTED_VALUE"""),150)</f>
        <v>150</v>
      </c>
      <c r="G41" s="9">
        <f ca="1">IFERROR(__xludf.DUMMYFUNCTION("""COMPUTED_VALUE"""),2)</f>
        <v>2</v>
      </c>
      <c r="H41" s="9" t="str">
        <f ca="1">IFERROR(__xludf.DUMMYFUNCTION("""COMPUTED_VALUE"""),"null")</f>
        <v>null</v>
      </c>
      <c r="I41" s="9" t="str">
        <f ca="1">IFERROR(__xludf.DUMMYFUNCTION("""COMPUTED_VALUE"""),"Y")</f>
        <v>Y</v>
      </c>
      <c r="J41" s="9"/>
      <c r="K41" s="9"/>
      <c r="L41" s="9"/>
      <c r="M41" s="9"/>
    </row>
    <row r="42" spans="1:16" ht="15.75" customHeight="1">
      <c r="A42" s="9">
        <f ca="1">IFERROR(__xludf.DUMMYFUNCTION("""COMPUTED_VALUE"""),13)</f>
        <v>13</v>
      </c>
      <c r="B42" s="9" t="str">
        <f ca="1">IFERROR(__xludf.DUMMYFUNCTION("""COMPUTED_VALUE"""),"How to create a readonly HashSet in Java?")</f>
        <v>How to create a readonly HashSet in Java?</v>
      </c>
      <c r="C42" s="9" t="str">
        <f ca="1">IFERROR(__xludf.DUMMYFUNCTION("""COMPUTED_VALUE"""),"{
  ""answer"": ""You can create a readonly HashSet in Java by using the Collections.unmodifiableSet() method."",
  ""explanation"": ""The Collections.unmodifiableSet() method returns a view of the specified set as an unmodifiable set, which means that an"&amp;"y attempt to modify the set will result in an UnsupportedOperationException."",
  ""code"": ""Set&lt;String&gt; set = new HashSet&lt;&gt;();
Set&lt;String&gt; readonlySet = Collections.unmodifiableSet(set);""
}")</f>
        <v>{
  "answer": "You can create a readonly HashSet in Java by using the Collections.unmodifiableSet() method.",
  "explanation": "The Collections.unmodifiableSet() method returns a view of the specified set as an unmodifiable set, which means that any attempt to modify the set will result in an UnsupportedOperationException.",
  "code": "Set&lt;String&gt; set = new HashSet&lt;&gt;();
Set&lt;String&gt; readonlySet = Collections.unmodifiableSet(set);"
}</v>
      </c>
      <c r="D42" s="9">
        <f ca="1">IFERROR(__xludf.DUMMYFUNCTION("""COMPUTED_VALUE"""),1)</f>
        <v>1</v>
      </c>
      <c r="E42" s="9" t="str">
        <f ca="1">IFERROR(__xludf.DUMMYFUNCTION("""COMPUTED_VALUE"""),"2024-01-10 14:33:56")</f>
        <v>2024-01-10 14:33:56</v>
      </c>
      <c r="F42" s="9">
        <f ca="1">IFERROR(__xludf.DUMMYFUNCTION("""COMPUTED_VALUE"""),151)</f>
        <v>151</v>
      </c>
      <c r="G42" s="9">
        <f ca="1">IFERROR(__xludf.DUMMYFUNCTION("""COMPUTED_VALUE"""),2)</f>
        <v>2</v>
      </c>
      <c r="H42" s="9">
        <f ca="1">IFERROR(__xludf.DUMMYFUNCTION("""COMPUTED_VALUE"""),1)</f>
        <v>1</v>
      </c>
      <c r="I42" s="9" t="str">
        <f ca="1">IFERROR(__xludf.DUMMYFUNCTION("""COMPUTED_VALUE"""),"Y")</f>
        <v>Y</v>
      </c>
      <c r="J42" s="9" t="str">
        <f ca="1">IFERROR(__xludf.DUMMYFUNCTION("""COMPUTED_VALUE"""),"OTHER")</f>
        <v>OTHER</v>
      </c>
      <c r="K42" s="9" t="str">
        <f ca="1">IFERROR(__xludf.DUMMYFUNCTION("""COMPUTED_VALUE"""),"Other")</f>
        <v>Other</v>
      </c>
      <c r="L42" s="9"/>
      <c r="M42" s="9"/>
      <c r="N42" s="9">
        <f ca="1">IFERROR(__xludf.DUMMYFUNCTION("counta(split(B42,"" ""))"),8)</f>
        <v>8</v>
      </c>
      <c r="O42" s="9">
        <f t="shared" ref="O42:O52" ca="1" si="3">(AVERAGE($N$2:$N$173)-N42)*(AVERAGE($N$2:$N$173)-N42)</f>
        <v>64.207960870298507</v>
      </c>
    </row>
    <row r="43" spans="1:16" ht="15.75" customHeight="1">
      <c r="A43" s="9">
        <f ca="1">IFERROR(__xludf.DUMMYFUNCTION("""COMPUTED_VALUE"""),32)</f>
        <v>32</v>
      </c>
      <c r="B43" s="9" t="str">
        <f ca="1">IFERROR(__xludf.DUMMYFUNCTION("""COMPUTED_VALUE"""),"How to call stripLeadingHyphens with a test were the parameter is str has the value null?")</f>
        <v>How to call stripLeadingHyphens with a test were the parameter is str has the value null?</v>
      </c>
      <c r="C43" s="9" t="str">
        <f ca="1">IFERROR(__xludf.DUMMYFUNCTION("""COMPUTED_VALUE"""),"Answer:
The stripLeadingHyphens method can be called with a null parameter.
Explanation:
The stripLeadingHyphens method checks if the parameter is null and returns null if it is.
Code:
String result = stripLeadingHyphens(null);")</f>
        <v>Answer:
The stripLeadingHyphens method can be called with a null parameter.
Explanation:
The stripLeadingHyphens method checks if the parameter is null and returns null if it is.
Code:
String result = stripLeadingHyphens(null);</v>
      </c>
      <c r="D43" s="9">
        <f ca="1">IFERROR(__xludf.DUMMYFUNCTION("""COMPUTED_VALUE"""),1)</f>
        <v>1</v>
      </c>
      <c r="E43" s="9" t="str">
        <f ca="1">IFERROR(__xludf.DUMMYFUNCTION("""COMPUTED_VALUE"""),"2024-01-10 14:37:43")</f>
        <v>2024-01-10 14:37:43</v>
      </c>
      <c r="F43" s="9">
        <f ca="1">IFERROR(__xludf.DUMMYFUNCTION("""COMPUTED_VALUE"""),151)</f>
        <v>151</v>
      </c>
      <c r="G43" s="9">
        <f ca="1">IFERROR(__xludf.DUMMYFUNCTION("""COMPUTED_VALUE"""),2)</f>
        <v>2</v>
      </c>
      <c r="H43" s="9">
        <f ca="1">IFERROR(__xludf.DUMMYFUNCTION("""COMPUTED_VALUE"""),0)</f>
        <v>0</v>
      </c>
      <c r="I43" s="9" t="str">
        <f ca="1">IFERROR(__xludf.DUMMYFUNCTION("""COMPUTED_VALUE"""),"Y")</f>
        <v>Y</v>
      </c>
      <c r="J43" s="9" t="str">
        <f ca="1">IFERROR(__xludf.DUMMYFUNCTION("""COMPUTED_VALUE"""),"TEST")</f>
        <v>TEST</v>
      </c>
      <c r="K43" s="9" t="str">
        <f ca="1">IFERROR(__xludf.DUMMYFUNCTION("""COMPUTED_VALUE"""),"Specific method")</f>
        <v>Specific method</v>
      </c>
      <c r="L43" s="9" t="str">
        <f ca="1">IFERROR(__xludf.DUMMYFUNCTION("""COMPUTED_VALUE"""),"stripLeadingHyphens")</f>
        <v>stripLeadingHyphens</v>
      </c>
      <c r="M43" s="9" t="str">
        <f ca="1">IFERROR(__xludf.DUMMYFUNCTION("""COMPUTED_VALUE"""),"stripLeadingHyphens")</f>
        <v>stripLeadingHyphens</v>
      </c>
      <c r="N43" s="9">
        <f ca="1">IFERROR(__xludf.DUMMYFUNCTION("counta(split(B43,"" ""))"),16)</f>
        <v>16</v>
      </c>
      <c r="O43" s="9">
        <f t="shared" ca="1" si="3"/>
        <v>1.6866250632480083E-4</v>
      </c>
    </row>
    <row r="44" spans="1:16" ht="15.75" customHeight="1">
      <c r="A44" s="9">
        <f ca="1">IFERROR(__xludf.DUMMYFUNCTION("""COMPUTED_VALUE"""),76)</f>
        <v>76</v>
      </c>
      <c r="B44" s="9" t="str">
        <f ca="1">IFERROR(__xludf.DUMMYFUNCTION("""COMPUTED_VALUE"""),"How to reach line 44 with a JUnit Test?")</f>
        <v>How to reach line 44 with a JUnit Test?</v>
      </c>
      <c r="C44" s="9" t="str">
        <f ca="1">IFERROR(__xludf.DUMMYFUNCTION("""COMPUTED_VALUE"""),"{
  ""answer"": ""To reach line 44 with a JUnit Test, you can create an instance of the Options class and call the addOption() method multiple times."",
  ""explanation"": ""By creating an instance of the Options class and calling the addOption() method m"&amp;"ultiple times, you can add options to the Options object, which will eventually reach line 44 where the options are stored in the shortOpts map."",
  ""code"": ""Options options = new Options();
options.addOption(new Option(""a"", ""optionA""));
options.a"&amp;"ddOption(new Option(""b"", ""optionB""));""
}")</f>
        <v>{
  "answer": "To reach line 44 with a JUnit Test, you can create an instance of the Options class and call the addOption() method multiple times.",
  "explanation": "By creating an instance of the Options class and calling the addOption() method multiple times, you can add options to the Options object, which will eventually reach line 44 where the options are stored in the shortOpts map.",
  "code": "Options options = new Options();
options.addOption(new Option("a", "optionA"));
options.addOption(new Option("b", "optionB"));"
}</v>
      </c>
      <c r="D44" s="9">
        <f ca="1">IFERROR(__xludf.DUMMYFUNCTION("""COMPUTED_VALUE"""),1)</f>
        <v>1</v>
      </c>
      <c r="E44" s="9" t="str">
        <f ca="1">IFERROR(__xludf.DUMMYFUNCTION("""COMPUTED_VALUE"""),"2024-01-10 14:53:10")</f>
        <v>2024-01-10 14:53:10</v>
      </c>
      <c r="F44" s="9">
        <f ca="1">IFERROR(__xludf.DUMMYFUNCTION("""COMPUTED_VALUE"""),151)</f>
        <v>151</v>
      </c>
      <c r="G44" s="9">
        <f ca="1">IFERROR(__xludf.DUMMYFUNCTION("""COMPUTED_VALUE"""),2)</f>
        <v>2</v>
      </c>
      <c r="H44" s="9">
        <f ca="1">IFERROR(__xludf.DUMMYFUNCTION("""COMPUTED_VALUE"""),0)</f>
        <v>0</v>
      </c>
      <c r="I44" s="9" t="str">
        <f ca="1">IFERROR(__xludf.DUMMYFUNCTION("""COMPUTED_VALUE"""),"Y")</f>
        <v>Y</v>
      </c>
      <c r="J44" s="9" t="str">
        <f ca="1">IFERROR(__xludf.DUMMYFUNCTION("""COMPUTED_VALUE"""),"TEST")</f>
        <v>TEST</v>
      </c>
      <c r="K44" s="9" t="str">
        <f ca="1">IFERROR(__xludf.DUMMYFUNCTION("""COMPUTED_VALUE"""),"Other")</f>
        <v>Other</v>
      </c>
      <c r="L44" s="9"/>
      <c r="M44" s="9"/>
      <c r="N44" s="9">
        <f ca="1">IFERROR(__xludf.DUMMYFUNCTION("counta(split(B44,"" ""))"),9)</f>
        <v>9</v>
      </c>
      <c r="O44" s="9">
        <f t="shared" ca="1" si="3"/>
        <v>49.181986844324484</v>
      </c>
    </row>
    <row r="45" spans="1:16" ht="15.75" customHeight="1">
      <c r="A45" s="9">
        <f ca="1">IFERROR(__xludf.DUMMYFUNCTION("""COMPUTED_VALUE"""),87)</f>
        <v>87</v>
      </c>
      <c r="B45" s="9" t="str">
        <f ca="1">IFERROR(__xludf.DUMMYFUNCTION("""COMPUTED_VALUE"""),"How to modifiy @test199 to call @mutant117 ?")</f>
        <v>How to modifiy @test199 to call @mutant117 ?</v>
      </c>
      <c r="C45" s="9" t="str">
        <f ca="1">IFERROR(__xludf.DUMMYFUNCTION("""COMPUTED_VALUE"""),"Answer:
Replace opt.getOption(null) with opt.getMatchingOptions(null).get(0) in @test199.
Explanation:
To call @mutant117, we need to modify the test to use the getMatchingOptions method instead of getOption.
Code:
assertThat(opt.getMatchingOptions(null"&amp;").get(0)).isEqualTo(option);")</f>
        <v>Answer:
Replace opt.getOption(null) with opt.getMatchingOptions(null).get(0) in @test199.
Explanation:
To call @mutant117, we need to modify the test to use the getMatchingOptions method instead of getOption.
Code:
assertThat(opt.getMatchingOptions(null).get(0)).isEqualTo(option);</v>
      </c>
      <c r="D45" s="9">
        <f ca="1">IFERROR(__xludf.DUMMYFUNCTION("""COMPUTED_VALUE"""),1)</f>
        <v>1</v>
      </c>
      <c r="E45" s="9" t="str">
        <f ca="1">IFERROR(__xludf.DUMMYFUNCTION("""COMPUTED_VALUE"""),"2024-01-10 14:57:33")</f>
        <v>2024-01-10 14:57:33</v>
      </c>
      <c r="F45" s="9">
        <f ca="1">IFERROR(__xludf.DUMMYFUNCTION("""COMPUTED_VALUE"""),151)</f>
        <v>151</v>
      </c>
      <c r="G45" s="9">
        <f ca="1">IFERROR(__xludf.DUMMYFUNCTION("""COMPUTED_VALUE"""),2)</f>
        <v>2</v>
      </c>
      <c r="H45" s="9">
        <f ca="1">IFERROR(__xludf.DUMMYFUNCTION("""COMPUTED_VALUE"""),0)</f>
        <v>0</v>
      </c>
      <c r="I45" s="9" t="str">
        <f ca="1">IFERROR(__xludf.DUMMYFUNCTION("""COMPUTED_VALUE"""),"Y")</f>
        <v>Y</v>
      </c>
      <c r="J45" s="9" t="str">
        <f ca="1">IFERROR(__xludf.DUMMYFUNCTION("""COMPUTED_VALUE"""),"TEST")</f>
        <v>TEST</v>
      </c>
      <c r="K45" s="9" t="str">
        <f ca="1">IFERROR(__xludf.DUMMYFUNCTION("""COMPUTED_VALUE"""),"Specific mutant")</f>
        <v>Specific mutant</v>
      </c>
      <c r="L45" s="9">
        <f ca="1">IFERROR(__xludf.DUMMYFUNCTION("""COMPUTED_VALUE"""),117)</f>
        <v>117</v>
      </c>
      <c r="M45" s="9" t="str">
        <f ca="1">IFERROR(__xludf.DUMMYFUNCTION("""COMPUTED_VALUE"""),"getMatchingOptions
")</f>
        <v xml:space="preserve">getMatchingOptions
</v>
      </c>
      <c r="N45" s="9">
        <f ca="1">IFERROR(__xludf.DUMMYFUNCTION("counta(split(B45,"" ""))"),8)</f>
        <v>8</v>
      </c>
      <c r="O45" s="9">
        <f t="shared" ca="1" si="3"/>
        <v>64.207960870298507</v>
      </c>
    </row>
    <row r="46" spans="1:16" ht="15.75" customHeight="1">
      <c r="A46" s="9">
        <f ca="1">IFERROR(__xludf.DUMMYFUNCTION("""COMPUTED_VALUE"""),18)</f>
        <v>18</v>
      </c>
      <c r="B46" s="9" t="str">
        <f ca="1">IFERROR(__xludf.DUMMYFUNCTION("""COMPUTED_VALUE"""),"Can you please write a simple test that checks the output of the toString() method for a default options object?")</f>
        <v>Can you please write a simple test that checks the output of the toString() method for a default options object?</v>
      </c>
      <c r="C46" s="9" t="str">
        <f ca="1">IFERROR(__xludf.DUMMYFUNCTION("""COMPUTED_VALUE"""),"{
  ""answer"": ""Yes, we can write a simple test to check the output of the toString() method for a default Options object."",
  ""explanation"": ""We can create a default Options object, call the toString() method, and compare the output with the expect"&amp;"ed result."",
  ""code"": ""Options options = new Options();
String expected = ""[ Options: [ short {} ] [ long {} ]"";
String actual = options.toString();
assertEquals(expected, actual);""
}")</f>
        <v>{
  "answer": "Yes, we can write a simple test to check the output of the toString() method for a default Options object.",
  "explanation": "We can create a default Options object, call the toString() method, and compare the output with the expected result.",
  "code": "Options options = new Options();
String expected = "[ Options: [ short {} ] [ long {} ]";
String actual = options.toString();
assertEquals(expected, actual);"
}</v>
      </c>
      <c r="D46" s="9">
        <f ca="1">IFERROR(__xludf.DUMMYFUNCTION("""COMPUTED_VALUE"""),0)</f>
        <v>0</v>
      </c>
      <c r="E46" s="9" t="str">
        <f ca="1">IFERROR(__xludf.DUMMYFUNCTION("""COMPUTED_VALUE"""),"2024-01-10 14:35:14")</f>
        <v>2024-01-10 14:35:14</v>
      </c>
      <c r="F46" s="9">
        <f ca="1">IFERROR(__xludf.DUMMYFUNCTION("""COMPUTED_VALUE"""),152)</f>
        <v>152</v>
      </c>
      <c r="G46" s="9">
        <f ca="1">IFERROR(__xludf.DUMMYFUNCTION("""COMPUTED_VALUE"""),2)</f>
        <v>2</v>
      </c>
      <c r="H46" s="9">
        <f ca="1">IFERROR(__xludf.DUMMYFUNCTION("""COMPUTED_VALUE"""),0)</f>
        <v>0</v>
      </c>
      <c r="I46" s="9" t="str">
        <f ca="1">IFERROR(__xludf.DUMMYFUNCTION("""COMPUTED_VALUE"""),"Y")</f>
        <v>Y</v>
      </c>
      <c r="J46" s="9" t="str">
        <f ca="1">IFERROR(__xludf.DUMMYFUNCTION("""COMPUTED_VALUE"""),"TEST")</f>
        <v>TEST</v>
      </c>
      <c r="K46" s="9" t="str">
        <f ca="1">IFERROR(__xludf.DUMMYFUNCTION("""COMPUTED_VALUE"""),"Specific method")</f>
        <v>Specific method</v>
      </c>
      <c r="L46" s="9" t="str">
        <f ca="1">IFERROR(__xludf.DUMMYFUNCTION("""COMPUTED_VALUE"""),"toString")</f>
        <v>toString</v>
      </c>
      <c r="M46" s="9" t="str">
        <f ca="1">IFERROR(__xludf.DUMMYFUNCTION("""COMPUTED_VALUE"""),"toString")</f>
        <v>toString</v>
      </c>
      <c r="N46" s="9">
        <f ca="1">IFERROR(__xludf.DUMMYFUNCTION("counta(split(B46,"" ""))"),20)</f>
        <v>20</v>
      </c>
      <c r="O46" s="9">
        <f t="shared" ca="1" si="3"/>
        <v>15.896272558610233</v>
      </c>
    </row>
    <row r="47" spans="1:16" ht="15.75" customHeight="1">
      <c r="A47" s="9">
        <f ca="1">IFERROR(__xludf.DUMMYFUNCTION("""COMPUTED_VALUE"""),24)</f>
        <v>24</v>
      </c>
      <c r="B47" s="9" t="str">
        <f ca="1">IFERROR(__xludf.DUMMYFUNCTION("""COMPUTED_VALUE"""),"Please show me the code of such a test and explain how you used mockito in it")</f>
        <v>Please show me the code of such a test and explain how you used mockito in it</v>
      </c>
      <c r="C47" s="9" t="str">
        <f ca="1">IFERROR(__xludf.DUMMYFUNCTION("""COMPUTED_VALUE"""),"{
  ""answer"": ""Yes, Mockito can be used to test the Options class."",
  ""explanation"": ""Mockito can be used to mock dependencies and verify the behavior of the Options class during testing."",
  ""code"": ""import org.junit.Test;
import org.mockito."&amp;"Mock;
import org.mockito.Mockito;
public class OptionsTest {
  @Mock
  private Option mockOption;
  @Test
  public void testAddOption() {
    Options options = new Options();
    options.addOption(mockOption);
    Mockito.verify(mockOption).setRequired"&amp;"(false);
    Mockito.verify(options.getOptions()).contains(mockOption);
  }
}""
}")</f>
        <v>{
  "answer": "Yes, Mockito can be used to test the Options class.",
  "explanation": "Mockito can be used to mock dependencies and verify the behavior of the Options class during testing.",
  "code": "import org.junit.Test;
import org.mockito.Mock;
import org.mockito.Mockito;
public class OptionsTest {
  @Mock
  private Option mockOption;
  @Test
  public void testAddOption() {
    Options options = new Options();
    options.addOption(mockOption);
    Mockito.verify(mockOption).setRequired(false);
    Mockito.verify(options.getOptions()).contains(mockOption);
  }
}"
}</v>
      </c>
      <c r="D47" s="9">
        <f ca="1">IFERROR(__xludf.DUMMYFUNCTION("""COMPUTED_VALUE"""),0)</f>
        <v>0</v>
      </c>
      <c r="E47" s="9" t="str">
        <f ca="1">IFERROR(__xludf.DUMMYFUNCTION("""COMPUTED_VALUE"""),"2024-01-10 14:36:04")</f>
        <v>2024-01-10 14:36:04</v>
      </c>
      <c r="F47" s="9">
        <f ca="1">IFERROR(__xludf.DUMMYFUNCTION("""COMPUTED_VALUE"""),152)</f>
        <v>152</v>
      </c>
      <c r="G47" s="9">
        <f ca="1">IFERROR(__xludf.DUMMYFUNCTION("""COMPUTED_VALUE"""),2)</f>
        <v>2</v>
      </c>
      <c r="H47" s="9" t="str">
        <f ca="1">IFERROR(__xludf.DUMMYFUNCTION("""COMPUTED_VALUE"""),"null")</f>
        <v>null</v>
      </c>
      <c r="I47" s="9" t="str">
        <f ca="1">IFERROR(__xludf.DUMMYFUNCTION("""COMPUTED_VALUE"""),"Y")</f>
        <v>Y</v>
      </c>
      <c r="J47" s="9" t="str">
        <f ca="1">IFERROR(__xludf.DUMMYFUNCTION("""COMPUTED_VALUE"""),"TEST")</f>
        <v>TEST</v>
      </c>
      <c r="K47" s="9" t="str">
        <f ca="1">IFERROR(__xludf.DUMMYFUNCTION("""COMPUTED_VALUE"""),"Specific method")</f>
        <v>Specific method</v>
      </c>
      <c r="L47" s="9" t="str">
        <f ca="1">IFERROR(__xludf.DUMMYFUNCTION("""COMPUTED_VALUE"""),"toString")</f>
        <v>toString</v>
      </c>
      <c r="M47" s="9" t="str">
        <f ca="1">IFERROR(__xludf.DUMMYFUNCTION("""COMPUTED_VALUE"""),"toString")</f>
        <v>toString</v>
      </c>
      <c r="N47" s="9">
        <f ca="1">IFERROR(__xludf.DUMMYFUNCTION("counta(split(B47,"" ""))"),17)</f>
        <v>17</v>
      </c>
      <c r="O47" s="9">
        <f t="shared" ca="1" si="3"/>
        <v>0.97419463653230209</v>
      </c>
    </row>
    <row r="48" spans="1:16" ht="15.75" customHeight="1">
      <c r="A48" s="9">
        <f ca="1">IFERROR(__xludf.DUMMYFUNCTION("""COMPUTED_VALUE"""),28)</f>
        <v>28</v>
      </c>
      <c r="B48" s="9" t="str">
        <f ca="1">IFERROR(__xludf.DUMMYFUNCTION("""COMPUTED_VALUE"""),"Please provide a code example")</f>
        <v>Please provide a code example</v>
      </c>
      <c r="C48" s="9" t="str">
        <f ca="1">IFERROR(__xludf.DUMMYFUNCTION("""COMPUTED_VALUE"""),"{
  ""answer"": ""Yes, the code example is provided below."",
  ""explanation"": ""The code example demonstrates how to use the Options class to add options and retrieve them."",
  ""code"": ""Options options = new Options();
Option option1 = new Option("&amp;"""a"", ""option1"", false, ""Option 1"");
Option option2 = new Option(""b"", ""option2"", true, ""Option 2"");
options.addOption(option1);
options.addOption(option2);
Option retrievedOption = options.getOption(""a"");
System.out.println(retrievedOption"&amp;".getDescription());""
}")</f>
        <v>{
  "answer": "Yes, the code example is provided below.",
  "explanation": "The code example demonstrates how to use the Options class to add options and retrieve them.",
  "code": "Options options = new Options();
Option option1 = new Option("a", "option1", false, "Option 1");
Option option2 = new Option("b", "option2", true, "Option 2");
options.addOption(option1);
options.addOption(option2);
Option retrievedOption = options.getOption("a");
System.out.println(retrievedOption.getDescription());"
}</v>
      </c>
      <c r="D48" s="9">
        <f ca="1">IFERROR(__xludf.DUMMYFUNCTION("""COMPUTED_VALUE"""),1)</f>
        <v>1</v>
      </c>
      <c r="E48" s="9" t="str">
        <f ca="1">IFERROR(__xludf.DUMMYFUNCTION("""COMPUTED_VALUE"""),"2024-01-10 14:36:29")</f>
        <v>2024-01-10 14:36:29</v>
      </c>
      <c r="F48" s="9">
        <f ca="1">IFERROR(__xludf.DUMMYFUNCTION("""COMPUTED_VALUE"""),152)</f>
        <v>152</v>
      </c>
      <c r="G48" s="9">
        <f ca="1">IFERROR(__xludf.DUMMYFUNCTION("""COMPUTED_VALUE"""),2)</f>
        <v>2</v>
      </c>
      <c r="H48" s="9" t="str">
        <f ca="1">IFERROR(__xludf.DUMMYFUNCTION("""COMPUTED_VALUE"""),"null")</f>
        <v>null</v>
      </c>
      <c r="I48" s="9" t="str">
        <f ca="1">IFERROR(__xludf.DUMMYFUNCTION("""COMPUTED_VALUE"""),"Y")</f>
        <v>Y</v>
      </c>
      <c r="J48" s="9" t="str">
        <f ca="1">IFERROR(__xludf.DUMMYFUNCTION("""COMPUTED_VALUE"""),"TEST")</f>
        <v>TEST</v>
      </c>
      <c r="K48" s="9" t="str">
        <f ca="1">IFERROR(__xludf.DUMMYFUNCTION("""COMPUTED_VALUE"""),"Specific method")</f>
        <v>Specific method</v>
      </c>
      <c r="L48" s="9" t="str">
        <f ca="1">IFERROR(__xludf.DUMMYFUNCTION("""COMPUTED_VALUE"""),"toString")</f>
        <v>toString</v>
      </c>
      <c r="M48" s="9" t="str">
        <f ca="1">IFERROR(__xludf.DUMMYFUNCTION("""COMPUTED_VALUE"""),"toString")</f>
        <v>toString</v>
      </c>
      <c r="N48" s="9">
        <f ca="1">IFERROR(__xludf.DUMMYFUNCTION("counta(split(B48,"" ""))"),5)</f>
        <v>5</v>
      </c>
      <c r="O48" s="9">
        <f t="shared" ca="1" si="3"/>
        <v>121.28588294822057</v>
      </c>
    </row>
    <row r="49" spans="1:16" ht="15.75" customHeight="1">
      <c r="A49" s="9">
        <f ca="1">IFERROR(__xludf.DUMMYFUNCTION("""COMPUTED_VALUE"""),49)</f>
        <v>49</v>
      </c>
      <c r="B49" s="9" t="str">
        <f ca="1">IFERROR(__xludf.DUMMYFUNCTION("""COMPUTED_VALUE"""),"It seems necessary to mock the Option class as only a interface is provided. Can you show me how to mock it if I want to create a Option object like this: Option option1 = new Option(""a"", ""option1"", false, ""Option 1"");")</f>
        <v>It seems necessary to mock the Option class as only a interface is provided. Can you show me how to mock it if I want to create a Option object like this: Option option1 = new Option("a", "option1", false, "Option 1");</v>
      </c>
      <c r="C49" s="9" t="str">
        <f ca="1">IFERROR(__xludf.DUMMYFUNCTION("""COMPUTED_VALUE"""),"{
  ""answer"": ""Yes, you can mock the Option class using a mocking framework like Mockito."",
  ""explanation"": ""You can use Mockito to create a mock Option object with the desired properties."",
  ""code"": ""Option option1 = Mockito.mock(Option.clas"&amp;"s);
Mockito.when(option1.getOpt()).thenReturn(""a"");
Mockito.when(option1.getLongOpt()).thenReturn(""option1"");
Mockito.when(option1.isRequired()).thenReturn(false);
Mockito.when(option1.getDescription()).thenReturn(""Option 1"");""
}")</f>
        <v>{
  "answer": "Yes, you can mock the Option class using a mocking framework like Mockito.",
  "explanation": "You can use Mockito to create a mock Option object with the desired properties.",
  "code": "Option option1 = Mockito.mock(Option.class);
Mockito.when(option1.getOpt()).thenReturn("a");
Mockito.when(option1.getLongOpt()).thenReturn("option1");
Mockito.when(option1.isRequired()).thenReturn(false);
Mockito.when(option1.getDescription()).thenReturn("Option 1");"
}</v>
      </c>
      <c r="D49" s="9">
        <f ca="1">IFERROR(__xludf.DUMMYFUNCTION("""COMPUTED_VALUE"""),1)</f>
        <v>1</v>
      </c>
      <c r="E49" s="9" t="str">
        <f ca="1">IFERROR(__xludf.DUMMYFUNCTION("""COMPUTED_VALUE"""),"2024-01-10 14:41:56")</f>
        <v>2024-01-10 14:41:56</v>
      </c>
      <c r="F49" s="9">
        <f ca="1">IFERROR(__xludf.DUMMYFUNCTION("""COMPUTED_VALUE"""),152)</f>
        <v>152</v>
      </c>
      <c r="G49" s="9">
        <f ca="1">IFERROR(__xludf.DUMMYFUNCTION("""COMPUTED_VALUE"""),2)</f>
        <v>2</v>
      </c>
      <c r="H49" s="9" t="str">
        <f ca="1">IFERROR(__xludf.DUMMYFUNCTION("""COMPUTED_VALUE"""),"null")</f>
        <v>null</v>
      </c>
      <c r="I49" s="9" t="str">
        <f ca="1">IFERROR(__xludf.DUMMYFUNCTION("""COMPUTED_VALUE"""),"Y")</f>
        <v>Y</v>
      </c>
      <c r="J49" s="9" t="str">
        <f ca="1">IFERROR(__xludf.DUMMYFUNCTION("""COMPUTED_VALUE"""),"OTHER")</f>
        <v>OTHER</v>
      </c>
      <c r="K49" s="9" t="str">
        <f ca="1">IFERROR(__xludf.DUMMYFUNCTION("""COMPUTED_VALUE"""),"Mock")</f>
        <v>Mock</v>
      </c>
      <c r="L49" s="9"/>
      <c r="M49" s="9"/>
      <c r="N49" s="9">
        <f ca="1">IFERROR(__xludf.DUMMYFUNCTION("counta(split(B49,"" ""))"),41)</f>
        <v>41</v>
      </c>
      <c r="O49" s="9">
        <f t="shared" ca="1" si="3"/>
        <v>624.35081801315573</v>
      </c>
    </row>
    <row r="50" spans="1:16" ht="15.75" customHeight="1">
      <c r="A50" s="9">
        <f ca="1">IFERROR(__xludf.DUMMYFUNCTION("""COMPUTED_VALUE"""),62)</f>
        <v>62</v>
      </c>
      <c r="B50" s="9" t="str">
        <f ca="1">IFERROR(__xludf.DUMMYFUNCTION("""COMPUTED_VALUE"""),"I got the error message that it wasn't able to find ""Mockito"".  Can you find out why and eventually fix my code?
public void test() throws Throwable {
        Options options = new Options();
        Option option1 = Mockito.mock(Option.class);
       "&amp;" Mockito.when(option1.getOpt()).thenReturn(""a"");
        Mockito.when(option1.getLongOpt()).thenReturn(""option1"");
        Mockito.when(option1.isRequired()).thenReturn(false);
        Mockito.when(option1.getDescription()).thenReturn(""Option 1"");
 "&amp;"        Option option2 = Mockito.mock(Option.class);
        Mockito.when(option2.getOpt()).thenReturn(""b"");
        Mockito.when(option2.getLongOpt()).thenReturn(""option2"");
        Mockito.when(option2.isRequired()).thenReturn(true);
        Mockito"&amp;".when(option2.getDescription()).thenReturn(""Option 2"");
        options.addOption(option1);
        options.addOption(option2);
        //Option retrievedOption = options.getOption(""a"");
        assertEquals("""", options.toString());
    }")</f>
        <v>I got the error message that it wasn't able to find "Mockito".  Can you find out why and eventually fix my code?
public void test() throws Throwable {
        Options options = new Options();
        Option option1 = Mockito.mock(Option.class);
        Mockito.when(option1.getOpt()).thenReturn("a");
        Mockito.when(option1.getLongOpt()).thenReturn("option1");
        Mockito.when(option1.isRequired()).thenReturn(false);
        Mockito.when(option1.getDescription()).thenReturn("Option 1");
         Option option2 = Mockito.mock(Option.class);
        Mockito.when(option2.getOpt()).thenReturn("b");
        Mockito.when(option2.getLongOpt()).thenReturn("option2");
        Mockito.when(option2.isRequired()).thenReturn(true);
        Mockito.when(option2.getDescription()).thenReturn("Option 2");
        options.addOption(option1);
        options.addOption(option2);
        //Option retrievedOption = options.getOption("a");
        assertEquals("", options.toString());
    }</v>
      </c>
      <c r="C50" s="9" t="str">
        <f ca="1">IFERROR(__xludf.DUMMYFUNCTION("""COMPUTED_VALUE"""),"answer: The error message is occurring because the Mockito library is not imported in the code.
explanation: The code is trying to use the Mockito library to mock the Option class, but the library is not imported, causing the error message.
code: 
```j"&amp;"ava
import org.mockito.Mockito;
public void test() throws Throwable {
    Options options = new Options();
    Option option1 = Mockito.mock(Option.class);
    Mockito.when(option1.getOpt()).thenReturn(""a"");
    Mockito.when(option1.getLongOpt()).thenR"&amp;"eturn(""option1"");
    Mockito.when(option1.isRequired()).thenReturn(false);
    Mockito.when(option1.getDescription()).thenReturn(""Option 1"");
    Option option2 = Mockito.mock(Option.class);
    Mockito.when(option2.getOpt()).thenReturn(""b"");
    M"&amp;"ockito.when(option2.getLongOpt()).thenReturn(""option2"");
    Mockito.when(option2.isRequired()).thenReturn(true);
    Mockito.when(option2.getDescription()).thenReturn(""Option 2"");
    options.addOption(option1);
    options.addOption(option2);
    "&amp;"//Option retrievedOption = options.getOption(""a"");
    assertEquals("""", options.toString());
}
```")</f>
        <v>answer: The error message is occurring because the Mockito library is not imported in the code.
explanation: The code is trying to use the Mockito library to mock the Option class, but the library is not imported, causing the error message.
code: 
```java
import org.mockito.Mockito;
public void test() throws Throwable {
    Options options = new Options();
    Option option1 = Mockito.mock(Option.class);
    Mockito.when(option1.getOpt()).thenReturn("a");
    Mockito.when(option1.getLongOpt()).thenReturn("option1");
    Mockito.when(option1.isRequired()).thenReturn(false);
    Mockito.when(option1.getDescription()).thenReturn("Option 1");
    Option option2 = Mockito.mock(Option.class);
    Mockito.when(option2.getOpt()).thenReturn("b");
    Mockito.when(option2.getLongOpt()).thenReturn("option2");
    Mockito.when(option2.isRequired()).thenReturn(true);
    Mockito.when(option2.getDescription()).thenReturn("Option 2");
    options.addOption(option1);
    options.addOption(option2);
    //Option retrievedOption = options.getOption("a");
    assertEquals("", options.toString());
}
```</v>
      </c>
      <c r="D50" s="9">
        <f ca="1">IFERROR(__xludf.DUMMYFUNCTION("""COMPUTED_VALUE"""),1)</f>
        <v>1</v>
      </c>
      <c r="E50" s="9" t="str">
        <f ca="1">IFERROR(__xludf.DUMMYFUNCTION("""COMPUTED_VALUE"""),"2024-01-10 14:46:18")</f>
        <v>2024-01-10 14:46:18</v>
      </c>
      <c r="F50" s="9">
        <f ca="1">IFERROR(__xludf.DUMMYFUNCTION("""COMPUTED_VALUE"""),152)</f>
        <v>152</v>
      </c>
      <c r="G50" s="9">
        <f ca="1">IFERROR(__xludf.DUMMYFUNCTION("""COMPUTED_VALUE"""),2)</f>
        <v>2</v>
      </c>
      <c r="H50" s="9" t="str">
        <f ca="1">IFERROR(__xludf.DUMMYFUNCTION("""COMPUTED_VALUE"""),"null")</f>
        <v>null</v>
      </c>
      <c r="I50" s="9" t="str">
        <f ca="1">IFERROR(__xludf.DUMMYFUNCTION("""COMPUTED_VALUE"""),"Y")</f>
        <v>Y</v>
      </c>
      <c r="J50" s="9" t="str">
        <f ca="1">IFERROR(__xludf.DUMMYFUNCTION("""COMPUTED_VALUE"""),"OTHER")</f>
        <v>OTHER</v>
      </c>
      <c r="K50" s="9" t="str">
        <f ca="1">IFERROR(__xludf.DUMMYFUNCTION("""COMPUTED_VALUE"""),"Other")</f>
        <v>Other</v>
      </c>
      <c r="L50" s="9"/>
      <c r="M50" s="9"/>
      <c r="N50" s="9">
        <f ca="1">IFERROR(__xludf.DUMMYFUNCTION("counta(split(B50,"" ""))"),59)</f>
        <v>59</v>
      </c>
      <c r="O50" s="9">
        <f t="shared" ca="1" si="3"/>
        <v>1847.8832855456233</v>
      </c>
    </row>
    <row r="51" spans="1:16" ht="15.75" customHeight="1">
      <c r="A51" s="9">
        <f ca="1">IFERROR(__xludf.DUMMYFUNCTION("""COMPUTED_VALUE"""),69)</f>
        <v>69</v>
      </c>
      <c r="B51" s="9" t="str">
        <f ca="1">IFERROR(__xludf.DUMMYFUNCTION("""COMPUTED_VALUE"""),"I imported Mockito but the problem remains. here is all of my code:
import java.util.ArrayList;
import java.util.Collection;
import java.util.Collections;
import java.util.HashSet;
import java.util.LinkedHashMap;
import java.util.List;
import java.util.M"&amp;"ap;
import org.junit.Test;
import static org.junit.jupiter.api.Assertions.*;
import static com.google.common.truth.Truth.*;
import static com.google.common.truth.Truth8.*;
import static org.mockito.Mockito.*;
public class TestOptions {
    public voi"&amp;"d test() throws Throwable {
        Option option1 = Mockito.mock(Option.class);
        Mockito.when(option1.getOpt()).thenReturn(""a"");
        Mockito.when(option1.getLongOpt()).thenReturn(""option1"");
        Mockito.when(option1.isRequired"&amp;"()).thenReturn(false);
        Mockito.when(option1.getDescription()).thenReturn(""Option 1"");
         Option option2 = Mockito.mock(Option.class);
        Mockito.when(option2.getOpt()).thenReturn(""b"");
        Mockito.when(option2.getLongOp"&amp;"t()).thenReturn(""option2"");
        Mockito.when(option2.isRequired()).thenReturn(true);
        Mockito.when(option2.getDescription()).thenReturn(""Option 2"");
        Options options = new Options();
        options.addOption(option1);
        optio"&amp;"ns.addOption(option2);
        //Option retrievedOption = options.getOption(""a"");
        assertEquals("""", options.toString());
    }
}
Can you find the mistake?")</f>
        <v>I imported Mockito but the problem remains. here is all of my code:
import java.util.ArrayList;
import java.util.Collection;
import java.util.Collections;
import java.util.HashSet;
import java.util.LinkedHashMap;
import java.util.List;
import java.util.Map;
import org.junit.Test;
import static org.junit.jupiter.api.Assertions.*;
import static com.google.common.truth.Truth.*;
import static com.google.common.truth.Truth8.*;
import static org.mockito.Mockito.*;
public class TestOptions {
    public void test() throws Throwable {
        Option option1 = Mockito.mock(Option.class);
        Mockito.when(option1.getOpt()).thenReturn("a");
        Mockito.when(option1.getLongOpt()).thenReturn("option1");
        Mockito.when(option1.isRequired()).thenReturn(false);
        Mockito.when(option1.getDescription()).thenReturn("Option 1");
         Option option2 = Mockito.mock(Option.class);
        Mockito.when(option2.getOpt()).thenReturn("b");
        Mockito.when(option2.getLongOpt()).thenReturn("option2");
        Mockito.when(option2.isRequired()).thenReturn(true);
        Mockito.when(option2.getDescription()).thenReturn("Option 2");
        Options options = new Options();
        options.addOption(option1);
        options.addOption(option2);
        //Option retrievedOption = options.getOption("a");
        assertEquals("", options.toString());
    }
}
Can you find the mistake?</v>
      </c>
      <c r="C51" s="9" t="str">
        <f ca="1">IFERROR(__xludf.DUMMYFUNCTION("""COMPUTED_VALUE"""),"{
  ""answer"": ""The mistake is that the imported Mockito is not being used correctly."",
  ""explanation"": ""In the code, Mockito is imported but the fully qualified name 'Mockito' is not used when creating the mock objects and stubbing their behavior."&amp;""",
  ""code"": ""Option option1 = Mockito.mock(Option.class);
Mockito.when(option1.getOpt()).thenReturn(""a"");
Mockito.when(option1.getLongOpt()).thenReturn(""option1"");
Mockito.when(option1.isRequired()).thenReturn(false);
Mockito.when(option1.getDesc"&amp;"ription()).thenReturn(""Option 1"");
Option option2 = Mockito.mock(Option.class);
Mockito.when(option2.getOpt()).thenReturn(""b"");
Mockito.when(option2.getLongOpt()).thenReturn(""option2"");
Mockito.when(option2.isRequired()).thenReturn(true);
Mockito.w"&amp;"hen(option2.getDescription()).thenReturn(""Option 2"");""
}")</f>
        <v>{
  "answer": "The mistake is that the imported Mockito is not being used correctly.",
  "explanation": "In the code, Mockito is imported but the fully qualified name 'Mockito' is not used when creating the mock objects and stubbing their behavior.",
  "code": "Option option1 = Mockito.mock(Option.class);
Mockito.when(option1.getOpt()).thenReturn("a");
Mockito.when(option1.getLongOpt()).thenReturn("option1");
Mockito.when(option1.isRequired()).thenReturn(false);
Mockito.when(option1.getDescription()).thenReturn("Option 1");
Option option2 = Mockito.mock(Option.class);
Mockito.when(option2.getOpt()).thenReturn("b");
Mockito.when(option2.getLongOpt()).thenReturn("option2");
Mockito.when(option2.isRequired()).thenReturn(true);
Mockito.when(option2.getDescription()).thenReturn("Option 2");"
}</v>
      </c>
      <c r="D51" s="9">
        <f ca="1">IFERROR(__xludf.DUMMYFUNCTION("""COMPUTED_VALUE"""),1)</f>
        <v>1</v>
      </c>
      <c r="E51" s="9" t="str">
        <f ca="1">IFERROR(__xludf.DUMMYFUNCTION("""COMPUTED_VALUE"""),"2024-01-10 14:49:18")</f>
        <v>2024-01-10 14:49:18</v>
      </c>
      <c r="F51" s="9">
        <f ca="1">IFERROR(__xludf.DUMMYFUNCTION("""COMPUTED_VALUE"""),152)</f>
        <v>152</v>
      </c>
      <c r="G51" s="9">
        <f ca="1">IFERROR(__xludf.DUMMYFUNCTION("""COMPUTED_VALUE"""),2)</f>
        <v>2</v>
      </c>
      <c r="H51" s="9" t="str">
        <f ca="1">IFERROR(__xludf.DUMMYFUNCTION("""COMPUTED_VALUE"""),"null")</f>
        <v>null</v>
      </c>
      <c r="I51" s="9" t="str">
        <f ca="1">IFERROR(__xludf.DUMMYFUNCTION("""COMPUTED_VALUE"""),"Y")</f>
        <v>Y</v>
      </c>
      <c r="J51" s="9" t="str">
        <f ca="1">IFERROR(__xludf.DUMMYFUNCTION("""COMPUTED_VALUE"""),"OTHER")</f>
        <v>OTHER</v>
      </c>
      <c r="K51" s="9" t="str">
        <f ca="1">IFERROR(__xludf.DUMMYFUNCTION("""COMPUTED_VALUE"""),"Other")</f>
        <v>Other</v>
      </c>
      <c r="L51" s="9"/>
      <c r="M51" s="9"/>
      <c r="N51" s="9">
        <f ca="1">IFERROR(__xludf.DUMMYFUNCTION("counta(split(B51,"" ""))"),76)</f>
        <v>76</v>
      </c>
      <c r="O51" s="9">
        <f t="shared" ca="1" si="3"/>
        <v>3598.4417271040647</v>
      </c>
    </row>
    <row r="52" spans="1:16" ht="15.75" customHeight="1">
      <c r="A52" s="9">
        <f ca="1">IFERROR(__xludf.DUMMYFUNCTION("""COMPUTED_VALUE"""),74)</f>
        <v>74</v>
      </c>
      <c r="B52" s="9" t="str">
        <f ca="1">IFERROR(__xludf.DUMMYFUNCTION("""COMPUTED_VALUE"""),"So how can I use it correctly?")</f>
        <v>So how can I use it correctly?</v>
      </c>
      <c r="C52" s="9" t="str">
        <f ca="1">IFERROR(__xludf.DUMMYFUNCTION("""COMPUTED_VALUE"""),"{
  ""answer"": ""To use the Options class correctly, you need to add options to it and then retrieve and process the specified options."",
  ""explanation"": ""First, you add options to the Options class using the addOption() method. Then, you can retrie"&amp;"ve and process the specified options using the getOption() method."",
  ""code"": ""Options options = new Options();
Option option = new Option(""f"", ""file"", true, ""input file"");
options.addOption(option);
CommandLineParser parser = new DefaultPars"&amp;"er();
CommandLine cmd = parser.parse(options, args);
if (cmd.hasOption(""f"")) {
  String inputFile = cmd.getOptionValue(""f"");
  // process the input file
}""
}")</f>
        <v>{
  "answer": "To use the Options class correctly, you need to add options to it and then retrieve and process the specified options.",
  "explanation": "First, you add options to the Options class using the addOption() method. Then, you can retrieve and process the specified options using the getOption() method.",
  "code": "Options options = new Options();
Option option = new Option("f", "file", true, "input file");
options.addOption(option);
CommandLineParser parser = new DefaultParser();
CommandLine cmd = parser.parse(options, args);
if (cmd.hasOption("f")) {
  String inputFile = cmd.getOptionValue("f");
  // process the input file
}"
}</v>
      </c>
      <c r="D52" s="9">
        <f ca="1">IFERROR(__xludf.DUMMYFUNCTION("""COMPUTED_VALUE"""),1)</f>
        <v>1</v>
      </c>
      <c r="E52" s="9" t="str">
        <f ca="1">IFERROR(__xludf.DUMMYFUNCTION("""COMPUTED_VALUE"""),"2024-01-10 14:51:07")</f>
        <v>2024-01-10 14:51:07</v>
      </c>
      <c r="F52" s="9">
        <f ca="1">IFERROR(__xludf.DUMMYFUNCTION("""COMPUTED_VALUE"""),152)</f>
        <v>152</v>
      </c>
      <c r="G52" s="9">
        <f ca="1">IFERROR(__xludf.DUMMYFUNCTION("""COMPUTED_VALUE"""),2)</f>
        <v>2</v>
      </c>
      <c r="H52" s="9">
        <f ca="1">IFERROR(__xludf.DUMMYFUNCTION("""COMPUTED_VALUE"""),0)</f>
        <v>0</v>
      </c>
      <c r="I52" s="9" t="str">
        <f ca="1">IFERROR(__xludf.DUMMYFUNCTION("""COMPUTED_VALUE"""),"Y")</f>
        <v>Y</v>
      </c>
      <c r="J52" s="9" t="str">
        <f ca="1">IFERROR(__xludf.DUMMYFUNCTION("""COMPUTED_VALUE"""),"OTHER")</f>
        <v>OTHER</v>
      </c>
      <c r="K52" s="9" t="str">
        <f ca="1">IFERROR(__xludf.DUMMYFUNCTION("""COMPUTED_VALUE"""),"Other")</f>
        <v>Other</v>
      </c>
      <c r="L52" s="9"/>
      <c r="M52" s="9"/>
      <c r="N52" s="9">
        <f ca="1">IFERROR(__xludf.DUMMYFUNCTION("counta(split(B52,"" ""))"),7)</f>
        <v>7</v>
      </c>
      <c r="O52" s="9">
        <f t="shared" ca="1" si="3"/>
        <v>81.23393489627253</v>
      </c>
    </row>
    <row r="53" spans="1:16" ht="15.75" customHeight="1">
      <c r="A53" s="9">
        <f ca="1">IFERROR(__xludf.DUMMYFUNCTION("""COMPUTED_VALUE"""),7)</f>
        <v>7</v>
      </c>
      <c r="B53" s="9" t="str">
        <f ca="1">IFERROR(__xludf.DUMMYFUNCTION("""COMPUTED_VALUE"""),"Kannst du mir einen Test für die Klasse schreiben?")</f>
        <v>Kannst du mir einen Test für die Klasse schreiben?</v>
      </c>
      <c r="C53" s="9" t="str">
        <f ca="1">IFERROR(__xludf.DUMMYFUNCTION("""COMPUTED_VALUE"""),"{
  ""answer"": ""Ja, ich kann Ihnen einen Test für die Klasse schreiben."",
  ""explanation"": ""Um die Klasse zu testen, können wir verschiedene Szenarien simulieren und überprüfen, ob die erwarteten Ergebnisse erzielt werden."",
  ""code"": ""import or"&amp;"g.junit.Test;
import static org.junit.Assert.*;
public class OptionsTest {
  @Test
  public void testAddOption() {
    Options options = new Options();
    Option option = new Option(""a"", ""add"", false, ""Add an item"");
    options.addOption(option)"&amp;";
    assertTrue(options.hasOption(""a""));
    assertTrue(options.hasLongOption(""add""));
  }
  // Weitere Tests hier...
}"" 
}")</f>
        <v>{
  "answer": "Ja, ich kann Ihnen einen Test für die Klasse schreiben.",
  "explanation": "Um die Klasse zu testen, können wir verschiedene Szenarien simulieren und überprüfen, ob die erwarteten Ergebnisse erzielt werden.",
  "code": "import org.junit.Test;
import static org.junit.Assert.*;
public class OptionsTest {
  @Test
  public void testAddOption() {
    Options options = new Options();
    Option option = new Option("a", "add", false, "Add an item");
    options.addOption(option);
    assertTrue(options.hasOption("a"));
    assertTrue(options.hasLongOption("add"));
  }
  // Weitere Tests hier...
}" 
}</v>
      </c>
      <c r="D53" s="9">
        <f ca="1">IFERROR(__xludf.DUMMYFUNCTION("""COMPUTED_VALUE"""),1)</f>
        <v>1</v>
      </c>
      <c r="E53" s="9" t="str">
        <f ca="1">IFERROR(__xludf.DUMMYFUNCTION("""COMPUTED_VALUE"""),"2024-01-10 14:30:06")</f>
        <v>2024-01-10 14:30:06</v>
      </c>
      <c r="F53" s="9">
        <f ca="1">IFERROR(__xludf.DUMMYFUNCTION("""COMPUTED_VALUE"""),155)</f>
        <v>155</v>
      </c>
      <c r="G53" s="9">
        <f ca="1">IFERROR(__xludf.DUMMYFUNCTION("""COMPUTED_VALUE"""),2)</f>
        <v>2</v>
      </c>
      <c r="H53" s="9" t="str">
        <f ca="1">IFERROR(__xludf.DUMMYFUNCTION("""COMPUTED_VALUE"""),"null")</f>
        <v>null</v>
      </c>
      <c r="I53" s="9" t="str">
        <f ca="1">IFERROR(__xludf.DUMMYFUNCTION("""COMPUTED_VALUE"""),"Y")</f>
        <v>Y</v>
      </c>
      <c r="J53" s="9"/>
      <c r="K53" s="9"/>
      <c r="L53" s="9"/>
      <c r="M53" s="9"/>
    </row>
    <row r="54" spans="1:16" ht="15.75" customHeight="1">
      <c r="A54" s="9">
        <f ca="1">IFERROR(__xludf.DUMMYFUNCTION("""COMPUTED_VALUE"""),48)</f>
        <v>48</v>
      </c>
      <c r="B54" s="9" t="str">
        <f ca="1">IFERROR(__xludf.DUMMYFUNCTION("""COMPUTED_VALUE"""),"How do i write a test, that mocks the options class?")</f>
        <v>How do i write a test, that mocks the options class?</v>
      </c>
      <c r="C54" s="9" t="str">
        <f ca="1">IFERROR(__xludf.DUMMYFUNCTION("""COMPUTED_VALUE"""),"{
  ""answer"": ""You can use a mocking framework like Mockito to mock the Options class."",
  ""explanation"": ""Mockito is a popular mocking framework in Java that allows you to create mock objects for testing purposes. You can use Mockito to mock the O"&amp;"ptions class and define the behavior of its methods in your test."",
  ""code"": ""import org.mockito.Mock;
import org.mockito.MockitoAnnotations;
public class OptionsTest {
  @Mock
  private Options options;
  public void setup() {
    MockitoAnnotati"&amp;"ons.initMocks(this);
  }
  // Write your test cases here
}""
}")</f>
        <v>{
  "answer": "You can use a mocking framework like Mockito to mock the Options class.",
  "explanation": "Mockito is a popular mocking framework in Java that allows you to create mock objects for testing purposes. You can use Mockito to mock the Options class and define the behavior of its methods in your test.",
  "code": "import org.mockito.Mock;
import org.mockito.MockitoAnnotations;
public class OptionsTest {
  @Mock
  private Options options;
  public void setup() {
    MockitoAnnotations.initMocks(this);
  }
  // Write your test cases here
}"
}</v>
      </c>
      <c r="D54" s="9">
        <f ca="1">IFERROR(__xludf.DUMMYFUNCTION("""COMPUTED_VALUE"""),1)</f>
        <v>1</v>
      </c>
      <c r="E54" s="9" t="str">
        <f ca="1">IFERROR(__xludf.DUMMYFUNCTION("""COMPUTED_VALUE"""),"2024-01-10 14:41:39")</f>
        <v>2024-01-10 14:41:39</v>
      </c>
      <c r="F54" s="9">
        <f ca="1">IFERROR(__xludf.DUMMYFUNCTION("""COMPUTED_VALUE"""),155)</f>
        <v>155</v>
      </c>
      <c r="G54" s="9">
        <f ca="1">IFERROR(__xludf.DUMMYFUNCTION("""COMPUTED_VALUE"""),2)</f>
        <v>2</v>
      </c>
      <c r="H54" s="9" t="str">
        <f ca="1">IFERROR(__xludf.DUMMYFUNCTION("""COMPUTED_VALUE"""),"null")</f>
        <v>null</v>
      </c>
      <c r="I54" s="9" t="str">
        <f ca="1">IFERROR(__xludf.DUMMYFUNCTION("""COMPUTED_VALUE"""),"Y")</f>
        <v>Y</v>
      </c>
      <c r="J54" s="9" t="str">
        <f ca="1">IFERROR(__xludf.DUMMYFUNCTION("""COMPUTED_VALUE"""),"OTHER")</f>
        <v>OTHER</v>
      </c>
      <c r="K54" s="9" t="str">
        <f ca="1">IFERROR(__xludf.DUMMYFUNCTION("""COMPUTED_VALUE"""),"Mock")</f>
        <v>Mock</v>
      </c>
      <c r="L54" s="9"/>
      <c r="M54" s="9"/>
      <c r="N54" s="9">
        <f ca="1">IFERROR(__xludf.DUMMYFUNCTION("counta(split(B54,"" ""))"),11)</f>
        <v>11</v>
      </c>
      <c r="O54" s="9">
        <f t="shared" ref="O54:O74" ca="1" si="4">(AVERAGE($N$2:$N$173)-N54)*(AVERAGE($N$2:$N$173)-N54)</f>
        <v>25.130038792376439</v>
      </c>
    </row>
    <row r="55" spans="1:16" ht="15.75" customHeight="1">
      <c r="A55" s="9">
        <f ca="1">IFERROR(__xludf.DUMMYFUNCTION("""COMPUTED_VALUE"""),51)</f>
        <v>51</v>
      </c>
      <c r="B55" s="9" t="str">
        <f ca="1">IFERROR(__xludf.DUMMYFUNCTION("""COMPUTED_VALUE"""),"How does the mock() method from mojito work and how do i set the behaviour?")</f>
        <v>How does the mock() method from mojito work and how do i set the behaviour?</v>
      </c>
      <c r="C55" s="9" t="str">
        <f ca="1">IFERROR(__xludf.DUMMYFUNCTION("""COMPUTED_VALUE"""),"{
  ""answer"": ""The mock() method from Mockito creates a mock object of a given class or interface, allowing you to set its behavior using when-then syntax."",
  ""explanation"": ""The mock() method creates a mock object that can be used to simulate the"&amp;" behavior of a real object during testing. You can set the behavior of the mock object using the when-then syntax to define what should happen when specific methods are called."",
  ""code"": ""Example:
// Create a mock object of the List interface
List&lt;"&amp;"String&gt; mockList = Mockito.mock(List.class);
// Set the behavior of the mock object
Mockito.when(mockList.size()).thenReturn(10);
// Verify the behavior
assertEquals(10, mockList.size());""
}")</f>
        <v>{
  "answer": "The mock() method from Mockito creates a mock object of a given class or interface, allowing you to set its behavior using when-then syntax.",
  "explanation": "The mock() method creates a mock object that can be used to simulate the behavior of a real object during testing. You can set the behavior of the mock object using the when-then syntax to define what should happen when specific methods are called.",
  "code": "Example:
// Create a mock object of the List interface
List&lt;String&gt; mockList = Mockito.mock(List.class);
// Set the behavior of the mock object
Mockito.when(mockList.size()).thenReturn(10);
// Verify the behavior
assertEquals(10, mockList.size());"
}</v>
      </c>
      <c r="D55" s="9">
        <f ca="1">IFERROR(__xludf.DUMMYFUNCTION("""COMPUTED_VALUE"""),1)</f>
        <v>1</v>
      </c>
      <c r="E55" s="9" t="str">
        <f ca="1">IFERROR(__xludf.DUMMYFUNCTION("""COMPUTED_VALUE"""),"2024-01-10 14:42:31")</f>
        <v>2024-01-10 14:42:31</v>
      </c>
      <c r="F55" s="9">
        <f ca="1">IFERROR(__xludf.DUMMYFUNCTION("""COMPUTED_VALUE"""),155)</f>
        <v>155</v>
      </c>
      <c r="G55" s="9">
        <f ca="1">IFERROR(__xludf.DUMMYFUNCTION("""COMPUTED_VALUE"""),2)</f>
        <v>2</v>
      </c>
      <c r="H55" s="9" t="str">
        <f ca="1">IFERROR(__xludf.DUMMYFUNCTION("""COMPUTED_VALUE"""),"null")</f>
        <v>null</v>
      </c>
      <c r="I55" s="9" t="str">
        <f ca="1">IFERROR(__xludf.DUMMYFUNCTION("""COMPUTED_VALUE"""),"Y")</f>
        <v>Y</v>
      </c>
      <c r="J55" s="9" t="str">
        <f ca="1">IFERROR(__xludf.DUMMYFUNCTION("""COMPUTED_VALUE"""),"OTHER")</f>
        <v>OTHER</v>
      </c>
      <c r="K55" s="9" t="str">
        <f ca="1">IFERROR(__xludf.DUMMYFUNCTION("""COMPUTED_VALUE"""),"Mock")</f>
        <v>Mock</v>
      </c>
      <c r="L55" s="9"/>
      <c r="M55" s="9"/>
      <c r="N55" s="9">
        <f ca="1">IFERROR(__xludf.DUMMYFUNCTION("counta(split(B55,"" ""))"),15)</f>
        <v>15</v>
      </c>
      <c r="O55" s="9">
        <f t="shared" ca="1" si="4"/>
        <v>1.0261426884803475</v>
      </c>
    </row>
    <row r="56" spans="1:16" ht="15.75" customHeight="1">
      <c r="A56" s="9">
        <f ca="1">IFERROR(__xludf.DUMMYFUNCTION("""COMPUTED_VALUE"""),25)</f>
        <v>25</v>
      </c>
      <c r="B56" s="9" t="str">
        <f ca="1">IFERROR(__xludf.DUMMYFUNCTION("""COMPUTED_VALUE"""),"How do i test the addOption(Option) method?")</f>
        <v>How do i test the addOption(Option) method?</v>
      </c>
      <c r="C56" s="9" t="str">
        <f ca="1">IFERROR(__xludf.DUMMYFUNCTION("""COMPUTED_VALUE"""),"{
  ""answer"": ""You can test the addOption(Option) method by creating an instance of Options, adding an Option to it, and then verifying that the Option is successfully added."",
  ""explanation"": ""To test the addOption(Option) method, you can create "&amp;"an instance of the Options class, add an Option to it using the addOption() method, and then verify that the Option is present in the Options instance."",
  ""code"": ""Options options = new Options();
Option option = new Option(""o"", ""option"", false, "&amp;"""An option"");
options.addOption(option);
boolean hasOption = options.hasOption(""o"");
System.out.println(hasOption); // Output: true""
}")</f>
        <v>{
  "answer": "You can test the addOption(Option) method by creating an instance of Options, adding an Option to it, and then verifying that the Option is successfully added.",
  "explanation": "To test the addOption(Option) method, you can create an instance of the Options class, add an Option to it using the addOption() method, and then verify that the Option is present in the Options instance.",
  "code": "Options options = new Options();
Option option = new Option("o", "option", false, "An option");
options.addOption(option);
boolean hasOption = options.hasOption("o");
System.out.println(hasOption); // Output: true"
}</v>
      </c>
      <c r="D56" s="9">
        <f ca="1">IFERROR(__xludf.DUMMYFUNCTION("""COMPUTED_VALUE"""),1)</f>
        <v>1</v>
      </c>
      <c r="E56" s="9" t="str">
        <f ca="1">IFERROR(__xludf.DUMMYFUNCTION("""COMPUTED_VALUE"""),"2024-01-10 14:36:07")</f>
        <v>2024-01-10 14:36:07</v>
      </c>
      <c r="F56" s="9">
        <f ca="1">IFERROR(__xludf.DUMMYFUNCTION("""COMPUTED_VALUE"""),156)</f>
        <v>156</v>
      </c>
      <c r="G56" s="9">
        <f ca="1">IFERROR(__xludf.DUMMYFUNCTION("""COMPUTED_VALUE"""),2)</f>
        <v>2</v>
      </c>
      <c r="H56" s="9">
        <f ca="1">IFERROR(__xludf.DUMMYFUNCTION("""COMPUTED_VALUE"""),1)</f>
        <v>1</v>
      </c>
      <c r="I56" s="9" t="str">
        <f ca="1">IFERROR(__xludf.DUMMYFUNCTION("""COMPUTED_VALUE"""),"Y")</f>
        <v>Y</v>
      </c>
      <c r="J56" s="9" t="str">
        <f ca="1">IFERROR(__xludf.DUMMYFUNCTION("""COMPUTED_VALUE"""),"TEST")</f>
        <v>TEST</v>
      </c>
      <c r="K56" s="9" t="str">
        <f ca="1">IFERROR(__xludf.DUMMYFUNCTION("""COMPUTED_VALUE"""),"Specific method")</f>
        <v>Specific method</v>
      </c>
      <c r="L56" s="9" t="str">
        <f ca="1">IFERROR(__xludf.DUMMYFUNCTION("""COMPUTED_VALUE"""),"addOption")</f>
        <v>addOption</v>
      </c>
      <c r="M56" s="9" t="str">
        <f ca="1">IFERROR(__xludf.DUMMYFUNCTION("""COMPUTED_VALUE"""),"addOption")</f>
        <v>addOption</v>
      </c>
      <c r="N56" s="9">
        <f ca="1">IFERROR(__xludf.DUMMYFUNCTION("counta(split(B56,"" ""))"),7)</f>
        <v>7</v>
      </c>
      <c r="O56" s="9">
        <f t="shared" ca="1" si="4"/>
        <v>81.23393489627253</v>
      </c>
      <c r="P56" s="9" t="s">
        <v>689</v>
      </c>
    </row>
    <row r="57" spans="1:16" ht="15.75" customHeight="1">
      <c r="A57" s="9">
        <f ca="1">IFERROR(__xludf.DUMMYFUNCTION("""COMPUTED_VALUE"""),31)</f>
        <v>31</v>
      </c>
      <c r="B57" s="9" t="str">
        <f ca="1">IFERROR(__xludf.DUMMYFUNCTION("""COMPUTED_VALUE"""),"Create a mockito instance for new Option(""o"", ""option"", false, ""An option"");")</f>
        <v>Create a mockito instance for new Option("o", "option", false, "An option");</v>
      </c>
      <c r="C57" s="9" t="str">
        <f ca="1">IFERROR(__xludf.DUMMYFUNCTION("""COMPUTED_VALUE"""),"Answer:
Mockito cannot be used to mock the Option class because it is a final class.
Explanation:
Mockito cannot mock final classes, and the Option class is a final class.
Code:
")</f>
        <v xml:space="preserve">Answer:
Mockito cannot be used to mock the Option class because it is a final class.
Explanation:
Mockito cannot mock final classes, and the Option class is a final class.
Code:
</v>
      </c>
      <c r="D57" s="9">
        <f ca="1">IFERROR(__xludf.DUMMYFUNCTION("""COMPUTED_VALUE"""),0)</f>
        <v>0</v>
      </c>
      <c r="E57" s="9" t="str">
        <f ca="1">IFERROR(__xludf.DUMMYFUNCTION("""COMPUTED_VALUE"""),"2024-01-10 14:37:33")</f>
        <v>2024-01-10 14:37:33</v>
      </c>
      <c r="F57" s="9">
        <f ca="1">IFERROR(__xludf.DUMMYFUNCTION("""COMPUTED_VALUE"""),156)</f>
        <v>156</v>
      </c>
      <c r="G57" s="9">
        <f ca="1">IFERROR(__xludf.DUMMYFUNCTION("""COMPUTED_VALUE"""),2)</f>
        <v>2</v>
      </c>
      <c r="H57" s="9">
        <f ca="1">IFERROR(__xludf.DUMMYFUNCTION("""COMPUTED_VALUE"""),0)</f>
        <v>0</v>
      </c>
      <c r="I57" s="9" t="str">
        <f ca="1">IFERROR(__xludf.DUMMYFUNCTION("""COMPUTED_VALUE"""),"Y")</f>
        <v>Y</v>
      </c>
      <c r="J57" s="9" t="str">
        <f ca="1">IFERROR(__xludf.DUMMYFUNCTION("""COMPUTED_VALUE"""),"OTHER")</f>
        <v>OTHER</v>
      </c>
      <c r="K57" s="9" t="str">
        <f ca="1">IFERROR(__xludf.DUMMYFUNCTION("""COMPUTED_VALUE"""),"Mock")</f>
        <v>Mock</v>
      </c>
      <c r="L57" s="9"/>
      <c r="M57" s="9"/>
      <c r="N57" s="9">
        <f ca="1">IFERROR(__xludf.DUMMYFUNCTION("counta(split(B57,"" ""))"),11)</f>
        <v>11</v>
      </c>
      <c r="O57" s="9">
        <f t="shared" ca="1" si="4"/>
        <v>25.130038792376439</v>
      </c>
    </row>
    <row r="58" spans="1:16" ht="15.75" customHeight="1">
      <c r="A58" s="9">
        <f ca="1">IFERROR(__xludf.DUMMYFUNCTION("""COMPUTED_VALUE"""),34)</f>
        <v>34</v>
      </c>
      <c r="B58" s="9" t="str">
        <f ca="1">IFERROR(__xludf.DUMMYFUNCTION("""COMPUTED_VALUE"""),"Create a mockito instance for the Option interface")</f>
        <v>Create a mockito instance for the Option interface</v>
      </c>
      <c r="C58" s="9" t="str">
        <f ca="1">IFERROR(__xludf.DUMMYFUNCTION("""COMPUTED_VALUE"""),"Answer:
Yes, you can create a Mockito instance for the Option interface.
Explanation:
Mockito can create mock instances for interfaces, including the Option interface.
Code:
Option optionMock = Mockito.mock(Option.class);")</f>
        <v>Answer:
Yes, you can create a Mockito instance for the Option interface.
Explanation:
Mockito can create mock instances for interfaces, including the Option interface.
Code:
Option optionMock = Mockito.mock(Option.class);</v>
      </c>
      <c r="D58" s="9">
        <f ca="1">IFERROR(__xludf.DUMMYFUNCTION("""COMPUTED_VALUE"""),0)</f>
        <v>0</v>
      </c>
      <c r="E58" s="9" t="str">
        <f ca="1">IFERROR(__xludf.DUMMYFUNCTION("""COMPUTED_VALUE"""),"2024-01-10 14:38:11")</f>
        <v>2024-01-10 14:38:11</v>
      </c>
      <c r="F58" s="9">
        <f ca="1">IFERROR(__xludf.DUMMYFUNCTION("""COMPUTED_VALUE"""),156)</f>
        <v>156</v>
      </c>
      <c r="G58" s="9">
        <f ca="1">IFERROR(__xludf.DUMMYFUNCTION("""COMPUTED_VALUE"""),2)</f>
        <v>2</v>
      </c>
      <c r="H58" s="9">
        <f ca="1">IFERROR(__xludf.DUMMYFUNCTION("""COMPUTED_VALUE"""),0)</f>
        <v>0</v>
      </c>
      <c r="I58" s="9" t="str">
        <f ca="1">IFERROR(__xludf.DUMMYFUNCTION("""COMPUTED_VALUE"""),"Y")</f>
        <v>Y</v>
      </c>
      <c r="J58" s="9" t="str">
        <f ca="1">IFERROR(__xludf.DUMMYFUNCTION("""COMPUTED_VALUE"""),"OTHER")</f>
        <v>OTHER</v>
      </c>
      <c r="K58" s="9" t="str">
        <f ca="1">IFERROR(__xludf.DUMMYFUNCTION("""COMPUTED_VALUE"""),"Mock")</f>
        <v>Mock</v>
      </c>
      <c r="L58" s="9"/>
      <c r="M58" s="9"/>
      <c r="N58" s="9">
        <f ca="1">IFERROR(__xludf.DUMMYFUNCTION("counta(split(B58,"" ""))"),8)</f>
        <v>8</v>
      </c>
      <c r="O58" s="9">
        <f t="shared" ca="1" si="4"/>
        <v>64.207960870298507</v>
      </c>
    </row>
    <row r="59" spans="1:16" ht="15.75" customHeight="1">
      <c r="A59" s="9">
        <f ca="1">IFERROR(__xludf.DUMMYFUNCTION("""COMPUTED_VALUE"""),40)</f>
        <v>40</v>
      </c>
      <c r="B59" s="9" t="str">
        <f ca="1">IFERROR(__xludf.DUMMYFUNCTION("""COMPUTED_VALUE"""),"Show me how to create a mockito instance for a class that implements the Option interface")</f>
        <v>Show me how to create a mockito instance for a class that implements the Option interface</v>
      </c>
      <c r="C59" s="9" t="str">
        <f ca="1">IFERROR(__xludf.DUMMYFUNCTION("""COMPUTED_VALUE"""),"Answer:
You can create a Mockito instance for a class that implements the Option interface using the Mockito.mock() method.
Explanation:
Mockito.mock() is a method provided by the Mockito framework that creates a mock instance of a given class or interfa"&amp;"ce.
Code:
Option optionMock = Mockito.mock(Option.class);")</f>
        <v>Answer:
You can create a Mockito instance for a class that implements the Option interface using the Mockito.mock() method.
Explanation:
Mockito.mock() is a method provided by the Mockito framework that creates a mock instance of a given class or interface.
Code:
Option optionMock = Mockito.mock(Option.class);</v>
      </c>
      <c r="D59" s="9">
        <f ca="1">IFERROR(__xludf.DUMMYFUNCTION("""COMPUTED_VALUE"""),1)</f>
        <v>1</v>
      </c>
      <c r="E59" s="9" t="str">
        <f ca="1">IFERROR(__xludf.DUMMYFUNCTION("""COMPUTED_VALUE"""),"2024-01-10 14:39:18")</f>
        <v>2024-01-10 14:39:18</v>
      </c>
      <c r="F59" s="9">
        <f ca="1">IFERROR(__xludf.DUMMYFUNCTION("""COMPUTED_VALUE"""),156)</f>
        <v>156</v>
      </c>
      <c r="G59" s="9">
        <f ca="1">IFERROR(__xludf.DUMMYFUNCTION("""COMPUTED_VALUE"""),2)</f>
        <v>2</v>
      </c>
      <c r="H59" s="9" t="str">
        <f ca="1">IFERROR(__xludf.DUMMYFUNCTION("""COMPUTED_VALUE"""),"null")</f>
        <v>null</v>
      </c>
      <c r="I59" s="9" t="str">
        <f ca="1">IFERROR(__xludf.DUMMYFUNCTION("""COMPUTED_VALUE"""),"Y")</f>
        <v>Y</v>
      </c>
      <c r="J59" s="9" t="str">
        <f ca="1">IFERROR(__xludf.DUMMYFUNCTION("""COMPUTED_VALUE"""),"OTHER")</f>
        <v>OTHER</v>
      </c>
      <c r="K59" s="9" t="str">
        <f ca="1">IFERROR(__xludf.DUMMYFUNCTION("""COMPUTED_VALUE"""),"Mock")</f>
        <v>Mock</v>
      </c>
      <c r="L59" s="9"/>
      <c r="M59" s="9"/>
      <c r="N59" s="9">
        <f ca="1">IFERROR(__xludf.DUMMYFUNCTION("counta(split(B59,"" ""))"),16)</f>
        <v>16</v>
      </c>
      <c r="O59" s="9">
        <f t="shared" ca="1" si="4"/>
        <v>1.6866250632480083E-4</v>
      </c>
    </row>
    <row r="60" spans="1:16" ht="15.75" customHeight="1">
      <c r="A60" s="9">
        <f ca="1">IFERROR(__xludf.DUMMYFUNCTION("""COMPUTED_VALUE"""),45)</f>
        <v>45</v>
      </c>
      <c r="B60" s="9" t="str">
        <f ca="1">IFERROR(__xludf.DUMMYFUNCTION("""COMPUTED_VALUE"""),"Explain the most common concepts of Moquito")</f>
        <v>Explain the most common concepts of Moquito</v>
      </c>
      <c r="C60" s="9" t="str">
        <f ca="1">IFERROR(__xludf.DUMMYFUNCTION("""COMPUTED_VALUE"""),"{
  ""answer"": ""The most common concepts of Mockito are mocking, stubbing, verifying, and capturing arguments."",
  ""explanation"": ""Mockito is a mocking framework for Java that allows you to create mock objects, stub method calls, verify method invoc"&amp;"ations, and capture arguments passed to methods."",
  ""code"": ""Example:
// Creating a mock object
List&lt;String&gt; mockList = Mockito.mock(List.class);
// Stubbing a method call
Mockito.when(mockList.size()).thenReturn(10);
// Verifying a method invocat"&amp;"ion
Mockito.verify(mockList).add(""item"");
// Capturing arguments passed to a method
ArgumentCaptor&lt;String&gt; captor = ArgumentCaptor.forClass(String.class);
Mockito.verify(mockList).add(captor.capture());
String capturedArg = captor.getValue();""
}")</f>
        <v>{
  "answer": "The most common concepts of Mockito are mocking, stubbing, verifying, and capturing arguments.",
  "explanation": "Mockito is a mocking framework for Java that allows you to create mock objects, stub method calls, verify method invocations, and capture arguments passed to methods.",
  "code": "Example:
// Creating a mock object
List&lt;String&gt; mockList = Mockito.mock(List.class);
// Stubbing a method call
Mockito.when(mockList.size()).thenReturn(10);
// Verifying a method invocation
Mockito.verify(mockList).add("item");
// Capturing arguments passed to a method
ArgumentCaptor&lt;String&gt; captor = ArgumentCaptor.forClass(String.class);
Mockito.verify(mockList).add(captor.capture());
String capturedArg = captor.getValue();"
}</v>
      </c>
      <c r="D60" s="9">
        <f ca="1">IFERROR(__xludf.DUMMYFUNCTION("""COMPUTED_VALUE"""),1)</f>
        <v>1</v>
      </c>
      <c r="E60" s="9" t="str">
        <f ca="1">IFERROR(__xludf.DUMMYFUNCTION("""COMPUTED_VALUE"""),"2024-01-10 14:41:30")</f>
        <v>2024-01-10 14:41:30</v>
      </c>
      <c r="F60" s="9">
        <f ca="1">IFERROR(__xludf.DUMMYFUNCTION("""COMPUTED_VALUE"""),156)</f>
        <v>156</v>
      </c>
      <c r="G60" s="9">
        <f ca="1">IFERROR(__xludf.DUMMYFUNCTION("""COMPUTED_VALUE"""),2)</f>
        <v>2</v>
      </c>
      <c r="H60" s="9" t="str">
        <f ca="1">IFERROR(__xludf.DUMMYFUNCTION("""COMPUTED_VALUE"""),"null")</f>
        <v>null</v>
      </c>
      <c r="I60" s="9" t="str">
        <f ca="1">IFERROR(__xludf.DUMMYFUNCTION("""COMPUTED_VALUE"""),"Y")</f>
        <v>Y</v>
      </c>
      <c r="J60" s="9" t="str">
        <f ca="1">IFERROR(__xludf.DUMMYFUNCTION("""COMPUTED_VALUE"""),"OTHER")</f>
        <v>OTHER</v>
      </c>
      <c r="K60" s="9" t="str">
        <f ca="1">IFERROR(__xludf.DUMMYFUNCTION("""COMPUTED_VALUE"""),"Mock")</f>
        <v>Mock</v>
      </c>
      <c r="L60" s="9"/>
      <c r="M60" s="9"/>
      <c r="N60" s="9">
        <f ca="1">IFERROR(__xludf.DUMMYFUNCTION("counta(split(B60,"" ""))"),7)</f>
        <v>7</v>
      </c>
      <c r="O60" s="9">
        <f t="shared" ca="1" si="4"/>
        <v>81.23393489627253</v>
      </c>
    </row>
    <row r="61" spans="1:16" ht="15.75" customHeight="1">
      <c r="A61" s="9">
        <f ca="1">IFERROR(__xludf.DUMMYFUNCTION("""COMPUTED_VALUE"""),67)</f>
        <v>67</v>
      </c>
      <c r="B61" s="9" t="str">
        <f ca="1">IFERROR(__xludf.DUMMYFUNCTION("""COMPUTED_VALUE"""),"How does a typical output of the Options.toString() method look like?")</f>
        <v>How does a typical output of the Options.toString() method look like?</v>
      </c>
      <c r="C61" s="9" t="str">
        <f ca="1">IFERROR(__xludf.DUMMYFUNCTION("""COMPUTED_VALUE"""),"{
  ""answer"": ""The typical output of the Options.toString() method includes the short options and long options."",
  ""explanation"": ""The toString() method of the Options class returns a string representation of the Options object, including the shor"&amp;"t options and long options."",
  ""code"": ""Options options = new Options();
options.addOption(Option.builder(""a"").longOpt(""all"").build());
options.addOption(Option.builder(""b"").longOpt(""block-size"").hasArg().build());
System.out.println(options."&amp;"toString());""
}")</f>
        <v>{
  "answer": "The typical output of the Options.toString() method includes the short options and long options.",
  "explanation": "The toString() method of the Options class returns a string representation of the Options object, including the short options and long options.",
  "code": "Options options = new Options();
options.addOption(Option.builder("a").longOpt("all").build());
options.addOption(Option.builder("b").longOpt("block-size").hasArg().build());
System.out.println(options.toString());"
}</v>
      </c>
      <c r="D61" s="9">
        <f ca="1">IFERROR(__xludf.DUMMYFUNCTION("""COMPUTED_VALUE"""),1)</f>
        <v>1</v>
      </c>
      <c r="E61" s="9" t="str">
        <f ca="1">IFERROR(__xludf.DUMMYFUNCTION("""COMPUTED_VALUE"""),"2024-01-10 14:48:45")</f>
        <v>2024-01-10 14:48:45</v>
      </c>
      <c r="F61" s="9">
        <f ca="1">IFERROR(__xludf.DUMMYFUNCTION("""COMPUTED_VALUE"""),156)</f>
        <v>156</v>
      </c>
      <c r="G61" s="9">
        <f ca="1">IFERROR(__xludf.DUMMYFUNCTION("""COMPUTED_VALUE"""),2)</f>
        <v>2</v>
      </c>
      <c r="H61" s="9" t="str">
        <f ca="1">IFERROR(__xludf.DUMMYFUNCTION("""COMPUTED_VALUE"""),"null")</f>
        <v>null</v>
      </c>
      <c r="I61" s="9" t="str">
        <f ca="1">IFERROR(__xludf.DUMMYFUNCTION("""COMPUTED_VALUE"""),"Y")</f>
        <v>Y</v>
      </c>
      <c r="J61" s="9" t="str">
        <f ca="1">IFERROR(__xludf.DUMMYFUNCTION("""COMPUTED_VALUE"""),"OTHER")</f>
        <v>OTHER</v>
      </c>
      <c r="K61" s="9" t="str">
        <f ca="1">IFERROR(__xludf.DUMMYFUNCTION("""COMPUTED_VALUE"""),"Code under test")</f>
        <v>Code under test</v>
      </c>
      <c r="L61" s="9"/>
      <c r="M61" s="9"/>
      <c r="N61" s="9">
        <f ca="1">IFERROR(__xludf.DUMMYFUNCTION("counta(split(B61,"" ""))"),11)</f>
        <v>11</v>
      </c>
      <c r="O61" s="9">
        <f t="shared" ca="1" si="4"/>
        <v>25.130038792376439</v>
      </c>
    </row>
    <row r="62" spans="1:16" ht="15.75" customHeight="1">
      <c r="A62" s="9">
        <f ca="1">IFERROR(__xludf.DUMMYFUNCTION("""COMPUTED_VALUE"""),71)</f>
        <v>71</v>
      </c>
      <c r="B62" s="9" t="str">
        <f ca="1">IFERROR(__xludf.DUMMYFUNCTION("""COMPUTED_VALUE"""),"How does the concrete return value of the Options.toString() method look like for two options?")</f>
        <v>How does the concrete return value of the Options.toString() method look like for two options?</v>
      </c>
      <c r="C62" s="9" t="str">
        <f ca="1">IFERROR(__xludf.DUMMYFUNCTION("""COMPUTED_VALUE"""),"{
  ""answer"": ""[ Options: [ short {option1, option2} ] [ long {option1, option2} ]"",
  ""explanation"": ""The toString() method returns a string representation of the Options object, including the short and long options."",
  ""code"": ""Options optio"&amp;"ns = new Options();
Option option1 = new Option(""o"", ""option1"", false, ""Option 1"");
Option option2 = new Option(""t"", ""option2"", false, ""Option 2"");
options.addOption(option1);
options.addOption(option2);
System.out.println(options.toString());"&amp;"""
}")</f>
        <v>{
  "answer": "[ Options: [ short {option1, option2} ] [ long {option1, option2} ]",
  "explanation": "The toString() method returns a string representation of the Options object, including the short and long options.",
  "code": "Options options = new Options();
Option option1 = new Option("o", "option1", false, "Option 1");
Option option2 = new Option("t", "option2", false, "Option 2");
options.addOption(option1);
options.addOption(option2);
System.out.println(options.toString());"
}</v>
      </c>
      <c r="D62" s="9">
        <f ca="1">IFERROR(__xludf.DUMMYFUNCTION("""COMPUTED_VALUE"""),1)</f>
        <v>1</v>
      </c>
      <c r="E62" s="9" t="str">
        <f ca="1">IFERROR(__xludf.DUMMYFUNCTION("""COMPUTED_VALUE"""),"2024-01-10 14:50:02")</f>
        <v>2024-01-10 14:50:02</v>
      </c>
      <c r="F62" s="9">
        <f ca="1">IFERROR(__xludf.DUMMYFUNCTION("""COMPUTED_VALUE"""),156)</f>
        <v>156</v>
      </c>
      <c r="G62" s="9">
        <f ca="1">IFERROR(__xludf.DUMMYFUNCTION("""COMPUTED_VALUE"""),2)</f>
        <v>2</v>
      </c>
      <c r="H62" s="9" t="str">
        <f ca="1">IFERROR(__xludf.DUMMYFUNCTION("""COMPUTED_VALUE"""),"null")</f>
        <v>null</v>
      </c>
      <c r="I62" s="9" t="str">
        <f ca="1">IFERROR(__xludf.DUMMYFUNCTION("""COMPUTED_VALUE"""),"Y")</f>
        <v>Y</v>
      </c>
      <c r="J62" s="9" t="str">
        <f ca="1">IFERROR(__xludf.DUMMYFUNCTION("""COMPUTED_VALUE"""),"OTHER")</f>
        <v>OTHER</v>
      </c>
      <c r="K62" s="9" t="str">
        <f ca="1">IFERROR(__xludf.DUMMYFUNCTION("""COMPUTED_VALUE"""),"Code under test")</f>
        <v>Code under test</v>
      </c>
      <c r="L62" s="9"/>
      <c r="M62" s="9"/>
      <c r="N62" s="9">
        <f ca="1">IFERROR(__xludf.DUMMYFUNCTION("counta(split(B62,"" ""))"),15)</f>
        <v>15</v>
      </c>
      <c r="O62" s="9">
        <f t="shared" ca="1" si="4"/>
        <v>1.0261426884803475</v>
      </c>
    </row>
    <row r="63" spans="1:16" ht="15.75" customHeight="1">
      <c r="A63" s="9">
        <f ca="1">IFERROR(__xludf.DUMMYFUNCTION("""COMPUTED_VALUE"""),16)</f>
        <v>16</v>
      </c>
      <c r="B63" s="9" t="str">
        <f ca="1">IFERROR(__xludf.DUMMYFUNCTION("""COMPUTED_VALUE"""),"Explain the class Option to me. include an explaination about each Method individually.")</f>
        <v>Explain the class Option to me. include an explaination about each Method individually.</v>
      </c>
      <c r="C63" s="9" t="str">
        <f ca="1">IFERROR(__xludf.DUMMYFUNCTION("""COMPUTED_VALUE"""),"{
  ""answer"": ""The Option class represents a command-line option."",
  ""explanation"": ""The Option class provides methods to set and retrieve the properties of a command-line option, such as its short and long names, whether it requires a value, and "&amp;"whether it is required."",
  ""code"": ""Option option = new Option(""o"", ""output"", true, ""Output file"");
option.setRequired(true);
option.setArgName(""file"");
option.setDescription(""Specifies the output file."");""
}")</f>
        <v>{
  "answer": "The Option class represents a command-line option.",
  "explanation": "The Option class provides methods to set and retrieve the properties of a command-line option, such as its short and long names, whether it requires a value, and whether it is required.",
  "code": "Option option = new Option("o", "output", true, "Output file");
option.setRequired(true);
option.setArgName("file");
option.setDescription("Specifies the output file.");"
}</v>
      </c>
      <c r="D63" s="9">
        <f ca="1">IFERROR(__xludf.DUMMYFUNCTION("""COMPUTED_VALUE"""),1)</f>
        <v>1</v>
      </c>
      <c r="E63" s="9" t="str">
        <f ca="1">IFERROR(__xludf.DUMMYFUNCTION("""COMPUTED_VALUE"""),"2024-01-10 14:35:06")</f>
        <v>2024-01-10 14:35:06</v>
      </c>
      <c r="F63" s="9">
        <f ca="1">IFERROR(__xludf.DUMMYFUNCTION("""COMPUTED_VALUE"""),157)</f>
        <v>157</v>
      </c>
      <c r="G63" s="9">
        <f ca="1">IFERROR(__xludf.DUMMYFUNCTION("""COMPUTED_VALUE"""),2)</f>
        <v>2</v>
      </c>
      <c r="H63" s="9">
        <f ca="1">IFERROR(__xludf.DUMMYFUNCTION("""COMPUTED_VALUE"""),0)</f>
        <v>0</v>
      </c>
      <c r="I63" s="9" t="str">
        <f ca="1">IFERROR(__xludf.DUMMYFUNCTION("""COMPUTED_VALUE"""),"Y")</f>
        <v>Y</v>
      </c>
      <c r="J63" s="9" t="str">
        <f ca="1">IFERROR(__xludf.DUMMYFUNCTION("""COMPUTED_VALUE"""),"OTHER")</f>
        <v>OTHER</v>
      </c>
      <c r="K63" s="9" t="str">
        <f ca="1">IFERROR(__xludf.DUMMYFUNCTION("""COMPUTED_VALUE"""),"Code under test")</f>
        <v>Code under test</v>
      </c>
      <c r="L63" s="9"/>
      <c r="M63" s="9"/>
      <c r="N63" s="9">
        <f ca="1">IFERROR(__xludf.DUMMYFUNCTION("counta(split(B63,"" ""))"),13)</f>
        <v>13</v>
      </c>
      <c r="O63" s="9">
        <f t="shared" ca="1" si="4"/>
        <v>9.0780907404283919</v>
      </c>
    </row>
    <row r="64" spans="1:16" ht="15.75" customHeight="1">
      <c r="A64" s="9">
        <f ca="1">IFERROR(__xludf.DUMMYFUNCTION("""COMPUTED_VALUE"""),30)</f>
        <v>30</v>
      </c>
      <c r="B64" s="9" t="str">
        <f ca="1">IFERROR(__xludf.DUMMYFUNCTION("""COMPUTED_VALUE"""),"Expalin the Method stripLeadingHyphens() to me")</f>
        <v>Expalin the Method stripLeadingHyphens() to me</v>
      </c>
      <c r="C64" s="9" t="str">
        <f ca="1">IFERROR(__xludf.DUMMYFUNCTION("""COMPUTED_VALUE"""),"{
  ""answer"": ""The stripLeadingHyphens() method removes leading hyphens from a string."",
  ""explanation"": ""The stripLeadingHyphens() method is used to remove any leading hyphens from a given string. It checks if the string starts with '--' or '-' a"&amp;"nd removes them if present."",
  ""code"": ""String str = ""--example"";
String stripped = stripLeadingHyphens(str);
System.out.println(stripped); // Output: example""
}")</f>
        <v>{
  "answer": "The stripLeadingHyphens() method removes leading hyphens from a string.",
  "explanation": "The stripLeadingHyphens() method is used to remove any leading hyphens from a given string. It checks if the string starts with '--' or '-' and removes them if present.",
  "code": "String str = "--example";
String stripped = stripLeadingHyphens(str);
System.out.println(stripped); // Output: example"
}</v>
      </c>
      <c r="D64" s="9">
        <f ca="1">IFERROR(__xludf.DUMMYFUNCTION("""COMPUTED_VALUE"""),0)</f>
        <v>0</v>
      </c>
      <c r="E64" s="9" t="str">
        <f ca="1">IFERROR(__xludf.DUMMYFUNCTION("""COMPUTED_VALUE"""),"2024-01-10 14:36:43")</f>
        <v>2024-01-10 14:36:43</v>
      </c>
      <c r="F64" s="9">
        <f ca="1">IFERROR(__xludf.DUMMYFUNCTION("""COMPUTED_VALUE"""),157)</f>
        <v>157</v>
      </c>
      <c r="G64" s="9">
        <f ca="1">IFERROR(__xludf.DUMMYFUNCTION("""COMPUTED_VALUE"""),2)</f>
        <v>2</v>
      </c>
      <c r="H64" s="9" t="str">
        <f ca="1">IFERROR(__xludf.DUMMYFUNCTION("""COMPUTED_VALUE"""),"null")</f>
        <v>null</v>
      </c>
      <c r="I64" s="9" t="str">
        <f ca="1">IFERROR(__xludf.DUMMYFUNCTION("""COMPUTED_VALUE"""),"Y")</f>
        <v>Y</v>
      </c>
      <c r="J64" s="9" t="str">
        <f ca="1">IFERROR(__xludf.DUMMYFUNCTION("""COMPUTED_VALUE"""),"OTHER")</f>
        <v>OTHER</v>
      </c>
      <c r="K64" s="9" t="str">
        <f ca="1">IFERROR(__xludf.DUMMYFUNCTION("""COMPUTED_VALUE"""),"Code under test")</f>
        <v>Code under test</v>
      </c>
      <c r="L64" s="9"/>
      <c r="M64" s="9"/>
      <c r="N64" s="9">
        <f ca="1">IFERROR(__xludf.DUMMYFUNCTION("counta(split(B64,"" ""))"),6)</f>
        <v>6</v>
      </c>
      <c r="O64" s="9">
        <f t="shared" ca="1" si="4"/>
        <v>100.25990892224655</v>
      </c>
    </row>
    <row r="65" spans="1:17" ht="15.75" customHeight="1">
      <c r="A65" s="9">
        <f ca="1">IFERROR(__xludf.DUMMYFUNCTION("""COMPUTED_VALUE"""),37)</f>
        <v>37</v>
      </c>
      <c r="B65" s="9" t="str">
        <f ca="1">IFERROR(__xludf.DUMMYFUNCTION("""COMPUTED_VALUE"""),"Explain  public List&lt;String&gt; getMatchingOptions(String opt). Explain what exactly this method does.")</f>
        <v>Explain  public List&lt;String&gt; getMatchingOptions(String opt). Explain what exactly this method does.</v>
      </c>
      <c r="C65" s="9" t="str">
        <f ca="1">IFERROR(__xludf.DUMMYFUNCTION("""COMPUTED_VALUE"""),"{
  ""answer"": ""This method returns a list of options that match the given partial name."",
  ""explanation"": ""The getMatchingOptions method takes a partial name as input and returns a list of options whose long names start with the given partial name"&amp;". It is used to find options that match a user's input when they provide a partial option name."",
  ""code"": ""Options options = new Options();
Option option1 = new Option(""a"", ""apple"", false, ""Apple option"");
Option option2 = new Option(""b"", """&amp;"banana"", false, ""Banana option"");
Option option3 = new Option(""c"", ""cherry"", false, ""Cherry option"");
options.addOption(option1);
options.addOption(option2);
options.addOption(option3);
List&lt;String&gt; matchingOptions = options.getMatchingOptions("&amp;"""b"");
System.out.println(matchingOptions); // Output: [banana]""
}")</f>
        <v>{
  "answer": "This method returns a list of options that match the given partial name.",
  "explanation": "The getMatchingOptions method takes a partial name as input and returns a list of options whose long names start with the given partial name. It is used to find options that match a user's input when they provide a partial option name.",
  "code": "Options options = new Options();
Option option1 = new Option("a", "apple", false, "Apple option");
Option option2 = new Option("b", "banana", false, "Banana option");
Option option3 = new Option("c", "cherry", false, "Cherry option");
options.addOption(option1);
options.addOption(option2);
options.addOption(option3);
List&lt;String&gt; matchingOptions = options.getMatchingOptions("b");
System.out.println(matchingOptions); // Output: [banana]"
}</v>
      </c>
      <c r="D65" s="9">
        <f ca="1">IFERROR(__xludf.DUMMYFUNCTION("""COMPUTED_VALUE"""),1)</f>
        <v>1</v>
      </c>
      <c r="E65" s="9" t="str">
        <f ca="1">IFERROR(__xludf.DUMMYFUNCTION("""COMPUTED_VALUE"""),"2024-01-10 14:38:30")</f>
        <v>2024-01-10 14:38:30</v>
      </c>
      <c r="F65" s="9">
        <f ca="1">IFERROR(__xludf.DUMMYFUNCTION("""COMPUTED_VALUE"""),157)</f>
        <v>157</v>
      </c>
      <c r="G65" s="9">
        <f ca="1">IFERROR(__xludf.DUMMYFUNCTION("""COMPUTED_VALUE"""),2)</f>
        <v>2</v>
      </c>
      <c r="H65" s="9">
        <f ca="1">IFERROR(__xludf.DUMMYFUNCTION("""COMPUTED_VALUE"""),1)</f>
        <v>1</v>
      </c>
      <c r="I65" s="9" t="str">
        <f ca="1">IFERROR(__xludf.DUMMYFUNCTION("""COMPUTED_VALUE"""),"Y")</f>
        <v>Y</v>
      </c>
      <c r="J65" s="9" t="str">
        <f ca="1">IFERROR(__xludf.DUMMYFUNCTION("""COMPUTED_VALUE"""),"OTHER")</f>
        <v>OTHER</v>
      </c>
      <c r="K65" s="9" t="str">
        <f ca="1">IFERROR(__xludf.DUMMYFUNCTION("""COMPUTED_VALUE"""),"Code under test")</f>
        <v>Code under test</v>
      </c>
      <c r="L65" s="9"/>
      <c r="M65" s="9"/>
      <c r="N65" s="9">
        <f ca="1">IFERROR(__xludf.DUMMYFUNCTION("counta(split(B65,"" ""))"),11)</f>
        <v>11</v>
      </c>
      <c r="O65" s="9">
        <f t="shared" ca="1" si="4"/>
        <v>25.130038792376439</v>
      </c>
    </row>
    <row r="66" spans="1:17" ht="15.75" customHeight="1">
      <c r="A66" s="9">
        <f ca="1">IFERROR(__xludf.DUMMYFUNCTION("""COMPUTED_VALUE"""),59)</f>
        <v>59</v>
      </c>
      <c r="B66" s="9" t="str">
        <f ca="1">IFERROR(__xludf.DUMMYFUNCTION("""COMPUTED_VALUE"""),"Mock the Option class in Java for me.")</f>
        <v>Mock the Option class in Java for me.</v>
      </c>
      <c r="C66" s="9" t="str">
        <f ca="1">IFERROR(__xludf.DUMMYFUNCTION("""COMPUTED_VALUE"""),"Answer:
Yes, the Option class can be mocked in Java.
Explanation:
The Option class can be mocked using a mocking framework like Mockito or PowerMock.
Code:
Option optionMock = Mockito.mock(Option.class);")</f>
        <v>Answer:
Yes, the Option class can be mocked in Java.
Explanation:
The Option class can be mocked using a mocking framework like Mockito or PowerMock.
Code:
Option optionMock = Mockito.mock(Option.class);</v>
      </c>
      <c r="D66" s="9">
        <f ca="1">IFERROR(__xludf.DUMMYFUNCTION("""COMPUTED_VALUE"""),1)</f>
        <v>1</v>
      </c>
      <c r="E66" s="9" t="str">
        <f ca="1">IFERROR(__xludf.DUMMYFUNCTION("""COMPUTED_VALUE"""),"2024-01-10 14:45:15")</f>
        <v>2024-01-10 14:45:15</v>
      </c>
      <c r="F66" s="9">
        <f ca="1">IFERROR(__xludf.DUMMYFUNCTION("""COMPUTED_VALUE"""),157)</f>
        <v>157</v>
      </c>
      <c r="G66" s="9">
        <f ca="1">IFERROR(__xludf.DUMMYFUNCTION("""COMPUTED_VALUE"""),2)</f>
        <v>2</v>
      </c>
      <c r="H66" s="9" t="str">
        <f ca="1">IFERROR(__xludf.DUMMYFUNCTION("""COMPUTED_VALUE"""),"null")</f>
        <v>null</v>
      </c>
      <c r="I66" s="9" t="str">
        <f ca="1">IFERROR(__xludf.DUMMYFUNCTION("""COMPUTED_VALUE"""),"Y")</f>
        <v>Y</v>
      </c>
      <c r="J66" s="9" t="str">
        <f ca="1">IFERROR(__xludf.DUMMYFUNCTION("""COMPUTED_VALUE"""),"OTHER")</f>
        <v>OTHER</v>
      </c>
      <c r="K66" s="9" t="str">
        <f ca="1">IFERROR(__xludf.DUMMYFUNCTION("""COMPUTED_VALUE"""),"Mock")</f>
        <v>Mock</v>
      </c>
      <c r="L66" s="9"/>
      <c r="M66" s="9"/>
      <c r="N66" s="9">
        <f ca="1">IFERROR(__xludf.DUMMYFUNCTION("counta(split(B66,"" ""))"),8)</f>
        <v>8</v>
      </c>
      <c r="O66" s="9">
        <f t="shared" ca="1" si="4"/>
        <v>64.207960870298507</v>
      </c>
    </row>
    <row r="67" spans="1:17" ht="15.75" customHeight="1">
      <c r="A67" s="9">
        <f ca="1">IFERROR(__xludf.DUMMYFUNCTION("""COMPUTED_VALUE"""),72)</f>
        <v>72</v>
      </c>
      <c r="B67" s="9" t="str">
        <f ca="1">IFERROR(__xludf.DUMMYFUNCTION("""COMPUTED_VALUE"""),"Give me a test for the toString Method of the Options class.")</f>
        <v>Give me a test for the toString Method of the Options class.</v>
      </c>
      <c r="C67" s="9" t="str">
        <f ca="1">IFERROR(__xludf.DUMMYFUNCTION("""COMPUTED_VALUE"""),"{
  ""answer"": ""The test for the toString method of the Options class should verify that the returned string contains the short options and long options."",
  ""explanation"": ""The toString method of the Options class should return a string representat"&amp;"ion of the options, including the short options and long options."",
  ""code"": ""Options options = new Options();
Option option1 = new Option(""a"", ""option1"");
Option option2 = new Option(""b"", ""option2"");
options.addOption(option1);
options.addOp"&amp;"tion(option2);
String optionsString = options.toString();
System.out.println(optionsString);""
}")</f>
        <v>{
  "answer": "The test for the toString method of the Options class should verify that the returned string contains the short options and long options.",
  "explanation": "The toString method of the Options class should return a string representation of the options, including the short options and long options.",
  "code": "Options options = new Options();
Option option1 = new Option("a", "option1");
Option option2 = new Option("b", "option2");
options.addOption(option1);
options.addOption(option2);
String optionsString = options.toString();
System.out.println(optionsString);"
}</v>
      </c>
      <c r="D67" s="9">
        <f ca="1">IFERROR(__xludf.DUMMYFUNCTION("""COMPUTED_VALUE"""),1)</f>
        <v>1</v>
      </c>
      <c r="E67" s="9" t="str">
        <f ca="1">IFERROR(__xludf.DUMMYFUNCTION("""COMPUTED_VALUE"""),"2024-01-10 14:50:39")</f>
        <v>2024-01-10 14:50:39</v>
      </c>
      <c r="F67" s="9">
        <f ca="1">IFERROR(__xludf.DUMMYFUNCTION("""COMPUTED_VALUE"""),157)</f>
        <v>157</v>
      </c>
      <c r="G67" s="9">
        <f ca="1">IFERROR(__xludf.DUMMYFUNCTION("""COMPUTED_VALUE"""),2)</f>
        <v>2</v>
      </c>
      <c r="H67" s="9">
        <f ca="1">IFERROR(__xludf.DUMMYFUNCTION("""COMPUTED_VALUE"""),0)</f>
        <v>0</v>
      </c>
      <c r="I67" s="9" t="str">
        <f ca="1">IFERROR(__xludf.DUMMYFUNCTION("""COMPUTED_VALUE"""),"Y")</f>
        <v>Y</v>
      </c>
      <c r="J67" s="9" t="str">
        <f ca="1">IFERROR(__xludf.DUMMYFUNCTION("""COMPUTED_VALUE"""),"TEST")</f>
        <v>TEST</v>
      </c>
      <c r="K67" s="9" t="str">
        <f ca="1">IFERROR(__xludf.DUMMYFUNCTION("""COMPUTED_VALUE"""),"Specific method")</f>
        <v>Specific method</v>
      </c>
      <c r="L67" s="9" t="str">
        <f ca="1">IFERROR(__xludf.DUMMYFUNCTION("""COMPUTED_VALUE"""),"toString")</f>
        <v>toString</v>
      </c>
      <c r="M67" s="9" t="str">
        <f ca="1">IFERROR(__xludf.DUMMYFUNCTION("""COMPUTED_VALUE"""),"toString")</f>
        <v>toString</v>
      </c>
      <c r="N67" s="9">
        <f ca="1">IFERROR(__xludf.DUMMYFUNCTION("counta(split(B67,"" ""))"),12)</f>
        <v>12</v>
      </c>
      <c r="O67" s="9">
        <f t="shared" ca="1" si="4"/>
        <v>16.104064766402416</v>
      </c>
      <c r="P67" s="9" t="s">
        <v>689</v>
      </c>
    </row>
    <row r="68" spans="1:17" ht="15.75" customHeight="1">
      <c r="A68" s="9">
        <f ca="1">IFERROR(__xludf.DUMMYFUNCTION("""COMPUTED_VALUE"""),81)</f>
        <v>81</v>
      </c>
      <c r="B68" s="9" t="str">
        <f ca="1">IFERROR(__xludf.DUMMYFUNCTION("""COMPUTED_VALUE"""),"Explain how i can test stripLeadinHyphens.")</f>
        <v>Explain how i can test stripLeadinHyphens.</v>
      </c>
      <c r="C68" s="9" t="str">
        <f ca="1">IFERROR(__xludf.DUMMYFUNCTION("""COMPUTED_VALUE"""),"{
  ""answer"": ""You can test stripLeadingHyphens by passing different input strings and verifying the output."",
  ""explanation"": ""To test stripLeadingHyphens, you can create test cases with different input strings that have leading hyphens and check"&amp;" if the method correctly removes the leading hyphens."",
  ""code"": ""String input = ""--example"";
String output = stripLeadingHyphens(input);
// Verify that output is ""example""""
}")</f>
        <v>{
  "answer": "You can test stripLeadingHyphens by passing different input strings and verifying the output.",
  "explanation": "To test stripLeadingHyphens, you can create test cases with different input strings that have leading hyphens and check if the method correctly removes the leading hyphens.",
  "code": "String input = "--example";
String output = stripLeadingHyphens(input);
// Verify that output is "example""
}</v>
      </c>
      <c r="D68" s="9">
        <f ca="1">IFERROR(__xludf.DUMMYFUNCTION("""COMPUTED_VALUE"""),0)</f>
        <v>0</v>
      </c>
      <c r="E68" s="9" t="str">
        <f ca="1">IFERROR(__xludf.DUMMYFUNCTION("""COMPUTED_VALUE"""),"2024-01-10 14:55:02")</f>
        <v>2024-01-10 14:55:02</v>
      </c>
      <c r="F68" s="9">
        <f ca="1">IFERROR(__xludf.DUMMYFUNCTION("""COMPUTED_VALUE"""),157)</f>
        <v>157</v>
      </c>
      <c r="G68" s="9">
        <f ca="1">IFERROR(__xludf.DUMMYFUNCTION("""COMPUTED_VALUE"""),2)</f>
        <v>2</v>
      </c>
      <c r="H68" s="9">
        <f ca="1">IFERROR(__xludf.DUMMYFUNCTION("""COMPUTED_VALUE"""),0)</f>
        <v>0</v>
      </c>
      <c r="I68" s="9" t="str">
        <f ca="1">IFERROR(__xludf.DUMMYFUNCTION("""COMPUTED_VALUE"""),"Y")</f>
        <v>Y</v>
      </c>
      <c r="J68" s="9" t="str">
        <f ca="1">IFERROR(__xludf.DUMMYFUNCTION("""COMPUTED_VALUE"""),"TEST")</f>
        <v>TEST</v>
      </c>
      <c r="K68" s="9" t="str">
        <f ca="1">IFERROR(__xludf.DUMMYFUNCTION("""COMPUTED_VALUE"""),"Specific method")</f>
        <v>Specific method</v>
      </c>
      <c r="L68" s="9" t="str">
        <f ca="1">IFERROR(__xludf.DUMMYFUNCTION("""COMPUTED_VALUE"""),"stripLeadingHyphens")</f>
        <v>stripLeadingHyphens</v>
      </c>
      <c r="M68" s="9" t="str">
        <f ca="1">IFERROR(__xludf.DUMMYFUNCTION("""COMPUTED_VALUE"""),"stripLeadingHyphens")</f>
        <v>stripLeadingHyphens</v>
      </c>
      <c r="N68" s="9">
        <f ca="1">IFERROR(__xludf.DUMMYFUNCTION("counta(split(B68,"" ""))"),6)</f>
        <v>6</v>
      </c>
      <c r="O68" s="9">
        <f t="shared" ca="1" si="4"/>
        <v>100.25990892224655</v>
      </c>
      <c r="P68" s="9" t="s">
        <v>689</v>
      </c>
    </row>
    <row r="69" spans="1:17" ht="15.75" customHeight="1">
      <c r="A69" s="9">
        <f ca="1">IFERROR(__xludf.DUMMYFUNCTION("""COMPUTED_VALUE"""),88)</f>
        <v>88</v>
      </c>
      <c r="B69" s="9" t="str">
        <f ca="1">IFERROR(__xludf.DUMMYFUNCTION("""COMPUTED_VALUE"""),"Write me a test for mutant @mutant177")</f>
        <v>Write me a test for mutant @mutant177</v>
      </c>
      <c r="C69" s="9" t="str">
        <f ca="1">IFERROR(__xludf.DUMMYFUNCTION("""COMPUTED_VALUE"""),"{
  ""answer"": ""Yes"",
  ""explanation"": ""Yes, we can write a test for mutant @mutant177."",
  ""code"": ""@Test
public void testStripLeadingHyphens() {
  Options options = new Options();
  String result = options.stripLeadingHyphens(""--test"");
  as"&amp;"sertEquals(""test"", result);
}""
}")</f>
        <v>{
  "answer": "Yes",
  "explanation": "Yes, we can write a test for mutant @mutant177.",
  "code": "@Test
public void testStripLeadingHyphens() {
  Options options = new Options();
  String result = options.stripLeadingHyphens("--test");
  assertEquals("test", result);
}"
}</v>
      </c>
      <c r="D69" s="9">
        <f ca="1">IFERROR(__xludf.DUMMYFUNCTION("""COMPUTED_VALUE"""),0)</f>
        <v>0</v>
      </c>
      <c r="E69" s="9" t="str">
        <f ca="1">IFERROR(__xludf.DUMMYFUNCTION("""COMPUTED_VALUE"""),"2024-01-10 14:58:51")</f>
        <v>2024-01-10 14:58:51</v>
      </c>
      <c r="F69" s="9">
        <f ca="1">IFERROR(__xludf.DUMMYFUNCTION("""COMPUTED_VALUE"""),157)</f>
        <v>157</v>
      </c>
      <c r="G69" s="9">
        <f ca="1">IFERROR(__xludf.DUMMYFUNCTION("""COMPUTED_VALUE"""),2)</f>
        <v>2</v>
      </c>
      <c r="H69" s="9">
        <f ca="1">IFERROR(__xludf.DUMMYFUNCTION("""COMPUTED_VALUE"""),0)</f>
        <v>0</v>
      </c>
      <c r="I69" s="9" t="str">
        <f ca="1">IFERROR(__xludf.DUMMYFUNCTION("""COMPUTED_VALUE"""),"Y")</f>
        <v>Y</v>
      </c>
      <c r="J69" s="9" t="str">
        <f ca="1">IFERROR(__xludf.DUMMYFUNCTION("""COMPUTED_VALUE"""),"TEST")</f>
        <v>TEST</v>
      </c>
      <c r="K69" s="9" t="str">
        <f ca="1">IFERROR(__xludf.DUMMYFUNCTION("""COMPUTED_VALUE"""),"Specific mutant")</f>
        <v>Specific mutant</v>
      </c>
      <c r="L69" s="9">
        <f ca="1">IFERROR(__xludf.DUMMYFUNCTION("""COMPUTED_VALUE"""),177)</f>
        <v>177</v>
      </c>
      <c r="M69" s="9" t="str">
        <f ca="1">IFERROR(__xludf.DUMMYFUNCTION("""COMPUTED_VALUE"""),"stripLeadingHyphens
")</f>
        <v xml:space="preserve">stripLeadingHyphens
</v>
      </c>
      <c r="N69" s="9">
        <f ca="1">IFERROR(__xludf.DUMMYFUNCTION("counta(split(B69,"" ""))"),7)</f>
        <v>7</v>
      </c>
      <c r="O69" s="9">
        <f t="shared" ca="1" si="4"/>
        <v>81.23393489627253</v>
      </c>
      <c r="P69" s="9" t="s">
        <v>689</v>
      </c>
    </row>
    <row r="70" spans="1:17" ht="15.75" customHeight="1">
      <c r="A70" s="9">
        <f ca="1">IFERROR(__xludf.DUMMYFUNCTION("""COMPUTED_VALUE"""),90)</f>
        <v>90</v>
      </c>
      <c r="B70" s="9" t="str">
        <f ca="1">IFERROR(__xludf.DUMMYFUNCTION("""COMPUTED_VALUE"""),"Test mutant @mutant177")</f>
        <v>Test mutant @mutant177</v>
      </c>
      <c r="C70" s="9" t="str">
        <f ca="1">IFERROR(__xludf.DUMMYFUNCTION("""COMPUTED_VALUE"""),"Answer:
No
Explanation:
The mutant @mutant177 does not modify the method stripLeadingHyphens(String).
Code:
No code example is needed for this question.")</f>
        <v>Answer:
No
Explanation:
The mutant @mutant177 does not modify the method stripLeadingHyphens(String).
Code:
No code example is needed for this question.</v>
      </c>
      <c r="D70" s="9">
        <f ca="1">IFERROR(__xludf.DUMMYFUNCTION("""COMPUTED_VALUE"""),1)</f>
        <v>1</v>
      </c>
      <c r="E70" s="9" t="str">
        <f ca="1">IFERROR(__xludf.DUMMYFUNCTION("""COMPUTED_VALUE"""),"2024-01-10 14:59:12")</f>
        <v>2024-01-10 14:59:12</v>
      </c>
      <c r="F70" s="9">
        <f ca="1">IFERROR(__xludf.DUMMYFUNCTION("""COMPUTED_VALUE"""),157)</f>
        <v>157</v>
      </c>
      <c r="G70" s="9">
        <f ca="1">IFERROR(__xludf.DUMMYFUNCTION("""COMPUTED_VALUE"""),2)</f>
        <v>2</v>
      </c>
      <c r="H70" s="9" t="str">
        <f ca="1">IFERROR(__xludf.DUMMYFUNCTION("""COMPUTED_VALUE"""),"null")</f>
        <v>null</v>
      </c>
      <c r="I70" s="9" t="str">
        <f ca="1">IFERROR(__xludf.DUMMYFUNCTION("""COMPUTED_VALUE"""),"Y")</f>
        <v>Y</v>
      </c>
      <c r="J70" s="9" t="str">
        <f ca="1">IFERROR(__xludf.DUMMYFUNCTION("""COMPUTED_VALUE"""),"TEST")</f>
        <v>TEST</v>
      </c>
      <c r="K70" s="9" t="str">
        <f ca="1">IFERROR(__xludf.DUMMYFUNCTION("""COMPUTED_VALUE"""),"Specific mutant")</f>
        <v>Specific mutant</v>
      </c>
      <c r="L70" s="9">
        <f ca="1">IFERROR(__xludf.DUMMYFUNCTION("""COMPUTED_VALUE"""),177)</f>
        <v>177</v>
      </c>
      <c r="M70" s="9" t="str">
        <f ca="1">IFERROR(__xludf.DUMMYFUNCTION("""COMPUTED_VALUE"""),"stripLeadingHyphens
")</f>
        <v xml:space="preserve">stripLeadingHyphens
</v>
      </c>
      <c r="N70" s="9">
        <f ca="1">IFERROR(__xludf.DUMMYFUNCTION("counta(split(B70,"" ""))"),3)</f>
        <v>3</v>
      </c>
      <c r="O70" s="9">
        <f t="shared" ca="1" si="4"/>
        <v>169.33783100016862</v>
      </c>
      <c r="P70" s="9" t="s">
        <v>689</v>
      </c>
    </row>
    <row r="71" spans="1:17" ht="15.75" customHeight="1">
      <c r="A71" s="9">
        <f ca="1">IFERROR(__xludf.DUMMYFUNCTION("""COMPUTED_VALUE"""),93)</f>
        <v>93</v>
      </c>
      <c r="B71" s="9" t="str">
        <f ca="1">IFERROR(__xludf.DUMMYFUNCTION("""COMPUTED_VALUE"""),"give me a test for the mutant @mutant177")</f>
        <v>give me a test for the mutant @mutant177</v>
      </c>
      <c r="C71" s="9" t="str">
        <f ca="1">IFERROR(__xludf.DUMMYFUNCTION("""COMPUTED_VALUE"""),"{
  ""answer"": ""Yes"",
  ""explanation"": ""The mutant @mutant177 modifies the method stripLeadingHyphens(String), so we can test if the method behaves differently after the mutation."",
  ""code"": ""Options options = new Options();
String result = opt"&amp;"ions.stripLeadingHyphens(""--test"");
System.out.println(result);""
}")</f>
        <v>{
  "answer": "Yes",
  "explanation": "The mutant @mutant177 modifies the method stripLeadingHyphens(String), so we can test if the method behaves differently after the mutation.",
  "code": "Options options = new Options();
String result = options.stripLeadingHyphens("--test");
System.out.println(result);"
}</v>
      </c>
      <c r="D71" s="9">
        <f ca="1">IFERROR(__xludf.DUMMYFUNCTION("""COMPUTED_VALUE"""),1)</f>
        <v>1</v>
      </c>
      <c r="E71" s="9" t="str">
        <f ca="1">IFERROR(__xludf.DUMMYFUNCTION("""COMPUTED_VALUE"""),"2024-01-10 14:59:44")</f>
        <v>2024-01-10 14:59:44</v>
      </c>
      <c r="F71" s="9">
        <f ca="1">IFERROR(__xludf.DUMMYFUNCTION("""COMPUTED_VALUE"""),157)</f>
        <v>157</v>
      </c>
      <c r="G71" s="9">
        <f ca="1">IFERROR(__xludf.DUMMYFUNCTION("""COMPUTED_VALUE"""),2)</f>
        <v>2</v>
      </c>
      <c r="H71" s="9" t="str">
        <f ca="1">IFERROR(__xludf.DUMMYFUNCTION("""COMPUTED_VALUE"""),"null")</f>
        <v>null</v>
      </c>
      <c r="I71" s="9" t="str">
        <f ca="1">IFERROR(__xludf.DUMMYFUNCTION("""COMPUTED_VALUE"""),"Y")</f>
        <v>Y</v>
      </c>
      <c r="J71" s="9" t="str">
        <f ca="1">IFERROR(__xludf.DUMMYFUNCTION("""COMPUTED_VALUE"""),"TEST")</f>
        <v>TEST</v>
      </c>
      <c r="K71" s="9" t="str">
        <f ca="1">IFERROR(__xludf.DUMMYFUNCTION("""COMPUTED_VALUE"""),"Specific mutant")</f>
        <v>Specific mutant</v>
      </c>
      <c r="L71" s="9">
        <f ca="1">IFERROR(__xludf.DUMMYFUNCTION("""COMPUTED_VALUE"""),177)</f>
        <v>177</v>
      </c>
      <c r="M71" s="9" t="str">
        <f ca="1">IFERROR(__xludf.DUMMYFUNCTION("""COMPUTED_VALUE"""),"stripLeadingHyphens
")</f>
        <v xml:space="preserve">stripLeadingHyphens
</v>
      </c>
      <c r="N71" s="9">
        <f ca="1">IFERROR(__xludf.DUMMYFUNCTION("counta(split(B71,"" ""))"),8)</f>
        <v>8</v>
      </c>
      <c r="O71" s="9">
        <f t="shared" ca="1" si="4"/>
        <v>64.207960870298507</v>
      </c>
      <c r="P71" s="9" t="s">
        <v>689</v>
      </c>
    </row>
    <row r="72" spans="1:17" ht="15.75" customHeight="1">
      <c r="A72" s="9">
        <f ca="1">IFERROR(__xludf.DUMMYFUNCTION("""COMPUTED_VALUE"""),9)</f>
        <v>9</v>
      </c>
      <c r="B72" s="9" t="str">
        <f ca="1">IFERROR(__xludf.DUMMYFUNCTION("""COMPUTED_VALUE"""),"Explain the behaviour of the 'addOptionGroup' method")</f>
        <v>Explain the behaviour of the 'addOptionGroup' method</v>
      </c>
      <c r="C72" s="9" t="str">
        <f ca="1">IFERROR(__xludf.DUMMYFUNCTION("""COMPUTED_VALUE"""),"{
  ""answer"": ""The 'addOptionGroup' method adds an OptionGroup to the Options instance."",
  ""explanation"": ""The 'addOptionGroup' method adds an OptionGroup to the Options instance. It also adds the individual options in the OptionGroup to the Optio"&amp;"ns instance, sets their 'required' flag to false, and associates them with the OptionGroup."",
  ""code"": ""Options options = new Options();
OptionGroup group = new OptionGroup();
Option option1 = new Option(""a"", ""option1"");
Option option2 = new Opti"&amp;"on(""b"", ""option2"");
group.addOption(option1);
group.addOption(option2);
options.addOptionGroup(group);""
}")</f>
        <v>{
  "answer": "The 'addOptionGroup' method adds an OptionGroup to the Options instance.",
  "explanation": "The 'addOptionGroup' method adds an OptionGroup to the Options instance. It also adds the individual options in the OptionGroup to the Options instance, sets their 'required' flag to false, and associates them with the OptionGroup.",
  "code": "Options options = new Options();
OptionGroup group = new OptionGroup();
Option option1 = new Option("a", "option1");
Option option2 = new Option("b", "option2");
group.addOption(option1);
group.addOption(option2);
options.addOptionGroup(group);"
}</v>
      </c>
      <c r="D72" s="9">
        <f ca="1">IFERROR(__xludf.DUMMYFUNCTION("""COMPUTED_VALUE"""),0)</f>
        <v>0</v>
      </c>
      <c r="E72" s="9" t="str">
        <f ca="1">IFERROR(__xludf.DUMMYFUNCTION("""COMPUTED_VALUE"""),"2024-01-10 14:31:58")</f>
        <v>2024-01-10 14:31:58</v>
      </c>
      <c r="F72" s="9">
        <f ca="1">IFERROR(__xludf.DUMMYFUNCTION("""COMPUTED_VALUE"""),158)</f>
        <v>158</v>
      </c>
      <c r="G72" s="9">
        <f ca="1">IFERROR(__xludf.DUMMYFUNCTION("""COMPUTED_VALUE"""),2)</f>
        <v>2</v>
      </c>
      <c r="H72" s="9">
        <f ca="1">IFERROR(__xludf.DUMMYFUNCTION("""COMPUTED_VALUE"""),1)</f>
        <v>1</v>
      </c>
      <c r="I72" s="9" t="str">
        <f ca="1">IFERROR(__xludf.DUMMYFUNCTION("""COMPUTED_VALUE"""),"Y")</f>
        <v>Y</v>
      </c>
      <c r="J72" s="9" t="str">
        <f ca="1">IFERROR(__xludf.DUMMYFUNCTION("""COMPUTED_VALUE"""),"OTHER")</f>
        <v>OTHER</v>
      </c>
      <c r="K72" s="9" t="str">
        <f ca="1">IFERROR(__xludf.DUMMYFUNCTION("""COMPUTED_VALUE"""),"Code under test")</f>
        <v>Code under test</v>
      </c>
      <c r="L72" s="9"/>
      <c r="M72" s="9"/>
      <c r="N72" s="9">
        <f ca="1">IFERROR(__xludf.DUMMYFUNCTION("counta(split(B72,"" ""))"),7)</f>
        <v>7</v>
      </c>
      <c r="O72" s="9">
        <f t="shared" ca="1" si="4"/>
        <v>81.23393489627253</v>
      </c>
    </row>
    <row r="73" spans="1:17" ht="15.75" customHeight="1">
      <c r="A73" s="9">
        <f ca="1">IFERROR(__xludf.DUMMYFUNCTION("""COMPUTED_VALUE"""),58)</f>
        <v>58</v>
      </c>
      <c r="B73" s="9" t="str">
        <f ca="1">IFERROR(__xludf.DUMMYFUNCTION("""COMPUTED_VALUE"""),"how can I write a test for addOptionGroup methode")</f>
        <v>how can I write a test for addOptionGroup methode</v>
      </c>
      <c r="C73" s="9" t="str">
        <f ca="1">IFERROR(__xludf.DUMMYFUNCTION("""COMPUTED_VALUE"""),"{
  ""answer"": ""You can write a test for the addOptionGroup method by creating an instance of Options, adding an OptionGroup to it, and then asserting that the OptionGroup is correctly added."",
  ""explanation"": ""To test the addOptionGroup method, yo"&amp;"u can create an instance of the Options class, add an OptionGroup to it, and then verify that the OptionGroup is correctly added by asserting its presence in the Options instance."",
  ""code"": ""Options options = new Options();
OptionGroup optionGroup "&amp;"= new OptionGroup();
optionGroup.addOption(new Option(""a"", ""option a""));
optionGroup.addOption(new Option(""b"", ""option b""));
options.addOptionGroup(optionGroup);
assertTrue(options.getOptionGroups().contains(optionGroup));""
}")</f>
        <v>{
  "answer": "You can write a test for the addOptionGroup method by creating an instance of Options, adding an OptionGroup to it, and then asserting that the OptionGroup is correctly added.",
  "explanation": "To test the addOptionGroup method, you can create an instance of the Options class, add an OptionGroup to it, and then verify that the OptionGroup is correctly added by asserting its presence in the Options instance.",
  "code": "Options options = new Options();
OptionGroup optionGroup = new OptionGroup();
optionGroup.addOption(new Option("a", "option a"));
optionGroup.addOption(new Option("b", "option b"));
options.addOptionGroup(optionGroup);
assertTrue(options.getOptionGroups().contains(optionGroup));"
}</v>
      </c>
      <c r="D73" s="9">
        <f ca="1">IFERROR(__xludf.DUMMYFUNCTION("""COMPUTED_VALUE"""),0)</f>
        <v>0</v>
      </c>
      <c r="E73" s="9" t="str">
        <f ca="1">IFERROR(__xludf.DUMMYFUNCTION("""COMPUTED_VALUE"""),"2024-01-10 14:45:09")</f>
        <v>2024-01-10 14:45:09</v>
      </c>
      <c r="F73" s="9">
        <f ca="1">IFERROR(__xludf.DUMMYFUNCTION("""COMPUTED_VALUE"""),158)</f>
        <v>158</v>
      </c>
      <c r="G73" s="9">
        <f ca="1">IFERROR(__xludf.DUMMYFUNCTION("""COMPUTED_VALUE"""),2)</f>
        <v>2</v>
      </c>
      <c r="H73" s="9">
        <f ca="1">IFERROR(__xludf.DUMMYFUNCTION("""COMPUTED_VALUE"""),1)</f>
        <v>1</v>
      </c>
      <c r="I73" s="9" t="str">
        <f ca="1">IFERROR(__xludf.DUMMYFUNCTION("""COMPUTED_VALUE"""),"Y")</f>
        <v>Y</v>
      </c>
      <c r="J73" s="9" t="str">
        <f ca="1">IFERROR(__xludf.DUMMYFUNCTION("""COMPUTED_VALUE"""),"TEST")</f>
        <v>TEST</v>
      </c>
      <c r="K73" s="9" t="str">
        <f ca="1">IFERROR(__xludf.DUMMYFUNCTION("""COMPUTED_VALUE"""),"Specific method")</f>
        <v>Specific method</v>
      </c>
      <c r="L73" s="9" t="str">
        <f ca="1">IFERROR(__xludf.DUMMYFUNCTION("""COMPUTED_VALUE"""),"addOptionGroup")</f>
        <v>addOptionGroup</v>
      </c>
      <c r="M73" s="9" t="str">
        <f ca="1">IFERROR(__xludf.DUMMYFUNCTION("""COMPUTED_VALUE"""),"addOptionGroup")</f>
        <v>addOptionGroup</v>
      </c>
      <c r="N73" s="9">
        <f ca="1">IFERROR(__xludf.DUMMYFUNCTION("counta(split(B73,"" ""))"),9)</f>
        <v>9</v>
      </c>
      <c r="O73" s="9">
        <f t="shared" ca="1" si="4"/>
        <v>49.181986844324484</v>
      </c>
      <c r="P73" s="9" t="s">
        <v>689</v>
      </c>
    </row>
    <row r="74" spans="1:17" ht="15.75" customHeight="1">
      <c r="A74" s="9">
        <f ca="1">IFERROR(__xludf.DUMMYFUNCTION("""COMPUTED_VALUE"""),64)</f>
        <v>64</v>
      </c>
      <c r="B74" s="9" t="str">
        <f ca="1">IFERROR(__xludf.DUMMYFUNCTION("""COMPUTED_VALUE"""),"explain the class option")</f>
        <v>explain the class option</v>
      </c>
      <c r="C74" s="9" t="str">
        <f ca="1">IFERROR(__xludf.DUMMYFUNCTION("""COMPUTED_VALUE"""),"{
  ""answer"": ""The Option class represents a command-line option."",
  ""explanation"": ""The Option class is used to define and represent a command-line option, which can have a short name, a long name, an optional value, and other properties."",
  """&amp;"code"": ""Option option = new Option(""h"", ""help"", false, ""Display help message."");""
}")</f>
        <v>{
  "answer": "The Option class represents a command-line option.",
  "explanation": "The Option class is used to define and represent a command-line option, which can have a short name, a long name, an optional value, and other properties.",
  "code": "Option option = new Option("h", "help", false, "Display help message.");"
}</v>
      </c>
      <c r="D74" s="9">
        <f ca="1">IFERROR(__xludf.DUMMYFUNCTION("""COMPUTED_VALUE"""),0)</f>
        <v>0</v>
      </c>
      <c r="E74" s="9" t="str">
        <f ca="1">IFERROR(__xludf.DUMMYFUNCTION("""COMPUTED_VALUE"""),"2024-01-10 14:47:52")</f>
        <v>2024-01-10 14:47:52</v>
      </c>
      <c r="F74" s="9">
        <f ca="1">IFERROR(__xludf.DUMMYFUNCTION("""COMPUTED_VALUE"""),158)</f>
        <v>158</v>
      </c>
      <c r="G74" s="9">
        <f ca="1">IFERROR(__xludf.DUMMYFUNCTION("""COMPUTED_VALUE"""),2)</f>
        <v>2</v>
      </c>
      <c r="H74" s="9" t="str">
        <f ca="1">IFERROR(__xludf.DUMMYFUNCTION("""COMPUTED_VALUE"""),"null")</f>
        <v>null</v>
      </c>
      <c r="I74" s="9" t="str">
        <f ca="1">IFERROR(__xludf.DUMMYFUNCTION("""COMPUTED_VALUE"""),"Y")</f>
        <v>Y</v>
      </c>
      <c r="J74" s="9" t="str">
        <f ca="1">IFERROR(__xludf.DUMMYFUNCTION("""COMPUTED_VALUE"""),"OTHER")</f>
        <v>OTHER</v>
      </c>
      <c r="K74" s="9" t="str">
        <f ca="1">IFERROR(__xludf.DUMMYFUNCTION("""COMPUTED_VALUE"""),"Code under test")</f>
        <v>Code under test</v>
      </c>
      <c r="L74" s="9"/>
      <c r="M74" s="9"/>
      <c r="N74" s="9">
        <f ca="1">IFERROR(__xludf.DUMMYFUNCTION("counta(split(B74,"" ""))"),4)</f>
        <v>4</v>
      </c>
      <c r="O74" s="9">
        <f t="shared" ca="1" si="4"/>
        <v>144.3118569741946</v>
      </c>
      <c r="Q74" s="9">
        <f ca="1">COUNTIFS(J2:J74,"=TEST",K2:K74,"&lt;&gt;Other")</f>
        <v>25</v>
      </c>
    </row>
    <row r="75" spans="1:17" ht="15.75" customHeight="1">
      <c r="A75" s="9">
        <f ca="1">IFERROR(__xludf.DUMMYFUNCTION("""COMPUTED_VALUE"""),82)</f>
        <v>82</v>
      </c>
      <c r="B75" s="9" t="str">
        <f ca="1">IFERROR(__xludf.DUMMYFUNCTION("""COMPUTED_VALUE"""),"Kannst du mir einen Mock für eine Options Groupe shreiben?")</f>
        <v>Kannst du mir einen Mock für eine Options Groupe shreiben?</v>
      </c>
      <c r="C75" s="9" t="str">
        <f ca="1">IFERROR(__xludf.DUMMYFUNCTION("""COMPUTED_VALUE"""),"{
  ""answer"": ""Ja, ich kann dir einen Mock für eine Options Gruppe schreiben."",
  ""explanation"": ""Ein Mock für eine Options Gruppe kann erstellt werden, indem eine OptionGroup-Instanz erstellt und Optionen hinzugefügt werden."",
  ""code"": ""Optio"&amp;"nGroup optionGroup = new OptionGroup();
Option option1 = new Option(""a"", ""option A"");
Option option2 = new Option(""b"", ""option B"");
optionGroup.addOption(option1);
optionGroup.addOption(option2);""
}")</f>
        <v>{
  "answer": "Ja, ich kann dir einen Mock für eine Options Gruppe schreiben.",
  "explanation": "Ein Mock für eine Options Gruppe kann erstellt werden, indem eine OptionGroup-Instanz erstellt und Optionen hinzugefügt werden.",
  "code": "OptionGroup optionGroup = new OptionGroup();
Option option1 = new Option("a", "option A");
Option option2 = new Option("b", "option B");
optionGroup.addOption(option1);
optionGroup.addOption(option2);"
}</v>
      </c>
      <c r="D75" s="9">
        <f ca="1">IFERROR(__xludf.DUMMYFUNCTION("""COMPUTED_VALUE"""),1)</f>
        <v>1</v>
      </c>
      <c r="E75" s="9" t="str">
        <f ca="1">IFERROR(__xludf.DUMMYFUNCTION("""COMPUTED_VALUE"""),"2024-01-10 14:55:32")</f>
        <v>2024-01-10 14:55:32</v>
      </c>
      <c r="F75" s="9">
        <f ca="1">IFERROR(__xludf.DUMMYFUNCTION("""COMPUTED_VALUE"""),189)</f>
        <v>189</v>
      </c>
      <c r="G75" s="9">
        <f ca="1">IFERROR(__xludf.DUMMYFUNCTION("""COMPUTED_VALUE"""),2)</f>
        <v>2</v>
      </c>
      <c r="H75" s="9">
        <f ca="1">IFERROR(__xludf.DUMMYFUNCTION("""COMPUTED_VALUE"""),1)</f>
        <v>1</v>
      </c>
      <c r="I75" s="9" t="str">
        <f ca="1">IFERROR(__xludf.DUMMYFUNCTION("""COMPUTED_VALUE"""),"Y")</f>
        <v>Y</v>
      </c>
      <c r="J75" s="9"/>
      <c r="K75" s="9"/>
      <c r="L75" s="9"/>
      <c r="M75" s="9"/>
    </row>
    <row r="76" spans="1:17" ht="15.75" customHeight="1">
      <c r="A76" s="9">
        <f ca="1">IFERROR(__xludf.DUMMYFUNCTION("""COMPUTED_VALUE"""),86)</f>
        <v>86</v>
      </c>
      <c r="B76" s="9" t="str">
        <f ca="1">IFERROR(__xludf.DUMMYFUNCTION("""COMPUTED_VALUE"""),"Kannst du mir einen Mock für Options Group schreiben bei dem die einzelnen Options auch Mocks sind?")</f>
        <v>Kannst du mir einen Mock für Options Group schreiben bei dem die einzelnen Options auch Mocks sind?</v>
      </c>
      <c r="C76" s="9" t="str">
        <f ca="1">IFERROR(__xludf.DUMMYFUNCTION("""COMPUTED_VALUE"""),"{
  ""answer"": ""Ja, ich kann dir einen Mock für OptionGroup schreiben."",
  ""explanation"": ""Ein Mock für OptionGroup kann erstellt werden, indem man Mock-Objekte für die einzelnen Optionen erstellt und diese Optionen zur OptionGroup hinzufügt."",
  "&amp;"""code"": ""OptionGroup optionGroupMock = new OptionGroup();
Option optionMock1 = Mockito.mock(Option.class);
Option optionMock2 = Mockito.mock(Option.class);
optionGroupMock.addOption(optionMock1);
optionGroupMock.addOption(optionMock2);""
}")</f>
        <v>{
  "answer": "Ja, ich kann dir einen Mock für OptionGroup schreiben.",
  "explanation": "Ein Mock für OptionGroup kann erstellt werden, indem man Mock-Objekte für die einzelnen Optionen erstellt und diese Optionen zur OptionGroup hinzufügt.",
  "code": "OptionGroup optionGroupMock = new OptionGroup();
Option optionMock1 = Mockito.mock(Option.class);
Option optionMock2 = Mockito.mock(Option.class);
optionGroupMock.addOption(optionMock1);
optionGroupMock.addOption(optionMock2);"
}</v>
      </c>
      <c r="D76" s="9">
        <f ca="1">IFERROR(__xludf.DUMMYFUNCTION("""COMPUTED_VALUE"""),1)</f>
        <v>1</v>
      </c>
      <c r="E76" s="9" t="str">
        <f ca="1">IFERROR(__xludf.DUMMYFUNCTION("""COMPUTED_VALUE"""),"2024-01-10 14:56:42")</f>
        <v>2024-01-10 14:56:42</v>
      </c>
      <c r="F76" s="9">
        <f ca="1">IFERROR(__xludf.DUMMYFUNCTION("""COMPUTED_VALUE"""),189)</f>
        <v>189</v>
      </c>
      <c r="G76" s="9">
        <f ca="1">IFERROR(__xludf.DUMMYFUNCTION("""COMPUTED_VALUE"""),2)</f>
        <v>2</v>
      </c>
      <c r="H76" s="9" t="str">
        <f ca="1">IFERROR(__xludf.DUMMYFUNCTION("""COMPUTED_VALUE"""),"null")</f>
        <v>null</v>
      </c>
      <c r="I76" s="9" t="str">
        <f ca="1">IFERROR(__xludf.DUMMYFUNCTION("""COMPUTED_VALUE"""),"Y")</f>
        <v>Y</v>
      </c>
      <c r="J76" s="9"/>
      <c r="K76" s="9"/>
      <c r="L76" s="9"/>
      <c r="M76" s="9"/>
    </row>
    <row r="77" spans="1:17" ht="15.75" customHeight="1">
      <c r="A77" s="9">
        <f ca="1">IFERROR(__xludf.DUMMYFUNCTION("""COMPUTED_VALUE"""),106)</f>
        <v>106</v>
      </c>
      <c r="B77" s="9" t="str">
        <f ca="1">IFERROR(__xludf.DUMMYFUNCTION("""COMPUTED_VALUE"""),"write a test for the following method: 
public final void removeField(String name) {
    Iterator&lt;IndexableField&gt; it = fields.iterator();
    while (it.hasNext()) {
      IndexableField field = it.next();
      if (field.name().equals(name)) {
        it."&amp;"remove();
        return;
      }
    }
  }")</f>
        <v>write a test for the following method: 
public final void removeField(String name) {
    Iterator&lt;IndexableField&gt; it = fields.iterator();
    while (it.hasNext()) {
      IndexableField field = it.next();
      if (field.name().equals(name)) {
        it.remove();
        return;
      }
    }
  }</v>
      </c>
      <c r="C77" s="9" t="str">
        <f ca="1">IFERROR(__xludf.DUMMYFUNCTION("""COMPUTED_VALUE"""),"{
  ""answer"": ""The test should verify that the field with the specified name is removed from the document."",
  ""explanation"": ""The test should iterate over the fields in the document and check if the field with the specified name is removed when th"&amp;"e removeField method is called."",
  ""code"": ""import org.junit.Test;
import static org.junit.Assert.*;
public class DocumentTest {
    @Test
    public void testRemoveField() {
        Document document = new Document();
        document.add(new Stri"&amp;"ngField(""name"", ""John Doe"", Field.Store.YES));
        document.add(new StringField(""age"", ""30"", Field.Store.YES));
        document.add(new StringField(""email"", ""john.doe@example.com"", Field.Store.YES));
        document.removeField(""age"")"&amp;";
        assertNull(document.getField(""age""));
    }
}"" 
}")</f>
        <v>{
  "answer": "The test should verify that the field with the specified name is removed from the document.",
  "explanation": "The test should iterate over the fields in the document and check if the field with the specified name is removed when the removeField method is called.",
  "code": "import org.junit.Test;
import static org.junit.Assert.*;
public class DocumentTest {
    @Test
    public void testRemoveField() {
        Document document = new Document();
        document.add(new StringField("name", "John Doe", Field.Store.YES));
        document.add(new StringField("age", "30", Field.Store.YES));
        document.add(new StringField("email", "john.doe@example.com", Field.Store.YES));
        document.removeField("age");
        assertNull(document.getField("age"));
    }
}" 
}</v>
      </c>
      <c r="D77" s="9">
        <f ca="1">IFERROR(__xludf.DUMMYFUNCTION("""COMPUTED_VALUE"""),1)</f>
        <v>1</v>
      </c>
      <c r="E77" s="9" t="str">
        <f ca="1">IFERROR(__xludf.DUMMYFUNCTION("""COMPUTED_VALUE"""),"2024-01-10 15:06:03")</f>
        <v>2024-01-10 15:06:03</v>
      </c>
      <c r="F77" s="9">
        <f ca="1">IFERROR(__xludf.DUMMYFUNCTION("""COMPUTED_VALUE"""),220)</f>
        <v>220</v>
      </c>
      <c r="G77" s="9">
        <f ca="1">IFERROR(__xludf.DUMMYFUNCTION("""COMPUTED_VALUE"""),2)</f>
        <v>2</v>
      </c>
      <c r="H77" s="9" t="str">
        <f ca="1">IFERROR(__xludf.DUMMYFUNCTION("""COMPUTED_VALUE"""),"null")</f>
        <v>null</v>
      </c>
      <c r="I77" s="9" t="str">
        <f ca="1">IFERROR(__xludf.DUMMYFUNCTION("""COMPUTED_VALUE"""),"Y")</f>
        <v>Y</v>
      </c>
      <c r="J77" s="9" t="str">
        <f ca="1">IFERROR(__xludf.DUMMYFUNCTION("""COMPUTED_VALUE"""),"TEST")</f>
        <v>TEST</v>
      </c>
      <c r="K77" s="9" t="str">
        <f ca="1">IFERROR(__xludf.DUMMYFUNCTION("""COMPUTED_VALUE"""),"Specific method")</f>
        <v>Specific method</v>
      </c>
      <c r="L77" s="9" t="str">
        <f ca="1">IFERROR(__xludf.DUMMYFUNCTION("""COMPUTED_VALUE"""),"removeField")</f>
        <v>removeField</v>
      </c>
      <c r="M77" s="9" t="str">
        <f ca="1">IFERROR(__xludf.DUMMYFUNCTION("""COMPUTED_VALUE"""),"removeField")</f>
        <v>removeField</v>
      </c>
      <c r="N77" s="9">
        <f ca="1">IFERROR(__xludf.DUMMYFUNCTION("counta(split(B77,"" ""))"),32)</f>
        <v>32</v>
      </c>
      <c r="O77" s="9">
        <f t="shared" ref="O77:O96" ca="1" si="5">(AVERAGE($N$2:$N$173)-N77)*(AVERAGE($N$2:$N$173)-N77)</f>
        <v>255.58458424692196</v>
      </c>
      <c r="P77" s="9" t="s">
        <v>689</v>
      </c>
    </row>
    <row r="78" spans="1:17" ht="15.75" customHeight="1">
      <c r="A78" s="9">
        <f ca="1">IFERROR(__xludf.DUMMYFUNCTION("""COMPUTED_VALUE"""),137)</f>
        <v>137</v>
      </c>
      <c r="B78" s="9" t="str">
        <f ca="1">IFERROR(__xludf.DUMMYFUNCTION("""COMPUTED_VALUE"""),"the is IndexableField used instead of StringField")</f>
        <v>the is IndexableField used instead of StringField</v>
      </c>
      <c r="C78" s="9" t="str">
        <f ca="1">IFERROR(__xludf.DUMMYFUNCTION("""COMPUTED_VALUE"""),"{
  ""answer"": ""IndexableField is used instead of StringField to allow for more flexibility in the type of field that can be added to a document."",
  ""explanation"": ""IndexableField is a more general interface that allows for different types of field"&amp;"s to be added to a document, whereas StringField is a specific implementation that only allows for string values."",
  ""code"": ""IndexableField field = new StringField(""name"", ""John Doe"", Field.Store.YES);""
}")</f>
        <v>{
  "answer": "IndexableField is used instead of StringField to allow for more flexibility in the type of field that can be added to a document.",
  "explanation": "IndexableField is a more general interface that allows for different types of fields to be added to a document, whereas StringField is a specific implementation that only allows for string values.",
  "code": "IndexableField field = new StringField("name", "John Doe", Field.Store.YES);"
}</v>
      </c>
      <c r="D78" s="9">
        <f ca="1">IFERROR(__xludf.DUMMYFUNCTION("""COMPUTED_VALUE"""),0)</f>
        <v>0</v>
      </c>
      <c r="E78" s="9" t="str">
        <f ca="1">IFERROR(__xludf.DUMMYFUNCTION("""COMPUTED_VALUE"""),"2024-01-10 15:14:39")</f>
        <v>2024-01-10 15:14:39</v>
      </c>
      <c r="F78" s="9">
        <f ca="1">IFERROR(__xludf.DUMMYFUNCTION("""COMPUTED_VALUE"""),220)</f>
        <v>220</v>
      </c>
      <c r="G78" s="9">
        <f ca="1">IFERROR(__xludf.DUMMYFUNCTION("""COMPUTED_VALUE"""),2)</f>
        <v>2</v>
      </c>
      <c r="H78" s="9">
        <f ca="1">IFERROR(__xludf.DUMMYFUNCTION("""COMPUTED_VALUE"""),0)</f>
        <v>0</v>
      </c>
      <c r="I78" s="9" t="str">
        <f ca="1">IFERROR(__xludf.DUMMYFUNCTION("""COMPUTED_VALUE"""),"Y")</f>
        <v>Y</v>
      </c>
      <c r="J78" s="9" t="str">
        <f ca="1">IFERROR(__xludf.DUMMYFUNCTION("""COMPUTED_VALUE"""),"OTHER")</f>
        <v>OTHER</v>
      </c>
      <c r="K78" s="9" t="str">
        <f ca="1">IFERROR(__xludf.DUMMYFUNCTION("""COMPUTED_VALUE"""),"Other")</f>
        <v>Other</v>
      </c>
      <c r="L78" s="9"/>
      <c r="M78" s="9"/>
      <c r="N78" s="9">
        <f ca="1">IFERROR(__xludf.DUMMYFUNCTION("counta(split(B78,"" ""))"),7)</f>
        <v>7</v>
      </c>
      <c r="O78" s="9">
        <f t="shared" ca="1" si="5"/>
        <v>81.23393489627253</v>
      </c>
    </row>
    <row r="79" spans="1:17" ht="15.75" customHeight="1">
      <c r="A79" s="9">
        <f ca="1">IFERROR(__xludf.DUMMYFUNCTION("""COMPUTED_VALUE"""),101)</f>
        <v>101</v>
      </c>
      <c r="B79" s="9" t="str">
        <f ca="1">IFERROR(__xludf.DUMMYFUNCTION("""COMPUTED_VALUE"""),"which method is mutated by @mutant399?")</f>
        <v>which method is mutated by @mutant399?</v>
      </c>
      <c r="C79" s="9" t="str">
        <f ca="1">IFERROR(__xludf.DUMMYFUNCTION("""COMPUTED_VALUE"""),"Answer:
toString()
Explanation:
The method toString() is modified by @mutant399.
Code:
N/A")</f>
        <v>Answer:
toString()
Explanation:
The method toString() is modified by @mutant399.
Code:
N/A</v>
      </c>
      <c r="D79" s="9">
        <f ca="1">IFERROR(__xludf.DUMMYFUNCTION("""COMPUTED_VALUE"""),0)</f>
        <v>0</v>
      </c>
      <c r="E79" s="9" t="str">
        <f ca="1">IFERROR(__xludf.DUMMYFUNCTION("""COMPUTED_VALUE"""),"2024-01-10 15:05:13")</f>
        <v>2024-01-10 15:05:13</v>
      </c>
      <c r="F79" s="9">
        <f ca="1">IFERROR(__xludf.DUMMYFUNCTION("""COMPUTED_VALUE"""),221)</f>
        <v>221</v>
      </c>
      <c r="G79" s="9">
        <f ca="1">IFERROR(__xludf.DUMMYFUNCTION("""COMPUTED_VALUE"""),2)</f>
        <v>2</v>
      </c>
      <c r="H79" s="9" t="str">
        <f ca="1">IFERROR(__xludf.DUMMYFUNCTION("""COMPUTED_VALUE"""),"null")</f>
        <v>null</v>
      </c>
      <c r="I79" s="9" t="str">
        <f ca="1">IFERROR(__xludf.DUMMYFUNCTION("""COMPUTED_VALUE"""),"Y")</f>
        <v>Y</v>
      </c>
      <c r="J79" s="9" t="str">
        <f ca="1">IFERROR(__xludf.DUMMYFUNCTION("""COMPUTED_VALUE"""),"MUTANT")</f>
        <v>MUTANT</v>
      </c>
      <c r="K79" s="9" t="str">
        <f ca="1">IFERROR(__xludf.DUMMYFUNCTION("""COMPUTED_VALUE"""),"Other")</f>
        <v>Other</v>
      </c>
      <c r="L79" s="9"/>
      <c r="M79" s="9"/>
      <c r="N79" s="9">
        <f ca="1">IFERROR(__xludf.DUMMYFUNCTION("counta(split(B79,"" ""))"),6)</f>
        <v>6</v>
      </c>
      <c r="O79" s="9">
        <f t="shared" ca="1" si="5"/>
        <v>100.25990892224655</v>
      </c>
    </row>
    <row r="80" spans="1:17" ht="15.75" customHeight="1">
      <c r="A80" s="9">
        <f ca="1">IFERROR(__xludf.DUMMYFUNCTION("""COMPUTED_VALUE"""),120)</f>
        <v>120</v>
      </c>
      <c r="B80" s="9" t="str">
        <f ca="1">IFERROR(__xludf.DUMMYFUNCTION("""COMPUTED_VALUE"""),"write a test for the mutant in Line 51")</f>
        <v>write a test for the mutant in Line 51</v>
      </c>
      <c r="C80" s="9" t="str">
        <f ca="1">IFERROR(__xludf.DUMMYFUNCTION("""COMPUTED_VALUE"""),"{
  ""answer"": ""Yes"",
  ""explanation"": ""We can write a test for the mutant in Line 51 by creating a document with multiple fields and asserting that the removeFields method removes all fields with the given name."",
  ""code"": ""Document document ="&amp;" new Document();
// Add fields to the document
document.add(new StringField(""name"", ""John Doe"", Field.Store.YES));
document.add(new StringField(""name"", ""Jane Smith"", Field.Store.YES));
document.removeFields(""name"");
// Assert that all fields "&amp;"with name ""name"" are removed
assertEquals(0, document.getFields(""name"").length);""
}")</f>
        <v>{
  "answer": "Yes",
  "explanation": "We can write a test for the mutant in Line 51 by creating a document with multiple fields and asserting that the removeFields method removes all fields with the given name.",
  "code": "Document document = new Document();
// Add fields to the document
document.add(new StringField("name", "John Doe", Field.Store.YES));
document.add(new StringField("name", "Jane Smith", Field.Store.YES));
document.removeFields("name");
// Assert that all fields with name "name" are removed
assertEquals(0, document.getFields("name").length);"
}</v>
      </c>
      <c r="D80" s="9">
        <f ca="1">IFERROR(__xludf.DUMMYFUNCTION("""COMPUTED_VALUE"""),1)</f>
        <v>1</v>
      </c>
      <c r="E80" s="9" t="str">
        <f ca="1">IFERROR(__xludf.DUMMYFUNCTION("""COMPUTED_VALUE"""),"2024-01-10 15:10:22")</f>
        <v>2024-01-10 15:10:22</v>
      </c>
      <c r="F80" s="9">
        <f ca="1">IFERROR(__xludf.DUMMYFUNCTION("""COMPUTED_VALUE"""),222)</f>
        <v>222</v>
      </c>
      <c r="G80" s="9">
        <f ca="1">IFERROR(__xludf.DUMMYFUNCTION("""COMPUTED_VALUE"""),2)</f>
        <v>2</v>
      </c>
      <c r="H80" s="9" t="str">
        <f ca="1">IFERROR(__xludf.DUMMYFUNCTION("""COMPUTED_VALUE"""),"null")</f>
        <v>null</v>
      </c>
      <c r="I80" s="9" t="str">
        <f ca="1">IFERROR(__xludf.DUMMYFUNCTION("""COMPUTED_VALUE"""),"Y")</f>
        <v>Y</v>
      </c>
      <c r="J80" s="9" t="str">
        <f ca="1">IFERROR(__xludf.DUMMYFUNCTION("""COMPUTED_VALUE"""),"TEST")</f>
        <v>TEST</v>
      </c>
      <c r="K80" s="9" t="str">
        <f ca="1">IFERROR(__xludf.DUMMYFUNCTION("""COMPUTED_VALUE"""),"Specific mutant")</f>
        <v>Specific mutant</v>
      </c>
      <c r="L80" s="9">
        <f ca="1">IFERROR(__xludf.DUMMYFUNCTION("""COMPUTED_VALUE"""),460)</f>
        <v>460</v>
      </c>
      <c r="M80" s="9" t="str">
        <f ca="1">IFERROR(__xludf.DUMMYFUNCTION("""COMPUTED_VALUE"""),"removeField
")</f>
        <v xml:space="preserve">removeField
</v>
      </c>
      <c r="N80" s="9">
        <f ca="1">IFERROR(__xludf.DUMMYFUNCTION("counta(split(B80,"" ""))"),9)</f>
        <v>9</v>
      </c>
      <c r="O80" s="9">
        <f t="shared" ca="1" si="5"/>
        <v>49.181986844324484</v>
      </c>
      <c r="P80" s="9" t="s">
        <v>689</v>
      </c>
    </row>
    <row r="81" spans="1:16" ht="15.75" customHeight="1">
      <c r="A81" s="9">
        <f ca="1">IFERROR(__xludf.DUMMYFUNCTION("""COMPUTED_VALUE"""),136)</f>
        <v>136</v>
      </c>
      <c r="B81" s="9" t="str">
        <f ca="1">IFERROR(__xludf.DUMMYFUNCTION("""COMPUTED_VALUE"""),"write a test for the mutant in Line 51 without using StringField")</f>
        <v>write a test for the mutant in Line 51 without using StringField</v>
      </c>
      <c r="C81" s="9" t="str">
        <f ca="1">IFERROR(__xludf.DUMMYFUNCTION("""COMPUTED_VALUE"""),"{
  ""answer"": ""Yes, it is possible to write a test for the mutant in Line 51 without using StringField."",
  ""explanation"": ""The test can be written by creating a Document object, adding a field with the same name as the one in Line 51, and then ass"&amp;"erting that the getField method returns the expected field."",
  ""code"": ""Document document = new Document();
String fieldName = ""fieldName"";
String fieldValue = ""fieldValue"";
document.add(new TextField(fieldName, fieldValue, Field.Store.YES));
Ind"&amp;"exableField field = document.getField(fieldName);
assertEquals(fieldValue, field.stringValue());""
}")</f>
        <v>{
  "answer": "Yes, it is possible to write a test for the mutant in Line 51 without using StringField.",
  "explanation": "The test can be written by creating a Document object, adding a field with the same name as the one in Line 51, and then asserting that the getField method returns the expected field.",
  "code": "Document document = new Document();
String fieldName = "fieldName";
String fieldValue = "fieldValue";
document.add(new TextField(fieldName, fieldValue, Field.Store.YES));
IndexableField field = document.getField(fieldName);
assertEquals(fieldValue, field.stringValue());"
}</v>
      </c>
      <c r="D81" s="9">
        <f ca="1">IFERROR(__xludf.DUMMYFUNCTION("""COMPUTED_VALUE"""),1)</f>
        <v>1</v>
      </c>
      <c r="E81" s="9" t="str">
        <f ca="1">IFERROR(__xludf.DUMMYFUNCTION("""COMPUTED_VALUE"""),"2024-01-10 15:14:28")</f>
        <v>2024-01-10 15:14:28</v>
      </c>
      <c r="F81" s="9">
        <f ca="1">IFERROR(__xludf.DUMMYFUNCTION("""COMPUTED_VALUE"""),222)</f>
        <v>222</v>
      </c>
      <c r="G81" s="9">
        <f ca="1">IFERROR(__xludf.DUMMYFUNCTION("""COMPUTED_VALUE"""),2)</f>
        <v>2</v>
      </c>
      <c r="H81" s="9" t="str">
        <f ca="1">IFERROR(__xludf.DUMMYFUNCTION("""COMPUTED_VALUE"""),"null")</f>
        <v>null</v>
      </c>
      <c r="I81" s="9" t="str">
        <f ca="1">IFERROR(__xludf.DUMMYFUNCTION("""COMPUTED_VALUE"""),"Y")</f>
        <v>Y</v>
      </c>
      <c r="J81" s="9" t="str">
        <f ca="1">IFERROR(__xludf.DUMMYFUNCTION("""COMPUTED_VALUE"""),"TEST")</f>
        <v>TEST</v>
      </c>
      <c r="K81" s="9" t="str">
        <f ca="1">IFERROR(__xludf.DUMMYFUNCTION("""COMPUTED_VALUE"""),"Specific mutant")</f>
        <v>Specific mutant</v>
      </c>
      <c r="L81" s="9">
        <f ca="1">IFERROR(__xludf.DUMMYFUNCTION("""COMPUTED_VALUE"""),460)</f>
        <v>460</v>
      </c>
      <c r="M81" s="9" t="str">
        <f ca="1">IFERROR(__xludf.DUMMYFUNCTION("""COMPUTED_VALUE"""),"removeField
")</f>
        <v xml:space="preserve">removeField
</v>
      </c>
      <c r="N81" s="9">
        <f ca="1">IFERROR(__xludf.DUMMYFUNCTION("counta(split(B81,"" ""))"),12)</f>
        <v>12</v>
      </c>
      <c r="O81" s="9">
        <f t="shared" ca="1" si="5"/>
        <v>16.104064766402416</v>
      </c>
    </row>
    <row r="82" spans="1:16" ht="15.75" customHeight="1">
      <c r="A82" s="9">
        <f ca="1">IFERROR(__xludf.DUMMYFUNCTION("""COMPUTED_VALUE"""),143)</f>
        <v>143</v>
      </c>
      <c r="B82" s="9" t="str">
        <f ca="1">IFERROR(__xludf.DUMMYFUNCTION("""COMPUTED_VALUE"""),"write a test for the mutant in Line 51 with mocking the Indexable Field")</f>
        <v>write a test for the mutant in Line 51 with mocking the Indexable Field</v>
      </c>
      <c r="C82" s="9" t="str">
        <f ca="1">IFERROR(__xludf.DUMMYFUNCTION("""COMPUTED_VALUE"""),"{
  ""answer"": ""Yes, it is possible to write a test for the mutant in Line 51 by mocking the IndexableField."",
  ""explanation"": ""By mocking the IndexableField, we can control its behavior and verify that the removeField method correctly removes the "&amp;"field with the specified name."",
  ""code"": ""import org.junit.Test;
import org.mockito.Mockito;
public class DocumentTest {
  @Test
  public void testRemoveField() {
    Document document = new Document();
    IndexableField field = Mockito.mock(Inde"&amp;"xableField.class);
    Mockito.when(field.name()).thenReturn(""fieldName"");
    document.add(field);
    document.removeField(""fieldName"");
    Assert.assertNull(document.getField(""fieldName""));
  }
}""
}")</f>
        <v>{
  "answer": "Yes, it is possible to write a test for the mutant in Line 51 by mocking the IndexableField.",
  "explanation": "By mocking the IndexableField, we can control its behavior and verify that the removeField method correctly removes the field with the specified name.",
  "code": "import org.junit.Test;
import org.mockito.Mockito;
public class DocumentTest {
  @Test
  public void testRemoveField() {
    Document document = new Document();
    IndexableField field = Mockito.mock(IndexableField.class);
    Mockito.when(field.name()).thenReturn("fieldName");
    document.add(field);
    document.removeField("fieldName");
    Assert.assertNull(document.getField("fieldName"));
  }
}"
}</v>
      </c>
      <c r="D82" s="9">
        <f ca="1">IFERROR(__xludf.DUMMYFUNCTION("""COMPUTED_VALUE"""),1)</f>
        <v>1</v>
      </c>
      <c r="E82" s="9" t="str">
        <f ca="1">IFERROR(__xludf.DUMMYFUNCTION("""COMPUTED_VALUE"""),"2024-01-10 15:16:16")</f>
        <v>2024-01-10 15:16:16</v>
      </c>
      <c r="F82" s="9">
        <f ca="1">IFERROR(__xludf.DUMMYFUNCTION("""COMPUTED_VALUE"""),222)</f>
        <v>222</v>
      </c>
      <c r="G82" s="9">
        <f ca="1">IFERROR(__xludf.DUMMYFUNCTION("""COMPUTED_VALUE"""),2)</f>
        <v>2</v>
      </c>
      <c r="H82" s="9" t="str">
        <f ca="1">IFERROR(__xludf.DUMMYFUNCTION("""COMPUTED_VALUE"""),"null")</f>
        <v>null</v>
      </c>
      <c r="I82" s="9" t="str">
        <f ca="1">IFERROR(__xludf.DUMMYFUNCTION("""COMPUTED_VALUE"""),"Y")</f>
        <v>Y</v>
      </c>
      <c r="J82" s="9" t="str">
        <f ca="1">IFERROR(__xludf.DUMMYFUNCTION("""COMPUTED_VALUE"""),"TEST")</f>
        <v>TEST</v>
      </c>
      <c r="K82" s="9" t="str">
        <f ca="1">IFERROR(__xludf.DUMMYFUNCTION("""COMPUTED_VALUE"""),"Specific mutant")</f>
        <v>Specific mutant</v>
      </c>
      <c r="L82" s="9">
        <f ca="1">IFERROR(__xludf.DUMMYFUNCTION("""COMPUTED_VALUE"""),460)</f>
        <v>460</v>
      </c>
      <c r="M82" s="9" t="str">
        <f ca="1">IFERROR(__xludf.DUMMYFUNCTION("""COMPUTED_VALUE"""),"removeField
")</f>
        <v xml:space="preserve">removeField
</v>
      </c>
      <c r="N82" s="9">
        <f ca="1">IFERROR(__xludf.DUMMYFUNCTION("counta(split(B82,"" ""))"),14)</f>
        <v>14</v>
      </c>
      <c r="O82" s="9">
        <f t="shared" ca="1" si="5"/>
        <v>4.0521167144543702</v>
      </c>
    </row>
    <row r="83" spans="1:16" ht="15.75" customHeight="1">
      <c r="A83" s="9">
        <f ca="1">IFERROR(__xludf.DUMMYFUNCTION("""COMPUTED_VALUE"""),156)</f>
        <v>156</v>
      </c>
      <c r="B83" s="9" t="str">
        <f ca="1">IFERROR(__xludf.DUMMYFUNCTION("""COMPUTED_VALUE"""),"write a test for the mutant in Line 142")</f>
        <v>write a test for the mutant in Line 142</v>
      </c>
      <c r="C83" s="9" t="str">
        <f ca="1">IFERROR(__xludf.DUMMYFUNCTION("""COMPUTED_VALUE"""),"{
  ""answer"": ""To test the mutant in Line 142, we can create a document with multiple fields and then remove a field using the removeField method, and finally assert that the field is no longer present in the document."",
  ""explanation"": ""The test "&amp;"will verify if the mutant in Line 142 correctly removes the field from the document."",
  ""code"": ""Document document = new Document();
// Add fields to the document
document.add(new StringField(""field1"", ""value1"", Field.Store.YES));
document.add(n"&amp;"ew StringField(""field2"", ""value2"", Field.Store.YES));
// Remove a field
document.removeField(""field1"");
// Assert that the field is no longer present
assertNull(document.getField(""field1""));""
}")</f>
        <v>{
  "answer": "To test the mutant in Line 142, we can create a document with multiple fields and then remove a field using the removeField method, and finally assert that the field is no longer present in the document.",
  "explanation": "The test will verify if the mutant in Line 142 correctly removes the field from the document.",
  "code": "Document document = new Document();
// Add fields to the document
document.add(new StringField("field1", "value1", Field.Store.YES));
document.add(new StringField("field2", "value2", Field.Store.YES));
// Remove a field
document.removeField("field1");
// Assert that the field is no longer present
assertNull(document.getField("field1"));"
}</v>
      </c>
      <c r="D83" s="9">
        <f ca="1">IFERROR(__xludf.DUMMYFUNCTION("""COMPUTED_VALUE"""),1)</f>
        <v>1</v>
      </c>
      <c r="E83" s="9" t="str">
        <f ca="1">IFERROR(__xludf.DUMMYFUNCTION("""COMPUTED_VALUE"""),"2024-01-10 15:18:34")</f>
        <v>2024-01-10 15:18:34</v>
      </c>
      <c r="F83" s="9">
        <f ca="1">IFERROR(__xludf.DUMMYFUNCTION("""COMPUTED_VALUE"""),222)</f>
        <v>222</v>
      </c>
      <c r="G83" s="9">
        <f ca="1">IFERROR(__xludf.DUMMYFUNCTION("""COMPUTED_VALUE"""),2)</f>
        <v>2</v>
      </c>
      <c r="H83" s="9">
        <f ca="1">IFERROR(__xludf.DUMMYFUNCTION("""COMPUTED_VALUE"""),1)</f>
        <v>1</v>
      </c>
      <c r="I83" s="9" t="str">
        <f ca="1">IFERROR(__xludf.DUMMYFUNCTION("""COMPUTED_VALUE"""),"Y")</f>
        <v>Y</v>
      </c>
      <c r="J83" s="9" t="str">
        <f ca="1">IFERROR(__xludf.DUMMYFUNCTION("""COMPUTED_VALUE"""),"TEST")</f>
        <v>TEST</v>
      </c>
      <c r="K83" s="9" t="str">
        <f ca="1">IFERROR(__xludf.DUMMYFUNCTION("""COMPUTED_VALUE"""),"Specific mutant")</f>
        <v>Specific mutant</v>
      </c>
      <c r="L83" s="9">
        <f ca="1">IFERROR(__xludf.DUMMYFUNCTION("""COMPUTED_VALUE"""),504)</f>
        <v>504</v>
      </c>
      <c r="M83" s="9" t="str">
        <f ca="1">IFERROR(__xludf.DUMMYFUNCTION("""COMPUTED_VALUE"""),"getFields_1
")</f>
        <v xml:space="preserve">getFields_1
</v>
      </c>
      <c r="N83" s="9">
        <f ca="1">IFERROR(__xludf.DUMMYFUNCTION("counta(split(B83,"" ""))"),9)</f>
        <v>9</v>
      </c>
      <c r="O83" s="9">
        <f t="shared" ca="1" si="5"/>
        <v>49.181986844324484</v>
      </c>
      <c r="P83" s="9" t="s">
        <v>689</v>
      </c>
    </row>
    <row r="84" spans="1:16" ht="15.75" customHeight="1">
      <c r="A84" s="9">
        <f ca="1">IFERROR(__xludf.DUMMYFUNCTION("""COMPUTED_VALUE"""),160)</f>
        <v>160</v>
      </c>
      <c r="B84" s="9" t="str">
        <f ca="1">IFERROR(__xludf.DUMMYFUNCTION("""COMPUTED_VALUE"""),"write a test for the mutant in Line 142 with mocking the Indexable Field")</f>
        <v>write a test for the mutant in Line 142 with mocking the Indexable Field</v>
      </c>
      <c r="C84" s="9" t="str">
        <f ca="1">IFERROR(__xludf.DUMMYFUNCTION("""COMPUTED_VALUE"""),"{
  ""answer"": ""To test the mutant in Line 142, we can mock the IndexableField and verify that the removeField method is called with the correct name."",
  ""explanation"": ""By mocking the IndexableField, we can simulate its behavior and verify that th"&amp;"e removeField method is called with the expected name."",
  ""code"": ""import org.junit.Test;
import org.mockito.Mock;
import static org.mockito.Mockito.verify;
public class DocumentTest {
  @Mock
  private IndexableField field;
  @Test
  public void "&amp;"testRemoveField() {
    Document document = new Document();
    document.add(field);
    document.removeField(""name"");
    verify(field).name();
  }
}""
}")</f>
        <v>{
  "answer": "To test the mutant in Line 142, we can mock the IndexableField and verify that the removeField method is called with the correct name.",
  "explanation": "By mocking the IndexableField, we can simulate its behavior and verify that the removeField method is called with the expected name.",
  "code": "import org.junit.Test;
import org.mockito.Mock;
import static org.mockito.Mockito.verify;
public class DocumentTest {
  @Mock
  private IndexableField field;
  @Test
  public void testRemoveField() {
    Document document = new Document();
    document.add(field);
    document.removeField("name");
    verify(field).name();
  }
}"
}</v>
      </c>
      <c r="D84" s="9">
        <f ca="1">IFERROR(__xludf.DUMMYFUNCTION("""COMPUTED_VALUE"""),0)</f>
        <v>0</v>
      </c>
      <c r="E84" s="9" t="str">
        <f ca="1">IFERROR(__xludf.DUMMYFUNCTION("""COMPUTED_VALUE"""),"2024-01-10 15:19:24")</f>
        <v>2024-01-10 15:19:24</v>
      </c>
      <c r="F84" s="9">
        <f ca="1">IFERROR(__xludf.DUMMYFUNCTION("""COMPUTED_VALUE"""),222)</f>
        <v>222</v>
      </c>
      <c r="G84" s="9">
        <f ca="1">IFERROR(__xludf.DUMMYFUNCTION("""COMPUTED_VALUE"""),2)</f>
        <v>2</v>
      </c>
      <c r="H84" s="9" t="str">
        <f ca="1">IFERROR(__xludf.DUMMYFUNCTION("""COMPUTED_VALUE"""),"null")</f>
        <v>null</v>
      </c>
      <c r="I84" s="9" t="str">
        <f ca="1">IFERROR(__xludf.DUMMYFUNCTION("""COMPUTED_VALUE"""),"Y")</f>
        <v>Y</v>
      </c>
      <c r="J84" s="9" t="str">
        <f ca="1">IFERROR(__xludf.DUMMYFUNCTION("""COMPUTED_VALUE"""),"TEST")</f>
        <v>TEST</v>
      </c>
      <c r="K84" s="9" t="str">
        <f ca="1">IFERROR(__xludf.DUMMYFUNCTION("""COMPUTED_VALUE"""),"Specific mutant")</f>
        <v>Specific mutant</v>
      </c>
      <c r="L84" s="9">
        <f ca="1">IFERROR(__xludf.DUMMYFUNCTION("""COMPUTED_VALUE"""),504)</f>
        <v>504</v>
      </c>
      <c r="M84" s="9" t="str">
        <f ca="1">IFERROR(__xludf.DUMMYFUNCTION("""COMPUTED_VALUE"""),"getFields_1
")</f>
        <v xml:space="preserve">getFields_1
</v>
      </c>
      <c r="N84" s="9">
        <f ca="1">IFERROR(__xludf.DUMMYFUNCTION("counta(split(B84,"" ""))"),14)</f>
        <v>14</v>
      </c>
      <c r="O84" s="9">
        <f t="shared" ca="1" si="5"/>
        <v>4.0521167144543702</v>
      </c>
    </row>
    <row r="85" spans="1:16" ht="15.75" customHeight="1">
      <c r="A85" s="9">
        <f ca="1">IFERROR(__xludf.DUMMYFUNCTION("""COMPUTED_VALUE"""),161)</f>
        <v>161</v>
      </c>
      <c r="B85" s="9" t="str">
        <f ca="1">IFERROR(__xludf.DUMMYFUNCTION("""COMPUTED_VALUE"""),"write a test for the mutant in Line 51 with mocking the Indexable Field")</f>
        <v>write a test for the mutant in Line 51 with mocking the Indexable Field</v>
      </c>
      <c r="C85" s="9" t="str">
        <f ca="1">IFERROR(__xludf.DUMMYFUNCTION("""COMPUTED_VALUE"""),"{
  ""answer"": ""Yes, it is possible to write a test for the mutant in Line 51 by mocking the IndexableField."",
  ""explanation"": ""By mocking the IndexableField, we can control its behavior and verify that the removeField method correctly removes the "&amp;"field with the specified name."",
  ""code"": ""import org.junit.Test;
import org.mockito.Mockito;
public class DocumentTest {
  @Test
  public void testRemoveField() {
    // Create a mock IndexableField
    IndexableField field = Mockito.mock(Indexabl"&amp;"eField.class);
    Mockito.when(field.name()).thenReturn(""fieldName"");
    // Create a document
    Document document = new Document();
    document.add(field);
    // Remove the field
    document.removeField(""fieldName"");
    // Verify that the f"&amp;"ield was removed
    Mockito.verify(field).name();
  }
}""
}")</f>
        <v>{
  "answer": "Yes, it is possible to write a test for the mutant in Line 51 by mocking the IndexableField.",
  "explanation": "By mocking the IndexableField, we can control its behavior and verify that the removeField method correctly removes the field with the specified name.",
  "code": "import org.junit.Test;
import org.mockito.Mockito;
public class DocumentTest {
  @Test
  public void testRemoveField() {
    // Create a mock IndexableField
    IndexableField field = Mockito.mock(IndexableField.class);
    Mockito.when(field.name()).thenReturn("fieldName");
    // Create a document
    Document document = new Document();
    document.add(field);
    // Remove the field
    document.removeField("fieldName");
    // Verify that the field was removed
    Mockito.verify(field).name();
  }
}"
}</v>
      </c>
      <c r="D85" s="9">
        <f ca="1">IFERROR(__xludf.DUMMYFUNCTION("""COMPUTED_VALUE"""),1)</f>
        <v>1</v>
      </c>
      <c r="E85" s="9" t="str">
        <f ca="1">IFERROR(__xludf.DUMMYFUNCTION("""COMPUTED_VALUE"""),"2024-01-10 15:19:37")</f>
        <v>2024-01-10 15:19:37</v>
      </c>
      <c r="F85" s="9">
        <f ca="1">IFERROR(__xludf.DUMMYFUNCTION("""COMPUTED_VALUE"""),222)</f>
        <v>222</v>
      </c>
      <c r="G85" s="9">
        <f ca="1">IFERROR(__xludf.DUMMYFUNCTION("""COMPUTED_VALUE"""),2)</f>
        <v>2</v>
      </c>
      <c r="H85" s="9" t="str">
        <f ca="1">IFERROR(__xludf.DUMMYFUNCTION("""COMPUTED_VALUE"""),"null")</f>
        <v>null</v>
      </c>
      <c r="I85" s="9" t="str">
        <f ca="1">IFERROR(__xludf.DUMMYFUNCTION("""COMPUTED_VALUE"""),"Y")</f>
        <v>Y</v>
      </c>
      <c r="J85" s="9" t="str">
        <f ca="1">IFERROR(__xludf.DUMMYFUNCTION("""COMPUTED_VALUE"""),"TEST")</f>
        <v>TEST</v>
      </c>
      <c r="K85" s="9" t="str">
        <f ca="1">IFERROR(__xludf.DUMMYFUNCTION("""COMPUTED_VALUE"""),"Specific mutant")</f>
        <v>Specific mutant</v>
      </c>
      <c r="L85" s="9">
        <f ca="1">IFERROR(__xludf.DUMMYFUNCTION("""COMPUTED_VALUE"""),460)</f>
        <v>460</v>
      </c>
      <c r="M85" s="9" t="str">
        <f ca="1">IFERROR(__xludf.DUMMYFUNCTION("""COMPUTED_VALUE"""),"removeField
")</f>
        <v xml:space="preserve">removeField
</v>
      </c>
      <c r="N85" s="9">
        <f ca="1">IFERROR(__xludf.DUMMYFUNCTION("counta(split(B85,"" ""))"),14)</f>
        <v>14</v>
      </c>
      <c r="O85" s="9">
        <f t="shared" ca="1" si="5"/>
        <v>4.0521167144543702</v>
      </c>
    </row>
    <row r="86" spans="1:16" ht="15.75" customHeight="1">
      <c r="A86" s="9">
        <f ca="1">IFERROR(__xludf.DUMMYFUNCTION("""COMPUTED_VALUE"""),172)</f>
        <v>172</v>
      </c>
      <c r="B86" s="9" t="str">
        <f ca="1">IFERROR(__xludf.DUMMYFUNCTION("""COMPUTED_VALUE"""),"write a test with the method in Line 139 for the mutant in Line 51 with mocking the Indexable Field")</f>
        <v>write a test with the method in Line 139 for the mutant in Line 51 with mocking the Indexable Field</v>
      </c>
      <c r="C86" s="9" t="str">
        <f ca="1">IFERROR(__xludf.DUMMYFUNCTION("""COMPUTED_VALUE"""),"{
  ""answer"": ""Yes, it is possible to write a test for the method in Line 139 by mocking the IndexableField."",
  ""explanation"": ""By using a mocking framework like Mockito, we can create a mock object of the IndexableField class and define its behav"&amp;"ior to test the method in Line 139."",
  ""code"": ""import org.junit.Test;
import org.mockito.Mockito;
public class DocumentTest {
  @Test
  public void testGetValues() {
    // Create a mock object of IndexableField
    IndexableField field = Mockito."&amp;"mock(IndexableField.class);
    // Define the behavior of the mock object
    Mockito.when(field.name()).thenReturn(""fieldName"");
    Mockito.when(field.stringValue()).thenReturn(""fieldValue"");
    // Create a Document object
    Document document = n"&amp;"ew Document();
    // Add the mock field to the document
    document.add(field);
    // Test the getValues method
    String[] values = document.getValues(""fieldName"");
    // Assert the result
    Assert.assertArrayEquals(new String[]{""fieldValue""},"&amp;" values);
  }
}""
}")</f>
        <v>{
  "answer": "Yes, it is possible to write a test for the method in Line 139 by mocking the IndexableField.",
  "explanation": "By using a mocking framework like Mockito, we can create a mock object of the IndexableField class and define its behavior to test the method in Line 139.",
  "code": "import org.junit.Test;
import org.mockito.Mockito;
public class DocumentTest {
  @Test
  public void testGetValues() {
    // Create a mock object of IndexableField
    IndexableField field = Mockito.mock(IndexableField.class);
    // Define the behavior of the mock object
    Mockito.when(field.name()).thenReturn("fieldName");
    Mockito.when(field.stringValue()).thenReturn("fieldValue");
    // Create a Document object
    Document document = new Document();
    // Add the mock field to the document
    document.add(field);
    // Test the getValues method
    String[] values = document.getValues("fieldName");
    // Assert the result
    Assert.assertArrayEquals(new String[]{"fieldValue"}, values);
  }
}"
}</v>
      </c>
      <c r="D86" s="9">
        <f ca="1">IFERROR(__xludf.DUMMYFUNCTION("""COMPUTED_VALUE"""),1)</f>
        <v>1</v>
      </c>
      <c r="E86" s="9" t="str">
        <f ca="1">IFERROR(__xludf.DUMMYFUNCTION("""COMPUTED_VALUE"""),"2024-01-10 15:22:48")</f>
        <v>2024-01-10 15:22:48</v>
      </c>
      <c r="F86" s="9">
        <f ca="1">IFERROR(__xludf.DUMMYFUNCTION("""COMPUTED_VALUE"""),222)</f>
        <v>222</v>
      </c>
      <c r="G86" s="9">
        <f ca="1">IFERROR(__xludf.DUMMYFUNCTION("""COMPUTED_VALUE"""),2)</f>
        <v>2</v>
      </c>
      <c r="H86" s="9" t="str">
        <f ca="1">IFERROR(__xludf.DUMMYFUNCTION("""COMPUTED_VALUE"""),"null")</f>
        <v>null</v>
      </c>
      <c r="I86" s="9" t="str">
        <f ca="1">IFERROR(__xludf.DUMMYFUNCTION("""COMPUTED_VALUE"""),"Y")</f>
        <v>Y</v>
      </c>
      <c r="J86" s="9" t="str">
        <f ca="1">IFERROR(__xludf.DUMMYFUNCTION("""COMPUTED_VALUE"""),"TEST")</f>
        <v>TEST</v>
      </c>
      <c r="K86" s="9" t="str">
        <f ca="1">IFERROR(__xludf.DUMMYFUNCTION("""COMPUTED_VALUE"""),"Specific mutant")</f>
        <v>Specific mutant</v>
      </c>
      <c r="L86" s="9">
        <f ca="1">IFERROR(__xludf.DUMMYFUNCTION("""COMPUTED_VALUE"""),460)</f>
        <v>460</v>
      </c>
      <c r="M86" s="9" t="str">
        <f ca="1">IFERROR(__xludf.DUMMYFUNCTION("""COMPUTED_VALUE"""),"removeField
")</f>
        <v xml:space="preserve">removeField
</v>
      </c>
      <c r="N86" s="9">
        <f ca="1">IFERROR(__xludf.DUMMYFUNCTION("counta(split(B86,"" ""))"),20)</f>
        <v>20</v>
      </c>
      <c r="O86" s="9">
        <f t="shared" ca="1" si="5"/>
        <v>15.896272558610233</v>
      </c>
    </row>
    <row r="87" spans="1:16" ht="15.75" customHeight="1">
      <c r="A87" s="9">
        <f ca="1">IFERROR(__xludf.DUMMYFUNCTION("""COMPUTED_VALUE"""),184)</f>
        <v>184</v>
      </c>
      <c r="B87" s="9" t="str">
        <f ca="1">IFERROR(__xludf.DUMMYFUNCTION("""COMPUTED_VALUE"""),"write a test for the toString method for mutant in lin 203")</f>
        <v>write a test for the toString method for mutant in lin 203</v>
      </c>
      <c r="C87" s="9" t="str">
        <f ca="1">IFERROR(__xludf.DUMMYFUNCTION("""COMPUTED_VALUE"""),"{
  ""answer"": ""Yes"",
  ""explanation"": ""We can test the toString method by creating a Document object, adding some fields to it, and then calling the toString method to check if the output matches the expected string representation of the document."&amp;""",
  ""code"": ""Document document = new Document();
document.add(new StringField(""title"", ""Lucene in Action"", Field.Store.YES));
document.add(new TextField(""content"", ""This is a book about Lucene."", Field.Store.YES));
String expected = ""Docum"&amp;"ent&lt;title:Lucene in Action content:This is a book about Lucene.&gt;"";
String actual = document.toString();
assertEquals(expected, actual);""
}")</f>
        <v>{
  "answer": "Yes",
  "explanation": "We can test the toString method by creating a Document object, adding some fields to it, and then calling the toString method to check if the output matches the expected string representation of the document.",
  "code": "Document document = new Document();
document.add(new StringField("title", "Lucene in Action", Field.Store.YES));
document.add(new TextField("content", "This is a book about Lucene.", Field.Store.YES));
String expected = "Document&lt;title:Lucene in Action content:This is a book about Lucene.&gt;";
String actual = document.toString();
assertEquals(expected, actual);"
}</v>
      </c>
      <c r="D87" s="9">
        <f ca="1">IFERROR(__xludf.DUMMYFUNCTION("""COMPUTED_VALUE"""),1)</f>
        <v>1</v>
      </c>
      <c r="E87" s="9" t="str">
        <f ca="1">IFERROR(__xludf.DUMMYFUNCTION("""COMPUTED_VALUE"""),"2024-01-10 15:25:07")</f>
        <v>2024-01-10 15:25:07</v>
      </c>
      <c r="F87" s="9">
        <f ca="1">IFERROR(__xludf.DUMMYFUNCTION("""COMPUTED_VALUE"""),222)</f>
        <v>222</v>
      </c>
      <c r="G87" s="9">
        <f ca="1">IFERROR(__xludf.DUMMYFUNCTION("""COMPUTED_VALUE"""),2)</f>
        <v>2</v>
      </c>
      <c r="H87" s="9" t="str">
        <f ca="1">IFERROR(__xludf.DUMMYFUNCTION("""COMPUTED_VALUE"""),"null")</f>
        <v>null</v>
      </c>
      <c r="I87" s="9" t="str">
        <f ca="1">IFERROR(__xludf.DUMMYFUNCTION("""COMPUTED_VALUE"""),"Y")</f>
        <v>Y</v>
      </c>
      <c r="J87" s="9" t="str">
        <f ca="1">IFERROR(__xludf.DUMMYFUNCTION("""COMPUTED_VALUE"""),"TEST")</f>
        <v>TEST</v>
      </c>
      <c r="K87" s="9" t="str">
        <f ca="1">IFERROR(__xludf.DUMMYFUNCTION("""COMPUTED_VALUE"""),"Specific mutant")</f>
        <v>Specific mutant</v>
      </c>
      <c r="L87" s="9">
        <f ca="1">IFERROR(__xludf.DUMMYFUNCTION("""COMPUTED_VALUE"""),593)</f>
        <v>593</v>
      </c>
      <c r="M87" s="9" t="str">
        <f ca="1">IFERROR(__xludf.DUMMYFUNCTION("""COMPUTED_VALUE"""),"toString
")</f>
        <v xml:space="preserve">toString
</v>
      </c>
      <c r="N87" s="9">
        <f ca="1">IFERROR(__xludf.DUMMYFUNCTION("counta(split(B87,"" ""))"),12)</f>
        <v>12</v>
      </c>
      <c r="O87" s="9">
        <f t="shared" ca="1" si="5"/>
        <v>16.104064766402416</v>
      </c>
      <c r="P87" s="9" t="s">
        <v>689</v>
      </c>
    </row>
    <row r="88" spans="1:16" ht="15.75" customHeight="1">
      <c r="A88" s="9">
        <f ca="1">IFERROR(__xludf.DUMMYFUNCTION("""COMPUTED_VALUE"""),187)</f>
        <v>187</v>
      </c>
      <c r="B88" s="9" t="str">
        <f ca="1">IFERROR(__xludf.DUMMYFUNCTION("""COMPUTED_VALUE"""),"write a test for the toString method for mutant in lin 203  with mocking the Indexable Field")</f>
        <v>write a test for the toString method for mutant in lin 203  with mocking the Indexable Field</v>
      </c>
      <c r="C88" s="9" t="str">
        <f ca="1">IFERROR(__xludf.DUMMYFUNCTION("""COMPUTED_VALUE"""),"{
  ""answer"": ""Yes, it is possible to write a test for the toString method by mocking the IndexableField."",
  ""explanation"": ""By mocking the IndexableField, we can control its behavior and verify that the toString method of the Document class produ"&amp;"ces the expected output."",
  ""code"": ""import org.junit.Test;
import org.mockito.Mockito;
public class DocumentTest {
  @Test
  public void testToString() {
    IndexableField field = Mockito.mock(IndexableField.class);
    Mockito.when(field.toStrin"&amp;"g()).thenReturn(""mockedField"");
    Document document = new Document();
    document.add(field);
    String expectedOutput = ""Document&lt;mockedField&gt;"";
    String actualOutput = document.toString();
    assertEquals(expectedOutput, actualOutput);
  }"&amp;"
}""
}")</f>
        <v>{
  "answer": "Yes, it is possible to write a test for the toString method by mocking the IndexableField.",
  "explanation": "By mocking the IndexableField, we can control its behavior and verify that the toString method of the Document class produces the expected output.",
  "code": "import org.junit.Test;
import org.mockito.Mockito;
public class DocumentTest {
  @Test
  public void testToString() {
    IndexableField field = Mockito.mock(IndexableField.class);
    Mockito.when(field.toString()).thenReturn("mockedField");
    Document document = new Document();
    document.add(field);
    String expectedOutput = "Document&lt;mockedField&gt;";
    String actualOutput = document.toString();
    assertEquals(expectedOutput, actualOutput);
  }
}"
}</v>
      </c>
      <c r="D88" s="9">
        <f ca="1">IFERROR(__xludf.DUMMYFUNCTION("""COMPUTED_VALUE"""),1)</f>
        <v>1</v>
      </c>
      <c r="E88" s="9" t="str">
        <f ca="1">IFERROR(__xludf.DUMMYFUNCTION("""COMPUTED_VALUE"""),"2024-01-10 15:25:54")</f>
        <v>2024-01-10 15:25:54</v>
      </c>
      <c r="F88" s="9">
        <f ca="1">IFERROR(__xludf.DUMMYFUNCTION("""COMPUTED_VALUE"""),222)</f>
        <v>222</v>
      </c>
      <c r="G88" s="9">
        <f ca="1">IFERROR(__xludf.DUMMYFUNCTION("""COMPUTED_VALUE"""),2)</f>
        <v>2</v>
      </c>
      <c r="H88" s="9" t="str">
        <f ca="1">IFERROR(__xludf.DUMMYFUNCTION("""COMPUTED_VALUE"""),"null")</f>
        <v>null</v>
      </c>
      <c r="I88" s="9" t="str">
        <f ca="1">IFERROR(__xludf.DUMMYFUNCTION("""COMPUTED_VALUE"""),"Y")</f>
        <v>Y</v>
      </c>
      <c r="J88" s="9" t="str">
        <f ca="1">IFERROR(__xludf.DUMMYFUNCTION("""COMPUTED_VALUE"""),"TEST")</f>
        <v>TEST</v>
      </c>
      <c r="K88" s="9" t="str">
        <f ca="1">IFERROR(__xludf.DUMMYFUNCTION("""COMPUTED_VALUE"""),"Specific mutant")</f>
        <v>Specific mutant</v>
      </c>
      <c r="L88" s="9">
        <f ca="1">IFERROR(__xludf.DUMMYFUNCTION("""COMPUTED_VALUE"""),593)</f>
        <v>593</v>
      </c>
      <c r="M88" s="9" t="str">
        <f ca="1">IFERROR(__xludf.DUMMYFUNCTION("""COMPUTED_VALUE"""),"toString
")</f>
        <v xml:space="preserve">toString
</v>
      </c>
      <c r="N88" s="9">
        <f ca="1">IFERROR(__xludf.DUMMYFUNCTION("counta(split(B88,"" ""))"),17)</f>
        <v>17</v>
      </c>
      <c r="O88" s="9">
        <f t="shared" ca="1" si="5"/>
        <v>0.97419463653230209</v>
      </c>
    </row>
    <row r="89" spans="1:16" ht="15.75" customHeight="1">
      <c r="A89" s="9">
        <f ca="1">IFERROR(__xludf.DUMMYFUNCTION("""COMPUTED_VALUE"""),194)</f>
        <v>194</v>
      </c>
      <c r="B89" s="9" t="str">
        <f ca="1">IFERROR(__xludf.DUMMYFUNCTION("""COMPUTED_VALUE"""),"write a test for the toString method for mutant in lin 204  with mocking the Indexable Field")</f>
        <v>write a test for the toString method for mutant in lin 204  with mocking the Indexable Field</v>
      </c>
      <c r="C89" s="9" t="str">
        <f ca="1">IFERROR(__xludf.DUMMYFUNCTION("""COMPUTED_VALUE"""),"{
  ""answer"": ""Yes"",
  ""explanation"": ""Yes, we can write a test for the toString method by mocking the IndexableField and verifying the expected output."",
  ""code"": ""import org.junit.Test;
import org.mockito.Mockito;
import static org.junit.As"&amp;"sert.assertEquals;
import static org.mockito.Mockito.when;
public class DocumentTest {
    @Test
    public void testToString() {
        Document document = new Document();
        IndexableField field1 = Mockito.mock(IndexableField.class);
        Ind"&amp;"exableField field2 = Mockito.mock(IndexableField.class);
        when(field1.toString()).thenReturn(""field1"");
        when(field2.toString()).thenReturn(""field2"");
        document.add(field1);
        document.add(field2);
        String expected ="&amp;" ""Document&lt;field1 field2&gt;"";
        String actual = document.toString();
        assertEquals(expected, actual);
    }
}""
}")</f>
        <v>{
  "answer": "Yes",
  "explanation": "Yes, we can write a test for the toString method by mocking the IndexableField and verifying the expected output.",
  "code": "import org.junit.Test;
import org.mockito.Mockito;
import static org.junit.Assert.assertEquals;
import static org.mockito.Mockito.when;
public class DocumentTest {
    @Test
    public void testToString() {
        Document document = new Document();
        IndexableField field1 = Mockito.mock(IndexableField.class);
        IndexableField field2 = Mockito.mock(IndexableField.class);
        when(field1.toString()).thenReturn("field1");
        when(field2.toString()).thenReturn("field2");
        document.add(field1);
        document.add(field2);
        String expected = "Document&lt;field1 field2&gt;";
        String actual = document.toString();
        assertEquals(expected, actual);
    }
}"
}</v>
      </c>
      <c r="D89" s="9">
        <f ca="1">IFERROR(__xludf.DUMMYFUNCTION("""COMPUTED_VALUE"""),0)</f>
        <v>0</v>
      </c>
      <c r="E89" s="9" t="str">
        <f ca="1">IFERROR(__xludf.DUMMYFUNCTION("""COMPUTED_VALUE"""),"2024-01-10 15:27:15")</f>
        <v>2024-01-10 15:27:15</v>
      </c>
      <c r="F89" s="9">
        <f ca="1">IFERROR(__xludf.DUMMYFUNCTION("""COMPUTED_VALUE"""),222)</f>
        <v>222</v>
      </c>
      <c r="G89" s="9">
        <f ca="1">IFERROR(__xludf.DUMMYFUNCTION("""COMPUTED_VALUE"""),2)</f>
        <v>2</v>
      </c>
      <c r="H89" s="9">
        <f ca="1">IFERROR(__xludf.DUMMYFUNCTION("""COMPUTED_VALUE"""),1)</f>
        <v>1</v>
      </c>
      <c r="I89" s="9" t="str">
        <f ca="1">IFERROR(__xludf.DUMMYFUNCTION("""COMPUTED_VALUE"""),"Y")</f>
        <v>Y</v>
      </c>
      <c r="J89" s="9" t="str">
        <f ca="1">IFERROR(__xludf.DUMMYFUNCTION("""COMPUTED_VALUE"""),"TEST")</f>
        <v>TEST</v>
      </c>
      <c r="K89" s="9" t="str">
        <f ca="1">IFERROR(__xludf.DUMMYFUNCTION("""COMPUTED_VALUE"""),"Specific mutant")</f>
        <v>Specific mutant</v>
      </c>
      <c r="L89" s="9">
        <f ca="1">IFERROR(__xludf.DUMMYFUNCTION("""COMPUTED_VALUE"""),399)</f>
        <v>399</v>
      </c>
      <c r="M89" s="9" t="str">
        <f ca="1">IFERROR(__xludf.DUMMYFUNCTION("""COMPUTED_VALUE"""),"toString
")</f>
        <v xml:space="preserve">toString
</v>
      </c>
      <c r="N89" s="9">
        <f ca="1">IFERROR(__xludf.DUMMYFUNCTION("counta(split(B89,"" ""))"),17)</f>
        <v>17</v>
      </c>
      <c r="O89" s="9">
        <f t="shared" ca="1" si="5"/>
        <v>0.97419463653230209</v>
      </c>
    </row>
    <row r="90" spans="1:16" ht="15.75" customHeight="1">
      <c r="A90" s="9">
        <f ca="1">IFERROR(__xludf.DUMMYFUNCTION("""COMPUTED_VALUE"""),198)</f>
        <v>198</v>
      </c>
      <c r="B90" s="9" t="str">
        <f ca="1">IFERROR(__xludf.DUMMYFUNCTION("""COMPUTED_VALUE"""),"write a test for the toString method for mutant in lin 203  with mocking the Indexable Field")</f>
        <v>write a test for the toString method for mutant in lin 203  with mocking the Indexable Field</v>
      </c>
      <c r="C90" s="9" t="str">
        <f ca="1">IFERROR(__xludf.DUMMYFUNCTION("""COMPUTED_VALUE"""),"{
  ""answer"": ""Yes, it is possible to write a test for the toString method by mocking the IndexableField."",
  ""explanation"": ""By mocking the IndexableField, we can control its behavior and verify that the toString method of the Document class produ"&amp;"ces the expected output."",
  ""code"": ""import org.junit.Test;
import org.mockito.Mockito;
public class DocumentTest {
  @Test
  public void testToString() {
    IndexableField field = Mockito.mock(IndexableField.class);
    Mockito.when(field.toStrin"&amp;"g()).thenReturn(""mockedField"");
    Document document = new Document();
    document.add(field);
    String expectedOutput = ""Document&lt;mockedField&gt;"";
    String actualOutput = document.toString();
    assertEquals(expectedOutput, actualOutput);
  }"&amp;"
}""
}")</f>
        <v>{
  "answer": "Yes, it is possible to write a test for the toString method by mocking the IndexableField.",
  "explanation": "By mocking the IndexableField, we can control its behavior and verify that the toString method of the Document class produces the expected output.",
  "code": "import org.junit.Test;
import org.mockito.Mockito;
public class DocumentTest {
  @Test
  public void testToString() {
    IndexableField field = Mockito.mock(IndexableField.class);
    Mockito.when(field.toString()).thenReturn("mockedField");
    Document document = new Document();
    document.add(field);
    String expectedOutput = "Document&lt;mockedField&gt;";
    String actualOutput = document.toString();
    assertEquals(expectedOutput, actualOutput);
  }
}"
}</v>
      </c>
      <c r="D90" s="9">
        <f ca="1">IFERROR(__xludf.DUMMYFUNCTION("""COMPUTED_VALUE"""),1)</f>
        <v>1</v>
      </c>
      <c r="E90" s="9" t="str">
        <f ca="1">IFERROR(__xludf.DUMMYFUNCTION("""COMPUTED_VALUE"""),"2024-01-10 15:27:35")</f>
        <v>2024-01-10 15:27:35</v>
      </c>
      <c r="F90" s="9">
        <f ca="1">IFERROR(__xludf.DUMMYFUNCTION("""COMPUTED_VALUE"""),222)</f>
        <v>222</v>
      </c>
      <c r="G90" s="9">
        <f ca="1">IFERROR(__xludf.DUMMYFUNCTION("""COMPUTED_VALUE"""),2)</f>
        <v>2</v>
      </c>
      <c r="H90" s="9" t="str">
        <f ca="1">IFERROR(__xludf.DUMMYFUNCTION("""COMPUTED_VALUE"""),"null")</f>
        <v>null</v>
      </c>
      <c r="I90" s="9" t="str">
        <f ca="1">IFERROR(__xludf.DUMMYFUNCTION("""COMPUTED_VALUE"""),"Y")</f>
        <v>Y</v>
      </c>
      <c r="J90" s="9" t="str">
        <f ca="1">IFERROR(__xludf.DUMMYFUNCTION("""COMPUTED_VALUE"""),"TEST")</f>
        <v>TEST</v>
      </c>
      <c r="K90" s="9" t="str">
        <f ca="1">IFERROR(__xludf.DUMMYFUNCTION("""COMPUTED_VALUE"""),"Specific mutant")</f>
        <v>Specific mutant</v>
      </c>
      <c r="L90" s="9">
        <f ca="1">IFERROR(__xludf.DUMMYFUNCTION("""COMPUTED_VALUE"""),593)</f>
        <v>593</v>
      </c>
      <c r="M90" s="9" t="str">
        <f ca="1">IFERROR(__xludf.DUMMYFUNCTION("""COMPUTED_VALUE"""),"toString
")</f>
        <v xml:space="preserve">toString
</v>
      </c>
      <c r="N90" s="9">
        <f ca="1">IFERROR(__xludf.DUMMYFUNCTION("counta(split(B90,"" ""))"),17)</f>
        <v>17</v>
      </c>
      <c r="O90" s="9">
        <f t="shared" ca="1" si="5"/>
        <v>0.97419463653230209</v>
      </c>
    </row>
    <row r="91" spans="1:16" ht="15.75" customHeight="1">
      <c r="A91" s="9">
        <f ca="1">IFERROR(__xludf.DUMMYFUNCTION("""COMPUTED_VALUE"""),202)</f>
        <v>202</v>
      </c>
      <c r="B91" s="9" t="str">
        <f ca="1">IFERROR(__xludf.DUMMYFUNCTION("""COMPUTED_VALUE"""),"write a test for the getBinaryValue method for mutant in line 111  with mocking the Indexable Field")</f>
        <v>write a test for the getBinaryValue method for mutant in line 111  with mocking the Indexable Field</v>
      </c>
      <c r="C91" s="9" t="str">
        <f ca="1">IFERROR(__xludf.DUMMYFUNCTION("""COMPUTED_VALUE"""),"{
  ""answer"": ""Yes, it is possible to write a test for the getBinaryValue method by mocking the IndexableField."",
  ""explanation"": ""By using a mocking framework like Mockito, we can create a mock IndexableField object and set it up to return a spec"&amp;"ific value when the binaryValue method is called."",
  ""code"": ""import org.junit.Test;
import org.mockito.Mockito;
public class DocumentTest {
  @Test
  public void testGetBinaryValue() {
    // Create a mock IndexableField
    IndexableField field ="&amp;" Mockito.mock(IndexableField.class);
    // Set up the mock to return a specific value
    Mockito.when(field.binaryValue()).thenReturn(new BytesRef(""binary value""));
    // Create a Document
    Document document = new Document();
    // Add the mock "&amp;"field to the document
    document.add(field);
    // Test the getBinaryValue method
    BytesRef binaryValue = document.getBinaryValue(""fieldName"");
    // Assert the expected value
    Assert.assertEquals(new BytesRef(""binary value""), binaryValue)"&amp;";
  }
}""
}")</f>
        <v>{
  "answer": "Yes, it is possible to write a test for the getBinaryValue method by mocking the IndexableField.",
  "explanation": "By using a mocking framework like Mockito, we can create a mock IndexableField object and set it up to return a specific value when the binaryValue method is called.",
  "code": "import org.junit.Test;
import org.mockito.Mockito;
public class DocumentTest {
  @Test
  public void testGetBinaryValue() {
    // Create a mock IndexableField
    IndexableField field = Mockito.mock(IndexableField.class);
    // Set up the mock to return a specific value
    Mockito.when(field.binaryValue()).thenReturn(new BytesRef("binary value"));
    // Create a Document
    Document document = new Document();
    // Add the mock field to the document
    document.add(field);
    // Test the getBinaryValue method
    BytesRef binaryValue = document.getBinaryValue("fieldName");
    // Assert the expected value
    Assert.assertEquals(new BytesRef("binary value"), binaryValue);
  }
}"
}</v>
      </c>
      <c r="D91" s="9">
        <f ca="1">IFERROR(__xludf.DUMMYFUNCTION("""COMPUTED_VALUE"""),1)</f>
        <v>1</v>
      </c>
      <c r="E91" s="9" t="str">
        <f ca="1">IFERROR(__xludf.DUMMYFUNCTION("""COMPUTED_VALUE"""),"2024-01-10 15:29:15")</f>
        <v>2024-01-10 15:29:15</v>
      </c>
      <c r="F91" s="9">
        <f ca="1">IFERROR(__xludf.DUMMYFUNCTION("""COMPUTED_VALUE"""),222)</f>
        <v>222</v>
      </c>
      <c r="G91" s="9">
        <f ca="1">IFERROR(__xludf.DUMMYFUNCTION("""COMPUTED_VALUE"""),2)</f>
        <v>2</v>
      </c>
      <c r="H91" s="9" t="str">
        <f ca="1">IFERROR(__xludf.DUMMYFUNCTION("""COMPUTED_VALUE"""),"null")</f>
        <v>null</v>
      </c>
      <c r="I91" s="9" t="str">
        <f ca="1">IFERROR(__xludf.DUMMYFUNCTION("""COMPUTED_VALUE"""),"Y")</f>
        <v>Y</v>
      </c>
      <c r="J91" s="9" t="str">
        <f ca="1">IFERROR(__xludf.DUMMYFUNCTION("""COMPUTED_VALUE"""),"TEST")</f>
        <v>TEST</v>
      </c>
      <c r="K91" s="9" t="str">
        <f ca="1">IFERROR(__xludf.DUMMYFUNCTION("""COMPUTED_VALUE"""),"Specific mutant")</f>
        <v>Specific mutant</v>
      </c>
      <c r="L91" s="9">
        <f ca="1">IFERROR(__xludf.DUMMYFUNCTION("""COMPUTED_VALUE"""),449)</f>
        <v>449</v>
      </c>
      <c r="M91" s="9" t="str">
        <f ca="1">IFERROR(__xludf.DUMMYFUNCTION("""COMPUTED_VALUE"""),"getBinaryValue
")</f>
        <v xml:space="preserve">getBinaryValue
</v>
      </c>
      <c r="N91" s="9">
        <f ca="1">IFERROR(__xludf.DUMMYFUNCTION("counta(split(B91,"" ""))"),17)</f>
        <v>17</v>
      </c>
      <c r="O91" s="9">
        <f t="shared" ca="1" si="5"/>
        <v>0.97419463653230209</v>
      </c>
    </row>
    <row r="92" spans="1:16" ht="15.75" customHeight="1">
      <c r="A92" s="9">
        <f ca="1">IFERROR(__xludf.DUMMYFUNCTION("""COMPUTED_VALUE"""),113)</f>
        <v>113</v>
      </c>
      <c r="B92" s="9" t="str">
        <f ca="1">IFERROR(__xludf.DUMMYFUNCTION("""COMPUTED_VALUE"""),"How do I mock @Document?")</f>
        <v>How do I mock @Document?</v>
      </c>
      <c r="C92" s="9" t="str">
        <f ca="1">IFERROR(__xludf.DUMMYFUNCTION("""COMPUTED_VALUE"""),"Answer:
You can mock @Document by creating a mock object using a mocking framework like Mockito.
Explanation:
To mock @Document, you can use a mocking framework like Mockito to create a mock object that behaves like a real @Document object but can be cus"&amp;"tomized for testing purposes.
Code:
Document documentMock = Mockito.mock(Document.class);")</f>
        <v>Answer:
You can mock @Document by creating a mock object using a mocking framework like Mockito.
Explanation:
To mock @Document, you can use a mocking framework like Mockito to create a mock object that behaves like a real @Document object but can be customized for testing purposes.
Code:
Document documentMock = Mockito.mock(Document.class);</v>
      </c>
      <c r="D92" s="9">
        <f ca="1">IFERROR(__xludf.DUMMYFUNCTION("""COMPUTED_VALUE"""),1)</f>
        <v>1</v>
      </c>
      <c r="E92" s="9" t="str">
        <f ca="1">IFERROR(__xludf.DUMMYFUNCTION("""COMPUTED_VALUE"""),"2024-01-10 15:08:24")</f>
        <v>2024-01-10 15:08:24</v>
      </c>
      <c r="F92" s="9">
        <f ca="1">IFERROR(__xludf.DUMMYFUNCTION("""COMPUTED_VALUE"""),223)</f>
        <v>223</v>
      </c>
      <c r="G92" s="9">
        <f ca="1">IFERROR(__xludf.DUMMYFUNCTION("""COMPUTED_VALUE"""),2)</f>
        <v>2</v>
      </c>
      <c r="H92" s="9" t="str">
        <f ca="1">IFERROR(__xludf.DUMMYFUNCTION("""COMPUTED_VALUE"""),"null")</f>
        <v>null</v>
      </c>
      <c r="I92" s="9" t="str">
        <f ca="1">IFERROR(__xludf.DUMMYFUNCTION("""COMPUTED_VALUE"""),"Y")</f>
        <v>Y</v>
      </c>
      <c r="J92" s="9" t="str">
        <f ca="1">IFERROR(__xludf.DUMMYFUNCTION("""COMPUTED_VALUE"""),"OTHER")</f>
        <v>OTHER</v>
      </c>
      <c r="K92" s="9" t="str">
        <f ca="1">IFERROR(__xludf.DUMMYFUNCTION("""COMPUTED_VALUE"""),"Mock")</f>
        <v>Mock</v>
      </c>
      <c r="L92" s="9"/>
      <c r="M92" s="9"/>
      <c r="N92" s="9">
        <f ca="1">IFERROR(__xludf.DUMMYFUNCTION("counta(split(B92,"" ""))"),5)</f>
        <v>5</v>
      </c>
      <c r="O92" s="9">
        <f t="shared" ca="1" si="5"/>
        <v>121.28588294822057</v>
      </c>
    </row>
    <row r="93" spans="1:16" ht="15.75" customHeight="1">
      <c r="A93" s="9">
        <f ca="1">IFERROR(__xludf.DUMMYFUNCTION("""COMPUTED_VALUE"""),155)</f>
        <v>155</v>
      </c>
      <c r="B93" s="9" t="str">
        <f ca="1">IFERROR(__xludf.DUMMYFUNCTION("""COMPUTED_VALUE"""),"What does @mutant559 do?")</f>
        <v>What does @mutant559 do?</v>
      </c>
      <c r="C93" s="9" t="str">
        <f ca="1">IFERROR(__xludf.DUMMYFUNCTION("""COMPUTED_VALUE"""),"{""answer"": ""It removes the implementation of the iterator() method in the Document class."", ""explanation"": ""The @mutant559 mutant replaces the implementation of the iterator() method in the Document class with a null value, effectively removing the"&amp;" ability to iterate over the fields of a document."", ""code"": ""public Iterator&lt;IndexableField&gt; iterator() {
    return null;
}""}")</f>
        <v>{"answer": "It removes the implementation of the iterator() method in the Document class.", "explanation": "The @mutant559 mutant replaces the implementation of the iterator() method in the Document class with a null value, effectively removing the ability to iterate over the fields of a document.", "code": "public Iterator&lt;IndexableField&gt; iterator() {
    return null;
}"}</v>
      </c>
      <c r="D93" s="9">
        <f ca="1">IFERROR(__xludf.DUMMYFUNCTION("""COMPUTED_VALUE"""),1)</f>
        <v>1</v>
      </c>
      <c r="E93" s="9" t="str">
        <f ca="1">IFERROR(__xludf.DUMMYFUNCTION("""COMPUTED_VALUE"""),"2024-01-10 15:18:17")</f>
        <v>2024-01-10 15:18:17</v>
      </c>
      <c r="F93" s="9">
        <f ca="1">IFERROR(__xludf.DUMMYFUNCTION("""COMPUTED_VALUE"""),223)</f>
        <v>223</v>
      </c>
      <c r="G93" s="9">
        <f ca="1">IFERROR(__xludf.DUMMYFUNCTION("""COMPUTED_VALUE"""),2)</f>
        <v>2</v>
      </c>
      <c r="H93" s="9">
        <f ca="1">IFERROR(__xludf.DUMMYFUNCTION("""COMPUTED_VALUE"""),1)</f>
        <v>1</v>
      </c>
      <c r="I93" s="9" t="str">
        <f ca="1">IFERROR(__xludf.DUMMYFUNCTION("""COMPUTED_VALUE"""),"Y")</f>
        <v>Y</v>
      </c>
      <c r="J93" s="9" t="str">
        <f ca="1">IFERROR(__xludf.DUMMYFUNCTION("""COMPUTED_VALUE"""),"MUTANT")</f>
        <v>MUTANT</v>
      </c>
      <c r="K93" s="9" t="str">
        <f ca="1">IFERROR(__xludf.DUMMYFUNCTION("""COMPUTED_VALUE"""),"Other")</f>
        <v>Other</v>
      </c>
      <c r="L93" s="9"/>
      <c r="M93" s="9"/>
      <c r="N93" s="9">
        <f ca="1">IFERROR(__xludf.DUMMYFUNCTION("counta(split(B93,"" ""))"),4)</f>
        <v>4</v>
      </c>
      <c r="O93" s="9">
        <f t="shared" ca="1" si="5"/>
        <v>144.3118569741946</v>
      </c>
    </row>
    <row r="94" spans="1:16" ht="15.75" customHeight="1">
      <c r="A94" s="9">
        <f ca="1">IFERROR(__xludf.DUMMYFUNCTION("""COMPUTED_VALUE"""),157)</f>
        <v>157</v>
      </c>
      <c r="B94" s="9" t="str">
        <f ca="1">IFERROR(__xludf.DUMMYFUNCTION("""COMPUTED_VALUE"""),"What does @mutant449 do?")</f>
        <v>What does @mutant449 do?</v>
      </c>
      <c r="C94" s="9" t="str">
        <f ca="1">IFERROR(__xludf.DUMMYFUNCTION("""COMPUTED_VALUE"""),"{""answer"": ""Modifies the method getBinaryValue(String)."", ""explanation"": ""The mutant @mutant449 modifies the behavior of the getBinaryValue(String) method in the Document class."", ""code"": ""public final BytesRef getBinaryValue(String name) {
  /"&amp;"/ Mutated code here
  return null;
}""}")</f>
        <v>{"answer": "Modifies the method getBinaryValue(String).", "explanation": "The mutant @mutant449 modifies the behavior of the getBinaryValue(String) method in the Document class.", "code": "public final BytesRef getBinaryValue(String name) {
  // Mutated code here
  return null;
}"}</v>
      </c>
      <c r="D94" s="9">
        <f ca="1">IFERROR(__xludf.DUMMYFUNCTION("""COMPUTED_VALUE"""),1)</f>
        <v>1</v>
      </c>
      <c r="E94" s="9" t="str">
        <f ca="1">IFERROR(__xludf.DUMMYFUNCTION("""COMPUTED_VALUE"""),"2024-01-10 15:19:09")</f>
        <v>2024-01-10 15:19:09</v>
      </c>
      <c r="F94" s="9">
        <f ca="1">IFERROR(__xludf.DUMMYFUNCTION("""COMPUTED_VALUE"""),223)</f>
        <v>223</v>
      </c>
      <c r="G94" s="9">
        <f ca="1">IFERROR(__xludf.DUMMYFUNCTION("""COMPUTED_VALUE"""),2)</f>
        <v>2</v>
      </c>
      <c r="H94" s="9">
        <f ca="1">IFERROR(__xludf.DUMMYFUNCTION("""COMPUTED_VALUE"""),0)</f>
        <v>0</v>
      </c>
      <c r="I94" s="9" t="str">
        <f ca="1">IFERROR(__xludf.DUMMYFUNCTION("""COMPUTED_VALUE"""),"Y")</f>
        <v>Y</v>
      </c>
      <c r="J94" s="9" t="str">
        <f ca="1">IFERROR(__xludf.DUMMYFUNCTION("""COMPUTED_VALUE"""),"MUTANT")</f>
        <v>MUTANT</v>
      </c>
      <c r="K94" s="9" t="str">
        <f ca="1">IFERROR(__xludf.DUMMYFUNCTION("""COMPUTED_VALUE"""),"Other")</f>
        <v>Other</v>
      </c>
      <c r="L94" s="9"/>
      <c r="M94" s="9"/>
      <c r="N94" s="9">
        <f ca="1">IFERROR(__xludf.DUMMYFUNCTION("counta(split(B94,"" ""))"),4)</f>
        <v>4</v>
      </c>
      <c r="O94" s="9">
        <f t="shared" ca="1" si="5"/>
        <v>144.3118569741946</v>
      </c>
    </row>
    <row r="95" spans="1:16" ht="15.75" customHeight="1">
      <c r="A95" s="9">
        <f ca="1">IFERROR(__xludf.DUMMYFUNCTION("""COMPUTED_VALUE"""),165)</f>
        <v>165</v>
      </c>
      <c r="B95" s="9" t="str">
        <f ca="1">IFERROR(__xludf.DUMMYFUNCTION("""COMPUTED_VALUE"""),"Write a test to check @mutant559")</f>
        <v>Write a test to check @mutant559</v>
      </c>
      <c r="C95" s="9" t="str">
        <f ca="1">IFERROR(__xludf.DUMMYFUNCTION("""COMPUTED_VALUE"""),"{""answer"": ""Fail"", ""explanation"": ""The mutant @mutant559 introduces a bug by returning null in the iterator() method instead of returning an iterator over the fields list."", ""code"": ""Document document = new Document();
Iterator&lt;IndexableField&gt; "&amp;"iterator = document.iterator();
assertNotNull(iterator);""}")</f>
        <v>{"answer": "Fail", "explanation": "The mutant @mutant559 introduces a bug by returning null in the iterator() method instead of returning an iterator over the fields list.", "code": "Document document = new Document();
Iterator&lt;IndexableField&gt; iterator = document.iterator();
assertNotNull(iterator);"}</v>
      </c>
      <c r="D95" s="9">
        <f ca="1">IFERROR(__xludf.DUMMYFUNCTION("""COMPUTED_VALUE"""),1)</f>
        <v>1</v>
      </c>
      <c r="E95" s="9" t="str">
        <f ca="1">IFERROR(__xludf.DUMMYFUNCTION("""COMPUTED_VALUE"""),"2024-01-10 15:20:09")</f>
        <v>2024-01-10 15:20:09</v>
      </c>
      <c r="F95" s="9">
        <f ca="1">IFERROR(__xludf.DUMMYFUNCTION("""COMPUTED_VALUE"""),223)</f>
        <v>223</v>
      </c>
      <c r="G95" s="9">
        <f ca="1">IFERROR(__xludf.DUMMYFUNCTION("""COMPUTED_VALUE"""),2)</f>
        <v>2</v>
      </c>
      <c r="H95" s="9" t="str">
        <f ca="1">IFERROR(__xludf.DUMMYFUNCTION("""COMPUTED_VALUE"""),"null")</f>
        <v>null</v>
      </c>
      <c r="I95" s="9" t="str">
        <f ca="1">IFERROR(__xludf.DUMMYFUNCTION("""COMPUTED_VALUE"""),"Y")</f>
        <v>Y</v>
      </c>
      <c r="J95" s="9" t="str">
        <f ca="1">IFERROR(__xludf.DUMMYFUNCTION("""COMPUTED_VALUE"""),"TEST")</f>
        <v>TEST</v>
      </c>
      <c r="K95" s="9" t="str">
        <f ca="1">IFERROR(__xludf.DUMMYFUNCTION("""COMPUTED_VALUE"""),"Specific mutant")</f>
        <v>Specific mutant</v>
      </c>
      <c r="L95" s="9">
        <f ca="1">IFERROR(__xludf.DUMMYFUNCTION("""COMPUTED_VALUE"""),559)</f>
        <v>559</v>
      </c>
      <c r="M95" s="9" t="str">
        <f ca="1">IFERROR(__xludf.DUMMYFUNCTION("""COMPUTED_VALUE"""),"iterator
")</f>
        <v xml:space="preserve">iterator
</v>
      </c>
      <c r="N95" s="9">
        <f ca="1">IFERROR(__xludf.DUMMYFUNCTION("counta(split(B95,"" ""))"),6)</f>
        <v>6</v>
      </c>
      <c r="O95" s="9">
        <f t="shared" ca="1" si="5"/>
        <v>100.25990892224655</v>
      </c>
      <c r="P95" s="9" t="s">
        <v>689</v>
      </c>
    </row>
    <row r="96" spans="1:16" ht="15.75" customHeight="1">
      <c r="A96" s="9">
        <f ca="1">IFERROR(__xludf.DUMMYFUNCTION("""COMPUTED_VALUE"""),170)</f>
        <v>170</v>
      </c>
      <c r="B96" s="9" t="str">
        <f ca="1">IFERROR(__xludf.DUMMYFUNCTION("""COMPUTED_VALUE"""),"Write a test to kill all mutants in ""public final void add(IndexableField field)""")</f>
        <v>Write a test to kill all mutants in "public final void add(IndexableField field)"</v>
      </c>
      <c r="C96" s="9" t="str">
        <f ca="1">IFERROR(__xludf.DUMMYFUNCTION("""COMPUTED_VALUE"""),"{
  ""answer"": ""To kill all mutants in the 'add' method, we need to test the case where the field is added to the document."",
  ""explanation"": ""In order to kill all mutants in the 'add' method, we need to write a test that verifies if the field is c"&amp;"orrectly added to the document."",
  ""code"": ""public void testAdd() {
  Document document = new Document();
  IndexableField field = new StringField(""name"", ""John Doe"", Field.Store.YES);
  document.add(field);
  assertEquals(1, document.getFields()"&amp;".size());
  assertEquals(field, document.getFields().get(0));
}""
}")</f>
        <v>{
  "answer": "To kill all mutants in the 'add' method, we need to test the case where the field is added to the document.",
  "explanation": "In order to kill all mutants in the 'add' method, we need to write a test that verifies if the field is correctly added to the document.",
  "code": "public void testAdd() {
  Document document = new Document();
  IndexableField field = new StringField("name", "John Doe", Field.Store.YES);
  document.add(field);
  assertEquals(1, document.getFields().size());
  assertEquals(field, document.getFields().get(0));
}"
}</v>
      </c>
      <c r="D96" s="9">
        <f ca="1">IFERROR(__xludf.DUMMYFUNCTION("""COMPUTED_VALUE"""),1)</f>
        <v>1</v>
      </c>
      <c r="E96" s="9" t="str">
        <f ca="1">IFERROR(__xludf.DUMMYFUNCTION("""COMPUTED_VALUE"""),"2024-01-10 15:21:55")</f>
        <v>2024-01-10 15:21:55</v>
      </c>
      <c r="F96" s="9">
        <f ca="1">IFERROR(__xludf.DUMMYFUNCTION("""COMPUTED_VALUE"""),223)</f>
        <v>223</v>
      </c>
      <c r="G96" s="9">
        <f ca="1">IFERROR(__xludf.DUMMYFUNCTION("""COMPUTED_VALUE"""),2)</f>
        <v>2</v>
      </c>
      <c r="H96" s="9" t="str">
        <f ca="1">IFERROR(__xludf.DUMMYFUNCTION("""COMPUTED_VALUE"""),"null")</f>
        <v>null</v>
      </c>
      <c r="I96" s="9" t="str">
        <f ca="1">IFERROR(__xludf.DUMMYFUNCTION("""COMPUTED_VALUE"""),"Y")</f>
        <v>Y</v>
      </c>
      <c r="J96" s="9" t="str">
        <f ca="1">IFERROR(__xludf.DUMMYFUNCTION("""COMPUTED_VALUE"""),"TEST")</f>
        <v>TEST</v>
      </c>
      <c r="K96" s="9" t="str">
        <f ca="1">IFERROR(__xludf.DUMMYFUNCTION("""COMPUTED_VALUE"""),"Specific method")</f>
        <v>Specific method</v>
      </c>
      <c r="L96" s="9" t="str">
        <f ca="1">IFERROR(__xludf.DUMMYFUNCTION("""COMPUTED_VALUE"""),"add")</f>
        <v>add</v>
      </c>
      <c r="M96" s="9" t="str">
        <f ca="1">IFERROR(__xludf.DUMMYFUNCTION("""COMPUTED_VALUE"""),"add")</f>
        <v>add</v>
      </c>
      <c r="N96" s="9">
        <f ca="1">IFERROR(__xludf.DUMMYFUNCTION("counta(split(B96,"" ""))"),13)</f>
        <v>13</v>
      </c>
      <c r="O96" s="9">
        <f t="shared" ca="1" si="5"/>
        <v>9.0780907404283919</v>
      </c>
      <c r="P96" s="9" t="s">
        <v>689</v>
      </c>
    </row>
    <row r="97" spans="1:16" ht="15.75" customHeight="1">
      <c r="A97" s="9">
        <f ca="1">IFERROR(__xludf.DUMMYFUNCTION("""COMPUTED_VALUE"""),189)</f>
        <v>189</v>
      </c>
      <c r="B97" s="9" t="str">
        <f ca="1">IFERROR(__xludf.DUMMYFUNCTION("""COMPUTED_VALUE"""),"zu letzter Antwort: IndexableField does not exist.")</f>
        <v>zu letzter Antwort: IndexableField does not exist.</v>
      </c>
      <c r="C97" s="9" t="str">
        <f ca="1">IFERROR(__xludf.DUMMYFUNCTION("""COMPUTED_VALUE"""),"{
  ""answer"": ""The IndexableField class does exist."",
  ""explanation"": ""The IndexableField class is part of the Lucene library and is used to represent a field in a Lucene document."",
  ""code"": ""IndexableField field = new StringField(""name"", "&amp;"""value"", Field.Store.YES);""
}")</f>
        <v>{
  "answer": "The IndexableField class does exist.",
  "explanation": "The IndexableField class is part of the Lucene library and is used to represent a field in a Lucene document.",
  "code": "IndexableField field = new StringField("name", "value", Field.Store.YES);"
}</v>
      </c>
      <c r="D97" s="9">
        <f ca="1">IFERROR(__xludf.DUMMYFUNCTION("""COMPUTED_VALUE"""),1)</f>
        <v>1</v>
      </c>
      <c r="E97" s="9" t="str">
        <f ca="1">IFERROR(__xludf.DUMMYFUNCTION("""COMPUTED_VALUE"""),"2024-01-10 15:26:18")</f>
        <v>2024-01-10 15:26:18</v>
      </c>
      <c r="F97" s="9">
        <f ca="1">IFERROR(__xludf.DUMMYFUNCTION("""COMPUTED_VALUE"""),223)</f>
        <v>223</v>
      </c>
      <c r="G97" s="9">
        <f ca="1">IFERROR(__xludf.DUMMYFUNCTION("""COMPUTED_VALUE"""),2)</f>
        <v>2</v>
      </c>
      <c r="H97" s="9" t="str">
        <f ca="1">IFERROR(__xludf.DUMMYFUNCTION("""COMPUTED_VALUE"""),"null")</f>
        <v>null</v>
      </c>
      <c r="I97" s="9" t="str">
        <f ca="1">IFERROR(__xludf.DUMMYFUNCTION("""COMPUTED_VALUE"""),"Y")</f>
        <v>Y</v>
      </c>
      <c r="J97" s="9"/>
      <c r="K97" s="9"/>
      <c r="L97" s="9"/>
      <c r="M97" s="9"/>
    </row>
    <row r="98" spans="1:16" ht="15.75" customHeight="1">
      <c r="A98" s="9">
        <f ca="1">IFERROR(__xludf.DUMMYFUNCTION("""COMPUTED_VALUE"""),196)</f>
        <v>196</v>
      </c>
      <c r="B98" s="9" t="str">
        <f ca="1">IFERROR(__xludf.DUMMYFUNCTION("""COMPUTED_VALUE"""),"write a test for @mutant461")</f>
        <v>write a test for @mutant461</v>
      </c>
      <c r="C98" s="9" t="str">
        <f ca="1">IFERROR(__xludf.DUMMYFUNCTION("""COMPUTED_VALUE"""),"{
  ""answer"": ""Yes"",
  ""explanation"": ""Yes, we can write a test for @mutant461 by verifying that the removeField(String) method removes the first field with the specified name."",
  ""code"": ""import org.junit.Test;
import static org.junit.Assert."&amp;"*;
public class DocumentTest {
    @Test
    public void testRemoveField() {
        Document document = new Document();
        document.add(new StringField(""name"", ""John Doe"", Field.Store.YES));
        document.add(new StringField(""name"", ""Jan"&amp;"e Smith"", Field.Store.YES));
        document.removeField(""name"");
        assertNull(document.getField(""name""));
    }
}""
}")</f>
        <v>{
  "answer": "Yes",
  "explanation": "Yes, we can write a test for @mutant461 by verifying that the removeField(String) method removes the first field with the specified name.",
  "code": "import org.junit.Test;
import static org.junit.Assert.*;
public class DocumentTest {
    @Test
    public void testRemoveField() {
        Document document = new Document();
        document.add(new StringField("name", "John Doe", Field.Store.YES));
        document.add(new StringField("name", "Jane Smith", Field.Store.YES));
        document.removeField("name");
        assertNull(document.getField("name"));
    }
}"
}</v>
      </c>
      <c r="D98" s="9">
        <f ca="1">IFERROR(__xludf.DUMMYFUNCTION("""COMPUTED_VALUE"""),1)</f>
        <v>1</v>
      </c>
      <c r="E98" s="9" t="str">
        <f ca="1">IFERROR(__xludf.DUMMYFUNCTION("""COMPUTED_VALUE"""),"2024-01-10 15:27:17")</f>
        <v>2024-01-10 15:27:17</v>
      </c>
      <c r="F98" s="9">
        <f ca="1">IFERROR(__xludf.DUMMYFUNCTION("""COMPUTED_VALUE"""),223)</f>
        <v>223</v>
      </c>
      <c r="G98" s="9">
        <f ca="1">IFERROR(__xludf.DUMMYFUNCTION("""COMPUTED_VALUE"""),2)</f>
        <v>2</v>
      </c>
      <c r="H98" s="9" t="str">
        <f ca="1">IFERROR(__xludf.DUMMYFUNCTION("""COMPUTED_VALUE"""),"null")</f>
        <v>null</v>
      </c>
      <c r="I98" s="9" t="str">
        <f ca="1">IFERROR(__xludf.DUMMYFUNCTION("""COMPUTED_VALUE"""),"Y")</f>
        <v>Y</v>
      </c>
      <c r="J98" s="9" t="str">
        <f ca="1">IFERROR(__xludf.DUMMYFUNCTION("""COMPUTED_VALUE"""),"TEST")</f>
        <v>TEST</v>
      </c>
      <c r="K98" s="9" t="str">
        <f ca="1">IFERROR(__xludf.DUMMYFUNCTION("""COMPUTED_VALUE"""),"Specific mutant")</f>
        <v>Specific mutant</v>
      </c>
      <c r="L98" s="9">
        <f ca="1">IFERROR(__xludf.DUMMYFUNCTION("""COMPUTED_VALUE"""),461)</f>
        <v>461</v>
      </c>
      <c r="M98" s="9" t="str">
        <f ca="1">IFERROR(__xludf.DUMMYFUNCTION("""COMPUTED_VALUE"""),"removeField
")</f>
        <v xml:space="preserve">removeField
</v>
      </c>
      <c r="N98" s="9">
        <f ca="1">IFERROR(__xludf.DUMMYFUNCTION("counta(split(B98,"" ""))"),5)</f>
        <v>5</v>
      </c>
      <c r="O98" s="9">
        <f t="shared" ref="O98:O120" ca="1" si="6">(AVERAGE($N$2:$N$173)-N98)*(AVERAGE($N$2:$N$173)-N98)</f>
        <v>121.28588294822057</v>
      </c>
      <c r="P98" s="9" t="s">
        <v>689</v>
      </c>
    </row>
    <row r="99" spans="1:16" ht="15.75" customHeight="1">
      <c r="A99" s="9">
        <f ca="1">IFERROR(__xludf.DUMMYFUNCTION("""COMPUTED_VALUE"""),200)</f>
        <v>200</v>
      </c>
      <c r="B99" s="9" t="str">
        <f ca="1">IFERROR(__xludf.DUMMYFUNCTION("""COMPUTED_VALUE"""),"do it again, but with mocking")</f>
        <v>do it again, but with mocking</v>
      </c>
      <c r="C99" s="9" t="str">
        <f ca="1">IFERROR(__xludf.DUMMYFUNCTION("""COMPUTED_VALUE"""),"{
  ""answer"": ""Yes, mocking can be used to test the Document class."",
  ""explanation"": ""By using mocking frameworks like Mockito, we can create mock objects for dependencies and simulate their behavior during testing."",
  ""code"": ""import org.ju"&amp;"nit.Test;
import org.mockito.Mockito;
public class DocumentTest {
  @Test
  public void testAddField() {
    IndexableField field = Mockito.mock(IndexableField.class);
    Document document = new Document();
    document.add(field);
    // Perform asser"&amp;"tions or verifications
  }
}""
}")</f>
        <v>{
  "answer": "Yes, mocking can be used to test the Document class.",
  "explanation": "By using mocking frameworks like Mockito, we can create mock objects for dependencies and simulate their behavior during testing.",
  "code": "import org.junit.Test;
import org.mockito.Mockito;
public class DocumentTest {
  @Test
  public void testAddField() {
    IndexableField field = Mockito.mock(IndexableField.class);
    Document document = new Document();
    document.add(field);
    // Perform assertions or verifications
  }
}"
}</v>
      </c>
      <c r="D99" s="9">
        <f ca="1">IFERROR(__xludf.DUMMYFUNCTION("""COMPUTED_VALUE"""),1)</f>
        <v>1</v>
      </c>
      <c r="E99" s="9" t="str">
        <f ca="1">IFERROR(__xludf.DUMMYFUNCTION("""COMPUTED_VALUE"""),"2024-01-10 15:28:41")</f>
        <v>2024-01-10 15:28:41</v>
      </c>
      <c r="F99" s="9">
        <f ca="1">IFERROR(__xludf.DUMMYFUNCTION("""COMPUTED_VALUE"""),223)</f>
        <v>223</v>
      </c>
      <c r="G99" s="9">
        <f ca="1">IFERROR(__xludf.DUMMYFUNCTION("""COMPUTED_VALUE"""),2)</f>
        <v>2</v>
      </c>
      <c r="H99" s="9" t="str">
        <f ca="1">IFERROR(__xludf.DUMMYFUNCTION("""COMPUTED_VALUE"""),"null")</f>
        <v>null</v>
      </c>
      <c r="I99" s="9" t="str">
        <f ca="1">IFERROR(__xludf.DUMMYFUNCTION("""COMPUTED_VALUE"""),"Y")</f>
        <v>Y</v>
      </c>
      <c r="J99" s="9" t="str">
        <f ca="1">IFERROR(__xludf.DUMMYFUNCTION("""COMPUTED_VALUE"""),"TEST")</f>
        <v>TEST</v>
      </c>
      <c r="K99" s="9" t="str">
        <f ca="1">IFERROR(__xludf.DUMMYFUNCTION("""COMPUTED_VALUE"""),"Specific mutant")</f>
        <v>Specific mutant</v>
      </c>
      <c r="L99" s="9">
        <f ca="1">IFERROR(__xludf.DUMMYFUNCTION("""COMPUTED_VALUE"""),461)</f>
        <v>461</v>
      </c>
      <c r="M99" s="9" t="str">
        <f ca="1">IFERROR(__xludf.DUMMYFUNCTION("""COMPUTED_VALUE"""),"removeField
")</f>
        <v xml:space="preserve">removeField
</v>
      </c>
      <c r="N99" s="9">
        <f ca="1">IFERROR(__xludf.DUMMYFUNCTION("counta(split(B99,"" ""))"),6)</f>
        <v>6</v>
      </c>
      <c r="O99" s="9">
        <f t="shared" ca="1" si="6"/>
        <v>100.25990892224655</v>
      </c>
    </row>
    <row r="100" spans="1:16" ht="15.75" customHeight="1">
      <c r="A100" s="9">
        <f ca="1">IFERROR(__xludf.DUMMYFUNCTION("""COMPUTED_VALUE"""),141)</f>
        <v>141</v>
      </c>
      <c r="B100" s="9" t="str">
        <f ca="1">IFERROR(__xludf.DUMMYFUNCTION("""COMPUTED_VALUE"""),"how to add something to a document")</f>
        <v>how to add something to a document</v>
      </c>
      <c r="C100" s="9" t="str">
        <f ca="1">IFERROR(__xludf.DUMMYFUNCTION("""COMPUTED_VALUE"""),"{""answer"": ""To add something to a document, you can use the add() method of the Document class."", ""explanation"": ""The add() method allows you to add a field to a document. You can create a new field using the Field class and then add it to the docu"&amp;"ment using the add() method."", ""code"": ""Document document = new Document();
Field field = new StringField(""fieldName"", ""fieldValue"", Field.Store.YES);
document.add(field);""}")</f>
        <v>{"answer": "To add something to a document, you can use the add() method of the Document class.", "explanation": "The add() method allows you to add a field to a document. You can create a new field using the Field class and then add it to the document using the add() method.", "code": "Document document = new Document();
Field field = new StringField("fieldName", "fieldValue", Field.Store.YES);
document.add(field);"}</v>
      </c>
      <c r="D100" s="9">
        <f ca="1">IFERROR(__xludf.DUMMYFUNCTION("""COMPUTED_VALUE"""),0)</f>
        <v>0</v>
      </c>
      <c r="E100" s="9" t="str">
        <f ca="1">IFERROR(__xludf.DUMMYFUNCTION("""COMPUTED_VALUE"""),"2024-01-10 15:15:55")</f>
        <v>2024-01-10 15:15:55</v>
      </c>
      <c r="F100" s="9">
        <f ca="1">IFERROR(__xludf.DUMMYFUNCTION("""COMPUTED_VALUE"""),226)</f>
        <v>226</v>
      </c>
      <c r="G100" s="9">
        <f ca="1">IFERROR(__xludf.DUMMYFUNCTION("""COMPUTED_VALUE"""),2)</f>
        <v>2</v>
      </c>
      <c r="H100" s="9" t="str">
        <f ca="1">IFERROR(__xludf.DUMMYFUNCTION("""COMPUTED_VALUE"""),"null")</f>
        <v>null</v>
      </c>
      <c r="I100" s="9" t="str">
        <f ca="1">IFERROR(__xludf.DUMMYFUNCTION("""COMPUTED_VALUE"""),"Y")</f>
        <v>Y</v>
      </c>
      <c r="J100" s="9" t="str">
        <f ca="1">IFERROR(__xludf.DUMMYFUNCTION("""COMPUTED_VALUE"""),"OTHER")</f>
        <v>OTHER</v>
      </c>
      <c r="K100" s="9" t="str">
        <f ca="1">IFERROR(__xludf.DUMMYFUNCTION("""COMPUTED_VALUE"""),"Code under test")</f>
        <v>Code under test</v>
      </c>
      <c r="L100" s="9"/>
      <c r="M100" s="9"/>
      <c r="N100" s="9">
        <f ca="1">IFERROR(__xludf.DUMMYFUNCTION("counta(split(B100,"" ""))"),7)</f>
        <v>7</v>
      </c>
      <c r="O100" s="9">
        <f t="shared" ca="1" si="6"/>
        <v>81.23393489627253</v>
      </c>
    </row>
    <row r="101" spans="1:16" ht="15.75" customHeight="1">
      <c r="A101" s="9">
        <f ca="1">IFERROR(__xludf.DUMMYFUNCTION("""COMPUTED_VALUE"""),146)</f>
        <v>146</v>
      </c>
      <c r="B101" s="9" t="str">
        <f ca="1">IFERROR(__xludf.DUMMYFUNCTION("""COMPUTED_VALUE"""),"which field class? create a document , create a field and then add it")</f>
        <v>which field class? create a document , create a field and then add it</v>
      </c>
      <c r="C101" s="9" t="str">
        <f ca="1">IFERROR(__xludf.DUMMYFUNCTION("""COMPUTED_VALUE"""),"{
  ""answer"": ""The IndexableField class is used to create a field and add it to a document."",
  ""explanation"": ""The IndexableField class is a superclass for all field types in Lucene, and it provides methods to create and manipulate fields. To crea"&amp;"te a field, you can instantiate a specific subclass of IndexableField, such as StringField or TextField, and then add it to a Document using the add() method."",
  ""code"": ""Document document = new Document();
Field field = new StringField(""fieldName"""&amp;", ""fieldValue"", Field.Store.YES);
document.add(field);""
}")</f>
        <v>{
  "answer": "The IndexableField class is used to create a field and add it to a document.",
  "explanation": "The IndexableField class is a superclass for all field types in Lucene, and it provides methods to create and manipulate fields. To create a field, you can instantiate a specific subclass of IndexableField, such as StringField or TextField, and then add it to a Document using the add() method.",
  "code": "Document document = new Document();
Field field = new StringField("fieldName", "fieldValue", Field.Store.YES);
document.add(field);"
}</v>
      </c>
      <c r="D101" s="9">
        <f ca="1">IFERROR(__xludf.DUMMYFUNCTION("""COMPUTED_VALUE"""),1)</f>
        <v>1</v>
      </c>
      <c r="E101" s="9" t="str">
        <f ca="1">IFERROR(__xludf.DUMMYFUNCTION("""COMPUTED_VALUE"""),"2024-01-10 15:16:28")</f>
        <v>2024-01-10 15:16:28</v>
      </c>
      <c r="F101" s="9">
        <f ca="1">IFERROR(__xludf.DUMMYFUNCTION("""COMPUTED_VALUE"""),226)</f>
        <v>226</v>
      </c>
      <c r="G101" s="9">
        <f ca="1">IFERROR(__xludf.DUMMYFUNCTION("""COMPUTED_VALUE"""),2)</f>
        <v>2</v>
      </c>
      <c r="H101" s="9" t="str">
        <f ca="1">IFERROR(__xludf.DUMMYFUNCTION("""COMPUTED_VALUE"""),"null")</f>
        <v>null</v>
      </c>
      <c r="I101" s="9" t="str">
        <f ca="1">IFERROR(__xludf.DUMMYFUNCTION("""COMPUTED_VALUE"""),"Y")</f>
        <v>Y</v>
      </c>
      <c r="J101" s="9" t="str">
        <f ca="1">IFERROR(__xludf.DUMMYFUNCTION("""COMPUTED_VALUE"""),"OTHER")</f>
        <v>OTHER</v>
      </c>
      <c r="K101" s="9" t="str">
        <f ca="1">IFERROR(__xludf.DUMMYFUNCTION("""COMPUTED_VALUE"""),"Code under test")</f>
        <v>Code under test</v>
      </c>
      <c r="L101" s="9"/>
      <c r="M101" s="9"/>
      <c r="N101" s="9">
        <f ca="1">IFERROR(__xludf.DUMMYFUNCTION("counta(split(B101,"" ""))"),14)</f>
        <v>14</v>
      </c>
      <c r="O101" s="9">
        <f t="shared" ca="1" si="6"/>
        <v>4.0521167144543702</v>
      </c>
    </row>
    <row r="102" spans="1:16" ht="15.75" customHeight="1">
      <c r="A102" s="9">
        <f ca="1">IFERROR(__xludf.DUMMYFUNCTION("""COMPUTED_VALUE"""),151)</f>
        <v>151</v>
      </c>
      <c r="B102" s="9" t="str">
        <f ca="1">IFERROR(__xludf.DUMMYFUNCTION("""COMPUTED_VALUE"""),"Document doc = new Document();
       Field field = new StringField(""fieldName"", ""fieldValue"", Field.Store.YES);
        doc.add(field);
        assertEquals(field ,doc.getField(field)); when i try that, i get [javac] TestDocument.java:15: error: cann"&amp;"ot find symbol
[javac]        Field field = new StringField(""fieldName"", ""fieldValue"", Field.Store.YES);
[javac]        ^
[javac]   symbol:   class Field
[javac]   location: class TestDocument
[javac] TestDocument.java:15: error: cannot find symbol
[j"&amp;"avac]        Field field = new StringField(""fieldName"", ""fieldValue"", Field.Store.YES);
[javac]                          ^
[javac]   symbol:   class StringField
[javac]   location: class TestDocument
[javac] TestDocument.java:15: error: package Field "&amp;"does not exist
[javac]        Field field = new StringField(""fieldName"", ""fieldValue"", Field.Store.YES);
[javac]                                                                      ^
[javac] 3 errors")</f>
        <v>Document doc = new Document();
       Field field = new StringField("fieldName", "fieldValue", Field.Store.YES);
        doc.add(field);
        assertEquals(field ,doc.getField(field)); when i try that, i get [javac] TestDocument.java:15: error: cannot find symbol
[javac]        Field field = new StringField("fieldName", "fieldValue", Field.Store.YES);
[javac]        ^
[javac]   symbol:   class Field
[javac]   location: class TestDocument
[javac] TestDocument.java:15: error: cannot find symbol
[javac]        Field field = new StringField("fieldName", "fieldValue", Field.Store.YES);
[javac]                          ^
[javac]   symbol:   class StringField
[javac]   location: class TestDocument
[javac] TestDocument.java:15: error: package Field does not exist
[javac]        Field field = new StringField("fieldName", "fieldValue", Field.Store.YES);
[javac]                                                                      ^
[javac] 3 errors</v>
      </c>
      <c r="C102" s="9" t="str">
        <f ca="1">IFERROR(__xludf.DUMMYFUNCTION("""COMPUTED_VALUE"""),"{
  ""answer"": ""The errors indicate that the classes Field and StringField are not imported."",
  ""explanation"": ""The code is trying to use the classes Field and StringField, but they are not imported in the TestDocument class."",
  ""code"": ""impor"&amp;"t org.apache.lucene.document.Field;
import org.apache.lucene.document.StringField;
Document doc = new Document();
Field field = new StringField(""fieldName"", ""fieldValue"", Field.Store.YES);
doc.add(field);
assertEquals(field, doc.getField(field));""
}")</f>
        <v>{
  "answer": "The errors indicate that the classes Field and StringField are not imported.",
  "explanation": "The code is trying to use the classes Field and StringField, but they are not imported in the TestDocument class.",
  "code": "import org.apache.lucene.document.Field;
import org.apache.lucene.document.StringField;
Document doc = new Document();
Field field = new StringField("fieldName", "fieldValue", Field.Store.YES);
doc.add(field);
assertEquals(field, doc.getField(field));"
}</v>
      </c>
      <c r="D102" s="9">
        <f ca="1">IFERROR(__xludf.DUMMYFUNCTION("""COMPUTED_VALUE"""),1)</f>
        <v>1</v>
      </c>
      <c r="E102" s="9" t="str">
        <f ca="1">IFERROR(__xludf.DUMMYFUNCTION("""COMPUTED_VALUE"""),"2024-01-10 15:17:36")</f>
        <v>2024-01-10 15:17:36</v>
      </c>
      <c r="F102" s="9">
        <f ca="1">IFERROR(__xludf.DUMMYFUNCTION("""COMPUTED_VALUE"""),226)</f>
        <v>226</v>
      </c>
      <c r="G102" s="9">
        <f ca="1">IFERROR(__xludf.DUMMYFUNCTION("""COMPUTED_VALUE"""),2)</f>
        <v>2</v>
      </c>
      <c r="H102" s="9" t="str">
        <f ca="1">IFERROR(__xludf.DUMMYFUNCTION("""COMPUTED_VALUE"""),"null")</f>
        <v>null</v>
      </c>
      <c r="I102" s="9" t="str">
        <f ca="1">IFERROR(__xludf.DUMMYFUNCTION("""COMPUTED_VALUE"""),"Y")</f>
        <v>Y</v>
      </c>
      <c r="J102" s="9" t="str">
        <f ca="1">IFERROR(__xludf.DUMMYFUNCTION("""COMPUTED_VALUE"""),"OTHER")</f>
        <v>OTHER</v>
      </c>
      <c r="K102" s="9" t="str">
        <f ca="1">IFERROR(__xludf.DUMMYFUNCTION("""COMPUTED_VALUE"""),"Other")</f>
        <v>Other</v>
      </c>
      <c r="L102" s="9"/>
      <c r="M102" s="9"/>
      <c r="N102" s="9">
        <f ca="1">IFERROR(__xludf.DUMMYFUNCTION("counta(split(B102,"" ""))"),77)</f>
        <v>77</v>
      </c>
      <c r="O102" s="9">
        <f t="shared" ca="1" si="6"/>
        <v>3719.4157530780908</v>
      </c>
    </row>
    <row r="103" spans="1:16" ht="15.75" customHeight="1">
      <c r="A103" s="9">
        <f ca="1">IFERROR(__xludf.DUMMYFUNCTION("""COMPUTED_VALUE"""),166)</f>
        <v>166</v>
      </c>
      <c r="B103" s="9" t="str">
        <f ca="1">IFERROR(__xludf.DUMMYFUNCTION("""COMPUTED_VALUE"""),"im not allowed to import anything tho, these are the imports available : import java.util.*;
import org.junit.Test;
import static org.junit.jupiter.api.Assertions.*;
import static com.google.common.truth.Truth.*;
import static com.google.common.truth.Tr"&amp;"uth8.*;
import static org.mockito.Mockito.*;
, how to create and add a field with that, do i have to mock? if yes, you create a mock.")</f>
        <v>im not allowed to import anything tho, these are the imports available : import java.util.*;
import org.junit.Test;
import static org.junit.jupiter.api.Assertions.*;
import static com.google.common.truth.Truth.*;
import static com.google.common.truth.Truth8.*;
import static org.mockito.Mockito.*;
, how to create and add a field with that, do i have to mock? if yes, you create a mock.</v>
      </c>
      <c r="C103" s="9" t="str">
        <f ca="1">IFERROR(__xludf.DUMMYFUNCTION("""COMPUTED_VALUE"""),"{
  ""answer"": ""No, you don't need to mock to create and add a field."",
  ""explanation"": ""Mocking is not necessary for creating and adding a field to a document. You can directly create an instance of the field and add it to the document."",
  ""cod"&amp;"e"": ""Document document = new Document();
Field field = new StringField(""fieldName"", ""fieldValue"", Field.Store.YES);
document.add(field);""
}")</f>
        <v>{
  "answer": "No, you don't need to mock to create and add a field.",
  "explanation": "Mocking is not necessary for creating and adding a field to a document. You can directly create an instance of the field and add it to the document.",
  "code": "Document document = new Document();
Field field = new StringField("fieldName", "fieldValue", Field.Store.YES);
document.add(field);"
}</v>
      </c>
      <c r="D103" s="9">
        <f ca="1">IFERROR(__xludf.DUMMYFUNCTION("""COMPUTED_VALUE"""),1)</f>
        <v>1</v>
      </c>
      <c r="E103" s="9" t="str">
        <f ca="1">IFERROR(__xludf.DUMMYFUNCTION("""COMPUTED_VALUE"""),"2024-01-10 15:20:12")</f>
        <v>2024-01-10 15:20:12</v>
      </c>
      <c r="F103" s="9">
        <f ca="1">IFERROR(__xludf.DUMMYFUNCTION("""COMPUTED_VALUE"""),226)</f>
        <v>226</v>
      </c>
      <c r="G103" s="9">
        <f ca="1">IFERROR(__xludf.DUMMYFUNCTION("""COMPUTED_VALUE"""),2)</f>
        <v>2</v>
      </c>
      <c r="H103" s="9" t="str">
        <f ca="1">IFERROR(__xludf.DUMMYFUNCTION("""COMPUTED_VALUE"""),"null")</f>
        <v>null</v>
      </c>
      <c r="I103" s="9" t="str">
        <f ca="1">IFERROR(__xludf.DUMMYFUNCTION("""COMPUTED_VALUE"""),"Y")</f>
        <v>Y</v>
      </c>
      <c r="J103" s="9" t="str">
        <f ca="1">IFERROR(__xludf.DUMMYFUNCTION("""COMPUTED_VALUE"""),"OTHER")</f>
        <v>OTHER</v>
      </c>
      <c r="K103" s="9" t="str">
        <f ca="1">IFERROR(__xludf.DUMMYFUNCTION("""COMPUTED_VALUE"""),"Mock")</f>
        <v>Mock</v>
      </c>
      <c r="L103" s="9"/>
      <c r="M103" s="9"/>
      <c r="N103" s="9">
        <f ca="1">IFERROR(__xludf.DUMMYFUNCTION("counta(split(B103,"" ""))"),44)</f>
        <v>44</v>
      </c>
      <c r="O103" s="9">
        <f t="shared" ca="1" si="6"/>
        <v>783.27289593523369</v>
      </c>
    </row>
    <row r="104" spans="1:16" ht="15.75" customHeight="1">
      <c r="A104" s="9">
        <f ca="1">IFERROR(__xludf.DUMMYFUNCTION("""COMPUTED_VALUE"""),174)</f>
        <v>174</v>
      </c>
      <c r="B104" s="9" t="str">
        <f ca="1">IFERROR(__xludf.DUMMYFUNCTION("""COMPUTED_VALUE"""),"my code Document document = new Document();
Field field = new StringField(""fieldName"", ""fieldValue"", Field.Store.YES);
document.add(field); is erroring")</f>
        <v>my code Document document = new Document();
Field field = new StringField("fieldName", "fieldValue", Field.Store.YES);
document.add(field); is erroring</v>
      </c>
      <c r="C104" s="9" t="str">
        <f ca="1">IFERROR(__xludf.DUMMYFUNCTION("""COMPUTED_VALUE"""),"{
  ""answer"": ""The error is likely due to missing imports for the Field and StringField classes."",
  ""explanation"": ""The error is occurring because the Field and StringField classes are not imported in your code, so the compiler cannot find these c"&amp;"lasses."",
  ""code"": ""import org.apache.lucene.document.Field;
import org.apache.lucene.document.StringField;
Document document = new Document();
Field field = new StringField(""fieldName"", ""fieldValue"", Field.Store.YES);
document.add(field);""
}")</f>
        <v>{
  "answer": "The error is likely due to missing imports for the Field and StringField classes.",
  "explanation": "The error is occurring because the Field and StringField classes are not imported in your code, so the compiler cannot find these classes.",
  "code": "import org.apache.lucene.document.Field;
import org.apache.lucene.document.StringField;
Document document = new Document();
Field field = new StringField("fieldName", "fieldValue", Field.Store.YES);
document.add(field);"
}</v>
      </c>
      <c r="D104" s="9">
        <f ca="1">IFERROR(__xludf.DUMMYFUNCTION("""COMPUTED_VALUE"""),0)</f>
        <v>0</v>
      </c>
      <c r="E104" s="9" t="str">
        <f ca="1">IFERROR(__xludf.DUMMYFUNCTION("""COMPUTED_VALUE"""),"2024-01-10 15:23:32")</f>
        <v>2024-01-10 15:23:32</v>
      </c>
      <c r="F104" s="9">
        <f ca="1">IFERROR(__xludf.DUMMYFUNCTION("""COMPUTED_VALUE"""),226)</f>
        <v>226</v>
      </c>
      <c r="G104" s="9">
        <f ca="1">IFERROR(__xludf.DUMMYFUNCTION("""COMPUTED_VALUE"""),2)</f>
        <v>2</v>
      </c>
      <c r="H104" s="9">
        <f ca="1">IFERROR(__xludf.DUMMYFUNCTION("""COMPUTED_VALUE"""),0)</f>
        <v>0</v>
      </c>
      <c r="I104" s="9" t="str">
        <f ca="1">IFERROR(__xludf.DUMMYFUNCTION("""COMPUTED_VALUE"""),"Y")</f>
        <v>Y</v>
      </c>
      <c r="J104" s="9" t="str">
        <f ca="1">IFERROR(__xludf.DUMMYFUNCTION("""COMPUTED_VALUE"""),"OTHER")</f>
        <v>OTHER</v>
      </c>
      <c r="K104" s="9" t="str">
        <f ca="1">IFERROR(__xludf.DUMMYFUNCTION("""COMPUTED_VALUE"""),"Other")</f>
        <v>Other</v>
      </c>
      <c r="L104" s="9"/>
      <c r="M104" s="9"/>
      <c r="N104" s="9">
        <f ca="1">IFERROR(__xludf.DUMMYFUNCTION("counta(split(B104,"" ""))"),15)</f>
        <v>15</v>
      </c>
      <c r="O104" s="9">
        <f t="shared" ca="1" si="6"/>
        <v>1.0261426884803475</v>
      </c>
    </row>
    <row r="105" spans="1:16" ht="15.75" customHeight="1">
      <c r="A105" s="9">
        <f ca="1">IFERROR(__xludf.DUMMYFUNCTION("""COMPUTED_VALUE"""),177)</f>
        <v>177</v>
      </c>
      <c r="B105" s="9" t="str">
        <f ca="1">IFERROR(__xludf.DUMMYFUNCTION("""COMPUTED_VALUE"""),"these are my imports : import static org.junit.jupiter.api.Assertions.*;
import static com.google.common.truth.Truth.*;
import static com.google.common.truth.Truth8.*;  and my code : Document document = new Document();
Field field = new StringField(""fiel"&amp;"dName"", ""fieldValue"", Field.Store.YES);
document.add(field); is erroring")</f>
        <v>these are my imports : import static org.junit.jupiter.api.Assertions.*;
import static com.google.common.truth.Truth.*;
import static com.google.common.truth.Truth8.*;  and my code : Document document = new Document();
Field field = new StringField("fieldName", "fieldValue", Field.Store.YES);
document.add(field); is erroring</v>
      </c>
      <c r="C105" s="9" t="str">
        <f ca="1">IFERROR(__xludf.DUMMYFUNCTION("""COMPUTED_VALUE"""),"{
  ""answer"": ""The error is likely due to missing imports for the classes Document and Field."",
  ""explanation"": ""The code is trying to use the classes Document and Field, but the necessary imports are missing."",
  ""code"": ""import org.apache.lu"&amp;"cene.document.Document;
import org.apache.lucene.document.Field;
Document document = new Document();
Field field = new StringField(""fieldName"", ""fieldValue"", Field.Store.YES);
document.add(field);""
}")</f>
        <v>{
  "answer": "The error is likely due to missing imports for the classes Document and Field.",
  "explanation": "The code is trying to use the classes Document and Field, but the necessary imports are missing.",
  "code": "import org.apache.lucene.document.Document;
import org.apache.lucene.document.Field;
Document document = new Document();
Field field = new StringField("fieldName", "fieldValue", Field.Store.YES);
document.add(field);"
}</v>
      </c>
      <c r="D105" s="9">
        <f ca="1">IFERROR(__xludf.DUMMYFUNCTION("""COMPUTED_VALUE"""),1)</f>
        <v>1</v>
      </c>
      <c r="E105" s="9" t="str">
        <f ca="1">IFERROR(__xludf.DUMMYFUNCTION("""COMPUTED_VALUE"""),"2024-01-10 15:24:06")</f>
        <v>2024-01-10 15:24:06</v>
      </c>
      <c r="F105" s="9">
        <f ca="1">IFERROR(__xludf.DUMMYFUNCTION("""COMPUTED_VALUE"""),226)</f>
        <v>226</v>
      </c>
      <c r="G105" s="9">
        <f ca="1">IFERROR(__xludf.DUMMYFUNCTION("""COMPUTED_VALUE"""),2)</f>
        <v>2</v>
      </c>
      <c r="H105" s="9" t="str">
        <f ca="1">IFERROR(__xludf.DUMMYFUNCTION("""COMPUTED_VALUE"""),"null")</f>
        <v>null</v>
      </c>
      <c r="I105" s="9" t="str">
        <f ca="1">IFERROR(__xludf.DUMMYFUNCTION("""COMPUTED_VALUE"""),"Y")</f>
        <v>Y</v>
      </c>
      <c r="J105" s="9" t="str">
        <f ca="1">IFERROR(__xludf.DUMMYFUNCTION("""COMPUTED_VALUE"""),"OTHER")</f>
        <v>OTHER</v>
      </c>
      <c r="K105" s="9" t="str">
        <f ca="1">IFERROR(__xludf.DUMMYFUNCTION("""COMPUTED_VALUE"""),"Other")</f>
        <v>Other</v>
      </c>
      <c r="L105" s="9"/>
      <c r="M105" s="9"/>
      <c r="N105" s="9">
        <f ca="1">IFERROR(__xludf.DUMMYFUNCTION("counta(split(B105,"" ""))"),29)</f>
        <v>29</v>
      </c>
      <c r="O105" s="9">
        <f t="shared" ca="1" si="6"/>
        <v>168.66250632484403</v>
      </c>
    </row>
    <row r="106" spans="1:16" ht="15.75" customHeight="1">
      <c r="A106" s="9">
        <f ca="1">IFERROR(__xludf.DUMMYFUNCTION("""COMPUTED_VALUE"""),180)</f>
        <v>180</v>
      </c>
      <c r="B106" s="9" t="str">
        <f ca="1">IFERROR(__xludf.DUMMYFUNCTION("""COMPUTED_VALUE"""),"import static org.mockito.Mockito.*; mock me a field")</f>
        <v>import static org.mockito.Mockito.*; mock me a field</v>
      </c>
      <c r="C106" s="9" t="str">
        <f ca="1">IFERROR(__xludf.DUMMYFUNCTION("""COMPUTED_VALUE"""),"Answer:
You can mock a field using the static method mock() from the Mockito library.
Explanation:
The mock() method from the Mockito library allows you to create a mock object that can be used as a replacement for a real object in your tests.
Code:
Fie"&amp;"ld field = mock(Field.class);")</f>
        <v>Answer:
You can mock a field using the static method mock() from the Mockito library.
Explanation:
The mock() method from the Mockito library allows you to create a mock object that can be used as a replacement for a real object in your tests.
Code:
Field field = mock(Field.class);</v>
      </c>
      <c r="D106" s="9">
        <f ca="1">IFERROR(__xludf.DUMMYFUNCTION("""COMPUTED_VALUE"""),0)</f>
        <v>0</v>
      </c>
      <c r="E106" s="9" t="str">
        <f ca="1">IFERROR(__xludf.DUMMYFUNCTION("""COMPUTED_VALUE"""),"2024-01-10 15:24:29")</f>
        <v>2024-01-10 15:24:29</v>
      </c>
      <c r="F106" s="9">
        <f ca="1">IFERROR(__xludf.DUMMYFUNCTION("""COMPUTED_VALUE"""),226)</f>
        <v>226</v>
      </c>
      <c r="G106" s="9">
        <f ca="1">IFERROR(__xludf.DUMMYFUNCTION("""COMPUTED_VALUE"""),2)</f>
        <v>2</v>
      </c>
      <c r="H106" s="9" t="str">
        <f ca="1">IFERROR(__xludf.DUMMYFUNCTION("""COMPUTED_VALUE"""),"null")</f>
        <v>null</v>
      </c>
      <c r="I106" s="9" t="str">
        <f ca="1">IFERROR(__xludf.DUMMYFUNCTION("""COMPUTED_VALUE"""),"Y")</f>
        <v>Y</v>
      </c>
      <c r="J106" s="9" t="str">
        <f ca="1">IFERROR(__xludf.DUMMYFUNCTION("""COMPUTED_VALUE"""),"OTHER")</f>
        <v>OTHER</v>
      </c>
      <c r="K106" s="9" t="str">
        <f ca="1">IFERROR(__xludf.DUMMYFUNCTION("""COMPUTED_VALUE"""),"Mock")</f>
        <v>Mock</v>
      </c>
      <c r="L106" s="9"/>
      <c r="M106" s="9"/>
      <c r="N106" s="9">
        <f ca="1">IFERROR(__xludf.DUMMYFUNCTION("counta(split(B106,"" ""))"),7)</f>
        <v>7</v>
      </c>
      <c r="O106" s="9">
        <f t="shared" ca="1" si="6"/>
        <v>81.23393489627253</v>
      </c>
    </row>
    <row r="107" spans="1:16" ht="15.75" customHeight="1">
      <c r="A107" s="9">
        <f ca="1">IFERROR(__xludf.DUMMYFUNCTION("""COMPUTED_VALUE"""),181)</f>
        <v>181</v>
      </c>
      <c r="B107" s="9" t="str">
        <f ca="1">IFERROR(__xludf.DUMMYFUNCTION("""COMPUTED_VALUE"""),"import static org.mockito.Mockito.*; mock me a field to add to the document")</f>
        <v>import static org.mockito.Mockito.*; mock me a field to add to the document</v>
      </c>
      <c r="C107" s="9" t="str">
        <f ca="1">IFERROR(__xludf.DUMMYFUNCTION("""COMPUTED_VALUE"""),"Answer:
You can mock a field using Mockito.mock() method.
Explanation:
Mockito.mock() method creates a mock object of a given class or interface, which can be used as a field to add to the document.
Code:
IndexableField field = Mockito.mock(IndexableFie"&amp;"ld.class);")</f>
        <v>Answer:
You can mock a field using Mockito.mock() method.
Explanation:
Mockito.mock() method creates a mock object of a given class or interface, which can be used as a field to add to the document.
Code:
IndexableField field = Mockito.mock(IndexableField.class);</v>
      </c>
      <c r="D107" s="9">
        <f ca="1">IFERROR(__xludf.DUMMYFUNCTION("""COMPUTED_VALUE"""),1)</f>
        <v>1</v>
      </c>
      <c r="E107" s="9" t="str">
        <f ca="1">IFERROR(__xludf.DUMMYFUNCTION("""COMPUTED_VALUE"""),"2024-01-10 15:24:46")</f>
        <v>2024-01-10 15:24:46</v>
      </c>
      <c r="F107" s="9">
        <f ca="1">IFERROR(__xludf.DUMMYFUNCTION("""COMPUTED_VALUE"""),226)</f>
        <v>226</v>
      </c>
      <c r="G107" s="9">
        <f ca="1">IFERROR(__xludf.DUMMYFUNCTION("""COMPUTED_VALUE"""),2)</f>
        <v>2</v>
      </c>
      <c r="H107" s="9" t="str">
        <f ca="1">IFERROR(__xludf.DUMMYFUNCTION("""COMPUTED_VALUE"""),"null")</f>
        <v>null</v>
      </c>
      <c r="I107" s="9" t="str">
        <f ca="1">IFERROR(__xludf.DUMMYFUNCTION("""COMPUTED_VALUE"""),"Y")</f>
        <v>Y</v>
      </c>
      <c r="J107" s="9" t="str">
        <f ca="1">IFERROR(__xludf.DUMMYFUNCTION("""COMPUTED_VALUE"""),"OTHER")</f>
        <v>OTHER</v>
      </c>
      <c r="K107" s="9" t="str">
        <f ca="1">IFERROR(__xludf.DUMMYFUNCTION("""COMPUTED_VALUE"""),"Mock")</f>
        <v>Mock</v>
      </c>
      <c r="L107" s="9"/>
      <c r="M107" s="9"/>
      <c r="N107" s="9">
        <f ca="1">IFERROR(__xludf.DUMMYFUNCTION("counta(split(B107,"" ""))"),12)</f>
        <v>12</v>
      </c>
      <c r="O107" s="9">
        <f t="shared" ca="1" si="6"/>
        <v>16.104064766402416</v>
      </c>
    </row>
    <row r="108" spans="1:16" ht="15.75" customHeight="1">
      <c r="A108" s="9">
        <f ca="1">IFERROR(__xludf.DUMMYFUNCTION("""COMPUTED_VALUE"""),190)</f>
        <v>190</v>
      </c>
      <c r="B108" s="9" t="str">
        <f ca="1">IFERROR(__xludf.DUMMYFUNCTION("""COMPUTED_VALUE"""),"IndexableField field = Mockito.mock(IndexableField.class); how to set the name etc of the field and add it to the document?")</f>
        <v>IndexableField field = Mockito.mock(IndexableField.class); how to set the name etc of the field and add it to the document?</v>
      </c>
      <c r="C108" s="9" t="str">
        <f ca="1">IFERROR(__xludf.DUMMYFUNCTION("""COMPUTED_VALUE"""),"{
  ""answer"": ""You can set the name and other properties of the field using Mockito's when-thenReturn syntax, and then add it to the document using the add() method."",
  ""explanation"": ""Mockito's when-thenReturn syntax allows you to specify the beh"&amp;"avior of a mock object, in this case, setting the name and other properties of the field. Once the field is configured, you can add it to the document using the add() method."",
  ""code"": ""IndexableField field = Mockito.mock(IndexableField.class);
whe"&amp;"n(field.name()).thenReturn(""fieldName"");
when(field.stringValue()).thenReturn(""fieldValue"");
Document document = new Document();
document.add(field);""
}")</f>
        <v>{
  "answer": "You can set the name and other properties of the field using Mockito's when-thenReturn syntax, and then add it to the document using the add() method.",
  "explanation": "Mockito's when-thenReturn syntax allows you to specify the behavior of a mock object, in this case, setting the name and other properties of the field. Once the field is configured, you can add it to the document using the add() method.",
  "code": "IndexableField field = Mockito.mock(IndexableField.class);
when(field.name()).thenReturn("fieldName");
when(field.stringValue()).thenReturn("fieldValue");
Document document = new Document();
document.add(field);"
}</v>
      </c>
      <c r="D108" s="9">
        <f ca="1">IFERROR(__xludf.DUMMYFUNCTION("""COMPUTED_VALUE"""),1)</f>
        <v>1</v>
      </c>
      <c r="E108" s="9" t="str">
        <f ca="1">IFERROR(__xludf.DUMMYFUNCTION("""COMPUTED_VALUE"""),"2024-01-10 15:26:21")</f>
        <v>2024-01-10 15:26:21</v>
      </c>
      <c r="F108" s="9">
        <f ca="1">IFERROR(__xludf.DUMMYFUNCTION("""COMPUTED_VALUE"""),226)</f>
        <v>226</v>
      </c>
      <c r="G108" s="9">
        <f ca="1">IFERROR(__xludf.DUMMYFUNCTION("""COMPUTED_VALUE"""),2)</f>
        <v>2</v>
      </c>
      <c r="H108" s="9" t="str">
        <f ca="1">IFERROR(__xludf.DUMMYFUNCTION("""COMPUTED_VALUE"""),"null")</f>
        <v>null</v>
      </c>
      <c r="I108" s="9" t="str">
        <f ca="1">IFERROR(__xludf.DUMMYFUNCTION("""COMPUTED_VALUE"""),"Y")</f>
        <v>Y</v>
      </c>
      <c r="J108" s="9" t="str">
        <f ca="1">IFERROR(__xludf.DUMMYFUNCTION("""COMPUTED_VALUE"""),"OTHER")</f>
        <v>OTHER</v>
      </c>
      <c r="K108" s="9" t="str">
        <f ca="1">IFERROR(__xludf.DUMMYFUNCTION("""COMPUTED_VALUE"""),"Mock")</f>
        <v>Mock</v>
      </c>
      <c r="L108" s="9"/>
      <c r="M108" s="9"/>
      <c r="N108" s="9">
        <f ca="1">IFERROR(__xludf.DUMMYFUNCTION("counta(split(B108,"" ""))"),19)</f>
        <v>19</v>
      </c>
      <c r="O108" s="9">
        <f t="shared" ca="1" si="6"/>
        <v>8.922246584584256</v>
      </c>
    </row>
    <row r="109" spans="1:16" ht="15.75" customHeight="1">
      <c r="A109" s="9">
        <f ca="1">IFERROR(__xludf.DUMMYFUNCTION("""COMPUTED_VALUE"""),99)</f>
        <v>99</v>
      </c>
      <c r="B109" s="9" t="str">
        <f ca="1">IFERROR(__xludf.DUMMYFUNCTION("""COMPUTED_VALUE"""),"where can I place a mutant in the getValues method?")</f>
        <v>where can I place a mutant in the getValues method?</v>
      </c>
      <c r="C109" s="9" t="str">
        <f ca="1">IFERROR(__xludf.DUMMYFUNCTION("""COMPUTED_VALUE"""),"{""answer"": ""A mutant can be placed in the for loop that iterates over the fields."", ""explanation"": ""The for loop iterates over the fields and checks if the field name matches the given name. A mutant can be placed within the loop to modify the beha"&amp;"vior of the method."", ""code"": ""for (IndexableField field : fields) {
  // Mutant code here
  if (field.name().equals(name) &amp;&amp; field.stringValue() != null) {
    result.add(field.stringValue());
  }
}""}")</f>
        <v>{"answer": "A mutant can be placed in the for loop that iterates over the fields.", "explanation": "The for loop iterates over the fields and checks if the field name matches the given name. A mutant can be placed within the loop to modify the behavior of the method.", "code": "for (IndexableField field : fields) {
  // Mutant code here
  if (field.name().equals(name) &amp;&amp; field.stringValue() != null) {
    result.add(field.stringValue());
  }
}"}</v>
      </c>
      <c r="D109" s="9">
        <f ca="1">IFERROR(__xludf.DUMMYFUNCTION("""COMPUTED_VALUE"""),0)</f>
        <v>0</v>
      </c>
      <c r="E109" s="9" t="str">
        <f ca="1">IFERROR(__xludf.DUMMYFUNCTION("""COMPUTED_VALUE"""),"2024-01-10 15:04:24")</f>
        <v>2024-01-10 15:04:24</v>
      </c>
      <c r="F109" s="9">
        <f ca="1">IFERROR(__xludf.DUMMYFUNCTION("""COMPUTED_VALUE"""),227)</f>
        <v>227</v>
      </c>
      <c r="G109" s="9">
        <f ca="1">IFERROR(__xludf.DUMMYFUNCTION("""COMPUTED_VALUE"""),2)</f>
        <v>2</v>
      </c>
      <c r="H109" s="9" t="str">
        <f ca="1">IFERROR(__xludf.DUMMYFUNCTION("""COMPUTED_VALUE"""),"null")</f>
        <v>null</v>
      </c>
      <c r="I109" s="9" t="str">
        <f ca="1">IFERROR(__xludf.DUMMYFUNCTION("""COMPUTED_VALUE"""),"Y")</f>
        <v>Y</v>
      </c>
      <c r="J109" s="9" t="str">
        <f ca="1">IFERROR(__xludf.DUMMYFUNCTION("""COMPUTED_VALUE"""),"MUTANT")</f>
        <v>MUTANT</v>
      </c>
      <c r="K109" s="9" t="str">
        <f ca="1">IFERROR(__xludf.DUMMYFUNCTION("""COMPUTED_VALUE"""),"Specific method")</f>
        <v>Specific method</v>
      </c>
      <c r="L109" s="9" t="str">
        <f ca="1">IFERROR(__xludf.DUMMYFUNCTION("""COMPUTED_VALUE"""),"getValues")</f>
        <v>getValues</v>
      </c>
      <c r="M109" s="9" t="str">
        <f ca="1">IFERROR(__xludf.DUMMYFUNCTION("""COMPUTED_VALUE"""),"getValues")</f>
        <v>getValues</v>
      </c>
      <c r="N109" s="9">
        <f ca="1">IFERROR(__xludf.DUMMYFUNCTION("counta(split(B109,"" ""))"),10)</f>
        <v>10</v>
      </c>
      <c r="O109" s="9">
        <f t="shared" ca="1" si="6"/>
        <v>36.156012818350462</v>
      </c>
    </row>
    <row r="110" spans="1:16" ht="15.75" customHeight="1">
      <c r="A110" s="9">
        <f ca="1">IFERROR(__xludf.DUMMYFUNCTION("""COMPUTED_VALUE"""),110)</f>
        <v>110</v>
      </c>
      <c r="B110" s="9" t="str">
        <f ca="1">IFERROR(__xludf.DUMMYFUNCTION("""COMPUTED_VALUE"""),"write a test for the removeField method")</f>
        <v>write a test for the removeField method</v>
      </c>
      <c r="C110" s="9" t="str">
        <f ca="1">IFERROR(__xludf.DUMMYFUNCTION("""COMPUTED_VALUE"""),"{
  ""answer"": ""Sure, here is an example test for the removeField method."",
  ""explanation"": ""The test creates a new Document, adds a field, removes the field using the removeField method, and then asserts that the field is no longer present in the "&amp;"Document."",
  ""code"": ""import org.junit.Test;
import static org.junit.Assert.*;
public class DocumentTest {
    @Test
    public void testRemoveField() {
        Document document = new Document();
        document.add(new StringField(""name"", ""Jo"&amp;"hn Doe"", Field.Store.YES));
        document.removeField(""name"");
        assertNull(document.getField(""name""));
    }
}""
}")</f>
        <v>{
  "answer": "Sure, here is an example test for the removeField method.",
  "explanation": "The test creates a new Document, adds a field, removes the field using the removeField method, and then asserts that the field is no longer present in the Document.",
  "code": "import org.junit.Test;
import static org.junit.Assert.*;
public class DocumentTest {
    @Test
    public void testRemoveField() {
        Document document = new Document();
        document.add(new StringField("name", "John Doe", Field.Store.YES));
        document.removeField("name");
        assertNull(document.getField("name"));
    }
}"
}</v>
      </c>
      <c r="D110" s="9">
        <f ca="1">IFERROR(__xludf.DUMMYFUNCTION("""COMPUTED_VALUE"""),1)</f>
        <v>1</v>
      </c>
      <c r="E110" s="9" t="str">
        <f ca="1">IFERROR(__xludf.DUMMYFUNCTION("""COMPUTED_VALUE"""),"2024-01-10 15:07:29")</f>
        <v>2024-01-10 15:07:29</v>
      </c>
      <c r="F110" s="9">
        <f ca="1">IFERROR(__xludf.DUMMYFUNCTION("""COMPUTED_VALUE"""),227)</f>
        <v>227</v>
      </c>
      <c r="G110" s="9">
        <f ca="1">IFERROR(__xludf.DUMMYFUNCTION("""COMPUTED_VALUE"""),2)</f>
        <v>2</v>
      </c>
      <c r="H110" s="9" t="str">
        <f ca="1">IFERROR(__xludf.DUMMYFUNCTION("""COMPUTED_VALUE"""),"null")</f>
        <v>null</v>
      </c>
      <c r="I110" s="9" t="str">
        <f ca="1">IFERROR(__xludf.DUMMYFUNCTION("""COMPUTED_VALUE"""),"Y")</f>
        <v>Y</v>
      </c>
      <c r="J110" s="9" t="str">
        <f ca="1">IFERROR(__xludf.DUMMYFUNCTION("""COMPUTED_VALUE"""),"TEST")</f>
        <v>TEST</v>
      </c>
      <c r="K110" s="9" t="str">
        <f ca="1">IFERROR(__xludf.DUMMYFUNCTION("""COMPUTED_VALUE"""),"Specific method")</f>
        <v>Specific method</v>
      </c>
      <c r="L110" s="9" t="str">
        <f ca="1">IFERROR(__xludf.DUMMYFUNCTION("""COMPUTED_VALUE"""),"removeField")</f>
        <v>removeField</v>
      </c>
      <c r="M110" s="9" t="str">
        <f ca="1">IFERROR(__xludf.DUMMYFUNCTION("""COMPUTED_VALUE"""),"removeField")</f>
        <v>removeField</v>
      </c>
      <c r="N110" s="9">
        <f ca="1">IFERROR(__xludf.DUMMYFUNCTION("counta(split(B110,"" ""))"),7)</f>
        <v>7</v>
      </c>
      <c r="O110" s="9">
        <f t="shared" ca="1" si="6"/>
        <v>81.23393489627253</v>
      </c>
      <c r="P110" s="9" t="s">
        <v>689</v>
      </c>
    </row>
    <row r="111" spans="1:16" ht="15.75" customHeight="1">
      <c r="A111" s="9">
        <f ca="1">IFERROR(__xludf.DUMMYFUNCTION("""COMPUTED_VALUE"""),119)</f>
        <v>119</v>
      </c>
      <c r="B111" s="9" t="str">
        <f ca="1">IFERROR(__xludf.DUMMYFUNCTION("""COMPUTED_VALUE"""),"Write a test for the toString method to find the mutants")</f>
        <v>Write a test for the toString method to find the mutants</v>
      </c>
      <c r="C111" s="9" t="str">
        <f ca="1">IFERROR(__xludf.DUMMYFUNCTION("""COMPUTED_VALUE"""),"{
  ""answer"": ""Yes"",
  ""explanation"": ""The toString method can be tested by creating a Document object with some fields and comparing the output of the toString method with the expected string representation of the document."",
  ""code"": ""Docume"&amp;"nt document = new Document();
document.add(new StringField(""id"", ""123"", Field.Store.YES));
document.add(new TextField(""content"", ""This is a test document"", Field.Store.YES));
String expected = ""Document&lt;id:123 content:This is a test document&gt;"""&amp;";
String actual = document.toString();
assertEquals(expected, actual);""
}")</f>
        <v>{
  "answer": "Yes",
  "explanation": "The toString method can be tested by creating a Document object with some fields and comparing the output of the toString method with the expected string representation of the document.",
  "code": "Document document = new Document();
document.add(new StringField("id", "123", Field.Store.YES));
document.add(new TextField("content", "This is a test document", Field.Store.YES));
String expected = "Document&lt;id:123 content:This is a test document&gt;";
String actual = document.toString();
assertEquals(expected, actual);"
}</v>
      </c>
      <c r="D111" s="9">
        <f ca="1">IFERROR(__xludf.DUMMYFUNCTION("""COMPUTED_VALUE"""),0)</f>
        <v>0</v>
      </c>
      <c r="E111" s="9" t="str">
        <f ca="1">IFERROR(__xludf.DUMMYFUNCTION("""COMPUTED_VALUE"""),"2024-01-10 15:10:15")</f>
        <v>2024-01-10 15:10:15</v>
      </c>
      <c r="F111" s="9">
        <f ca="1">IFERROR(__xludf.DUMMYFUNCTION("""COMPUTED_VALUE"""),227)</f>
        <v>227</v>
      </c>
      <c r="G111" s="9">
        <f ca="1">IFERROR(__xludf.DUMMYFUNCTION("""COMPUTED_VALUE"""),2)</f>
        <v>2</v>
      </c>
      <c r="H111" s="9" t="str">
        <f ca="1">IFERROR(__xludf.DUMMYFUNCTION("""COMPUTED_VALUE"""),"null")</f>
        <v>null</v>
      </c>
      <c r="I111" s="9" t="str">
        <f ca="1">IFERROR(__xludf.DUMMYFUNCTION("""COMPUTED_VALUE"""),"Y")</f>
        <v>Y</v>
      </c>
      <c r="J111" s="9" t="str">
        <f ca="1">IFERROR(__xludf.DUMMYFUNCTION("""COMPUTED_VALUE"""),"TEST")</f>
        <v>TEST</v>
      </c>
      <c r="K111" s="9" t="str">
        <f ca="1">IFERROR(__xludf.DUMMYFUNCTION("""COMPUTED_VALUE"""),"Specific method")</f>
        <v>Specific method</v>
      </c>
      <c r="L111" s="9" t="str">
        <f ca="1">IFERROR(__xludf.DUMMYFUNCTION("""COMPUTED_VALUE"""),"toString")</f>
        <v>toString</v>
      </c>
      <c r="M111" s="9" t="str">
        <f ca="1">IFERROR(__xludf.DUMMYFUNCTION("""COMPUTED_VALUE"""),"toString")</f>
        <v>toString</v>
      </c>
      <c r="N111" s="9">
        <f ca="1">IFERROR(__xludf.DUMMYFUNCTION("counta(split(B111,"" ""))"),11)</f>
        <v>11</v>
      </c>
      <c r="O111" s="9">
        <f t="shared" ca="1" si="6"/>
        <v>25.130038792376439</v>
      </c>
      <c r="P111" s="9" t="s">
        <v>689</v>
      </c>
    </row>
    <row r="112" spans="1:16" ht="15.75" customHeight="1">
      <c r="A112" s="9">
        <f ca="1">IFERROR(__xludf.DUMMYFUNCTION("""COMPUTED_VALUE"""),122)</f>
        <v>122</v>
      </c>
      <c r="B112" s="9" t="str">
        <f ca="1">IFERROR(__xludf.DUMMYFUNCTION("""COMPUTED_VALUE"""),"How can a test for the toString method be written that finds all mutants?")</f>
        <v>How can a test for the toString method be written that finds all mutants?</v>
      </c>
      <c r="C112" s="9" t="str">
        <f ca="1">IFERROR(__xludf.DUMMYFUNCTION("""COMPUTED_VALUE"""),"{
  ""answer"": ""By comparing the output of the toString method with the expected output for different test cases."",
  ""explanation"": ""To test for all mutants, we can create multiple test cases with different field values and verify that the output o"&amp;"f the toString method matches the expected output."",
  ""code"": ""Document document = new Document();
// Add fields to the document
// ...
String expectedOutput = ""Document&lt;field1 value field2 value&gt;"";
String actualOutput = document.toString();
ass"&amp;"ertEquals(expectedOutput, actualOutput);""
}")</f>
        <v>{
  "answer": "By comparing the output of the toString method with the expected output for different test cases.",
  "explanation": "To test for all mutants, we can create multiple test cases with different field values and verify that the output of the toString method matches the expected output.",
  "code": "Document document = new Document();
// Add fields to the document
// ...
String expectedOutput = "Document&lt;field1 value field2 value&gt;";
String actualOutput = document.toString();
assertEquals(expectedOutput, actualOutput);"
}</v>
      </c>
      <c r="D112" s="9">
        <f ca="1">IFERROR(__xludf.DUMMYFUNCTION("""COMPUTED_VALUE"""),1)</f>
        <v>1</v>
      </c>
      <c r="E112" s="9" t="str">
        <f ca="1">IFERROR(__xludf.DUMMYFUNCTION("""COMPUTED_VALUE"""),"2024-01-10 15:10:50")</f>
        <v>2024-01-10 15:10:50</v>
      </c>
      <c r="F112" s="9">
        <f ca="1">IFERROR(__xludf.DUMMYFUNCTION("""COMPUTED_VALUE"""),227)</f>
        <v>227</v>
      </c>
      <c r="G112" s="9">
        <f ca="1">IFERROR(__xludf.DUMMYFUNCTION("""COMPUTED_VALUE"""),2)</f>
        <v>2</v>
      </c>
      <c r="H112" s="9">
        <f ca="1">IFERROR(__xludf.DUMMYFUNCTION("""COMPUTED_VALUE"""),1)</f>
        <v>1</v>
      </c>
      <c r="I112" s="9" t="str">
        <f ca="1">IFERROR(__xludf.DUMMYFUNCTION("""COMPUTED_VALUE"""),"Y")</f>
        <v>Y</v>
      </c>
      <c r="J112" s="9" t="str">
        <f ca="1">IFERROR(__xludf.DUMMYFUNCTION("""COMPUTED_VALUE"""),"TEST")</f>
        <v>TEST</v>
      </c>
      <c r="K112" s="9" t="str">
        <f ca="1">IFERROR(__xludf.DUMMYFUNCTION("""COMPUTED_VALUE"""),"Specific method")</f>
        <v>Specific method</v>
      </c>
      <c r="L112" s="9" t="str">
        <f ca="1">IFERROR(__xludf.DUMMYFUNCTION("""COMPUTED_VALUE"""),"toString")</f>
        <v>toString</v>
      </c>
      <c r="M112" s="9" t="str">
        <f ca="1">IFERROR(__xludf.DUMMYFUNCTION("""COMPUTED_VALUE"""),"toString")</f>
        <v>toString</v>
      </c>
      <c r="N112" s="9">
        <f ca="1">IFERROR(__xludf.DUMMYFUNCTION("counta(split(B112,"" ""))"),14)</f>
        <v>14</v>
      </c>
      <c r="O112" s="9">
        <f t="shared" ca="1" si="6"/>
        <v>4.0521167144543702</v>
      </c>
      <c r="P112" s="9" t="s">
        <v>689</v>
      </c>
    </row>
    <row r="113" spans="1:16" ht="15.75" customHeight="1">
      <c r="A113" s="9">
        <f ca="1">IFERROR(__xludf.DUMMYFUNCTION("""COMPUTED_VALUE"""),129)</f>
        <v>129</v>
      </c>
      <c r="B113" s="9" t="str">
        <f ca="1">IFERROR(__xludf.DUMMYFUNCTION("""COMPUTED_VALUE"""),"How can I add fields to a document")</f>
        <v>How can I add fields to a document</v>
      </c>
      <c r="C113" s="9" t="str">
        <f ca="1">IFERROR(__xludf.DUMMYFUNCTION("""COMPUTED_VALUE"""),"{""answer"": ""You can add fields to a document by calling the add() method and passing in the field you want to add."", ""explanation"": ""To add fields to a document, you can use the add() method provided by the Document class. This method takes an Inde"&amp;"xableField object as a parameter, which represents the field you want to add to the document."", ""code"": ""Document document = new Document();
Field field = new StringField(""fieldName"", ""fieldValue"", Field.Store.YES);
document.add(field);""}")</f>
        <v>{"answer": "You can add fields to a document by calling the add() method and passing in the field you want to add.", "explanation": "To add fields to a document, you can use the add() method provided by the Document class. This method takes an IndexableField object as a parameter, which represents the field you want to add to the document.", "code": "Document document = new Document();
Field field = new StringField("fieldName", "fieldValue", Field.Store.YES);
document.add(field);"}</v>
      </c>
      <c r="D113" s="9">
        <f ca="1">IFERROR(__xludf.DUMMYFUNCTION("""COMPUTED_VALUE"""),0)</f>
        <v>0</v>
      </c>
      <c r="E113" s="9" t="str">
        <f ca="1">IFERROR(__xludf.DUMMYFUNCTION("""COMPUTED_VALUE"""),"2024-01-10 15:12:22")</f>
        <v>2024-01-10 15:12:22</v>
      </c>
      <c r="F113" s="9">
        <f ca="1">IFERROR(__xludf.DUMMYFUNCTION("""COMPUTED_VALUE"""),227)</f>
        <v>227</v>
      </c>
      <c r="G113" s="9">
        <f ca="1">IFERROR(__xludf.DUMMYFUNCTION("""COMPUTED_VALUE"""),2)</f>
        <v>2</v>
      </c>
      <c r="H113" s="9" t="str">
        <f ca="1">IFERROR(__xludf.DUMMYFUNCTION("""COMPUTED_VALUE"""),"null")</f>
        <v>null</v>
      </c>
      <c r="I113" s="9" t="str">
        <f ca="1">IFERROR(__xludf.DUMMYFUNCTION("""COMPUTED_VALUE"""),"Y")</f>
        <v>Y</v>
      </c>
      <c r="J113" s="9" t="str">
        <f ca="1">IFERROR(__xludf.DUMMYFUNCTION("""COMPUTED_VALUE"""),"OTHER")</f>
        <v>OTHER</v>
      </c>
      <c r="K113" s="9" t="str">
        <f ca="1">IFERROR(__xludf.DUMMYFUNCTION("""COMPUTED_VALUE"""),"Code under test")</f>
        <v>Code under test</v>
      </c>
      <c r="L113" s="9"/>
      <c r="M113" s="9"/>
      <c r="N113" s="9">
        <f ca="1">IFERROR(__xludf.DUMMYFUNCTION("counta(split(B113,"" ""))"),8)</f>
        <v>8</v>
      </c>
      <c r="O113" s="9">
        <f t="shared" ca="1" si="6"/>
        <v>64.207960870298507</v>
      </c>
    </row>
    <row r="114" spans="1:16" ht="15.75" customHeight="1">
      <c r="A114" s="9">
        <f ca="1">IFERROR(__xludf.DUMMYFUNCTION("""COMPUTED_VALUE"""),133)</f>
        <v>133</v>
      </c>
      <c r="B114" s="9" t="str">
        <f ca="1">IFERROR(__xludf.DUMMYFUNCTION("""COMPUTED_VALUE"""),"show me how to add fields to a document")</f>
        <v>show me how to add fields to a document</v>
      </c>
      <c r="C114" s="9" t="str">
        <f ca="1">IFERROR(__xludf.DUMMYFUNCTION("""COMPUTED_VALUE"""),"{""answer"": ""To add fields to a document, you can use the add() method of the Document class."", ""explanation"": ""The add() method allows you to add a field to a document. You can create a new field using the Field class and then add it to the documen"&amp;"t using the add() method."", ""code"": ""Document document = new Document();
Field field = new StringField(""fieldName"", ""fieldValue"", Field.Store.YES);
document.add(field);""}")</f>
        <v>{"answer": "To add fields to a document, you can use the add() method of the Document class.", "explanation": "The add() method allows you to add a field to a document. You can create a new field using the Field class and then add it to the document using the add() method.", "code": "Document document = new Document();
Field field = new StringField("fieldName", "fieldValue", Field.Store.YES);
document.add(field);"}</v>
      </c>
      <c r="D114" s="9">
        <f ca="1">IFERROR(__xludf.DUMMYFUNCTION("""COMPUTED_VALUE"""),1)</f>
        <v>1</v>
      </c>
      <c r="E114" s="9" t="str">
        <f ca="1">IFERROR(__xludf.DUMMYFUNCTION("""COMPUTED_VALUE"""),"2024-01-10 15:13:10")</f>
        <v>2024-01-10 15:13:10</v>
      </c>
      <c r="F114" s="9">
        <f ca="1">IFERROR(__xludf.DUMMYFUNCTION("""COMPUTED_VALUE"""),227)</f>
        <v>227</v>
      </c>
      <c r="G114" s="9">
        <f ca="1">IFERROR(__xludf.DUMMYFUNCTION("""COMPUTED_VALUE"""),2)</f>
        <v>2</v>
      </c>
      <c r="H114" s="9" t="str">
        <f ca="1">IFERROR(__xludf.DUMMYFUNCTION("""COMPUTED_VALUE"""),"null")</f>
        <v>null</v>
      </c>
      <c r="I114" s="9" t="str">
        <f ca="1">IFERROR(__xludf.DUMMYFUNCTION("""COMPUTED_VALUE"""),"Y")</f>
        <v>Y</v>
      </c>
      <c r="J114" s="9" t="str">
        <f ca="1">IFERROR(__xludf.DUMMYFUNCTION("""COMPUTED_VALUE"""),"OTHER")</f>
        <v>OTHER</v>
      </c>
      <c r="K114" s="9" t="str">
        <f ca="1">IFERROR(__xludf.DUMMYFUNCTION("""COMPUTED_VALUE"""),"Code under test")</f>
        <v>Code under test</v>
      </c>
      <c r="L114" s="9"/>
      <c r="M114" s="9"/>
      <c r="N114" s="9">
        <f ca="1">IFERROR(__xludf.DUMMYFUNCTION("counta(split(B114,"" ""))"),9)</f>
        <v>9</v>
      </c>
      <c r="O114" s="9">
        <f t="shared" ca="1" si="6"/>
        <v>49.181986844324484</v>
      </c>
    </row>
    <row r="115" spans="1:16" ht="15.75" customHeight="1">
      <c r="A115" s="9">
        <f ca="1">IFERROR(__xludf.DUMMYFUNCTION("""COMPUTED_VALUE"""),148)</f>
        <v>148</v>
      </c>
      <c r="B115" s="9" t="str">
        <f ca="1">IFERROR(__xludf.DUMMYFUNCTION("""COMPUTED_VALUE"""),"How to create a new IndexableField?")</f>
        <v>How to create a new IndexableField?</v>
      </c>
      <c r="C115" s="9" t="str">
        <f ca="1">IFERROR(__xludf.DUMMYFUNCTION("""COMPUTED_VALUE"""),"{""answer"": ""You can create a new IndexableField by using one of its concrete implementations, such as StringField or TextField."", ""explanation"": ""IndexableField is an interface, so you need to use one of its concrete implementations to create a new"&amp;" instance."", ""code"": ""IndexableField field = new StringField(""name"", ""value"", Field.Store.YES);""}")</f>
        <v>{"answer": "You can create a new IndexableField by using one of its concrete implementations, such as StringField or TextField.", "explanation": "IndexableField is an interface, so you need to use one of its concrete implementations to create a new instance.", "code": "IndexableField field = new StringField("name", "value", Field.Store.YES);"}</v>
      </c>
      <c r="D115" s="9">
        <f ca="1">IFERROR(__xludf.DUMMYFUNCTION("""COMPUTED_VALUE"""),0)</f>
        <v>0</v>
      </c>
      <c r="E115" s="9" t="str">
        <f ca="1">IFERROR(__xludf.DUMMYFUNCTION("""COMPUTED_VALUE"""),"2024-01-10 15:17:14")</f>
        <v>2024-01-10 15:17:14</v>
      </c>
      <c r="F115" s="9">
        <f ca="1">IFERROR(__xludf.DUMMYFUNCTION("""COMPUTED_VALUE"""),227)</f>
        <v>227</v>
      </c>
      <c r="G115" s="9">
        <f ca="1">IFERROR(__xludf.DUMMYFUNCTION("""COMPUTED_VALUE"""),2)</f>
        <v>2</v>
      </c>
      <c r="H115" s="9" t="str">
        <f ca="1">IFERROR(__xludf.DUMMYFUNCTION("""COMPUTED_VALUE"""),"null")</f>
        <v>null</v>
      </c>
      <c r="I115" s="9" t="str">
        <f ca="1">IFERROR(__xludf.DUMMYFUNCTION("""COMPUTED_VALUE"""),"Y")</f>
        <v>Y</v>
      </c>
      <c r="J115" s="9" t="str">
        <f ca="1">IFERROR(__xludf.DUMMYFUNCTION("""COMPUTED_VALUE"""),"OTHER")</f>
        <v>OTHER</v>
      </c>
      <c r="K115" s="9" t="str">
        <f ca="1">IFERROR(__xludf.DUMMYFUNCTION("""COMPUTED_VALUE"""),"Code under test")</f>
        <v>Code under test</v>
      </c>
      <c r="L115" s="9"/>
      <c r="M115" s="9"/>
      <c r="N115" s="9">
        <f ca="1">IFERROR(__xludf.DUMMYFUNCTION("counta(split(B115,"" ""))"),6)</f>
        <v>6</v>
      </c>
      <c r="O115" s="9">
        <f t="shared" ca="1" si="6"/>
        <v>100.25990892224655</v>
      </c>
    </row>
    <row r="116" spans="1:16" ht="15.75" customHeight="1">
      <c r="A116" s="9">
        <f ca="1">IFERROR(__xludf.DUMMYFUNCTION("""COMPUTED_VALUE"""),153)</f>
        <v>153</v>
      </c>
      <c r="B116" s="9" t="str">
        <f ca="1">IFERROR(__xludf.DUMMYFUNCTION("""COMPUTED_VALUE"""),"Can you write me a test for the toString Method that works")</f>
        <v>Can you write me a test for the toString Method that works</v>
      </c>
      <c r="C116" s="9" t="str">
        <f ca="1">IFERROR(__xludf.DUMMYFUNCTION("""COMPUTED_VALUE"""),"{
  ""answer"": ""Yes, I can write a test for the toString method."",
  ""explanation"": ""To test the toString method, we can create a Document object with some fields, and then compare the expected string representation with the actual result of calling"&amp;" toString on the Document object."",
  ""code"": ""import org.junit.Test;
import static org.junit.Assert.assertEquals;
public class DocumentTest {
    @Test
    public void testToString() {
        Document document = new Document();
        document.ad"&amp;"d(new StringField(""title"", ""Lucene in Action"", Field.Store.YES));
        document.add(new TextField(""content"", ""This is a book about Lucene."", Field.Store.YES));
        String expected = ""Document&lt;title:Lucene in Action content:This is a book "&amp;"about Lucene.&gt;"";
        String actual = document.toString();
        assertEquals(expected, actual);
    }
}"" 
}")</f>
        <v>{
  "answer": "Yes, I can write a test for the toString method.",
  "explanation": "To test the toString method, we can create a Document object with some fields, and then compare the expected string representation with the actual result of calling toString on the Document object.",
  "code": "import org.junit.Test;
import static org.junit.Assert.assertEquals;
public class DocumentTest {
    @Test
    public void testToString() {
        Document document = new Document();
        document.add(new StringField("title", "Lucene in Action", Field.Store.YES));
        document.add(new TextField("content", "This is a book about Lucene.", Field.Store.YES));
        String expected = "Document&lt;title:Lucene in Action content:This is a book about Lucene.&gt;";
        String actual = document.toString();
        assertEquals(expected, actual);
    }
}" 
}</v>
      </c>
      <c r="D116" s="9">
        <f ca="1">IFERROR(__xludf.DUMMYFUNCTION("""COMPUTED_VALUE"""),1)</f>
        <v>1</v>
      </c>
      <c r="E116" s="9" t="str">
        <f ca="1">IFERROR(__xludf.DUMMYFUNCTION("""COMPUTED_VALUE"""),"2024-01-10 15:18:14")</f>
        <v>2024-01-10 15:18:14</v>
      </c>
      <c r="F116" s="9">
        <f ca="1">IFERROR(__xludf.DUMMYFUNCTION("""COMPUTED_VALUE"""),227)</f>
        <v>227</v>
      </c>
      <c r="G116" s="9">
        <f ca="1">IFERROR(__xludf.DUMMYFUNCTION("""COMPUTED_VALUE"""),2)</f>
        <v>2</v>
      </c>
      <c r="H116" s="9" t="str">
        <f ca="1">IFERROR(__xludf.DUMMYFUNCTION("""COMPUTED_VALUE"""),"null")</f>
        <v>null</v>
      </c>
      <c r="I116" s="9" t="str">
        <f ca="1">IFERROR(__xludf.DUMMYFUNCTION("""COMPUTED_VALUE"""),"Y")</f>
        <v>Y</v>
      </c>
      <c r="J116" s="9" t="str">
        <f ca="1">IFERROR(__xludf.DUMMYFUNCTION("""COMPUTED_VALUE"""),"TEST")</f>
        <v>TEST</v>
      </c>
      <c r="K116" s="9" t="str">
        <f ca="1">IFERROR(__xludf.DUMMYFUNCTION("""COMPUTED_VALUE"""),"Specific method")</f>
        <v>Specific method</v>
      </c>
      <c r="L116" s="9" t="str">
        <f ca="1">IFERROR(__xludf.DUMMYFUNCTION("""COMPUTED_VALUE"""),"toString")</f>
        <v>toString</v>
      </c>
      <c r="M116" s="9" t="str">
        <f ca="1">IFERROR(__xludf.DUMMYFUNCTION("""COMPUTED_VALUE"""),"toString")</f>
        <v>toString</v>
      </c>
      <c r="N116" s="9">
        <f ca="1">IFERROR(__xludf.DUMMYFUNCTION("counta(split(B116,"" ""))"),12)</f>
        <v>12</v>
      </c>
      <c r="O116" s="9">
        <f t="shared" ca="1" si="6"/>
        <v>16.104064766402416</v>
      </c>
      <c r="P116" s="9" t="s">
        <v>689</v>
      </c>
    </row>
    <row r="117" spans="1:16" ht="15.75" customHeight="1">
      <c r="A117" s="9">
        <f ca="1">IFERROR(__xludf.DUMMYFUNCTION("""COMPUTED_VALUE"""),178)</f>
        <v>178</v>
      </c>
      <c r="B117" s="9" t="str">
        <f ca="1">IFERROR(__xludf.DUMMYFUNCTION("""COMPUTED_VALUE"""),"how to add a indexableField to the Document")</f>
        <v>how to add a indexableField to the Document</v>
      </c>
      <c r="C117" s="9" t="str">
        <f ca="1">IFERROR(__xludf.DUMMYFUNCTION("""COMPUTED_VALUE"""),"{""answer"": ""To add an IndexableField to the Document, use the add() method."", ""explanation"": ""The add() method in the Document class allows you to add an IndexableField to the Document."", ""code"": ""Document document = new Document();
IndexableFi"&amp;"eld field = new StringField(""fieldName"", ""fieldValue"", Field.Store.YES);
document.add(field);""}")</f>
        <v>{"answer": "To add an IndexableField to the Document, use the add() method.", "explanation": "The add() method in the Document class allows you to add an IndexableField to the Document.", "code": "Document document = new Document();
IndexableField field = new StringField("fieldName", "fieldValue", Field.Store.YES);
document.add(field);"}</v>
      </c>
      <c r="D117" s="9">
        <f ca="1">IFERROR(__xludf.DUMMYFUNCTION("""COMPUTED_VALUE"""),1)</f>
        <v>1</v>
      </c>
      <c r="E117" s="9" t="str">
        <f ca="1">IFERROR(__xludf.DUMMYFUNCTION("""COMPUTED_VALUE"""),"2024-01-10 15:24:07")</f>
        <v>2024-01-10 15:24:07</v>
      </c>
      <c r="F117" s="9">
        <f ca="1">IFERROR(__xludf.DUMMYFUNCTION("""COMPUTED_VALUE"""),227)</f>
        <v>227</v>
      </c>
      <c r="G117" s="9">
        <f ca="1">IFERROR(__xludf.DUMMYFUNCTION("""COMPUTED_VALUE"""),2)</f>
        <v>2</v>
      </c>
      <c r="H117" s="9">
        <f ca="1">IFERROR(__xludf.DUMMYFUNCTION("""COMPUTED_VALUE"""),0)</f>
        <v>0</v>
      </c>
      <c r="I117" s="9" t="str">
        <f ca="1">IFERROR(__xludf.DUMMYFUNCTION("""COMPUTED_VALUE"""),"Y")</f>
        <v>Y</v>
      </c>
      <c r="J117" s="9" t="str">
        <f ca="1">IFERROR(__xludf.DUMMYFUNCTION("""COMPUTED_VALUE"""),"OTHER")</f>
        <v>OTHER</v>
      </c>
      <c r="K117" s="9" t="str">
        <f ca="1">IFERROR(__xludf.DUMMYFUNCTION("""COMPUTED_VALUE"""),"Code under test")</f>
        <v>Code under test</v>
      </c>
      <c r="L117" s="9"/>
      <c r="M117" s="9"/>
      <c r="N117" s="9">
        <f ca="1">IFERROR(__xludf.DUMMYFUNCTION("counta(split(B117,"" ""))"),8)</f>
        <v>8</v>
      </c>
      <c r="O117" s="9">
        <f t="shared" ca="1" si="6"/>
        <v>64.207960870298507</v>
      </c>
    </row>
    <row r="118" spans="1:16" ht="15.75" customHeight="1">
      <c r="A118" s="9">
        <f ca="1">IFERROR(__xludf.DUMMYFUNCTION("""COMPUTED_VALUE"""),182)</f>
        <v>182</v>
      </c>
      <c r="B118" s="9" t="str">
        <f ca="1">IFERROR(__xludf.DUMMYFUNCTION("""COMPUTED_VALUE"""),"How to add a IndexableField to the Document without StringField or TextField")</f>
        <v>How to add a IndexableField to the Document without StringField or TextField</v>
      </c>
      <c r="C118" s="9" t="str">
        <f ca="1">IFERROR(__xludf.DUMMYFUNCTION("""COMPUTED_VALUE"""),"{""answer"": ""You can add a IndexableField to the Document without using StringField or TextField by creating a custom field type."", ""explanation"": ""To add a IndexableField to the Document without using StringField or TextField, you can create a cust"&amp;"om field type by extending the IndexableField class and implementing the necessary methods."", ""code"": ""public class CustomField extends IndexableField {
  // Implement the necessary methods
}
// Create an instance of the custom field
CustomField cust"&amp;"omField = new CustomField();
// Add the custom field to the document
Document document = new Document();
document.add(customField);""}")</f>
        <v>{"answer": "You can add a IndexableField to the Document without using StringField or TextField by creating a custom field type.", "explanation": "To add a IndexableField to the Document without using StringField or TextField, you can create a custom field type by extending the IndexableField class and implementing the necessary methods.", "code": "public class CustomField extends IndexableField {
  // Implement the necessary methods
}
// Create an instance of the custom field
CustomField customField = new CustomField();
// Add the custom field to the document
Document document = new Document();
document.add(customField);"}</v>
      </c>
      <c r="D118" s="9">
        <f ca="1">IFERROR(__xludf.DUMMYFUNCTION("""COMPUTED_VALUE"""),0)</f>
        <v>0</v>
      </c>
      <c r="E118" s="9" t="str">
        <f ca="1">IFERROR(__xludf.DUMMYFUNCTION("""COMPUTED_VALUE"""),"2024-01-10 15:25:03")</f>
        <v>2024-01-10 15:25:03</v>
      </c>
      <c r="F118" s="9">
        <f ca="1">IFERROR(__xludf.DUMMYFUNCTION("""COMPUTED_VALUE"""),227)</f>
        <v>227</v>
      </c>
      <c r="G118" s="9">
        <f ca="1">IFERROR(__xludf.DUMMYFUNCTION("""COMPUTED_VALUE"""),2)</f>
        <v>2</v>
      </c>
      <c r="H118" s="9" t="str">
        <f ca="1">IFERROR(__xludf.DUMMYFUNCTION("""COMPUTED_VALUE"""),"null")</f>
        <v>null</v>
      </c>
      <c r="I118" s="9" t="str">
        <f ca="1">IFERROR(__xludf.DUMMYFUNCTION("""COMPUTED_VALUE"""),"Y")</f>
        <v>Y</v>
      </c>
      <c r="J118" s="9" t="str">
        <f ca="1">IFERROR(__xludf.DUMMYFUNCTION("""COMPUTED_VALUE"""),"OTHER")</f>
        <v>OTHER</v>
      </c>
      <c r="K118" s="9" t="str">
        <f ca="1">IFERROR(__xludf.DUMMYFUNCTION("""COMPUTED_VALUE"""),"Code under test")</f>
        <v>Code under test</v>
      </c>
      <c r="L118" s="9"/>
      <c r="M118" s="9"/>
      <c r="N118" s="9">
        <f ca="1">IFERROR(__xludf.DUMMYFUNCTION("counta(split(B118,"" ""))"),12)</f>
        <v>12</v>
      </c>
      <c r="O118" s="9">
        <f t="shared" ca="1" si="6"/>
        <v>16.104064766402416</v>
      </c>
    </row>
    <row r="119" spans="1:16" ht="15.75" customHeight="1">
      <c r="A119" s="9">
        <f ca="1">IFERROR(__xludf.DUMMYFUNCTION("""COMPUTED_VALUE"""),197)</f>
        <v>197</v>
      </c>
      <c r="B119" s="9" t="str">
        <f ca="1">IFERROR(__xludf.DUMMYFUNCTION("""COMPUTED_VALUE"""),"How to test the getBinaryValue(String name)")</f>
        <v>How to test the getBinaryValue(String name)</v>
      </c>
      <c r="C119" s="9" t="str">
        <f ca="1">IFERROR(__xludf.DUMMYFUNCTION("""COMPUTED_VALUE"""),"{
  ""answer"": ""To test the getBinaryValue(String name) method, you can create a Document object, add a binary field with the specified name, and then call the getBinaryValue(String name) method to retrieve the binary value."",
  ""explanation"": ""To t"&amp;"est the getBinaryValue(String name) method, you need to create a Document object, add a binary field with the specified name, and then call the getBinaryValue(String name) method to retrieve the binary value. If the method returns the expected binary valu"&amp;"e, the test is successful."",
  ""code"": ""Document document = new Document();
byte[] binaryValue = {0x01, 0x02, 0x03};
document.add(new StoredField(""fieldName"", binaryValue));
BytesRef result = document.getBinaryValue(""fieldName"");
assertArrayEquals"&amp;"(binaryValue, result.bytes);""
}")</f>
        <v>{
  "answer": "To test the getBinaryValue(String name) method, you can create a Document object, add a binary field with the specified name, and then call the getBinaryValue(String name) method to retrieve the binary value.",
  "explanation": "To test the getBinaryValue(String name) method, you need to create a Document object, add a binary field with the specified name, and then call the getBinaryValue(String name) method to retrieve the binary value. If the method returns the expected binary value, the test is successful.",
  "code": "Document document = new Document();
byte[] binaryValue = {0x01, 0x02, 0x03};
document.add(new StoredField("fieldName", binaryValue));
BytesRef result = document.getBinaryValue("fieldName");
assertArrayEquals(binaryValue, result.bytes);"
}</v>
      </c>
      <c r="D119" s="9">
        <f ca="1">IFERROR(__xludf.DUMMYFUNCTION("""COMPUTED_VALUE"""),0)</f>
        <v>0</v>
      </c>
      <c r="E119" s="9" t="str">
        <f ca="1">IFERROR(__xludf.DUMMYFUNCTION("""COMPUTED_VALUE"""),"2024-01-10 15:27:20")</f>
        <v>2024-01-10 15:27:20</v>
      </c>
      <c r="F119" s="9">
        <f ca="1">IFERROR(__xludf.DUMMYFUNCTION("""COMPUTED_VALUE"""),227)</f>
        <v>227</v>
      </c>
      <c r="G119" s="9">
        <f ca="1">IFERROR(__xludf.DUMMYFUNCTION("""COMPUTED_VALUE"""),2)</f>
        <v>2</v>
      </c>
      <c r="H119" s="9" t="str">
        <f ca="1">IFERROR(__xludf.DUMMYFUNCTION("""COMPUTED_VALUE"""),"null")</f>
        <v>null</v>
      </c>
      <c r="I119" s="9" t="str">
        <f ca="1">IFERROR(__xludf.DUMMYFUNCTION("""COMPUTED_VALUE"""),"Y")</f>
        <v>Y</v>
      </c>
      <c r="J119" s="9" t="str">
        <f ca="1">IFERROR(__xludf.DUMMYFUNCTION("""COMPUTED_VALUE"""),"TEST")</f>
        <v>TEST</v>
      </c>
      <c r="K119" s="9" t="str">
        <f ca="1">IFERROR(__xludf.DUMMYFUNCTION("""COMPUTED_VALUE"""),"Specific method")</f>
        <v>Specific method</v>
      </c>
      <c r="L119" s="9" t="str">
        <f ca="1">IFERROR(__xludf.DUMMYFUNCTION("""COMPUTED_VALUE"""),"getBinaryValue")</f>
        <v>getBinaryValue</v>
      </c>
      <c r="M119" s="9" t="str">
        <f ca="1">IFERROR(__xludf.DUMMYFUNCTION("""COMPUTED_VALUE"""),"getBinaryValue")</f>
        <v>getBinaryValue</v>
      </c>
      <c r="N119" s="9">
        <f ca="1">IFERROR(__xludf.DUMMYFUNCTION("counta(split(B119,"" ""))"),6)</f>
        <v>6</v>
      </c>
      <c r="O119" s="9">
        <f t="shared" ca="1" si="6"/>
        <v>100.25990892224655</v>
      </c>
      <c r="P119" s="9" t="s">
        <v>689</v>
      </c>
    </row>
    <row r="120" spans="1:16" ht="15.75" customHeight="1">
      <c r="A120" s="9">
        <f ca="1">IFERROR(__xludf.DUMMYFUNCTION("""COMPUTED_VALUE"""),203)</f>
        <v>203</v>
      </c>
      <c r="B120" s="9" t="str">
        <f ca="1">IFERROR(__xludf.DUMMYFUNCTION("""COMPUTED_VALUE"""),"How to test the Iterator method")</f>
        <v>How to test the Iterator method</v>
      </c>
      <c r="C120" s="9" t="str">
        <f ca="1">IFERROR(__xludf.DUMMYFUNCTION("""COMPUTED_VALUE"""),"{
  ""answer"": ""You can test the Iterator method by iterating over the Document object and verifying the expected values."",
  ""explanation"": ""To test the Iterator method, you can create a Document object, add some fields to it, and then iterate over"&amp;" the fields using a loop or a while loop, and verify that the values returned by the iterator match the expected values."",
  ""code"": ""Document document = new Document();
// Add some fields to the document
IndexableField field1 = new StringField(""nam"&amp;"e"", ""John Doe"", Field.Store.YES);
document.add(field1);
IndexableField field2 = new IntPoint(""age"", 30);
document.add(field2);
// Iterate over the fields and verify the values
Iterator&lt;IndexableField&gt; iterator = document.iterator();
while (iterator."&amp;"hasNext()) {
  IndexableField field = iterator.next();
  // Verify the field values
  System.out.println(field.name() + "": "" + field.stringValue());
}"" 
}")</f>
        <v>{
  "answer": "You can test the Iterator method by iterating over the Document object and verifying the expected values.",
  "explanation": "To test the Iterator method, you can create a Document object, add some fields to it, and then iterate over the fields using a loop or a while loop, and verify that the values returned by the iterator match the expected values.",
  "code": "Document document = new Document();
// Add some fields to the document
IndexableField field1 = new StringField("name", "John Doe", Field.Store.YES);
document.add(field1);
IndexableField field2 = new IntPoint("age", 30);
document.add(field2);
// Iterate over the fields and verify the values
Iterator&lt;IndexableField&gt; iterator = document.iterator();
while (iterator.hasNext()) {
  IndexableField field = iterator.next();
  // Verify the field values
  System.out.println(field.name() + ": " + field.stringValue());
}" 
}</v>
      </c>
      <c r="D120" s="9">
        <f ca="1">IFERROR(__xludf.DUMMYFUNCTION("""COMPUTED_VALUE"""),1)</f>
        <v>1</v>
      </c>
      <c r="E120" s="9" t="str">
        <f ca="1">IFERROR(__xludf.DUMMYFUNCTION("""COMPUTED_VALUE"""),"2024-01-10 15:29:22")</f>
        <v>2024-01-10 15:29:22</v>
      </c>
      <c r="F120" s="9">
        <f ca="1">IFERROR(__xludf.DUMMYFUNCTION("""COMPUTED_VALUE"""),227)</f>
        <v>227</v>
      </c>
      <c r="G120" s="9">
        <f ca="1">IFERROR(__xludf.DUMMYFUNCTION("""COMPUTED_VALUE"""),2)</f>
        <v>2</v>
      </c>
      <c r="H120" s="9" t="str">
        <f ca="1">IFERROR(__xludf.DUMMYFUNCTION("""COMPUTED_VALUE"""),"null")</f>
        <v>null</v>
      </c>
      <c r="I120" s="9" t="str">
        <f ca="1">IFERROR(__xludf.DUMMYFUNCTION("""COMPUTED_VALUE"""),"Y")</f>
        <v>Y</v>
      </c>
      <c r="J120" s="9" t="str">
        <f ca="1">IFERROR(__xludf.DUMMYFUNCTION("""COMPUTED_VALUE"""),"TEST")</f>
        <v>TEST</v>
      </c>
      <c r="K120" s="9" t="str">
        <f ca="1">IFERROR(__xludf.DUMMYFUNCTION("""COMPUTED_VALUE"""),"Specific method")</f>
        <v>Specific method</v>
      </c>
      <c r="L120" s="9" t="str">
        <f ca="1">IFERROR(__xludf.DUMMYFUNCTION("""COMPUTED_VALUE"""),"iterator")</f>
        <v>iterator</v>
      </c>
      <c r="M120" s="9" t="str">
        <f ca="1">IFERROR(__xludf.DUMMYFUNCTION("""COMPUTED_VALUE"""),"iterator")</f>
        <v>iterator</v>
      </c>
      <c r="N120" s="9">
        <f ca="1">IFERROR(__xludf.DUMMYFUNCTION("counta(split(B120,"" ""))"),6)</f>
        <v>6</v>
      </c>
      <c r="O120" s="9">
        <f t="shared" ca="1" si="6"/>
        <v>100.25990892224655</v>
      </c>
      <c r="P120" s="9" t="s">
        <v>689</v>
      </c>
    </row>
    <row r="121" spans="1:16" ht="15.75" customHeight="1">
      <c r="A121" s="9">
        <f ca="1">IFERROR(__xludf.DUMMYFUNCTION("""COMPUTED_VALUE"""),130)</f>
        <v>130</v>
      </c>
      <c r="B121" s="9" t="str">
        <f ca="1">IFERROR(__xludf.DUMMYFUNCTION("""COMPUTED_VALUE"""),"Kannst du mir bitte zu folgenden code drei direkte test schreiben wie ich diesen code testen kann ? 
import java.util.*;
/**
 * Documents are the unit of indexing and search.
 *
 * A Document is a set of fields.  Each field has a name and a textual value"&amp;". A field may be stored
 * with the document, in which case it is returned with search hits on the document.  Thus each
 * document should typically contain one or more stored fields which uniquely identify it.
 */
public final class Document implements I"&amp;"terable&lt;IndexableField&gt; {
  private final List&lt;IndexableField&gt; fields = new ArrayList&lt;&gt;();
  /**
   * Constructs a new document with no fields.
   */
  public Document() {
  }
  @Override
  public Iterator&lt;IndexableField&gt; iterator() {
    return fields"&amp;".iterator();
  }
  /**
   * &lt;p&gt;Adds a field to a document.  Several fields may be added with
   * the same name.  In this case, if the fields are indexed, their text is treated as though
   * appended for the purposes of search.&lt;/p&gt;
   * &lt;p&gt; Note that ad"&amp;"d like the removeField(s) methods only makes sense
   * prior to adding a document to an index. These methods cannot be used to change the content of
   * an existing index! In order to achieve this, a document has to be deleted from an index and a
   * n"&amp;"ew changed version of that document has to be added.&lt;/p&gt;
   */
  public final void add(IndexableField field) {
    fields.add(field);
  }
  /**
   * &lt;p&gt;Removes field with the specified name from the document.
   * If multiple fields exist with this name,"&amp;" this method removes the first field that has been
   * added. If there is no field with the specified name, the document remains unchanged.&lt;/p&gt;
   * &lt;p&gt; Note that the removeField(s) methods like the add method only make sense
   * prior to adding a docum"&amp;"ent to an index. These methods cannot be used to change the content of
   * an existing index! In order to achieve this, a document has to be deleted from an index and a
   * new changed version of that document has to be added.&lt;/p&gt;
   */
  public final v"&amp;"oid removeField(String name) {
    Iterator&lt;IndexableField&gt; it = fields.iterator();
    while (it.hasNext()) {
      IndexableField field = it.next();
      if (field.name().equals(name)) {
        it.remove();
        return;
      }
    }
  }
  /**
   "&amp;"* &lt;p&gt;Removes all fields with the given name from the document.
   * If there is no field with the specified name, the document remains unchanged.&lt;/p&gt;
   * &lt;p&gt; Note that the removeField(s) methods like the add method only make sense
   * prior to adding a "&amp;"document to an index. These methods cannot be used to change the content of
   * an existing index! In order to achieve this, a document has to be deleted from an index and a
   * new changed version of that document has to be added.&lt;/p&gt;
   */
  public fi"&amp;"nal void removeFields(String name) {
    Iterator&lt;IndexableField&gt; it = fields.iterator();
    while (it.hasNext()) {
      IndexableField field = it.next();
      if (field.name().equals(name)) {
        it.remove();
      }
    }
  }
  /**
   * Returns"&amp;" an array of byte arrays for of the fields that have the name specified as the method
   * parameter.  This method returns an empty array when there are no matching fields.  It never
   * returns null.
   *
   * @param name the name of the field
   * @ret"&amp;"urn a &lt;code&gt;BytesRef[]&lt;/code&gt; of binary field values
   */
  public final BytesRef[] getBinaryValues(String name) {
    final List&lt;BytesRef&gt; result = new ArrayList&lt;&gt;();
    for (IndexableField field : fields) {
      if (field.name().equals(name)) {
     "&amp;"   final BytesRef bytes = field.binaryValue();
        if (bytes != null) {
          result.add(bytes);
        }
      }
    }
    return result.toArray(new BytesRef[result.size()]);
  }")</f>
        <v>Kannst du mir bitte zu folgenden code drei direkte test schreiben wie ich diesen code testen kann ? 
import java.util.*;
/**
 * Documents are the unit of indexing and search.
 *
 * A Document is a set of fields.  Each field has a name and a textual value. A field may be stored
 * with the document, in which case it is returned with search hits on the document.  Thus each
 * document should typically contain one or more stored fields which uniquely identify it.
 */
public final class Document implements Iterable&lt;IndexableField&gt; {
  private final List&lt;IndexableField&gt; fields = new ArrayList&lt;&gt;();
  /**
   * Constructs a new document with no fields.
   */
  public Document() {
  }
  @Override
  public Iterator&lt;IndexableField&gt; iterator() {
    return fields.iterator();
  }
  /**
   * &lt;p&gt;Adds a field to a document.  Several fields may be added with
   * the same name.  In this case, if the fields are indexed, their text is treated as though
   * appended for the purposes of search.&lt;/p&gt;
   * &lt;p&gt; Note that add like the removeField(s) methods only makes sense
   * prior to adding a document to an index. These methods cannot be used to change the content of
   * an existing index! In order to achieve this, a document has to be deleted from an index and a
   * new changed version of that document has to be added.&lt;/p&gt;
   */
  public final void add(IndexableField field) {
    fields.add(field);
  }
  /**
   * &lt;p&gt;Removes field with the specified name from the document.
   * If multiple fields exist with this name, this method removes the first field that has been
   * added. If there is no field with the specified name, the document remains unchanged.&lt;/p&gt;
   * &lt;p&gt; Note that the removeField(s) methods like the add method only make sense
   * prior to adding a document to an index. These methods cannot be used to change the content of
   * an existing index! In order to achieve this, a document has to be deleted from an index and a
   * new changed version of that document has to be added.&lt;/p&gt;
   */
  public final void removeField(String name) {
    Iterator&lt;IndexableField&gt; it = fields.iterator();
    while (it.hasNext()) {
      IndexableField field = it.next();
      if (field.name().equals(name)) {
        it.remove();
        return;
      }
    }
  }
  /**
   * &lt;p&gt;Removes all fields with the given name from the document.
   * If there is no field with the specified name, the document remains unchanged.&lt;/p&gt;
   * &lt;p&gt; Note that the removeField(s) methods like the add method only make sense
   * prior to adding a document to an index. These methods cannot be used to change the content of
   * an existing index! In order to achieve this, a document has to be deleted from an index and a
   * new changed version of that document has to be added.&lt;/p&gt;
   */
  public final void removeFields(String name) {
    Iterator&lt;IndexableField&gt; it = fields.iterator();
    while (it.hasNext()) {
      IndexableField field = it.next();
      if (field.name().equals(name)) {
        it.remove();
      }
    }
  }
  /**
   * Returns an array of byte arrays for of the fields that have the name specified as the method
   * parameter.  This method returns an empty array when there are no matching fields.  It never
   * returns null.
   *
   * @param name the name of the field
   * @return a &lt;code&gt;BytesRef[]&lt;/code&gt; of binary field values
   */
  public final BytesRef[] getBinaryValues(String name) {
    final List&lt;BytesRef&gt; result = new ArrayList&lt;&gt;();
    for (IndexableField field : fields) {
      if (field.name().equals(name)) {
        final BytesRef bytes = field.binaryValue();
        if (bytes != null) {
          result.add(bytes);
        }
      }
    }
    return result.toArray(new BytesRef[result.size()]);
  }</v>
      </c>
      <c r="C121" s="9" t="str">
        <f ca="1">IFERROR(__xludf.DUMMYFUNCTION("""COMPUTED_VALUE"""),"{
  ""answer"": ""Yes, I can provide three test cases for this code."",
  ""explanation"": ""The code provided is a class definition, so we can write test cases to verify its functionality."",
  ""code"": ""import org.junit.Test;
import static org.junit.A"&amp;"ssert.*;
public class DocumentTest {
    @Test
    public void testAddField() {
        Document document = new Document();
        IndexableField field = new StringField(""name"", ""John Doe"", Field.Store.YES);
        document.add(field);
        ass"&amp;"ertEquals(1, document.getFields().size());
    }
    @Test
    public void testRemoveField() {
        Document document = new Document();
        IndexableField field = new StringField(""name"", ""John Doe"", Field.Store.YES);
        document.add(field"&amp;");
        document.removeField(""name"");
        assertEquals(0, document.getFields().size());
    }
    @Test
    public void testGetBinaryValues() {
        Document document = new Document();
        IndexableField field = new StoredField(""image"","&amp;" new byte[]{0x01, 0x02, 0x03});
        document.add(field);
        BytesRef[] binaryValues = document.getBinaryValues(""image"");
        assertEquals(1, binaryValues.length);
        assertArrayEquals(new byte[]{0x01, 0x02, 0x03}, binaryValues[0].bytes"&amp;");
    }
}""
}")</f>
        <v>{
  "answer": "Yes, I can provide three test cases for this code.",
  "explanation": "The code provided is a class definition, so we can write test cases to verify its functionality.",
  "code": "import org.junit.Test;
import static org.junit.Assert.*;
public class DocumentTest {
    @Test
    public void testAddField() {
        Document document = new Document();
        IndexableField field = new StringField("name", "John Doe", Field.Store.YES);
        document.add(field);
        assertEquals(1, document.getFields().size());
    }
    @Test
    public void testRemoveField() {
        Document document = new Document();
        IndexableField field = new StringField("name", "John Doe", Field.Store.YES);
        document.add(field);
        document.removeField("name");
        assertEquals(0, document.getFields().size());
    }
    @Test
    public void testGetBinaryValues() {
        Document document = new Document();
        IndexableField field = new StoredField("image", new byte[]{0x01, 0x02, 0x03});
        document.add(field);
        BytesRef[] binaryValues = document.getBinaryValues("image");
        assertEquals(1, binaryValues.length);
        assertArrayEquals(new byte[]{0x01, 0x02, 0x03}, binaryValues[0].bytes);
    }
}"
}</v>
      </c>
      <c r="D121" s="9">
        <f ca="1">IFERROR(__xludf.DUMMYFUNCTION("""COMPUTED_VALUE"""),1)</f>
        <v>1</v>
      </c>
      <c r="E121" s="9" t="str">
        <f ca="1">IFERROR(__xludf.DUMMYFUNCTION("""COMPUTED_VALUE"""),"2024-01-10 15:12:33")</f>
        <v>2024-01-10 15:12:33</v>
      </c>
      <c r="F121" s="9">
        <f ca="1">IFERROR(__xludf.DUMMYFUNCTION("""COMPUTED_VALUE"""),228)</f>
        <v>228</v>
      </c>
      <c r="G121" s="9">
        <f ca="1">IFERROR(__xludf.DUMMYFUNCTION("""COMPUTED_VALUE"""),2)</f>
        <v>2</v>
      </c>
      <c r="H121" s="9" t="str">
        <f ca="1">IFERROR(__xludf.DUMMYFUNCTION("""COMPUTED_VALUE"""),"null")</f>
        <v>null</v>
      </c>
      <c r="I121" s="9" t="str">
        <f ca="1">IFERROR(__xludf.DUMMYFUNCTION("""COMPUTED_VALUE"""),"Y")</f>
        <v>Y</v>
      </c>
      <c r="J121" s="9"/>
      <c r="K121" s="9"/>
      <c r="L121" s="9"/>
      <c r="M121" s="9"/>
    </row>
    <row r="122" spans="1:16" ht="15.75" customHeight="1">
      <c r="A122" s="9">
        <f ca="1">IFERROR(__xludf.DUMMYFUNCTION("""COMPUTED_VALUE"""),142)</f>
        <v>142</v>
      </c>
      <c r="B122" s="9" t="str">
        <f ca="1">IFERROR(__xludf.DUMMYFUNCTION("""COMPUTED_VALUE"""),"Kannst du mir bitte ein beispiel geben wie man ein IndexableField deklarieren und initialisieren kann ?")</f>
        <v>Kannst du mir bitte ein beispiel geben wie man ein IndexableField deklarieren und initialisieren kann ?</v>
      </c>
      <c r="C122" s="9" t="str">
        <f ca="1">IFERROR(__xludf.DUMMYFUNCTION("""COMPUTED_VALUE"""),"{
  ""answer"": ""Ja, ein IndexableField kann deklariert und initialisiert werden."",
  ""explanation"": ""Ein IndexableField kann mit dem Konstruktor der Klasse StringField oder TextField deklariert und initialisiert werden."",
  ""code"": ""IndexableFie"&amp;"ld field = new StringField(""name"", ""John Doe"", Field.Store.YES);""
}")</f>
        <v>{
  "answer": "Ja, ein IndexableField kann deklariert und initialisiert werden.",
  "explanation": "Ein IndexableField kann mit dem Konstruktor der Klasse StringField oder TextField deklariert und initialisiert werden.",
  "code": "IndexableField field = new StringField("name", "John Doe", Field.Store.YES);"
}</v>
      </c>
      <c r="D122" s="9">
        <f ca="1">IFERROR(__xludf.DUMMYFUNCTION("""COMPUTED_VALUE"""),1)</f>
        <v>1</v>
      </c>
      <c r="E122" s="9" t="str">
        <f ca="1">IFERROR(__xludf.DUMMYFUNCTION("""COMPUTED_VALUE"""),"2024-01-10 15:16:09")</f>
        <v>2024-01-10 15:16:09</v>
      </c>
      <c r="F122" s="9">
        <f ca="1">IFERROR(__xludf.DUMMYFUNCTION("""COMPUTED_VALUE"""),228)</f>
        <v>228</v>
      </c>
      <c r="G122" s="9">
        <f ca="1">IFERROR(__xludf.DUMMYFUNCTION("""COMPUTED_VALUE"""),2)</f>
        <v>2</v>
      </c>
      <c r="H122" s="9" t="str">
        <f ca="1">IFERROR(__xludf.DUMMYFUNCTION("""COMPUTED_VALUE"""),"null")</f>
        <v>null</v>
      </c>
      <c r="I122" s="9" t="str">
        <f ca="1">IFERROR(__xludf.DUMMYFUNCTION("""COMPUTED_VALUE"""),"Y")</f>
        <v>Y</v>
      </c>
      <c r="J122" s="9"/>
      <c r="K122" s="9"/>
      <c r="L122" s="9"/>
      <c r="M122" s="9"/>
    </row>
    <row r="123" spans="1:16" ht="15.75" customHeight="1">
      <c r="A123" s="9">
        <f ca="1">IFERROR(__xludf.DUMMYFUNCTION("""COMPUTED_VALUE"""),135)</f>
        <v>135</v>
      </c>
      <c r="B123" s="9" t="str">
        <f ca="1">IFERROR(__xludf.DUMMYFUNCTION("""COMPUTED_VALUE"""),"which method is mutated@mutant576")</f>
        <v>which method is mutated@mutant576</v>
      </c>
      <c r="C123" s="9" t="str">
        <f ca="1">IFERROR(__xludf.DUMMYFUNCTION("""COMPUTED_VALUE"""),"{
  ""answer"": ""getValues"",
  ""explanation"": ""The getValues method is mutated in @mutant576."",
  ""code"": ""public final String[] getValues(String name) {
  List&lt;String&gt; result = new ArrayList&lt;&gt;();
  for (IndexableField field : fields) {
    if (f"&amp;"ield.name().equals(name) &amp;&amp; field.stringValue() != null) {
      result.add(field.stringValue());
    }
  }
  if (result.size() == 0) {
    return NO_STRINGS;
  }
  return result.toArray(new String[result.size()]);
}""
}")</f>
        <v>{
  "answer": "getValues",
  "explanation": "The getValues method is mutated in @mutant576.",
  "code": "public final String[] getValues(String name) {
  List&lt;String&gt; result = new ArrayList&lt;&gt;();
  for (IndexableField field : fields) {
    if (field.name().equals(name) &amp;&amp; field.stringValue() != null) {
      result.add(field.stringValue());
    }
  }
  if (result.size() == 0) {
    return NO_STRINGS;
  }
  return result.toArray(new String[result.size()]);
}"
}</v>
      </c>
      <c r="D123" s="9">
        <f ca="1">IFERROR(__xludf.DUMMYFUNCTION("""COMPUTED_VALUE"""),1)</f>
        <v>1</v>
      </c>
      <c r="E123" s="9" t="str">
        <f ca="1">IFERROR(__xludf.DUMMYFUNCTION("""COMPUTED_VALUE"""),"2024-01-10 15:14:09")</f>
        <v>2024-01-10 15:14:09</v>
      </c>
      <c r="F123" s="9">
        <f ca="1">IFERROR(__xludf.DUMMYFUNCTION("""COMPUTED_VALUE"""),229)</f>
        <v>229</v>
      </c>
      <c r="G123" s="9">
        <f ca="1">IFERROR(__xludf.DUMMYFUNCTION("""COMPUTED_VALUE"""),2)</f>
        <v>2</v>
      </c>
      <c r="H123" s="9">
        <f ca="1">IFERROR(__xludf.DUMMYFUNCTION("""COMPUTED_VALUE"""),0)</f>
        <v>0</v>
      </c>
      <c r="I123" s="9" t="str">
        <f ca="1">IFERROR(__xludf.DUMMYFUNCTION("""COMPUTED_VALUE"""),"Y")</f>
        <v>Y</v>
      </c>
      <c r="J123" s="9" t="str">
        <f ca="1">IFERROR(__xludf.DUMMYFUNCTION("""COMPUTED_VALUE"""),"MUTANT")</f>
        <v>MUTANT</v>
      </c>
      <c r="K123" s="9" t="str">
        <f ca="1">IFERROR(__xludf.DUMMYFUNCTION("""COMPUTED_VALUE"""),"Other")</f>
        <v>Other</v>
      </c>
      <c r="L123" s="9"/>
      <c r="M123" s="9"/>
      <c r="N123" s="9">
        <f ca="1">IFERROR(__xludf.DUMMYFUNCTION("counta(split(B123,"" ""))"),4)</f>
        <v>4</v>
      </c>
      <c r="O123" s="9">
        <f t="shared" ref="O123:O173" ca="1" si="7">(AVERAGE($N$2:$N$173)-N123)*(AVERAGE($N$2:$N$173)-N123)</f>
        <v>144.3118569741946</v>
      </c>
    </row>
    <row r="124" spans="1:16" ht="15.75" customHeight="1">
      <c r="A124" s="9">
        <f ca="1">IFERROR(__xludf.DUMMYFUNCTION("""COMPUTED_VALUE"""),139)</f>
        <v>139</v>
      </c>
      <c r="B124" s="9" t="str">
        <f ca="1">IFERROR(__xludf.DUMMYFUNCTION("""COMPUTED_VALUE"""),"can you write a test for @mutant375")</f>
        <v>can you write a test for @mutant375</v>
      </c>
      <c r="C124" s="9" t="str">
        <f ca="1">IFERROR(__xludf.DUMMYFUNCTION("""COMPUTED_VALUE"""),"{
  ""answer"": ""Yes"",
  ""explanation"": ""To test @mutant375, we can create a Document object, add a field with a specific name, call the removeField method with the same name, and then check if the field was successfully removed."",
  ""code"": ""Doc"&amp;"ument document = new Document();
String fieldName = ""testField"";
String fieldValue = ""testValue"";
document.add(new StringField(fieldName, fieldValue, Field.Store.YES));
document.removeField(fieldName);
assertNull(document.getField(fieldName));""
}")</f>
        <v>{
  "answer": "Yes",
  "explanation": "To test @mutant375, we can create a Document object, add a field with a specific name, call the removeField method with the same name, and then check if the field was successfully removed.",
  "code": "Document document = new Document();
String fieldName = "testField";
String fieldValue = "testValue";
document.add(new StringField(fieldName, fieldValue, Field.Store.YES));
document.removeField(fieldName);
assertNull(document.getField(fieldName));"
}</v>
      </c>
      <c r="D124" s="9">
        <f ca="1">IFERROR(__xludf.DUMMYFUNCTION("""COMPUTED_VALUE"""),1)</f>
        <v>1</v>
      </c>
      <c r="E124" s="9" t="str">
        <f ca="1">IFERROR(__xludf.DUMMYFUNCTION("""COMPUTED_VALUE"""),"2024-01-10 15:15:42")</f>
        <v>2024-01-10 15:15:42</v>
      </c>
      <c r="F124" s="9">
        <f ca="1">IFERROR(__xludf.DUMMYFUNCTION("""COMPUTED_VALUE"""),229)</f>
        <v>229</v>
      </c>
      <c r="G124" s="9">
        <f ca="1">IFERROR(__xludf.DUMMYFUNCTION("""COMPUTED_VALUE"""),2)</f>
        <v>2</v>
      </c>
      <c r="H124" s="9">
        <f ca="1">IFERROR(__xludf.DUMMYFUNCTION("""COMPUTED_VALUE"""),1)</f>
        <v>1</v>
      </c>
      <c r="I124" s="9" t="str">
        <f ca="1">IFERROR(__xludf.DUMMYFUNCTION("""COMPUTED_VALUE"""),"Y")</f>
        <v>Y</v>
      </c>
      <c r="J124" s="9" t="str">
        <f ca="1">IFERROR(__xludf.DUMMYFUNCTION("""COMPUTED_VALUE"""),"TEST")</f>
        <v>TEST</v>
      </c>
      <c r="K124" s="9" t="str">
        <f ca="1">IFERROR(__xludf.DUMMYFUNCTION("""COMPUTED_VALUE"""),"Specific mutant")</f>
        <v>Specific mutant</v>
      </c>
      <c r="L124" s="9">
        <f ca="1">IFERROR(__xludf.DUMMYFUNCTION("""COMPUTED_VALUE"""),375)</f>
        <v>375</v>
      </c>
      <c r="M124" s="9" t="str">
        <f ca="1">IFERROR(__xludf.DUMMYFUNCTION("""COMPUTED_VALUE"""),"removeField
")</f>
        <v xml:space="preserve">removeField
</v>
      </c>
      <c r="N124" s="9">
        <f ca="1">IFERROR(__xludf.DUMMYFUNCTION("counta(split(B124,"" ""))"),7)</f>
        <v>7</v>
      </c>
      <c r="O124" s="9">
        <f t="shared" ca="1" si="7"/>
        <v>81.23393489627253</v>
      </c>
      <c r="P124" s="9" t="s">
        <v>689</v>
      </c>
    </row>
    <row r="125" spans="1:16" ht="15.75" customHeight="1">
      <c r="A125" s="9">
        <f ca="1">IFERROR(__xludf.DUMMYFUNCTION("""COMPUTED_VALUE"""),149)</f>
        <v>149</v>
      </c>
      <c r="B125" s="9" t="str">
        <f ca="1">IFERROR(__xludf.DUMMYFUNCTION("""COMPUTED_VALUE"""),"can you write a test for @mutant429")</f>
        <v>can you write a test for @mutant429</v>
      </c>
      <c r="C125" s="9" t="str">
        <f ca="1">IFERROR(__xludf.DUMMYFUNCTION("""COMPUTED_VALUE"""),"{
  ""answer"": ""Yes"",
  ""explanation"": ""To test @mutant429, we can create a Document object, add fields to it, and then call the get method with the name of one of the fields to check if it returns the expected value."",
  ""code"": ""Document docum"&amp;"ent = new Document();
document.add(new StringField(""name"", ""John Doe"", Field.Store.YES));
String value = document.get(""name"");
assertEquals(""John Doe"", value);""
}")</f>
        <v>{
  "answer": "Yes",
  "explanation": "To test @mutant429, we can create a Document object, add fields to it, and then call the get method with the name of one of the fields to check if it returns the expected value.",
  "code": "Document document = new Document();
document.add(new StringField("name", "John Doe", Field.Store.YES));
String value = document.get("name");
assertEquals("John Doe", value);"
}</v>
      </c>
      <c r="D125" s="9">
        <f ca="1">IFERROR(__xludf.DUMMYFUNCTION("""COMPUTED_VALUE"""),1)</f>
        <v>1</v>
      </c>
      <c r="E125" s="9" t="str">
        <f ca="1">IFERROR(__xludf.DUMMYFUNCTION("""COMPUTED_VALUE"""),"2024-01-10 15:17:24")</f>
        <v>2024-01-10 15:17:24</v>
      </c>
      <c r="F125" s="9">
        <f ca="1">IFERROR(__xludf.DUMMYFUNCTION("""COMPUTED_VALUE"""),229)</f>
        <v>229</v>
      </c>
      <c r="G125" s="9">
        <f ca="1">IFERROR(__xludf.DUMMYFUNCTION("""COMPUTED_VALUE"""),2)</f>
        <v>2</v>
      </c>
      <c r="H125" s="9" t="str">
        <f ca="1">IFERROR(__xludf.DUMMYFUNCTION("""COMPUTED_VALUE"""),"null")</f>
        <v>null</v>
      </c>
      <c r="I125" s="9" t="str">
        <f ca="1">IFERROR(__xludf.DUMMYFUNCTION("""COMPUTED_VALUE"""),"Y")</f>
        <v>Y</v>
      </c>
      <c r="J125" s="9" t="str">
        <f ca="1">IFERROR(__xludf.DUMMYFUNCTION("""COMPUTED_VALUE"""),"TEST")</f>
        <v>TEST</v>
      </c>
      <c r="K125" s="9" t="str">
        <f ca="1">IFERROR(__xludf.DUMMYFUNCTION("""COMPUTED_VALUE"""),"Specific mutant")</f>
        <v>Specific mutant</v>
      </c>
      <c r="L125" s="9">
        <f ca="1">IFERROR(__xludf.DUMMYFUNCTION("""COMPUTED_VALUE"""),429)</f>
        <v>429</v>
      </c>
      <c r="M125" s="9" t="str">
        <f ca="1">IFERROR(__xludf.DUMMYFUNCTION("""COMPUTED_VALUE"""),"get
")</f>
        <v xml:space="preserve">get
</v>
      </c>
      <c r="N125" s="9">
        <f ca="1">IFERROR(__xludf.DUMMYFUNCTION("counta(split(B125,"" ""))"),7)</f>
        <v>7</v>
      </c>
      <c r="O125" s="9">
        <f t="shared" ca="1" si="7"/>
        <v>81.23393489627253</v>
      </c>
      <c r="P125" s="9" t="s">
        <v>689</v>
      </c>
    </row>
    <row r="126" spans="1:16" ht="15.75" customHeight="1">
      <c r="A126" s="9">
        <f ca="1">IFERROR(__xludf.DUMMYFUNCTION("""COMPUTED_VALUE"""),162)</f>
        <v>162</v>
      </c>
      <c r="B126" s="9" t="str">
        <f ca="1">IFERROR(__xludf.DUMMYFUNCTION("""COMPUTED_VALUE"""),"can you write a test for @mutant401 with mocking")</f>
        <v>can you write a test for @mutant401 with mocking</v>
      </c>
      <c r="C126" s="9" t="str">
        <f ca="1">IFERROR(__xludf.DUMMYFUNCTION("""COMPUTED_VALUE"""),"{
  ""answer"": ""Yes"",
  ""explanation"": ""Yes, we can write a test for @mutant401 using mocking to verify the behavior of the modified method."",
  ""code"": ""Example test code:
@Test
public void testGetField() {
  // Create a mock Document
  Docume"&amp;"nt document = Mockito.mock(Document.class);
  // Set up the expected behavior
  Mockito.when(document.getField(Mockito.anyString())).thenReturn(mockField);
  // Call the method under test
  IndexableField result = document.getField(""fieldName"");
  //"&amp;" Verify the result
  Assert.assertEquals(mockField, result);
}""
}")</f>
        <v>{
  "answer": "Yes",
  "explanation": "Yes, we can write a test for @mutant401 using mocking to verify the behavior of the modified method.",
  "code": "Example test code:
@Test
public void testGetField() {
  // Create a mock Document
  Document document = Mockito.mock(Document.class);
  // Set up the expected behavior
  Mockito.when(document.getField(Mockito.anyString())).thenReturn(mockField);
  // Call the method under test
  IndexableField result = document.getField("fieldName");
  // Verify the result
  Assert.assertEquals(mockField, result);
}"
}</v>
      </c>
      <c r="D126" s="9">
        <f ca="1">IFERROR(__xludf.DUMMYFUNCTION("""COMPUTED_VALUE"""),1)</f>
        <v>1</v>
      </c>
      <c r="E126" s="9" t="str">
        <f ca="1">IFERROR(__xludf.DUMMYFUNCTION("""COMPUTED_VALUE"""),"2024-01-10 15:19:52")</f>
        <v>2024-01-10 15:19:52</v>
      </c>
      <c r="F126" s="9">
        <f ca="1">IFERROR(__xludf.DUMMYFUNCTION("""COMPUTED_VALUE"""),229)</f>
        <v>229</v>
      </c>
      <c r="G126" s="9">
        <f ca="1">IFERROR(__xludf.DUMMYFUNCTION("""COMPUTED_VALUE"""),2)</f>
        <v>2</v>
      </c>
      <c r="H126" s="9" t="str">
        <f ca="1">IFERROR(__xludf.DUMMYFUNCTION("""COMPUTED_VALUE"""),"null")</f>
        <v>null</v>
      </c>
      <c r="I126" s="9" t="str">
        <f ca="1">IFERROR(__xludf.DUMMYFUNCTION("""COMPUTED_VALUE"""),"Y")</f>
        <v>Y</v>
      </c>
      <c r="J126" s="9" t="str">
        <f ca="1">IFERROR(__xludf.DUMMYFUNCTION("""COMPUTED_VALUE"""),"TEST")</f>
        <v>TEST</v>
      </c>
      <c r="K126" s="9" t="str">
        <f ca="1">IFERROR(__xludf.DUMMYFUNCTION("""COMPUTED_VALUE"""),"Specific mutant")</f>
        <v>Specific mutant</v>
      </c>
      <c r="L126" s="9">
        <f ca="1">IFERROR(__xludf.DUMMYFUNCTION("""COMPUTED_VALUE"""),401)</f>
        <v>401</v>
      </c>
      <c r="M126" s="9" t="str">
        <f ca="1">IFERROR(__xludf.DUMMYFUNCTION("""COMPUTED_VALUE"""),"getField
")</f>
        <v xml:space="preserve">getField
</v>
      </c>
      <c r="N126" s="9">
        <f ca="1">IFERROR(__xludf.DUMMYFUNCTION("counta(split(B126,"" ""))"),9)</f>
        <v>9</v>
      </c>
      <c r="O126" s="9">
        <f t="shared" ca="1" si="7"/>
        <v>49.181986844324484</v>
      </c>
    </row>
    <row r="127" spans="1:16" ht="15.75" customHeight="1">
      <c r="A127" s="9">
        <f ca="1">IFERROR(__xludf.DUMMYFUNCTION("""COMPUTED_VALUE"""),188)</f>
        <v>188</v>
      </c>
      <c r="B127" s="9" t="str">
        <f ca="1">IFERROR(__xludf.DUMMYFUNCTION("""COMPUTED_VALUE"""),"can you write a test for @mutant458 with mocking when needed")</f>
        <v>can you write a test for @mutant458 with mocking when needed</v>
      </c>
      <c r="C127" s="9" t="str">
        <f ca="1">IFERROR(__xludf.DUMMYFUNCTION("""COMPUTED_VALUE"""),"{
  ""answer"": ""Yes"",
  ""explanation"": ""To test @mutant458, we can use mocking to simulate the behavior of the dependencies and verify the expected interactions."",
  ""code"": ""import org.junit.Test;
import org.mockito.Mockito;
public class Docum"&amp;"entTest {
  @Test
  public void testMutant458() {
    // Create a mock IndexableField
    IndexableField field = Mockito.mock(IndexableField.class);
    Mockito.when(field.name()).thenReturn(""fieldName"");
    Mockito.when(field.binaryValue()).thenRetur"&amp;"n(null);
    // Create a Document
    Document document = new Document();
    document.add(field);
    // Test the getBinaryValues method
    BytesRef[] binaryValues = document.getBinaryValues(""fieldName"");
    Assert.assertEquals(0, binaryValues.leng"&amp;"th);
  }
}""
}")</f>
        <v>{
  "answer": "Yes",
  "explanation": "To test @mutant458, we can use mocking to simulate the behavior of the dependencies and verify the expected interactions.",
  "code": "import org.junit.Test;
import org.mockito.Mockito;
public class DocumentTest {
  @Test
  public void testMutant458() {
    // Create a mock IndexableField
    IndexableField field = Mockito.mock(IndexableField.class);
    Mockito.when(field.name()).thenReturn("fieldName");
    Mockito.when(field.binaryValue()).thenReturn(null);
    // Create a Document
    Document document = new Document();
    document.add(field);
    // Test the getBinaryValues method
    BytesRef[] binaryValues = document.getBinaryValues("fieldName");
    Assert.assertEquals(0, binaryValues.length);
  }
}"
}</v>
      </c>
      <c r="D127" s="9">
        <f ca="1">IFERROR(__xludf.DUMMYFUNCTION("""COMPUTED_VALUE"""),1)</f>
        <v>1</v>
      </c>
      <c r="E127" s="9" t="str">
        <f ca="1">IFERROR(__xludf.DUMMYFUNCTION("""COMPUTED_VALUE"""),"2024-01-10 15:26:06")</f>
        <v>2024-01-10 15:26:06</v>
      </c>
      <c r="F127" s="9">
        <f ca="1">IFERROR(__xludf.DUMMYFUNCTION("""COMPUTED_VALUE"""),229)</f>
        <v>229</v>
      </c>
      <c r="G127" s="9">
        <f ca="1">IFERROR(__xludf.DUMMYFUNCTION("""COMPUTED_VALUE"""),2)</f>
        <v>2</v>
      </c>
      <c r="H127" s="9" t="str">
        <f ca="1">IFERROR(__xludf.DUMMYFUNCTION("""COMPUTED_VALUE"""),"null")</f>
        <v>null</v>
      </c>
      <c r="I127" s="9" t="str">
        <f ca="1">IFERROR(__xludf.DUMMYFUNCTION("""COMPUTED_VALUE"""),"Y")</f>
        <v>Y</v>
      </c>
      <c r="J127" s="9" t="str">
        <f ca="1">IFERROR(__xludf.DUMMYFUNCTION("""COMPUTED_VALUE"""),"TEST")</f>
        <v>TEST</v>
      </c>
      <c r="K127" s="9" t="str">
        <f ca="1">IFERROR(__xludf.DUMMYFUNCTION("""COMPUTED_VALUE"""),"Specific mutant")</f>
        <v>Specific mutant</v>
      </c>
      <c r="L127" s="9">
        <f ca="1">IFERROR(__xludf.DUMMYFUNCTION("""COMPUTED_VALUE"""),458)</f>
        <v>458</v>
      </c>
      <c r="M127" s="9" t="str">
        <f ca="1">IFERROR(__xludf.DUMMYFUNCTION("""COMPUTED_VALUE"""),"getBinaryValues, getValues, toString
")</f>
        <v xml:space="preserve">getBinaryValues, getValues, toString
</v>
      </c>
      <c r="N127" s="9">
        <f ca="1">IFERROR(__xludf.DUMMYFUNCTION("counta(split(B127,"" ""))"),11)</f>
        <v>11</v>
      </c>
      <c r="O127" s="9">
        <f t="shared" ca="1" si="7"/>
        <v>25.130038792376439</v>
      </c>
    </row>
    <row r="128" spans="1:16" ht="15.75" customHeight="1">
      <c r="A128" s="9">
        <f ca="1">IFERROR(__xludf.DUMMYFUNCTION("""COMPUTED_VALUE"""),118)</f>
        <v>118</v>
      </c>
      <c r="B128" s="9" t="str">
        <f ca="1">IFERROR(__xludf.DUMMYFUNCTION("""COMPUTED_VALUE"""),"write a test for @mutant502")</f>
        <v>write a test for @mutant502</v>
      </c>
      <c r="C128" s="9" t="str">
        <f ca="1">IFERROR(__xludf.DUMMYFUNCTION("""COMPUTED_VALUE"""),"{
  ""answer"": ""Yes"",
  ""explanation"": ""Yes, we can write a test for @mutant502 by verifying that the removeField(String) method removes the first field with the specified name."",
  ""code"": ""import org.junit.Test;
import static org.junit.Assert."&amp;"*;
public class DocumentTest {
    @Test
    public void testRemoveField() {
        Document document = new Document();
        document.add(new StringField(""name"", ""John Doe"", Field.Store.YES));
        document.add(new StringField(""name"", ""Jan"&amp;"e Smith"", Field.Store.YES));
        document.add(new StringField(""age"", ""30"", Field.Store.YES));
        document.removeField(""name"");
        assertNull(document.getField(""name""));
        assertNotNull(document.getField(""age""));
    }
}""
"&amp;"}")</f>
        <v>{
  "answer": "Yes",
  "explanation": "Yes, we can write a test for @mutant502 by verifying that the removeField(String) method removes the first field with the specified name.",
  "code": "import org.junit.Test;
import static org.junit.Assert.*;
public class DocumentTest {
    @Test
    public void testRemoveField() {
        Document document = new Document();
        document.add(new StringField("name", "John Doe", Field.Store.YES));
        document.add(new StringField("name", "Jane Smith", Field.Store.YES));
        document.add(new StringField("age", "30", Field.Store.YES));
        document.removeField("name");
        assertNull(document.getField("name"));
        assertNotNull(document.getField("age"));
    }
}"
}</v>
      </c>
      <c r="D128" s="9">
        <f ca="1">IFERROR(__xludf.DUMMYFUNCTION("""COMPUTED_VALUE"""),0)</f>
        <v>0</v>
      </c>
      <c r="E128" s="9" t="str">
        <f ca="1">IFERROR(__xludf.DUMMYFUNCTION("""COMPUTED_VALUE"""),"2024-01-10 15:09:59")</f>
        <v>2024-01-10 15:09:59</v>
      </c>
      <c r="F128" s="9">
        <f ca="1">IFERROR(__xludf.DUMMYFUNCTION("""COMPUTED_VALUE"""),232)</f>
        <v>232</v>
      </c>
      <c r="G128" s="9">
        <f ca="1">IFERROR(__xludf.DUMMYFUNCTION("""COMPUTED_VALUE"""),2)</f>
        <v>2</v>
      </c>
      <c r="H128" s="9" t="str">
        <f ca="1">IFERROR(__xludf.DUMMYFUNCTION("""COMPUTED_VALUE"""),"null")</f>
        <v>null</v>
      </c>
      <c r="I128" s="9" t="str">
        <f ca="1">IFERROR(__xludf.DUMMYFUNCTION("""COMPUTED_VALUE"""),"Y")</f>
        <v>Y</v>
      </c>
      <c r="J128" s="9" t="str">
        <f ca="1">IFERROR(__xludf.DUMMYFUNCTION("""COMPUTED_VALUE"""),"TEST")</f>
        <v>TEST</v>
      </c>
      <c r="K128" s="9" t="str">
        <f ca="1">IFERROR(__xludf.DUMMYFUNCTION("""COMPUTED_VALUE"""),"Specific mutant")</f>
        <v>Specific mutant</v>
      </c>
      <c r="L128" s="9">
        <f ca="1">IFERROR(__xludf.DUMMYFUNCTION("""COMPUTED_VALUE"""),502)</f>
        <v>502</v>
      </c>
      <c r="M128" s="9" t="str">
        <f ca="1">IFERROR(__xludf.DUMMYFUNCTION("""COMPUTED_VALUE"""),"removeField
")</f>
        <v xml:space="preserve">removeField
</v>
      </c>
      <c r="N128" s="9">
        <f ca="1">IFERROR(__xludf.DUMMYFUNCTION("counta(split(B128,"" ""))"),5)</f>
        <v>5</v>
      </c>
      <c r="O128" s="9">
        <f t="shared" ca="1" si="7"/>
        <v>121.28588294822057</v>
      </c>
      <c r="P128" s="9" t="s">
        <v>689</v>
      </c>
    </row>
    <row r="129" spans="1:16" ht="15.75" customHeight="1">
      <c r="A129" s="9">
        <f ca="1">IFERROR(__xludf.DUMMYFUNCTION("""COMPUTED_VALUE"""),164)</f>
        <v>164</v>
      </c>
      <c r="B129" s="9" t="str">
        <f ca="1">IFERROR(__xludf.DUMMYFUNCTION("""COMPUTED_VALUE"""),"can you write me a test for @mutant502")</f>
        <v>can you write me a test for @mutant502</v>
      </c>
      <c r="C129" s="9" t="str">
        <f ca="1">IFERROR(__xludf.DUMMYFUNCTION("""COMPUTED_VALUE"""),"{
  ""answer"": ""Yes"",
  ""explanation"": ""To test @mutant502, we can verify that the first field with the specified name is removed from the document."",
  ""code"": ""Document document = new Document();
// Add fields to the document
Field field1 = n"&amp;"ew StringField(""name"", ""John Doe"", Field.Store.YES);
document.add(field1);
Field field2 = new StringField(""name"", ""Jane Smith"", Field.Store.YES);
document.add(field2);
// Remove the field with name ""name""
document.removeField(""name"");
// Ver"&amp;"ify that the first field with name ""name"" is removed
assertNull(document.getField(""name""));""
}")</f>
        <v>{
  "answer": "Yes",
  "explanation": "To test @mutant502, we can verify that the first field with the specified name is removed from the document.",
  "code": "Document document = new Document();
// Add fields to the document
Field field1 = new StringField("name", "John Doe", Field.Store.YES);
document.add(field1);
Field field2 = new StringField("name", "Jane Smith", Field.Store.YES);
document.add(field2);
// Remove the field with name "name"
document.removeField("name");
// Verify that the first field with name "name" is removed
assertNull(document.getField("name"));"
}</v>
      </c>
      <c r="D129" s="9">
        <f ca="1">IFERROR(__xludf.DUMMYFUNCTION("""COMPUTED_VALUE"""),1)</f>
        <v>1</v>
      </c>
      <c r="E129" s="9" t="str">
        <f ca="1">IFERROR(__xludf.DUMMYFUNCTION("""COMPUTED_VALUE"""),"2024-01-10 15:20:03")</f>
        <v>2024-01-10 15:20:03</v>
      </c>
      <c r="F129" s="9">
        <f ca="1">IFERROR(__xludf.DUMMYFUNCTION("""COMPUTED_VALUE"""),232)</f>
        <v>232</v>
      </c>
      <c r="G129" s="9">
        <f ca="1">IFERROR(__xludf.DUMMYFUNCTION("""COMPUTED_VALUE"""),2)</f>
        <v>2</v>
      </c>
      <c r="H129" s="9" t="str">
        <f ca="1">IFERROR(__xludf.DUMMYFUNCTION("""COMPUTED_VALUE"""),"null")</f>
        <v>null</v>
      </c>
      <c r="I129" s="9" t="str">
        <f ca="1">IFERROR(__xludf.DUMMYFUNCTION("""COMPUTED_VALUE"""),"Y")</f>
        <v>Y</v>
      </c>
      <c r="J129" s="9" t="str">
        <f ca="1">IFERROR(__xludf.DUMMYFUNCTION("""COMPUTED_VALUE"""),"TEST")</f>
        <v>TEST</v>
      </c>
      <c r="K129" s="9" t="str">
        <f ca="1">IFERROR(__xludf.DUMMYFUNCTION("""COMPUTED_VALUE"""),"Specific mutant")</f>
        <v>Specific mutant</v>
      </c>
      <c r="L129" s="9">
        <f ca="1">IFERROR(__xludf.DUMMYFUNCTION("""COMPUTED_VALUE"""),502)</f>
        <v>502</v>
      </c>
      <c r="M129" s="9" t="str">
        <f ca="1">IFERROR(__xludf.DUMMYFUNCTION("""COMPUTED_VALUE"""),"removeField
")</f>
        <v xml:space="preserve">removeField
</v>
      </c>
      <c r="N129" s="9">
        <f ca="1">IFERROR(__xludf.DUMMYFUNCTION("counta(split(B129,"" ""))"),8)</f>
        <v>8</v>
      </c>
      <c r="O129" s="9">
        <f t="shared" ca="1" si="7"/>
        <v>64.207960870298507</v>
      </c>
      <c r="P129" s="9" t="s">
        <v>689</v>
      </c>
    </row>
    <row r="130" spans="1:16" ht="15.75" customHeight="1">
      <c r="A130" s="9">
        <f ca="1">IFERROR(__xludf.DUMMYFUNCTION("""COMPUTED_VALUE"""),179)</f>
        <v>179</v>
      </c>
      <c r="B130" s="9" t="str">
        <f ca="1">IFERROR(__xludf.DUMMYFUNCTION("""COMPUTED_VALUE"""),"write me a test which kills @mutant608")</f>
        <v>write me a test which kills @mutant608</v>
      </c>
      <c r="C130" s="9" t="str">
        <f ca="1">IFERROR(__xludf.DUMMYFUNCTION("""COMPUTED_VALUE"""),"{
  ""answer"": ""Yes"",
  ""explanation"": ""The test should check if the modified getField(String) method returns null when there are multiple fields with the same name."",
  ""code"": ""public void testGetField() {
  Document document = new Document();"&amp;"
  document.add(new StringField(""name"", ""John"", Field.Store.YES));
  document.add(new StringField(""name"", ""Doe"", Field.Store.YES));
  IndexableField field = document.getField(""name"");
  assertNull(field);
}""
}")</f>
        <v>{
  "answer": "Yes",
  "explanation": "The test should check if the modified getField(String) method returns null when there are multiple fields with the same name.",
  "code": "public void testGetField() {
  Document document = new Document();
  document.add(new StringField("name", "John", Field.Store.YES));
  document.add(new StringField("name", "Doe", Field.Store.YES));
  IndexableField field = document.getField("name");
  assertNull(field);
}"
}</v>
      </c>
      <c r="D130" s="9">
        <f ca="1">IFERROR(__xludf.DUMMYFUNCTION("""COMPUTED_VALUE"""),1)</f>
        <v>1</v>
      </c>
      <c r="E130" s="9" t="str">
        <f ca="1">IFERROR(__xludf.DUMMYFUNCTION("""COMPUTED_VALUE"""),"2024-01-10 15:24:18")</f>
        <v>2024-01-10 15:24:18</v>
      </c>
      <c r="F130" s="9">
        <f ca="1">IFERROR(__xludf.DUMMYFUNCTION("""COMPUTED_VALUE"""),232)</f>
        <v>232</v>
      </c>
      <c r="G130" s="9">
        <f ca="1">IFERROR(__xludf.DUMMYFUNCTION("""COMPUTED_VALUE"""),2)</f>
        <v>2</v>
      </c>
      <c r="H130" s="9" t="str">
        <f ca="1">IFERROR(__xludf.DUMMYFUNCTION("""COMPUTED_VALUE"""),"null")</f>
        <v>null</v>
      </c>
      <c r="I130" s="9" t="str">
        <f ca="1">IFERROR(__xludf.DUMMYFUNCTION("""COMPUTED_VALUE"""),"Y")</f>
        <v>Y</v>
      </c>
      <c r="J130" s="9" t="str">
        <f ca="1">IFERROR(__xludf.DUMMYFUNCTION("""COMPUTED_VALUE"""),"TEST")</f>
        <v>TEST</v>
      </c>
      <c r="K130" s="9" t="str">
        <f ca="1">IFERROR(__xludf.DUMMYFUNCTION("""COMPUTED_VALUE"""),"Specific mutant")</f>
        <v>Specific mutant</v>
      </c>
      <c r="L130" s="9">
        <f ca="1">IFERROR(__xludf.DUMMYFUNCTION("""COMPUTED_VALUE"""),608)</f>
        <v>608</v>
      </c>
      <c r="M130" s="9" t="str">
        <f ca="1">IFERROR(__xludf.DUMMYFUNCTION("""COMPUTED_VALUE"""),"getField
")</f>
        <v xml:space="preserve">getField
</v>
      </c>
      <c r="N130" s="9">
        <f ca="1">IFERROR(__xludf.DUMMYFUNCTION("counta(split(B130,"" ""))"),7)</f>
        <v>7</v>
      </c>
      <c r="O130" s="9">
        <f t="shared" ca="1" si="7"/>
        <v>81.23393489627253</v>
      </c>
      <c r="P130" s="9" t="s">
        <v>689</v>
      </c>
    </row>
    <row r="131" spans="1:16" ht="15.75" customHeight="1">
      <c r="A131" s="9">
        <f ca="1">IFERROR(__xludf.DUMMYFUNCTION("""COMPUTED_VALUE"""),108)</f>
        <v>108</v>
      </c>
      <c r="B131" s="9" t="str">
        <f ca="1">IFERROR(__xludf.DUMMYFUNCTION("""COMPUTED_VALUE"""),"How do I mock an object of the class Document with any content?")</f>
        <v>How do I mock an object of the class Document with any content?</v>
      </c>
      <c r="C131" s="9" t="str">
        <f ca="1">IFERROR(__xludf.DUMMYFUNCTION("""COMPUTED_VALUE"""),"{
  ""answer"": ""You can use a mocking framework like Mockito to mock an object of the class Document with any content."",
  ""explanation"": ""Mockito allows you to create a mock object of a class and define its behavior, including the content of its fi"&amp;"elds."",
  ""code"": ""Document documentMock = Mockito.mock(Document.class);
Mockito.when(documentMock.getField(Mockito.anyString())).thenReturn(new StringField(""fieldName"", ""fieldValue"", Field.Store.YES));""
}")</f>
        <v>{
  "answer": "You can use a mocking framework like Mockito to mock an object of the class Document with any content.",
  "explanation": "Mockito allows you to create a mock object of a class and define its behavior, including the content of its fields.",
  "code": "Document documentMock = Mockito.mock(Document.class);
Mockito.when(documentMock.getField(Mockito.anyString())).thenReturn(new StringField("fieldName", "fieldValue", Field.Store.YES));"
}</v>
      </c>
      <c r="D131" s="9">
        <f ca="1">IFERROR(__xludf.DUMMYFUNCTION("""COMPUTED_VALUE"""),1)</f>
        <v>1</v>
      </c>
      <c r="E131" s="9" t="str">
        <f ca="1">IFERROR(__xludf.DUMMYFUNCTION("""COMPUTED_VALUE"""),"2024-01-10 15:06:17")</f>
        <v>2024-01-10 15:06:17</v>
      </c>
      <c r="F131" s="9">
        <f ca="1">IFERROR(__xludf.DUMMYFUNCTION("""COMPUTED_VALUE"""),235)</f>
        <v>235</v>
      </c>
      <c r="G131" s="9">
        <f ca="1">IFERROR(__xludf.DUMMYFUNCTION("""COMPUTED_VALUE"""),2)</f>
        <v>2</v>
      </c>
      <c r="H131" s="9">
        <f ca="1">IFERROR(__xludf.DUMMYFUNCTION("""COMPUTED_VALUE"""),0)</f>
        <v>0</v>
      </c>
      <c r="I131" s="9" t="str">
        <f ca="1">IFERROR(__xludf.DUMMYFUNCTION("""COMPUTED_VALUE"""),"Y")</f>
        <v>Y</v>
      </c>
      <c r="J131" s="9" t="str">
        <f ca="1">IFERROR(__xludf.DUMMYFUNCTION("""COMPUTED_VALUE"""),"OTHER")</f>
        <v>OTHER</v>
      </c>
      <c r="K131" s="9" t="str">
        <f ca="1">IFERROR(__xludf.DUMMYFUNCTION("""COMPUTED_VALUE"""),"Mock")</f>
        <v>Mock</v>
      </c>
      <c r="L131" s="9"/>
      <c r="M131" s="9"/>
      <c r="N131" s="9">
        <f ca="1">IFERROR(__xludf.DUMMYFUNCTION("counta(split(B131,"" ""))"),13)</f>
        <v>13</v>
      </c>
      <c r="O131" s="9">
        <f t="shared" ca="1" si="7"/>
        <v>9.0780907404283919</v>
      </c>
    </row>
    <row r="132" spans="1:16" ht="15.75" customHeight="1">
      <c r="A132" s="9">
        <f ca="1">IFERROR(__xludf.DUMMYFUNCTION("""COMPUTED_VALUE"""),112)</f>
        <v>112</v>
      </c>
      <c r="B132" s="9" t="str">
        <f ca="1">IFERROR(__xludf.DUMMYFUNCTION("""COMPUTED_VALUE"""),"How do I mock the contents inside an object of the class Document after creating it through ""Document d = new Document();""?")</f>
        <v>How do I mock the contents inside an object of the class Document after creating it through "Document d = new Document();"?</v>
      </c>
      <c r="C132" s="9" t="str">
        <f ca="1">IFERROR(__xludf.DUMMYFUNCTION("""COMPUTED_VALUE"""),"{
  ""answer"": ""You can use a mocking framework like Mockito to mock the contents inside an object of the class Document."",
  ""explanation"": ""Mockito allows you to create a mock object of the Document class and then define the behavior of its method"&amp;"s to return the desired values or perform specific actions."",
  ""code"": ""Document d = Mockito.mock(Document.class);
Mockito.when(d.getField(""fieldName"")).thenReturn(mockField);""
}")</f>
        <v>{
  "answer": "You can use a mocking framework like Mockito to mock the contents inside an object of the class Document.",
  "explanation": "Mockito allows you to create a mock object of the Document class and then define the behavior of its methods to return the desired values or perform specific actions.",
  "code": "Document d = Mockito.mock(Document.class);
Mockito.when(d.getField("fieldName")).thenReturn(mockField);"
}</v>
      </c>
      <c r="D132" s="9">
        <f ca="1">IFERROR(__xludf.DUMMYFUNCTION("""COMPUTED_VALUE"""),0)</f>
        <v>0</v>
      </c>
      <c r="E132" s="9" t="str">
        <f ca="1">IFERROR(__xludf.DUMMYFUNCTION("""COMPUTED_VALUE"""),"2024-01-10 15:08:17")</f>
        <v>2024-01-10 15:08:17</v>
      </c>
      <c r="F132" s="9">
        <f ca="1">IFERROR(__xludf.DUMMYFUNCTION("""COMPUTED_VALUE"""),235)</f>
        <v>235</v>
      </c>
      <c r="G132" s="9">
        <f ca="1">IFERROR(__xludf.DUMMYFUNCTION("""COMPUTED_VALUE"""),2)</f>
        <v>2</v>
      </c>
      <c r="H132" s="9" t="str">
        <f ca="1">IFERROR(__xludf.DUMMYFUNCTION("""COMPUTED_VALUE"""),"null")</f>
        <v>null</v>
      </c>
      <c r="I132" s="9" t="str">
        <f ca="1">IFERROR(__xludf.DUMMYFUNCTION("""COMPUTED_VALUE"""),"Y")</f>
        <v>Y</v>
      </c>
      <c r="J132" s="9" t="str">
        <f ca="1">IFERROR(__xludf.DUMMYFUNCTION("""COMPUTED_VALUE"""),"OTHER")</f>
        <v>OTHER</v>
      </c>
      <c r="K132" s="9" t="str">
        <f ca="1">IFERROR(__xludf.DUMMYFUNCTION("""COMPUTED_VALUE"""),"Mock")</f>
        <v>Mock</v>
      </c>
      <c r="L132" s="9"/>
      <c r="M132" s="9"/>
      <c r="N132" s="9">
        <f ca="1">IFERROR(__xludf.DUMMYFUNCTION("counta(split(B132,"" ""))"),22)</f>
        <v>22</v>
      </c>
      <c r="O132" s="9">
        <f t="shared" ca="1" si="7"/>
        <v>35.84432450666219</v>
      </c>
    </row>
    <row r="133" spans="1:16" ht="15.75" customHeight="1">
      <c r="A133" s="9">
        <f ca="1">IFERROR(__xludf.DUMMYFUNCTION("""COMPUTED_VALUE"""),114)</f>
        <v>114</v>
      </c>
      <c r="B133" s="9" t="str">
        <f ca="1">IFERROR(__xludf.DUMMYFUNCTION("""COMPUTED_VALUE"""),"How do I mock the contents inside an object of the class Document after creating it through ""Document d = new Document();"" using Mockito?")</f>
        <v>How do I mock the contents inside an object of the class Document after creating it through "Document d = new Document();" using Mockito?</v>
      </c>
      <c r="C133" s="9" t="str">
        <f ca="1">IFERROR(__xludf.DUMMYFUNCTION("""COMPUTED_VALUE"""),"{
  ""answer"": ""You can use Mockito to mock the contents inside an object of the class Document by mocking the methods of the IndexableField interface."",
  ""explanation"": ""Mockito can be used to create a mock object of the IndexableField interface a"&amp;"nd then set the desired behavior for its methods to return the desired values."",
  ""code"": ""Document d = new Document();
IndexableField field = Mockito.mock(IndexableField.class);
Mockito.when(field.name()).thenReturn(""fieldName"");
Mockito.when(fie"&amp;"ld.stringValue()).thenReturn(""fieldValue"");
d.add(field);""
}")</f>
        <v>{
  "answer": "You can use Mockito to mock the contents inside an object of the class Document by mocking the methods of the IndexableField interface.",
  "explanation": "Mockito can be used to create a mock object of the IndexableField interface and then set the desired behavior for its methods to return the desired values.",
  "code": "Document d = new Document();
IndexableField field = Mockito.mock(IndexableField.class);
Mockito.when(field.name()).thenReturn("fieldName");
Mockito.when(field.stringValue()).thenReturn("fieldValue");
d.add(field);"
}</v>
      </c>
      <c r="D133" s="9">
        <f ca="1">IFERROR(__xludf.DUMMYFUNCTION("""COMPUTED_VALUE"""),1)</f>
        <v>1</v>
      </c>
      <c r="E133" s="9" t="str">
        <f ca="1">IFERROR(__xludf.DUMMYFUNCTION("""COMPUTED_VALUE"""),"2024-01-10 15:08:54")</f>
        <v>2024-01-10 15:08:54</v>
      </c>
      <c r="F133" s="9">
        <f ca="1">IFERROR(__xludf.DUMMYFUNCTION("""COMPUTED_VALUE"""),235)</f>
        <v>235</v>
      </c>
      <c r="G133" s="9">
        <f ca="1">IFERROR(__xludf.DUMMYFUNCTION("""COMPUTED_VALUE"""),2)</f>
        <v>2</v>
      </c>
      <c r="H133" s="9">
        <f ca="1">IFERROR(__xludf.DUMMYFUNCTION("""COMPUTED_VALUE"""),1)</f>
        <v>1</v>
      </c>
      <c r="I133" s="9" t="str">
        <f ca="1">IFERROR(__xludf.DUMMYFUNCTION("""COMPUTED_VALUE"""),"Y")</f>
        <v>Y</v>
      </c>
      <c r="J133" s="9" t="str">
        <f ca="1">IFERROR(__xludf.DUMMYFUNCTION("""COMPUTED_VALUE"""),"OTHER")</f>
        <v>OTHER</v>
      </c>
      <c r="K133" s="9" t="str">
        <f ca="1">IFERROR(__xludf.DUMMYFUNCTION("""COMPUTED_VALUE"""),"Mock")</f>
        <v>Mock</v>
      </c>
      <c r="L133" s="9"/>
      <c r="M133" s="9"/>
      <c r="N133" s="9">
        <f ca="1">IFERROR(__xludf.DUMMYFUNCTION("counta(split(B133,"" ""))"),24)</f>
        <v>24</v>
      </c>
      <c r="O133" s="9">
        <f t="shared" ca="1" si="7"/>
        <v>63.792376454714145</v>
      </c>
    </row>
    <row r="134" spans="1:16" ht="15.75" customHeight="1">
      <c r="A134" s="9">
        <f ca="1">IFERROR(__xludf.DUMMYFUNCTION("""COMPUTED_VALUE"""),163)</f>
        <v>163</v>
      </c>
      <c r="B134" s="9" t="str">
        <f ca="1">IFERROR(__xludf.DUMMYFUNCTION("""COMPUTED_VALUE"""),"How can I assert that the output of getValues() has the correct values in the array?")</f>
        <v>How can I assert that the output of getValues() has the correct values in the array?</v>
      </c>
      <c r="C134" s="9" t="str">
        <f ca="1">IFERROR(__xludf.DUMMYFUNCTION("""COMPUTED_VALUE"""),"{""answer"": ""You can use the assertArrayEquals() method from the JUnit framework to assert that the output of getValues() has the correct values in the array."", ""explanation"": ""The assertArrayEquals() method compares two arrays for equality, asserti"&amp;"ng that they have the same length and contain the same elements in the same order."", ""code"": ""import org.junit.Assert;
String[] expectedValues = {""value1"", ""value2"", ""value3""};
String[] actualValues = document.getValues(""fieldName"");
Assert."&amp;"assertArrayEquals(expectedValues, actualValues);""}")</f>
        <v>{"answer": "You can use the assertArrayEquals() method from the JUnit framework to assert that the output of getValues() has the correct values in the array.", "explanation": "The assertArrayEquals() method compares two arrays for equality, asserting that they have the same length and contain the same elements in the same order.", "code": "import org.junit.Assert;
String[] expectedValues = {"value1", "value2", "value3"};
String[] actualValues = document.getValues("fieldName");
Assert.assertArrayEquals(expectedValues, actualValues);"}</v>
      </c>
      <c r="D134" s="9">
        <f ca="1">IFERROR(__xludf.DUMMYFUNCTION("""COMPUTED_VALUE"""),1)</f>
        <v>1</v>
      </c>
      <c r="E134" s="9" t="str">
        <f ca="1">IFERROR(__xludf.DUMMYFUNCTION("""COMPUTED_VALUE"""),"2024-01-10 15:19:54")</f>
        <v>2024-01-10 15:19:54</v>
      </c>
      <c r="F134" s="9">
        <f ca="1">IFERROR(__xludf.DUMMYFUNCTION("""COMPUTED_VALUE"""),235)</f>
        <v>235</v>
      </c>
      <c r="G134" s="9">
        <f ca="1">IFERROR(__xludf.DUMMYFUNCTION("""COMPUTED_VALUE"""),2)</f>
        <v>2</v>
      </c>
      <c r="H134" s="9" t="str">
        <f ca="1">IFERROR(__xludf.DUMMYFUNCTION("""COMPUTED_VALUE"""),"null")</f>
        <v>null</v>
      </c>
      <c r="I134" s="9" t="str">
        <f ca="1">IFERROR(__xludf.DUMMYFUNCTION("""COMPUTED_VALUE"""),"Y")</f>
        <v>Y</v>
      </c>
      <c r="J134" s="9" t="str">
        <f ca="1">IFERROR(__xludf.DUMMYFUNCTION("""COMPUTED_VALUE"""),"OTHER")</f>
        <v>OTHER</v>
      </c>
      <c r="K134" s="9" t="str">
        <f ca="1">IFERROR(__xludf.DUMMYFUNCTION("""COMPUTED_VALUE"""),"Other")</f>
        <v>Other</v>
      </c>
      <c r="L134" s="9"/>
      <c r="M134" s="9"/>
      <c r="N134" s="9">
        <f ca="1">IFERROR(__xludf.DUMMYFUNCTION("counta(split(B134,"" ""))"),16)</f>
        <v>16</v>
      </c>
      <c r="O134" s="9">
        <f t="shared" ca="1" si="7"/>
        <v>1.6866250632480083E-4</v>
      </c>
    </row>
    <row r="135" spans="1:16" ht="15.75" customHeight="1">
      <c r="A135" s="9">
        <f ca="1">IFERROR(__xludf.DUMMYFUNCTION("""COMPUTED_VALUE"""),103)</f>
        <v>103</v>
      </c>
      <c r="B135" s="9" t="str">
        <f ca="1">IFERROR(__xludf.DUMMYFUNCTION("""COMPUTED_VALUE"""),"Write a test for @mutant446")</f>
        <v>Write a test for @mutant446</v>
      </c>
      <c r="C135" s="9" t="str">
        <f ca="1">IFERROR(__xludf.DUMMYFUNCTION("""COMPUTED_VALUE"""),"{
  ""answer"": ""Yes"",
  ""explanation"": ""We can write a test to verify the behavior of the removeFields(String) method after the mutation."",
  ""code"": ""@Test
public void testRemoveFields() {
  Document document = new Document();
  document.add(ne"&amp;"w StringField(""name"", ""John Doe"", Field.Store.YES));
  document.add(new StringField(""name"", ""Jane Smith"", Field.Store.YES));
  document.add(new StringField(""age"", ""25"", Field.Store.YES));
  document.removeFields(""name"");
  assertNull(docum"&amp;"ent.getField(""name""));
  assertNotNull(document.getField(""age""));
}""
}")</f>
        <v>{
  "answer": "Yes",
  "explanation": "We can write a test to verify the behavior of the removeFields(String) method after the mutation.",
  "code": "@Test
public void testRemoveFields() {
  Document document = new Document();
  document.add(new StringField("name", "John Doe", Field.Store.YES));
  document.add(new StringField("name", "Jane Smith", Field.Store.YES));
  document.add(new StringField("age", "25", Field.Store.YES));
  document.removeFields("name");
  assertNull(document.getField("name"));
  assertNotNull(document.getField("age"));
}"
}</v>
      </c>
      <c r="D135" s="9">
        <f ca="1">IFERROR(__xludf.DUMMYFUNCTION("""COMPUTED_VALUE"""),1)</f>
        <v>1</v>
      </c>
      <c r="E135" s="9" t="str">
        <f ca="1">IFERROR(__xludf.DUMMYFUNCTION("""COMPUTED_VALUE"""),"2024-01-10 15:05:49")</f>
        <v>2024-01-10 15:05:49</v>
      </c>
      <c r="F135" s="9">
        <f ca="1">IFERROR(__xludf.DUMMYFUNCTION("""COMPUTED_VALUE"""),238)</f>
        <v>238</v>
      </c>
      <c r="G135" s="9">
        <f ca="1">IFERROR(__xludf.DUMMYFUNCTION("""COMPUTED_VALUE"""),2)</f>
        <v>2</v>
      </c>
      <c r="H135" s="9" t="str">
        <f ca="1">IFERROR(__xludf.DUMMYFUNCTION("""COMPUTED_VALUE"""),"null")</f>
        <v>null</v>
      </c>
      <c r="I135" s="9" t="str">
        <f ca="1">IFERROR(__xludf.DUMMYFUNCTION("""COMPUTED_VALUE"""),"Y")</f>
        <v>Y</v>
      </c>
      <c r="J135" s="9" t="str">
        <f ca="1">IFERROR(__xludf.DUMMYFUNCTION("""COMPUTED_VALUE"""),"TEST")</f>
        <v>TEST</v>
      </c>
      <c r="K135" s="9" t="str">
        <f ca="1">IFERROR(__xludf.DUMMYFUNCTION("""COMPUTED_VALUE"""),"Specific mutant")</f>
        <v>Specific mutant</v>
      </c>
      <c r="L135" s="9">
        <f ca="1">IFERROR(__xludf.DUMMYFUNCTION("""COMPUTED_VALUE"""),446)</f>
        <v>446</v>
      </c>
      <c r="M135" s="9" t="str">
        <f ca="1">IFERROR(__xludf.DUMMYFUNCTION("""COMPUTED_VALUE"""),"removeFields
")</f>
        <v xml:space="preserve">removeFields
</v>
      </c>
      <c r="N135" s="9">
        <f ca="1">IFERROR(__xludf.DUMMYFUNCTION("counta(split(B135,"" ""))"),5)</f>
        <v>5</v>
      </c>
      <c r="O135" s="9">
        <f t="shared" ca="1" si="7"/>
        <v>121.28588294822057</v>
      </c>
      <c r="P135" s="9" t="s">
        <v>689</v>
      </c>
    </row>
    <row r="136" spans="1:16" ht="15.75" customHeight="1">
      <c r="A136" s="9">
        <f ca="1">IFERROR(__xludf.DUMMYFUNCTION("""COMPUTED_VALUE"""),159)</f>
        <v>159</v>
      </c>
      <c r="B136" s="9" t="str">
        <f ca="1">IFERROR(__xludf.DUMMYFUNCTION("""COMPUTED_VALUE"""),"write a test to kill @mutant481 mocking IndexableField")</f>
        <v>write a test to kill @mutant481 mocking IndexableField</v>
      </c>
      <c r="C136" s="9" t="str">
        <f ca="1">IFERROR(__xludf.DUMMYFUNCTION("""COMPUTED_VALUE"""),"{
  ""answer"": ""Yes"",
  ""explanation"": ""We can write a test to kill @mutant481 by mocking the IndexableField and verifying that the removeFields method removes the correct fields."",
  ""code"": ""import org.junit.Test;
import org.mockito.Mockito;
"&amp;"public class DocumentTest {
    @Test
    public void testRemoveFields() {
        Document document = new Document();
        IndexableField field1 = Mockito.mock(IndexableField.class);
        IndexableField field2 = Mockito.mock(IndexableField.class);"&amp;"
        Mockito.when(field1.name()).thenReturn(""name1"");
        Mockito.when(field2.name()).thenReturn(""name2"");
        document.add(field1);
        document.add(field2);
        document.removeFields(""name1"");
        Assert.assertNull(document"&amp;".getField(""name1""));
        Assert.assertNotNull(document.getField(""name2""));
    }
}""
}")</f>
        <v>{
  "answer": "Yes",
  "explanation": "We can write a test to kill @mutant481 by mocking the IndexableField and verifying that the removeFields method removes the correct fields.",
  "code": "import org.junit.Test;
import org.mockito.Mockito;
public class DocumentTest {
    @Test
    public void testRemoveFields() {
        Document document = new Document();
        IndexableField field1 = Mockito.mock(IndexableField.class);
        IndexableField field2 = Mockito.mock(IndexableField.class);
        Mockito.when(field1.name()).thenReturn("name1");
        Mockito.when(field2.name()).thenReturn("name2");
        document.add(field1);
        document.add(field2);
        document.removeFields("name1");
        Assert.assertNull(document.getField("name1"));
        Assert.assertNotNull(document.getField("name2"));
    }
}"
}</v>
      </c>
      <c r="D136" s="9">
        <f ca="1">IFERROR(__xludf.DUMMYFUNCTION("""COMPUTED_VALUE"""),1)</f>
        <v>1</v>
      </c>
      <c r="E136" s="9" t="str">
        <f ca="1">IFERROR(__xludf.DUMMYFUNCTION("""COMPUTED_VALUE"""),"2024-01-10 15:19:22")</f>
        <v>2024-01-10 15:19:22</v>
      </c>
      <c r="F136" s="9">
        <f ca="1">IFERROR(__xludf.DUMMYFUNCTION("""COMPUTED_VALUE"""),238)</f>
        <v>238</v>
      </c>
      <c r="G136" s="9">
        <f ca="1">IFERROR(__xludf.DUMMYFUNCTION("""COMPUTED_VALUE"""),2)</f>
        <v>2</v>
      </c>
      <c r="H136" s="9" t="str">
        <f ca="1">IFERROR(__xludf.DUMMYFUNCTION("""COMPUTED_VALUE"""),"null")</f>
        <v>null</v>
      </c>
      <c r="I136" s="9" t="str">
        <f ca="1">IFERROR(__xludf.DUMMYFUNCTION("""COMPUTED_VALUE"""),"Y")</f>
        <v>Y</v>
      </c>
      <c r="J136" s="9" t="str">
        <f ca="1">IFERROR(__xludf.DUMMYFUNCTION("""COMPUTED_VALUE"""),"TEST")</f>
        <v>TEST</v>
      </c>
      <c r="K136" s="9" t="str">
        <f ca="1">IFERROR(__xludf.DUMMYFUNCTION("""COMPUTED_VALUE"""),"Specific mutant")</f>
        <v>Specific mutant</v>
      </c>
      <c r="L136" s="9">
        <f ca="1">IFERROR(__xludf.DUMMYFUNCTION("""COMPUTED_VALUE"""),481)</f>
        <v>481</v>
      </c>
      <c r="M136" s="9" t="str">
        <f ca="1">IFERROR(__xludf.DUMMYFUNCTION("""COMPUTED_VALUE"""),"removeFields
")</f>
        <v xml:space="preserve">removeFields
</v>
      </c>
      <c r="N136" s="9">
        <f ca="1">IFERROR(__xludf.DUMMYFUNCTION("counta(split(B136,"" ""))"),8)</f>
        <v>8</v>
      </c>
      <c r="O136" s="9">
        <f t="shared" ca="1" si="7"/>
        <v>64.207960870298507</v>
      </c>
    </row>
    <row r="137" spans="1:16" ht="15.75" customHeight="1">
      <c r="A137" s="9">
        <f ca="1">IFERROR(__xludf.DUMMYFUNCTION("""COMPUTED_VALUE"""),168)</f>
        <v>168</v>
      </c>
      <c r="B137" s="9" t="str">
        <f ca="1">IFERROR(__xludf.DUMMYFUNCTION("""COMPUTED_VALUE"""),"write a test to kill @mutant430 mocking IndexableField")</f>
        <v>write a test to kill @mutant430 mocking IndexableField</v>
      </c>
      <c r="C137" s="9" t="str">
        <f ca="1">IFERROR(__xludf.DUMMYFUNCTION("""COMPUTED_VALUE"""),"{""answer"": ""Yes"", ""explanation"": ""Yes, we can write a test to kill @mutant430 by mocking IndexableField and verifying that the removeField method removes the correct field."", ""code"": ""import org.junit.Test;
import org.mockito.Mockito;
public c"&amp;"lass DocumentTest {
    @Test
    public void testRemoveField() {
        Document document = new Document();
        IndexableField field = Mockito.mock(IndexableField.class);
        Mockito.when(field.name()).thenReturn(""fieldName"");
        documen"&amp;"t.add(field);
        document.removeField(""fieldName"");
        Assert.assertNull(document.getField(""fieldName""));
    }
}""}")</f>
        <v>{"answer": "Yes", "explanation": "Yes, we can write a test to kill @mutant430 by mocking IndexableField and verifying that the removeField method removes the correct field.", "code": "import org.junit.Test;
import org.mockito.Mockito;
public class DocumentTest {
    @Test
    public void testRemoveField() {
        Document document = new Document();
        IndexableField field = Mockito.mock(IndexableField.class);
        Mockito.when(field.name()).thenReturn("fieldName");
        document.add(field);
        document.removeField("fieldName");
        Assert.assertNull(document.getField("fieldName"));
    }
}"}</v>
      </c>
      <c r="D137" s="9">
        <f ca="1">IFERROR(__xludf.DUMMYFUNCTION("""COMPUTED_VALUE"""),1)</f>
        <v>1</v>
      </c>
      <c r="E137" s="9" t="str">
        <f ca="1">IFERROR(__xludf.DUMMYFUNCTION("""COMPUTED_VALUE"""),"2024-01-10 15:21:35")</f>
        <v>2024-01-10 15:21:35</v>
      </c>
      <c r="F137" s="9">
        <f ca="1">IFERROR(__xludf.DUMMYFUNCTION("""COMPUTED_VALUE"""),238)</f>
        <v>238</v>
      </c>
      <c r="G137" s="9">
        <f ca="1">IFERROR(__xludf.DUMMYFUNCTION("""COMPUTED_VALUE"""),2)</f>
        <v>2</v>
      </c>
      <c r="H137" s="9" t="str">
        <f ca="1">IFERROR(__xludf.DUMMYFUNCTION("""COMPUTED_VALUE"""),"null")</f>
        <v>null</v>
      </c>
      <c r="I137" s="9" t="str">
        <f ca="1">IFERROR(__xludf.DUMMYFUNCTION("""COMPUTED_VALUE"""),"Y")</f>
        <v>Y</v>
      </c>
      <c r="J137" s="9" t="str">
        <f ca="1">IFERROR(__xludf.DUMMYFUNCTION("""COMPUTED_VALUE"""),"TEST")</f>
        <v>TEST</v>
      </c>
      <c r="K137" s="9" t="str">
        <f ca="1">IFERROR(__xludf.DUMMYFUNCTION("""COMPUTED_VALUE"""),"Specific mutant")</f>
        <v>Specific mutant</v>
      </c>
      <c r="L137" s="9">
        <f ca="1">IFERROR(__xludf.DUMMYFUNCTION("""COMPUTED_VALUE"""),430)</f>
        <v>430</v>
      </c>
      <c r="M137" s="9" t="str">
        <f ca="1">IFERROR(__xludf.DUMMYFUNCTION("""COMPUTED_VALUE"""),"removeField
")</f>
        <v xml:space="preserve">removeField
</v>
      </c>
      <c r="N137" s="9">
        <f ca="1">IFERROR(__xludf.DUMMYFUNCTION("counta(split(B137,"" ""))"),8)</f>
        <v>8</v>
      </c>
      <c r="O137" s="9">
        <f t="shared" ca="1" si="7"/>
        <v>64.207960870298507</v>
      </c>
    </row>
    <row r="138" spans="1:16" ht="15.75" customHeight="1">
      <c r="A138" s="9">
        <f ca="1">IFERROR(__xludf.DUMMYFUNCTION("""COMPUTED_VALUE"""),175)</f>
        <v>175</v>
      </c>
      <c r="B138" s="9" t="str">
        <f ca="1">IFERROR(__xludf.DUMMYFUNCTION("""COMPUTED_VALUE"""),"write a test to kill @mutant604 mocking IndexableField")</f>
        <v>write a test to kill @mutant604 mocking IndexableField</v>
      </c>
      <c r="C138" s="9" t="str">
        <f ca="1">IFERROR(__xludf.DUMMYFUNCTION("""COMPUTED_VALUE"""),"{
  ""answer"": ""Yes"",
  ""explanation"": ""We can write a test to kill @mutant604 by mocking the IndexableField and asserting that the modified behavior is incorrect."",
  ""code"": ""```java
@Test
public void testGetFields() {
  // Create a mock Index"&amp;"ableField
  IndexableField field = Mockito.mock(IndexableField.class);
  // Set up the mock behavior
  Mockito.when(field.name()).thenReturn(""name"");
  // Create a Document
  Document document = new Document();
  // Add the mock field to the document
  "&amp;"document.add(field);
  // Call the method under test
  IndexableField[] result = document.getFields(""name"");
  // Assert that the result is not empty
  Assert.assertNotNull(result);
}
```""
}")</f>
        <v>{
  "answer": "Yes",
  "explanation": "We can write a test to kill @mutant604 by mocking the IndexableField and asserting that the modified behavior is incorrect.",
  "code": "```java
@Test
public void testGetFields() {
  // Create a mock IndexableField
  IndexableField field = Mockito.mock(IndexableField.class);
  // Set up the mock behavior
  Mockito.when(field.name()).thenReturn("name");
  // Create a Document
  Document document = new Document();
  // Add the mock field to the document
  document.add(field);
  // Call the method under test
  IndexableField[] result = document.getFields("name");
  // Assert that the result is not empty
  Assert.assertNotNull(result);
}
```"
}</v>
      </c>
      <c r="D138" s="9">
        <f ca="1">IFERROR(__xludf.DUMMYFUNCTION("""COMPUTED_VALUE"""),1)</f>
        <v>1</v>
      </c>
      <c r="E138" s="9" t="str">
        <f ca="1">IFERROR(__xludf.DUMMYFUNCTION("""COMPUTED_VALUE"""),"2024-01-10 15:23:37")</f>
        <v>2024-01-10 15:23:37</v>
      </c>
      <c r="F138" s="9">
        <f ca="1">IFERROR(__xludf.DUMMYFUNCTION("""COMPUTED_VALUE"""),238)</f>
        <v>238</v>
      </c>
      <c r="G138" s="9">
        <f ca="1">IFERROR(__xludf.DUMMYFUNCTION("""COMPUTED_VALUE"""),2)</f>
        <v>2</v>
      </c>
      <c r="H138" s="9" t="str">
        <f ca="1">IFERROR(__xludf.DUMMYFUNCTION("""COMPUTED_VALUE"""),"null")</f>
        <v>null</v>
      </c>
      <c r="I138" s="9" t="str">
        <f ca="1">IFERROR(__xludf.DUMMYFUNCTION("""COMPUTED_VALUE"""),"Y")</f>
        <v>Y</v>
      </c>
      <c r="J138" s="9" t="str">
        <f ca="1">IFERROR(__xludf.DUMMYFUNCTION("""COMPUTED_VALUE"""),"TEST")</f>
        <v>TEST</v>
      </c>
      <c r="K138" s="9" t="str">
        <f ca="1">IFERROR(__xludf.DUMMYFUNCTION("""COMPUTED_VALUE"""),"Specific mutant")</f>
        <v>Specific mutant</v>
      </c>
      <c r="L138" s="9">
        <f ca="1">IFERROR(__xludf.DUMMYFUNCTION("""COMPUTED_VALUE"""),604)</f>
        <v>604</v>
      </c>
      <c r="M138" s="9" t="str">
        <f ca="1">IFERROR(__xludf.DUMMYFUNCTION("""COMPUTED_VALUE"""),"getFields_1
")</f>
        <v xml:space="preserve">getFields_1
</v>
      </c>
      <c r="N138" s="9">
        <f ca="1">IFERROR(__xludf.DUMMYFUNCTION("counta(split(B138,"" ""))"),8)</f>
        <v>8</v>
      </c>
      <c r="O138" s="9">
        <f t="shared" ca="1" si="7"/>
        <v>64.207960870298507</v>
      </c>
    </row>
    <row r="139" spans="1:16" ht="15.75" customHeight="1">
      <c r="A139" s="9">
        <f ca="1">IFERROR(__xludf.DUMMYFUNCTION("""COMPUTED_VALUE"""),193)</f>
        <v>193</v>
      </c>
      <c r="B139" s="9" t="str">
        <f ca="1">IFERROR(__xludf.DUMMYFUNCTION("""COMPUTED_VALUE"""),"is @mutant604 an equivalent mutant? if not write a test to kill it")</f>
        <v>is @mutant604 an equivalent mutant? if not write a test to kill it</v>
      </c>
      <c r="C139" s="9" t="str">
        <f ca="1">IFERROR(__xludf.DUMMYFUNCTION("""COMPUTED_VALUE"""),"{
  ""answer"": ""No"",
  ""explanation"": ""The mutant @mutant604 modifies the method getFields(String), which changes the behavior of the method and makes it not equivalent to the original implementation."",
  ""code"": ""public void testGetFields() {
 "&amp;" Document doc = new Document();
  doc.add(new StringField(""name"", ""John Doe"", Field.Store.YES));
  doc.add(new StringField(""name"", ""Jane Smith"", Field.Store.YES));
  IndexableField[] fields = doc.getFields(""name"");
  assertEquals(2, fields.lengt"&amp;"h);
}""
}")</f>
        <v>{
  "answer": "No",
  "explanation": "The mutant @mutant604 modifies the method getFields(String), which changes the behavior of the method and makes it not equivalent to the original implementation.",
  "code": "public void testGetFields() {
  Document doc = new Document();
  doc.add(new StringField("name", "John Doe", Field.Store.YES));
  doc.add(new StringField("name", "Jane Smith", Field.Store.YES));
  IndexableField[] fields = doc.getFields("name");
  assertEquals(2, fields.length);
}"
}</v>
      </c>
      <c r="D139" s="9">
        <f ca="1">IFERROR(__xludf.DUMMYFUNCTION("""COMPUTED_VALUE"""),1)</f>
        <v>1</v>
      </c>
      <c r="E139" s="9" t="str">
        <f ca="1">IFERROR(__xludf.DUMMYFUNCTION("""COMPUTED_VALUE"""),"2024-01-10 15:27:10")</f>
        <v>2024-01-10 15:27:10</v>
      </c>
      <c r="F139" s="9">
        <f ca="1">IFERROR(__xludf.DUMMYFUNCTION("""COMPUTED_VALUE"""),238)</f>
        <v>238</v>
      </c>
      <c r="G139" s="9">
        <f ca="1">IFERROR(__xludf.DUMMYFUNCTION("""COMPUTED_VALUE"""),2)</f>
        <v>2</v>
      </c>
      <c r="H139" s="9" t="str">
        <f ca="1">IFERROR(__xludf.DUMMYFUNCTION("""COMPUTED_VALUE"""),"null")</f>
        <v>null</v>
      </c>
      <c r="I139" s="9" t="str">
        <f ca="1">IFERROR(__xludf.DUMMYFUNCTION("""COMPUTED_VALUE"""),"Y")</f>
        <v>Y</v>
      </c>
      <c r="J139" s="9" t="str">
        <f ca="1">IFERROR(__xludf.DUMMYFUNCTION("""COMPUTED_VALUE"""),"TEST")</f>
        <v>TEST</v>
      </c>
      <c r="K139" s="9" t="str">
        <f ca="1">IFERROR(__xludf.DUMMYFUNCTION("""COMPUTED_VALUE"""),"Specific mutant")</f>
        <v>Specific mutant</v>
      </c>
      <c r="L139" s="9">
        <f ca="1">IFERROR(__xludf.DUMMYFUNCTION("""COMPUTED_VALUE"""),604)</f>
        <v>604</v>
      </c>
      <c r="M139" s="9" t="str">
        <f ca="1">IFERROR(__xludf.DUMMYFUNCTION("""COMPUTED_VALUE"""),"getFields_1
")</f>
        <v xml:space="preserve">getFields_1
</v>
      </c>
      <c r="N139" s="9">
        <f ca="1">IFERROR(__xludf.DUMMYFUNCTION("counta(split(B139,"" ""))"),13)</f>
        <v>13</v>
      </c>
      <c r="O139" s="9">
        <f t="shared" ca="1" si="7"/>
        <v>9.0780907404283919</v>
      </c>
    </row>
    <row r="140" spans="1:16" ht="15.75" customHeight="1">
      <c r="A140" s="9">
        <f ca="1">IFERROR(__xludf.DUMMYFUNCTION("""COMPUTED_VALUE"""),97)</f>
        <v>97</v>
      </c>
      <c r="B140" s="9" t="str">
        <f ca="1">IFERROR(__xludf.DUMMYFUNCTION("""COMPUTED_VALUE"""),"Explain the getBinaryValue method")</f>
        <v>Explain the getBinaryValue method</v>
      </c>
      <c r="C140" s="9" t="str">
        <f ca="1">IFERROR(__xludf.DUMMYFUNCTION("""COMPUTED_VALUE"""),"{
  ""answer"": ""The getBinaryValue method returns the binary value of the first field with the specified name in the document."",
  ""explanation"": ""The getBinaryValue method iterates through the fields in the document and returns the binary value of "&amp;"the first field that matches the specified name. If no matching field is found, it returns null."",
  ""code"": ""BytesRef binaryValue = document.getBinaryValue(""fieldName"");""
}")</f>
        <v>{
  "answer": "The getBinaryValue method returns the binary value of the first field with the specified name in the document.",
  "explanation": "The getBinaryValue method iterates through the fields in the document and returns the binary value of the first field that matches the specified name. If no matching field is found, it returns null.",
  "code": "BytesRef binaryValue = document.getBinaryValue("fieldName");"
}</v>
      </c>
      <c r="D140" s="9">
        <f ca="1">IFERROR(__xludf.DUMMYFUNCTION("""COMPUTED_VALUE"""),1)</f>
        <v>1</v>
      </c>
      <c r="E140" s="9" t="str">
        <f ca="1">IFERROR(__xludf.DUMMYFUNCTION("""COMPUTED_VALUE"""),"2024-01-10 15:03:24")</f>
        <v>2024-01-10 15:03:24</v>
      </c>
      <c r="F140" s="9">
        <f ca="1">IFERROR(__xludf.DUMMYFUNCTION("""COMPUTED_VALUE"""),239)</f>
        <v>239</v>
      </c>
      <c r="G140" s="9">
        <f ca="1">IFERROR(__xludf.DUMMYFUNCTION("""COMPUTED_VALUE"""),2)</f>
        <v>2</v>
      </c>
      <c r="H140" s="9">
        <f ca="1">IFERROR(__xludf.DUMMYFUNCTION("""COMPUTED_VALUE"""),0)</f>
        <v>0</v>
      </c>
      <c r="I140" s="9" t="str">
        <f ca="1">IFERROR(__xludf.DUMMYFUNCTION("""COMPUTED_VALUE"""),"Y")</f>
        <v>Y</v>
      </c>
      <c r="J140" s="9" t="str">
        <f ca="1">IFERROR(__xludf.DUMMYFUNCTION("""COMPUTED_VALUE"""),"OTHER")</f>
        <v>OTHER</v>
      </c>
      <c r="K140" s="9" t="str">
        <f ca="1">IFERROR(__xludf.DUMMYFUNCTION("""COMPUTED_VALUE"""),"Code under test")</f>
        <v>Code under test</v>
      </c>
      <c r="L140" s="9"/>
      <c r="M140" s="9"/>
      <c r="N140" s="9">
        <f ca="1">IFERROR(__xludf.DUMMYFUNCTION("counta(split(B140,"" ""))"),4)</f>
        <v>4</v>
      </c>
      <c r="O140" s="9">
        <f t="shared" ca="1" si="7"/>
        <v>144.3118569741946</v>
      </c>
    </row>
    <row r="141" spans="1:16" ht="15.75" customHeight="1">
      <c r="A141" s="9">
        <f ca="1">IFERROR(__xludf.DUMMYFUNCTION("""COMPUTED_VALUE"""),100)</f>
        <v>100</v>
      </c>
      <c r="B141" s="9" t="str">
        <f ca="1">IFERROR(__xludf.DUMMYFUNCTION("""COMPUTED_VALUE"""),"Write a test for getBinaryValue")</f>
        <v>Write a test for getBinaryValue</v>
      </c>
      <c r="C141" s="9" t="str">
        <f ca="1">IFERROR(__xludf.DUMMYFUNCTION("""COMPUTED_VALUE"""),"{
  ""answer"": ""Yes"",
  ""explanation"": ""Yes, a test can be written for the getBinaryValue method."",
  ""code"": ""public void testGetBinaryValue() {
  Document document = new Document();
  document.add(new StoredField(""binaryField"", new BytesRef("&amp;"""binaryValue"")));
  BytesRef binaryValue = document.getBinaryValue(""binaryField"");
  assertNotNull(binaryValue);
  assertEquals(""binaryValue"", binaryValue.utf8ToString());
}""
}")</f>
        <v>{
  "answer": "Yes",
  "explanation": "Yes, a test can be written for the getBinaryValue method.",
  "code": "public void testGetBinaryValue() {
  Document document = new Document();
  document.add(new StoredField("binaryField", new BytesRef("binaryValue")));
  BytesRef binaryValue = document.getBinaryValue("binaryField");
  assertNotNull(binaryValue);
  assertEquals("binaryValue", binaryValue.utf8ToString());
}"
}</v>
      </c>
      <c r="D141" s="9">
        <f ca="1">IFERROR(__xludf.DUMMYFUNCTION("""COMPUTED_VALUE"""),1)</f>
        <v>1</v>
      </c>
      <c r="E141" s="9" t="str">
        <f ca="1">IFERROR(__xludf.DUMMYFUNCTION("""COMPUTED_VALUE"""),"2024-01-10 15:04:25")</f>
        <v>2024-01-10 15:04:25</v>
      </c>
      <c r="F141" s="9">
        <f ca="1">IFERROR(__xludf.DUMMYFUNCTION("""COMPUTED_VALUE"""),239)</f>
        <v>239</v>
      </c>
      <c r="G141" s="9">
        <f ca="1">IFERROR(__xludf.DUMMYFUNCTION("""COMPUTED_VALUE"""),2)</f>
        <v>2</v>
      </c>
      <c r="H141" s="9" t="str">
        <f ca="1">IFERROR(__xludf.DUMMYFUNCTION("""COMPUTED_VALUE"""),"null")</f>
        <v>null</v>
      </c>
      <c r="I141" s="9" t="str">
        <f ca="1">IFERROR(__xludf.DUMMYFUNCTION("""COMPUTED_VALUE"""),"Y")</f>
        <v>Y</v>
      </c>
      <c r="J141" s="9" t="str">
        <f ca="1">IFERROR(__xludf.DUMMYFUNCTION("""COMPUTED_VALUE"""),"TEST")</f>
        <v>TEST</v>
      </c>
      <c r="K141" s="9" t="str">
        <f ca="1">IFERROR(__xludf.DUMMYFUNCTION("""COMPUTED_VALUE"""),"Specific method")</f>
        <v>Specific method</v>
      </c>
      <c r="L141" s="9" t="str">
        <f ca="1">IFERROR(__xludf.DUMMYFUNCTION("""COMPUTED_VALUE"""),"getBinaryValue")</f>
        <v>getBinaryValue</v>
      </c>
      <c r="M141" s="9" t="str">
        <f ca="1">IFERROR(__xludf.DUMMYFUNCTION("""COMPUTED_VALUE"""),"getBinaryValue")</f>
        <v>getBinaryValue</v>
      </c>
      <c r="N141" s="9">
        <f ca="1">IFERROR(__xludf.DUMMYFUNCTION("counta(split(B141,"" ""))"),5)</f>
        <v>5</v>
      </c>
      <c r="O141" s="9">
        <f t="shared" ca="1" si="7"/>
        <v>121.28588294822057</v>
      </c>
      <c r="P141" s="9" t="s">
        <v>689</v>
      </c>
    </row>
    <row r="142" spans="1:16" ht="15.75" customHeight="1">
      <c r="A142" s="9">
        <f ca="1">IFERROR(__xludf.DUMMYFUNCTION("""COMPUTED_VALUE"""),104)</f>
        <v>104</v>
      </c>
      <c r="B142" s="9" t="str">
        <f ca="1">IFERROR(__xludf.DUMMYFUNCTION("""COMPUTED_VALUE"""),"Write a test for getBinaryValue using mocks")</f>
        <v>Write a test for getBinaryValue using mocks</v>
      </c>
      <c r="C142" s="9" t="str">
        <f ca="1">IFERROR(__xludf.DUMMYFUNCTION("""COMPUTED_VALUE"""),"{
  ""answer"": ""Yes, it is possible to write a test for getBinaryValue using mocks."",
  ""explanation"": ""By using a mocking framework like Mockito, we can create a mock Document object and set up expectations for the getField and binaryValue methods "&amp;"to return the desired values."",
  ""code"": ""import org.junit.Test;
import org.mockito.Mock;
import static org.mockito.Mockito.*;
public class DocumentTest {
  @Mock
  private Document document;
  @Test
  public void testGetBinaryValue() {
    // Cre"&amp;"ate a mock Document object
    document = mock(Document.class);
    // Set up expectations for getField and binaryValue methods
    when(document.getField(""fieldName"")).thenReturn(mock(IndexableField.class));
    when(document.getField(""fieldName"").b"&amp;"inaryValue()).thenReturn(mock(BytesRef.class));
    // Call the method under test
    BytesRef result = document.getBinaryValue(""fieldName"");
    // Assert the result
    assertNotNull(result);
  }
}""
}")</f>
        <v>{
  "answer": "Yes, it is possible to write a test for getBinaryValue using mocks.",
  "explanation": "By using a mocking framework like Mockito, we can create a mock Document object and set up expectations for the getField and binaryValue methods to return the desired values.",
  "code": "import org.junit.Test;
import org.mockito.Mock;
import static org.mockito.Mockito.*;
public class DocumentTest {
  @Mock
  private Document document;
  @Test
  public void testGetBinaryValue() {
    // Create a mock Document object
    document = mock(Document.class);
    // Set up expectations for getField and binaryValue methods
    when(document.getField("fieldName")).thenReturn(mock(IndexableField.class));
    when(document.getField("fieldName").binaryValue()).thenReturn(mock(BytesRef.class));
    // Call the method under test
    BytesRef result = document.getBinaryValue("fieldName");
    // Assert the result
    assertNotNull(result);
  }
}"
}</v>
      </c>
      <c r="D142" s="9">
        <f ca="1">IFERROR(__xludf.DUMMYFUNCTION("""COMPUTED_VALUE"""),1)</f>
        <v>1</v>
      </c>
      <c r="E142" s="9" t="str">
        <f ca="1">IFERROR(__xludf.DUMMYFUNCTION("""COMPUTED_VALUE"""),"2024-01-10 15:05:52")</f>
        <v>2024-01-10 15:05:52</v>
      </c>
      <c r="F142" s="9">
        <f ca="1">IFERROR(__xludf.DUMMYFUNCTION("""COMPUTED_VALUE"""),239)</f>
        <v>239</v>
      </c>
      <c r="G142" s="9">
        <f ca="1">IFERROR(__xludf.DUMMYFUNCTION("""COMPUTED_VALUE"""),2)</f>
        <v>2</v>
      </c>
      <c r="H142" s="9" t="str">
        <f ca="1">IFERROR(__xludf.DUMMYFUNCTION("""COMPUTED_VALUE"""),"null")</f>
        <v>null</v>
      </c>
      <c r="I142" s="9" t="str">
        <f ca="1">IFERROR(__xludf.DUMMYFUNCTION("""COMPUTED_VALUE"""),"Y")</f>
        <v>Y</v>
      </c>
      <c r="J142" s="9" t="str">
        <f ca="1">IFERROR(__xludf.DUMMYFUNCTION("""COMPUTED_VALUE"""),"TEST")</f>
        <v>TEST</v>
      </c>
      <c r="K142" s="9" t="str">
        <f ca="1">IFERROR(__xludf.DUMMYFUNCTION("""COMPUTED_VALUE"""),"Specific method")</f>
        <v>Specific method</v>
      </c>
      <c r="L142" s="9" t="str">
        <f ca="1">IFERROR(__xludf.DUMMYFUNCTION("""COMPUTED_VALUE"""),"getBinaryValue")</f>
        <v>getBinaryValue</v>
      </c>
      <c r="M142" s="9" t="str">
        <f ca="1">IFERROR(__xludf.DUMMYFUNCTION("""COMPUTED_VALUE"""),"getBinaryValue")</f>
        <v>getBinaryValue</v>
      </c>
      <c r="N142" s="9">
        <f ca="1">IFERROR(__xludf.DUMMYFUNCTION("counta(split(B142,"" ""))"),7)</f>
        <v>7</v>
      </c>
      <c r="O142" s="9">
        <f t="shared" ca="1" si="7"/>
        <v>81.23393489627253</v>
      </c>
    </row>
    <row r="143" spans="1:16" ht="15.75" customHeight="1">
      <c r="A143" s="9">
        <f ca="1">IFERROR(__xludf.DUMMYFUNCTION("""COMPUTED_VALUE"""),138)</f>
        <v>138</v>
      </c>
      <c r="B143" s="9" t="str">
        <f ca="1">IFERROR(__xludf.DUMMYFUNCTION("""COMPUTED_VALUE"""),"Why is the test
 Document document = mock(Document.class);
    IndexableField i = mock(IndexableField.class);
    BytesRef b = mock(BytesRef.class);
    when(document.getField(""fieldName"")).thenReturn(i);
    when(i.binaryValue()).thenReturn(b);
   "&amp;" BytesRef result = document.getBinaryValue(""fieldName""); 
failing")</f>
        <v>Why is the test
 Document document = mock(Document.class);
    IndexableField i = mock(IndexableField.class);
    BytesRef b = mock(BytesRef.class);
    when(document.getField("fieldName")).thenReturn(i);
    when(i.binaryValue()).thenReturn(b);
    BytesRef result = document.getBinaryValue("fieldName"); 
failing</v>
      </c>
      <c r="C143" s="9" t="str">
        <f ca="1">IFERROR(__xludf.DUMMYFUNCTION("""COMPUTED_VALUE"""),"{
  ""answer"": ""The test is failing because the mock object 'i' is not being added to the 'fields' list of the Document object."",
  ""explanation"": ""In the given code, the 'getField' method of the Document class is returning the mock object 'i', but "&amp;"the 'fields' list of the Document object is empty, so the 'getBinaryValue' method is not able to find the field with the specified name and returning null."",
  ""code"": ""Document document = mock(Document.class);
IndexableField i = mock(IndexableField.c"&amp;"lass);
BytesRef b = mock(BytesRef.class);
when(document.getField(""fieldName"")).thenReturn(i);
when(i.binaryValue()).thenReturn(b);
BytesRef result = document.getBinaryValue(""fieldName"");""
}")</f>
        <v>{
  "answer": "The test is failing because the mock object 'i' is not being added to the 'fields' list of the Document object.",
  "explanation": "In the given code, the 'getField' method of the Document class is returning the mock object 'i', but the 'fields' list of the Document object is empty, so the 'getBinaryValue' method is not able to find the field with the specified name and returning null.",
  "code": "Document document = mock(Document.class);
IndexableField i = mock(IndexableField.class);
BytesRef b = mock(BytesRef.class);
when(document.getField("fieldName")).thenReturn(i);
when(i.binaryValue()).thenReturn(b);
BytesRef result = document.getBinaryValue("fieldName");"
}</v>
      </c>
      <c r="D143" s="9">
        <f ca="1">IFERROR(__xludf.DUMMYFUNCTION("""COMPUTED_VALUE"""),0)</f>
        <v>0</v>
      </c>
      <c r="E143" s="9" t="str">
        <f ca="1">IFERROR(__xludf.DUMMYFUNCTION("""COMPUTED_VALUE"""),"2024-01-10 15:14:55")</f>
        <v>2024-01-10 15:14:55</v>
      </c>
      <c r="F143" s="9">
        <f ca="1">IFERROR(__xludf.DUMMYFUNCTION("""COMPUTED_VALUE"""),239)</f>
        <v>239</v>
      </c>
      <c r="G143" s="9">
        <f ca="1">IFERROR(__xludf.DUMMYFUNCTION("""COMPUTED_VALUE"""),2)</f>
        <v>2</v>
      </c>
      <c r="H143" s="9" t="str">
        <f ca="1">IFERROR(__xludf.DUMMYFUNCTION("""COMPUTED_VALUE"""),"null")</f>
        <v>null</v>
      </c>
      <c r="I143" s="9" t="str">
        <f ca="1">IFERROR(__xludf.DUMMYFUNCTION("""COMPUTED_VALUE"""),"Y")</f>
        <v>Y</v>
      </c>
      <c r="J143" s="9" t="str">
        <f ca="1">IFERROR(__xludf.DUMMYFUNCTION("""COMPUTED_VALUE"""),"TEST")</f>
        <v>TEST</v>
      </c>
      <c r="K143" s="9" t="str">
        <f ca="1">IFERROR(__xludf.DUMMYFUNCTION("""COMPUTED_VALUE"""),"Other")</f>
        <v>Other</v>
      </c>
      <c r="L143" s="9"/>
      <c r="M143" s="9"/>
      <c r="N143" s="9">
        <f ca="1">IFERROR(__xludf.DUMMYFUNCTION("counta(split(B143,"" ""))"),24)</f>
        <v>24</v>
      </c>
      <c r="O143" s="9">
        <f t="shared" ca="1" si="7"/>
        <v>63.792376454714145</v>
      </c>
    </row>
    <row r="144" spans="1:16" ht="15.75" customHeight="1">
      <c r="A144" s="9">
        <f ca="1">IFERROR(__xludf.DUMMYFUNCTION("""COMPUTED_VALUE"""),144)</f>
        <v>144</v>
      </c>
      <c r="B144" s="9" t="str">
        <f ca="1">IFERROR(__xludf.DUMMYFUNCTION("""COMPUTED_VALUE"""),"Rewrite the test
Document document = mock(Document.class);
    IndexableField i = mock(IndexableField.class);
    BytesRef b = mock(BytesRef.class);
    when(document.getField(""fieldName"")).thenReturn(i);
    when(i.binaryValue()).thenReturn(b);
   "&amp;" BytesRef result = document.getBinaryValue(""fieldName"");
    assertNotNull(result);
 so it will work")</f>
        <v>Rewrite the test
Document document = mock(Document.class);
    IndexableField i = mock(IndexableField.class);
    BytesRef b = mock(BytesRef.class);
    when(document.getField("fieldName")).thenReturn(i);
    when(i.binaryValue()).thenReturn(b);
    BytesRef result = document.getBinaryValue("fieldName");
    assertNotNull(result);
 so it will work</v>
      </c>
      <c r="C144" s="9" t="str">
        <f ca="1">IFERROR(__xludf.DUMMYFUNCTION("""COMPUTED_VALUE"""),"{
  ""answer"": ""The test can be rewritten using Mockito to mock the Document class and its methods."",
  ""explanation"": ""The test can be rewritten using Mockito to mock the Document class and its methods. The getField method can be mocked to return a"&amp;" mock IndexableField object, and the binaryValue method can be mocked to return a mock BytesRef object. Finally, the getBinaryValue method can be called on the mock Document object to retrieve the result."",
  ""code"": ""Document document = mock(Document"&amp;".class);
IndexableField i = mock(IndexableField.class);
BytesRef b = mock(BytesRef.class);
when(document.getField(""fieldName"")).thenReturn(i);
when(i.binaryValue()).thenReturn(b);
BytesRef result = document.getBinaryValue(""fieldName"");
assertNotNull"&amp;"(result);""
}")</f>
        <v>{
  "answer": "The test can be rewritten using Mockito to mock the Document class and its methods.",
  "explanation": "The test can be rewritten using Mockito to mock the Document class and its methods. The getField method can be mocked to return a mock IndexableField object, and the binaryValue method can be mocked to return a mock BytesRef object. Finally, the getBinaryValue method can be called on the mock Document object to retrieve the result.",
  "code": "Document document = mock(Document.class);
IndexableField i = mock(IndexableField.class);
BytesRef b = mock(BytesRef.class);
when(document.getField("fieldName")).thenReturn(i);
when(i.binaryValue()).thenReturn(b);
BytesRef result = document.getBinaryValue("fieldName");
assertNotNull(result);"
}</v>
      </c>
      <c r="D144" s="9">
        <f ca="1">IFERROR(__xludf.DUMMYFUNCTION("""COMPUTED_VALUE"""),1)</f>
        <v>1</v>
      </c>
      <c r="E144" s="9" t="str">
        <f ca="1">IFERROR(__xludf.DUMMYFUNCTION("""COMPUTED_VALUE"""),"2024-01-10 15:16:20")</f>
        <v>2024-01-10 15:16:20</v>
      </c>
      <c r="F144" s="9">
        <f ca="1">IFERROR(__xludf.DUMMYFUNCTION("""COMPUTED_VALUE"""),239)</f>
        <v>239</v>
      </c>
      <c r="G144" s="9">
        <f ca="1">IFERROR(__xludf.DUMMYFUNCTION("""COMPUTED_VALUE"""),2)</f>
        <v>2</v>
      </c>
      <c r="H144" s="9" t="str">
        <f ca="1">IFERROR(__xludf.DUMMYFUNCTION("""COMPUTED_VALUE"""),"null")</f>
        <v>null</v>
      </c>
      <c r="I144" s="9" t="str">
        <f ca="1">IFERROR(__xludf.DUMMYFUNCTION("""COMPUTED_VALUE"""),"Y")</f>
        <v>Y</v>
      </c>
      <c r="J144" s="9" t="str">
        <f ca="1">IFERROR(__xludf.DUMMYFUNCTION("""COMPUTED_VALUE"""),"TEST")</f>
        <v>TEST</v>
      </c>
      <c r="K144" s="9" t="str">
        <f ca="1">IFERROR(__xludf.DUMMYFUNCTION("""COMPUTED_VALUE"""),"Other")</f>
        <v>Other</v>
      </c>
      <c r="L144" s="9"/>
      <c r="M144" s="9"/>
      <c r="N144" s="9">
        <f ca="1">IFERROR(__xludf.DUMMYFUNCTION("counta(split(B144,"" ""))"),27)</f>
        <v>27</v>
      </c>
      <c r="O144" s="9">
        <f t="shared" ca="1" si="7"/>
        <v>120.71445437679208</v>
      </c>
    </row>
    <row r="145" spans="1:16" ht="15.75" customHeight="1">
      <c r="A145" s="9">
        <f ca="1">IFERROR(__xludf.DUMMYFUNCTION("""COMPUTED_VALUE"""),96)</f>
        <v>96</v>
      </c>
      <c r="B145" s="9" t="str">
        <f ca="1">IFERROR(__xludf.DUMMYFUNCTION("""COMPUTED_VALUE"""),"What does the Document class do?")</f>
        <v>What does the Document class do?</v>
      </c>
      <c r="C145" s="9" t="str">
        <f ca="1">IFERROR(__xludf.DUMMYFUNCTION("""COMPUTED_VALUE"""),"{""answer"": ""The Document class represents a unit of indexing and search in a search engine."", ""explanation"": ""The Document class is used to create and manipulate documents in a search engine. It allows adding, removing, and retrieving fields from a"&amp;" document."", ""code"": ""Document doc = new Document();
doc.add(new StringField(""title"", ""Example Document"", Field.Store.YES));
doc.add(new TextField(""content"", ""This is an example document."", Field.Store.YES));""}")</f>
        <v>{"answer": "The Document class represents a unit of indexing and search in a search engine.", "explanation": "The Document class is used to create and manipulate documents in a search engine. It allows adding, removing, and retrieving fields from a document.", "code": "Document doc = new Document();
doc.add(new StringField("title", "Example Document", Field.Store.YES));
doc.add(new TextField("content", "This is an example document.", Field.Store.YES));"}</v>
      </c>
      <c r="D145" s="9">
        <f ca="1">IFERROR(__xludf.DUMMYFUNCTION("""COMPUTED_VALUE"""),0)</f>
        <v>0</v>
      </c>
      <c r="E145" s="9" t="str">
        <f ca="1">IFERROR(__xludf.DUMMYFUNCTION("""COMPUTED_VALUE"""),"2024-01-10 15:03:03")</f>
        <v>2024-01-10 15:03:03</v>
      </c>
      <c r="F145" s="9">
        <f ca="1">IFERROR(__xludf.DUMMYFUNCTION("""COMPUTED_VALUE"""),241)</f>
        <v>241</v>
      </c>
      <c r="G145" s="9">
        <f ca="1">IFERROR(__xludf.DUMMYFUNCTION("""COMPUTED_VALUE"""),2)</f>
        <v>2</v>
      </c>
      <c r="H145" s="9" t="str">
        <f ca="1">IFERROR(__xludf.DUMMYFUNCTION("""COMPUTED_VALUE"""),"null")</f>
        <v>null</v>
      </c>
      <c r="I145" s="9" t="str">
        <f ca="1">IFERROR(__xludf.DUMMYFUNCTION("""COMPUTED_VALUE"""),"Y")</f>
        <v>Y</v>
      </c>
      <c r="J145" s="9" t="str">
        <f ca="1">IFERROR(__xludf.DUMMYFUNCTION("""COMPUTED_VALUE"""),"OTHER")</f>
        <v>OTHER</v>
      </c>
      <c r="K145" s="9" t="str">
        <f ca="1">IFERROR(__xludf.DUMMYFUNCTION("""COMPUTED_VALUE"""),"Code under test")</f>
        <v>Code under test</v>
      </c>
      <c r="L145" s="9"/>
      <c r="M145" s="9"/>
      <c r="N145" s="9">
        <f ca="1">IFERROR(__xludf.DUMMYFUNCTION("counta(split(B145,"" ""))"),6)</f>
        <v>6</v>
      </c>
      <c r="O145" s="9">
        <f t="shared" ca="1" si="7"/>
        <v>100.25990892224655</v>
      </c>
    </row>
    <row r="146" spans="1:16" ht="15.75" customHeight="1">
      <c r="A146" s="9">
        <f ca="1">IFERROR(__xludf.DUMMYFUNCTION("""COMPUTED_VALUE"""),107)</f>
        <v>107</v>
      </c>
      <c r="B146" s="9" t="str">
        <f ca="1">IFERROR(__xludf.DUMMYFUNCTION("""COMPUTED_VALUE"""),"What does mutant @mutant374 do?")</f>
        <v>What does mutant @mutant374 do?</v>
      </c>
      <c r="C146" s="9" t="str">
        <f ca="1">IFERROR(__xludf.DUMMYFUNCTION("""COMPUTED_VALUE"""),"{""answer"": ""Mutant @mutant374 modifies the method iterator()."", ""explanation"": ""Mutant @mutant374 modifies the implementation of the iterator() method in the Document class."", ""code"": ""public Iterator&lt;IndexableField&gt; iterator() {
  // Mutated c"&amp;"ode
  return fields.iterator();
}""}")</f>
        <v>{"answer": "Mutant @mutant374 modifies the method iterator().", "explanation": "Mutant @mutant374 modifies the implementation of the iterator() method in the Document class.", "code": "public Iterator&lt;IndexableField&gt; iterator() {
  // Mutated code
  return fields.iterator();
}"}</v>
      </c>
      <c r="D146" s="9">
        <f ca="1">IFERROR(__xludf.DUMMYFUNCTION("""COMPUTED_VALUE"""),0)</f>
        <v>0</v>
      </c>
      <c r="E146" s="9" t="str">
        <f ca="1">IFERROR(__xludf.DUMMYFUNCTION("""COMPUTED_VALUE"""),"2024-01-10 15:06:13")</f>
        <v>2024-01-10 15:06:13</v>
      </c>
      <c r="F146" s="9">
        <f ca="1">IFERROR(__xludf.DUMMYFUNCTION("""COMPUTED_VALUE"""),241)</f>
        <v>241</v>
      </c>
      <c r="G146" s="9">
        <f ca="1">IFERROR(__xludf.DUMMYFUNCTION("""COMPUTED_VALUE"""),2)</f>
        <v>2</v>
      </c>
      <c r="H146" s="9">
        <f ca="1">IFERROR(__xludf.DUMMYFUNCTION("""COMPUTED_VALUE"""),0)</f>
        <v>0</v>
      </c>
      <c r="I146" s="9" t="str">
        <f ca="1">IFERROR(__xludf.DUMMYFUNCTION("""COMPUTED_VALUE"""),"Y")</f>
        <v>Y</v>
      </c>
      <c r="J146" s="9" t="str">
        <f ca="1">IFERROR(__xludf.DUMMYFUNCTION("""COMPUTED_VALUE"""),"MUTANT")</f>
        <v>MUTANT</v>
      </c>
      <c r="K146" s="9" t="str">
        <f ca="1">IFERROR(__xludf.DUMMYFUNCTION("""COMPUTED_VALUE"""),"Other")</f>
        <v>Other</v>
      </c>
      <c r="L146" s="9"/>
      <c r="M146" s="9"/>
      <c r="N146" s="9">
        <f ca="1">IFERROR(__xludf.DUMMYFUNCTION("counta(split(B146,"" ""))"),5)</f>
        <v>5</v>
      </c>
      <c r="O146" s="9">
        <f t="shared" ca="1" si="7"/>
        <v>121.28588294822057</v>
      </c>
    </row>
    <row r="147" spans="1:16" ht="15.75" customHeight="1">
      <c r="A147" s="9">
        <f ca="1">IFERROR(__xludf.DUMMYFUNCTION("""COMPUTED_VALUE"""),191)</f>
        <v>191</v>
      </c>
      <c r="B147" s="9" t="str">
        <f ca="1">IFERROR(__xludf.DUMMYFUNCTION("""COMPUTED_VALUE"""),"What would be a test for @mutant448?")</f>
        <v>What would be a test for @mutant448?</v>
      </c>
      <c r="C147" s="9" t="str">
        <f ca="1">IFERROR(__xludf.DUMMYFUNCTION("""COMPUTED_VALUE"""),"{
  ""answer"": ""A test for @mutant448 would be to add a field with the specified name and then remove it using the removeField method, and then check if the field is successfully removed from the document."",
  ""explanation"": ""The mutant changes the "&amp;"condition in the getBinaryValue method, so it will only return the binary field value if the field name is equal to the specified name concatenated with a space. Therefore, a test should verify that the field is correctly removed when using the removeFiel"&amp;"d method."",
  ""code"": ""Document document = new Document();
String fieldName = ""myField"";
String fieldValue = ""myValue"";
Field field = new StringField(fieldName, fieldValue, Field.Store.YES);
document.add(field);
document.removeField(fieldName);
"&amp;"
IndexableField removedField = document.getField(fieldName);
assertNull(removedField);""
}")</f>
        <v>{
  "answer": "A test for @mutant448 would be to add a field with the specified name and then remove it using the removeField method, and then check if the field is successfully removed from the document.",
  "explanation": "The mutant changes the condition in the getBinaryValue method, so it will only return the binary field value if the field name is equal to the specified name concatenated with a space. Therefore, a test should verify that the field is correctly removed when using the removeField method.",
  "code": "Document document = new Document();
String fieldName = "myField";
String fieldValue = "myValue";
Field field = new StringField(fieldName, fieldValue, Field.Store.YES);
document.add(field);
document.removeField(fieldName);
IndexableField removedField = document.getField(fieldName);
assertNull(removedField);"
}</v>
      </c>
      <c r="D147" s="9">
        <f ca="1">IFERROR(__xludf.DUMMYFUNCTION("""COMPUTED_VALUE"""),0)</f>
        <v>0</v>
      </c>
      <c r="E147" s="9" t="str">
        <f ca="1">IFERROR(__xludf.DUMMYFUNCTION("""COMPUTED_VALUE"""),"2024-01-10 15:26:22")</f>
        <v>2024-01-10 15:26:22</v>
      </c>
      <c r="F147" s="9">
        <f ca="1">IFERROR(__xludf.DUMMYFUNCTION("""COMPUTED_VALUE"""),241)</f>
        <v>241</v>
      </c>
      <c r="G147" s="9">
        <f ca="1">IFERROR(__xludf.DUMMYFUNCTION("""COMPUTED_VALUE"""),2)</f>
        <v>2</v>
      </c>
      <c r="H147" s="9" t="str">
        <f ca="1">IFERROR(__xludf.DUMMYFUNCTION("""COMPUTED_VALUE"""),"null")</f>
        <v>null</v>
      </c>
      <c r="I147" s="9" t="str">
        <f ca="1">IFERROR(__xludf.DUMMYFUNCTION("""COMPUTED_VALUE"""),"Y")</f>
        <v>Y</v>
      </c>
      <c r="J147" s="9" t="str">
        <f ca="1">IFERROR(__xludf.DUMMYFUNCTION("""COMPUTED_VALUE"""),"TEST")</f>
        <v>TEST</v>
      </c>
      <c r="K147" s="9" t="str">
        <f ca="1">IFERROR(__xludf.DUMMYFUNCTION("""COMPUTED_VALUE"""),"Specific mutant")</f>
        <v>Specific mutant</v>
      </c>
      <c r="L147" s="9">
        <f ca="1">IFERROR(__xludf.DUMMYFUNCTION("""COMPUTED_VALUE"""),448)</f>
        <v>448</v>
      </c>
      <c r="M147" s="9" t="str">
        <f ca="1">IFERROR(__xludf.DUMMYFUNCTION("""COMPUTED_VALUE"""),"getBinaryValue
")</f>
        <v xml:space="preserve">getBinaryValue
</v>
      </c>
      <c r="N147" s="9">
        <f ca="1">IFERROR(__xludf.DUMMYFUNCTION("counta(split(B147,"" ""))"),7)</f>
        <v>7</v>
      </c>
      <c r="O147" s="9">
        <f t="shared" ca="1" si="7"/>
        <v>81.23393489627253</v>
      </c>
      <c r="P147" s="9" t="s">
        <v>689</v>
      </c>
    </row>
    <row r="148" spans="1:16" ht="15.75" customHeight="1">
      <c r="A148" s="9">
        <f ca="1">IFERROR(__xludf.DUMMYFUNCTION("""COMPUTED_VALUE"""),195)</f>
        <v>195</v>
      </c>
      <c r="B148" s="9" t="str">
        <f ca="1">IFERROR(__xludf.DUMMYFUNCTION("""COMPUTED_VALUE"""),"What would be a test for mutant @mutant430?")</f>
        <v>What would be a test for mutant @mutant430?</v>
      </c>
      <c r="C148" s="9" t="str">
        <f ca="1">IFERROR(__xludf.DUMMYFUNCTION("""COMPUTED_VALUE"""),"{
  ""answer"": ""Test if the field with the specified name is removed from the document."",
  ""explanation"": ""The test should verify that the field with the specified name is no longer present in the document after calling the removeField(String) meth"&amp;"od."",
  ""code"": ""Document document = new Document();
// Add a field
document.add(new StringField(""name"", ""John Doe"", Field.Store.YES));
// Remove the field
document.removeField(""name"");
// Verify that the field is no longer present
assertNull"&amp;"(document.getField(""name""));""
}")</f>
        <v>{
  "answer": "Test if the field with the specified name is removed from the document.",
  "explanation": "The test should verify that the field with the specified name is no longer present in the document after calling the removeField(String) method.",
  "code": "Document document = new Document();
// Add a field
document.add(new StringField("name", "John Doe", Field.Store.YES));
// Remove the field
document.removeField("name");
// Verify that the field is no longer present
assertNull(document.getField("name"));"
}</v>
      </c>
      <c r="D148" s="9">
        <f ca="1">IFERROR(__xludf.DUMMYFUNCTION("""COMPUTED_VALUE"""),0)</f>
        <v>0</v>
      </c>
      <c r="E148" s="9" t="str">
        <f ca="1">IFERROR(__xludf.DUMMYFUNCTION("""COMPUTED_VALUE"""),"2024-01-10 15:27:17")</f>
        <v>2024-01-10 15:27:17</v>
      </c>
      <c r="F148" s="9">
        <f ca="1">IFERROR(__xludf.DUMMYFUNCTION("""COMPUTED_VALUE"""),241)</f>
        <v>241</v>
      </c>
      <c r="G148" s="9">
        <f ca="1">IFERROR(__xludf.DUMMYFUNCTION("""COMPUTED_VALUE"""),2)</f>
        <v>2</v>
      </c>
      <c r="H148" s="9" t="str">
        <f ca="1">IFERROR(__xludf.DUMMYFUNCTION("""COMPUTED_VALUE"""),"null")</f>
        <v>null</v>
      </c>
      <c r="I148" s="9" t="str">
        <f ca="1">IFERROR(__xludf.DUMMYFUNCTION("""COMPUTED_VALUE"""),"Y")</f>
        <v>Y</v>
      </c>
      <c r="J148" s="9" t="str">
        <f ca="1">IFERROR(__xludf.DUMMYFUNCTION("""COMPUTED_VALUE"""),"TEST")</f>
        <v>TEST</v>
      </c>
      <c r="K148" s="9" t="str">
        <f ca="1">IFERROR(__xludf.DUMMYFUNCTION("""COMPUTED_VALUE"""),"Specific mutant")</f>
        <v>Specific mutant</v>
      </c>
      <c r="L148" s="9">
        <f ca="1">IFERROR(__xludf.DUMMYFUNCTION("""COMPUTED_VALUE"""),430)</f>
        <v>430</v>
      </c>
      <c r="M148" s="9" t="str">
        <f ca="1">IFERROR(__xludf.DUMMYFUNCTION("""COMPUTED_VALUE"""),"removeField
")</f>
        <v xml:space="preserve">removeField
</v>
      </c>
      <c r="N148" s="9">
        <f ca="1">IFERROR(__xludf.DUMMYFUNCTION("counta(split(B148,"" ""))"),8)</f>
        <v>8</v>
      </c>
      <c r="O148" s="9">
        <f t="shared" ca="1" si="7"/>
        <v>64.207960870298507</v>
      </c>
      <c r="P148" s="9" t="s">
        <v>689</v>
      </c>
    </row>
    <row r="149" spans="1:16" ht="15.75" customHeight="1">
      <c r="A149" s="9">
        <f ca="1">IFERROR(__xludf.DUMMYFUNCTION("""COMPUTED_VALUE"""),204)</f>
        <v>204</v>
      </c>
      <c r="B149" s="9" t="str">
        <f ca="1">IFERROR(__xludf.DUMMYFUNCTION("""COMPUTED_VALUE"""),"What would be a good test for mutant @mutant604?")</f>
        <v>What would be a good test for mutant @mutant604?</v>
      </c>
      <c r="C149" s="9" t="str">
        <f ca="1">IFERROR(__xludf.DUMMYFUNCTION("""COMPUTED_VALUE"""),"{""answer"": ""A good test for mutant @mutant604 would be to verify that the getFields(String name) method returns an array of IndexableField objects with the given name."", ""explanation"": ""The mutant @mutant604 modifies the getFields(String name) meth"&amp;"od to add null elements to the result list instead of adding the actual fields. Therefore, a good test would check that the returned array contains only non-null elements."", ""code"": ""Document document = new Document();
IndexableField field1 = new Stri"&amp;"ngField(""name"", ""value1"", Field.Store.YES);
IndexableField field2 = new StringField(""name"", ""value2"", Field.Store.YES);
document.add(field1);
document.add(field2);
IndexableField[] fields = document.getFields(""name"");
for (IndexableField field :"&amp;" fields) {
    assertNotNull(field);
}""}")</f>
        <v>{"answer": "A good test for mutant @mutant604 would be to verify that the getFields(String name) method returns an array of IndexableField objects with the given name.", "explanation": "The mutant @mutant604 modifies the getFields(String name) method to add null elements to the result list instead of adding the actual fields. Therefore, a good test would check that the returned array contains only non-null elements.", "code": "Document document = new Document();
IndexableField field1 = new StringField("name", "value1", Field.Store.YES);
IndexableField field2 = new StringField("name", "value2", Field.Store.YES);
document.add(field1);
document.add(field2);
IndexableField[] fields = document.getFields("name");
for (IndexableField field : fields) {
    assertNotNull(field);
}"}</v>
      </c>
      <c r="D149" s="9">
        <f ca="1">IFERROR(__xludf.DUMMYFUNCTION("""COMPUTED_VALUE"""),1)</f>
        <v>1</v>
      </c>
      <c r="E149" s="9" t="str">
        <f ca="1">IFERROR(__xludf.DUMMYFUNCTION("""COMPUTED_VALUE"""),"2024-01-10 15:29:34")</f>
        <v>2024-01-10 15:29:34</v>
      </c>
      <c r="F149" s="9">
        <f ca="1">IFERROR(__xludf.DUMMYFUNCTION("""COMPUTED_VALUE"""),241)</f>
        <v>241</v>
      </c>
      <c r="G149" s="9">
        <f ca="1">IFERROR(__xludf.DUMMYFUNCTION("""COMPUTED_VALUE"""),2)</f>
        <v>2</v>
      </c>
      <c r="H149" s="9" t="str">
        <f ca="1">IFERROR(__xludf.DUMMYFUNCTION("""COMPUTED_VALUE"""),"null")</f>
        <v>null</v>
      </c>
      <c r="I149" s="9" t="str">
        <f ca="1">IFERROR(__xludf.DUMMYFUNCTION("""COMPUTED_VALUE"""),"Y")</f>
        <v>Y</v>
      </c>
      <c r="J149" s="9" t="str">
        <f ca="1">IFERROR(__xludf.DUMMYFUNCTION("""COMPUTED_VALUE"""),"TEST")</f>
        <v>TEST</v>
      </c>
      <c r="K149" s="9" t="str">
        <f ca="1">IFERROR(__xludf.DUMMYFUNCTION("""COMPUTED_VALUE"""),"Specific mutant")</f>
        <v>Specific mutant</v>
      </c>
      <c r="L149" s="9">
        <f ca="1">IFERROR(__xludf.DUMMYFUNCTION("""COMPUTED_VALUE"""),604)</f>
        <v>604</v>
      </c>
      <c r="M149" s="9" t="str">
        <f ca="1">IFERROR(__xludf.DUMMYFUNCTION("""COMPUTED_VALUE"""),"getFields_1
")</f>
        <v xml:space="preserve">getFields_1
</v>
      </c>
      <c r="N149" s="9">
        <f ca="1">IFERROR(__xludf.DUMMYFUNCTION("counta(split(B149,"" ""))"),9)</f>
        <v>9</v>
      </c>
      <c r="O149" s="9">
        <f t="shared" ca="1" si="7"/>
        <v>49.181986844324484</v>
      </c>
      <c r="P149" s="9" t="s">
        <v>689</v>
      </c>
    </row>
    <row r="150" spans="1:16" ht="15.75" customHeight="1">
      <c r="A150" s="9">
        <f ca="1">IFERROR(__xludf.DUMMYFUNCTION("""COMPUTED_VALUE"""),95)</f>
        <v>95</v>
      </c>
      <c r="B150" s="9" t="str">
        <f ca="1">IFERROR(__xludf.DUMMYFUNCTION("""COMPUTED_VALUE"""),"Write a mutant for the removeField function.")</f>
        <v>Write a mutant for the removeField function.</v>
      </c>
      <c r="C150" s="9" t="str">
        <f ca="1">IFERROR(__xludf.DUMMYFUNCTION("""COMPUTED_VALUE"""),"{
  ""answer"": ""Mutant: Change the return statement to return true instead of return;"",
  ""explanation"": ""The mutant changes the return statement of the removeField function to always return true, regardless of whether a field was actually removed o"&amp;"r not."",
  ""code"": ""public final void removeField(String name) {
  Iterator&lt;IndexableField&gt; it = fields.iterator();
  while (it.hasNext()) {
    IndexableField field = it.next();
    if (field.name().equals(name)) {
      it.remove();
      return tru"&amp;"e;
    }
  }
}""
}")</f>
        <v>{
  "answer": "Mutant: Change the return statement to return true instead of return;",
  "explanation": "The mutant changes the return statement of the removeField function to always return true, regardless of whether a field was actually removed or not.",
  "code": "public final void removeField(String name) {
  Iterator&lt;IndexableField&gt; it = fields.iterator();
  while (it.hasNext()) {
    IndexableField field = it.next();
    if (field.name().equals(name)) {
      it.remove();
      return true;
    }
  }
}"
}</v>
      </c>
      <c r="D150" s="9">
        <f ca="1">IFERROR(__xludf.DUMMYFUNCTION("""COMPUTED_VALUE"""),1)</f>
        <v>1</v>
      </c>
      <c r="E150" s="9" t="str">
        <f ca="1">IFERROR(__xludf.DUMMYFUNCTION("""COMPUTED_VALUE"""),"2024-01-10 15:02:32")</f>
        <v>2024-01-10 15:02:32</v>
      </c>
      <c r="F150" s="9">
        <f ca="1">IFERROR(__xludf.DUMMYFUNCTION("""COMPUTED_VALUE"""),244)</f>
        <v>244</v>
      </c>
      <c r="G150" s="9">
        <f ca="1">IFERROR(__xludf.DUMMYFUNCTION("""COMPUTED_VALUE"""),2)</f>
        <v>2</v>
      </c>
      <c r="H150" s="9">
        <f ca="1">IFERROR(__xludf.DUMMYFUNCTION("""COMPUTED_VALUE"""),0)</f>
        <v>0</v>
      </c>
      <c r="I150" s="9" t="str">
        <f ca="1">IFERROR(__xludf.DUMMYFUNCTION("""COMPUTED_VALUE"""),"Y")</f>
        <v>Y</v>
      </c>
      <c r="J150" s="9" t="str">
        <f ca="1">IFERROR(__xludf.DUMMYFUNCTION("""COMPUTED_VALUE"""),"MUTANT")</f>
        <v>MUTANT</v>
      </c>
      <c r="K150" s="9" t="str">
        <f ca="1">IFERROR(__xludf.DUMMYFUNCTION("""COMPUTED_VALUE"""),"Specific method")</f>
        <v>Specific method</v>
      </c>
      <c r="L150" s="9" t="str">
        <f ca="1">IFERROR(__xludf.DUMMYFUNCTION("""COMPUTED_VALUE"""),"removeField")</f>
        <v>removeField</v>
      </c>
      <c r="M150" s="9" t="str">
        <f ca="1">IFERROR(__xludf.DUMMYFUNCTION("""COMPUTED_VALUE"""),"removeField")</f>
        <v>removeField</v>
      </c>
      <c r="N150" s="9">
        <f ca="1">IFERROR(__xludf.DUMMYFUNCTION("counta(split(B150,"" ""))"),7)</f>
        <v>7</v>
      </c>
      <c r="O150" s="9">
        <f t="shared" ca="1" si="7"/>
        <v>81.23393489627253</v>
      </c>
    </row>
    <row r="151" spans="1:16" ht="15.75" customHeight="1">
      <c r="A151" s="9">
        <f ca="1">IFERROR(__xludf.DUMMYFUNCTION("""COMPUTED_VALUE"""),98)</f>
        <v>98</v>
      </c>
      <c r="B151" s="9" t="str">
        <f ca="1">IFERROR(__xludf.DUMMYFUNCTION("""COMPUTED_VALUE"""),"Write a mutant for the function removeField that does not need a change in the method signature. So do not change return values.")</f>
        <v>Write a mutant for the function removeField that does not need a change in the method signature. So do not change return values.</v>
      </c>
      <c r="C151" s="9" t="str">
        <f ca="1">IFERROR(__xludf.DUMMYFUNCTION("""COMPUTED_VALUE"""),"{
  ""answer"": ""The mutant can be created by removing the 'return' statement inside the removeField method."",
  ""explanation"": ""By removing the 'return' statement, the method will continue iterating over the fields even after removing the first fiel"&amp;"d with the specified name, potentially resulting in incorrect behavior."",
  ""code"": ""public final void removeField(String name) {
  Iterator&lt;IndexableField&gt; it = fields.iterator();
  while (it.hasNext()) {
    IndexableField field = it.next();
    if "&amp;"(field.name().equals(name)) {
      it.remove();
    }
  }
}""
}")</f>
        <v>{
  "answer": "The mutant can be created by removing the 'return' statement inside the removeField method.",
  "explanation": "By removing the 'return' statement, the method will continue iterating over the fields even after removing the first field with the specified name, potentially resulting in incorrect behavior.",
  "code": "public final void removeField(String name) {
  Iterator&lt;IndexableField&gt; it = fields.iterator();
  while (it.hasNext()) {
    IndexableField field = it.next();
    if (field.name().equals(name)) {
      it.remove();
    }
  }
}"
}</v>
      </c>
      <c r="D151" s="9">
        <f ca="1">IFERROR(__xludf.DUMMYFUNCTION("""COMPUTED_VALUE"""),0)</f>
        <v>0</v>
      </c>
      <c r="E151" s="9" t="str">
        <f ca="1">IFERROR(__xludf.DUMMYFUNCTION("""COMPUTED_VALUE"""),"2024-01-10 15:03:49")</f>
        <v>2024-01-10 15:03:49</v>
      </c>
      <c r="F151" s="9">
        <f ca="1">IFERROR(__xludf.DUMMYFUNCTION("""COMPUTED_VALUE"""),244)</f>
        <v>244</v>
      </c>
      <c r="G151" s="9">
        <f ca="1">IFERROR(__xludf.DUMMYFUNCTION("""COMPUTED_VALUE"""),2)</f>
        <v>2</v>
      </c>
      <c r="H151" s="9" t="str">
        <f ca="1">IFERROR(__xludf.DUMMYFUNCTION("""COMPUTED_VALUE"""),"null")</f>
        <v>null</v>
      </c>
      <c r="I151" s="9" t="str">
        <f ca="1">IFERROR(__xludf.DUMMYFUNCTION("""COMPUTED_VALUE"""),"Y")</f>
        <v>Y</v>
      </c>
      <c r="J151" s="9" t="str">
        <f ca="1">IFERROR(__xludf.DUMMYFUNCTION("""COMPUTED_VALUE"""),"MUTANT")</f>
        <v>MUTANT</v>
      </c>
      <c r="K151" s="9" t="str">
        <f ca="1">IFERROR(__xludf.DUMMYFUNCTION("""COMPUTED_VALUE"""),"Specific method")</f>
        <v>Specific method</v>
      </c>
      <c r="L151" s="9" t="str">
        <f ca="1">IFERROR(__xludf.DUMMYFUNCTION("""COMPUTED_VALUE"""),"removeField")</f>
        <v>removeField</v>
      </c>
      <c r="M151" s="9" t="str">
        <f ca="1">IFERROR(__xludf.DUMMYFUNCTION("""COMPUTED_VALUE"""),"removeField")</f>
        <v>removeField</v>
      </c>
      <c r="N151" s="9">
        <f ca="1">IFERROR(__xludf.DUMMYFUNCTION("counta(split(B151,"" ""))"),23)</f>
        <v>23</v>
      </c>
      <c r="O151" s="9">
        <f t="shared" ca="1" si="7"/>
        <v>48.818350480688167</v>
      </c>
    </row>
    <row r="152" spans="1:16" ht="15.75" customHeight="1">
      <c r="A152" s="9">
        <f ca="1">IFERROR(__xludf.DUMMYFUNCTION("""COMPUTED_VALUE"""),102)</f>
        <v>102</v>
      </c>
      <c r="B152" s="9" t="str">
        <f ca="1">IFERROR(__xludf.DUMMYFUNCTION("""COMPUTED_VALUE"""),"write a test that checks for mutants in iterator().")</f>
        <v>write a test that checks for mutants in iterator().</v>
      </c>
      <c r="C152" s="9" t="str">
        <f ca="1">IFERROR(__xludf.DUMMYFUNCTION("""COMPUTED_VALUE"""),"{
  ""answer"": ""The test should check if the iterator() method returns the expected iterator over the fields list."",
  ""explanation"": ""The test should verify that the iterator() method returns an iterator that iterates over the fields list in the co"&amp;"rrect order."",
  ""code"": ""import org.junit.Test;
import static org.junit.Assert.*;
public class DocumentTest {
    @Test
    public void testIterator() {
        Document document = new Document();
        document.add(new StringField(""field1"", """&amp;"value1"", Field.Store.YES));
        document.add(new StringField(""field2"", ""value2"", Field.Store.YES));
        document.add(new StringField(""field3"", ""value3"", Field.Store.YES));
        Iterator&lt;IndexableField&gt; iterator = document.iterator();
"&amp;"
        assertTrue(iterator.hasNext());
        assertEquals(""field1"", iterator.next().name());
        assertTrue(iterator.hasNext());
        assertEquals(""field2"", iterator.next().name());
        assertTrue(iterator.hasNext());
        assertEqua"&amp;"ls(""field3"", iterator.next().name());
        assertFalse(iterator.hasNext());
    }
}""
}")</f>
        <v>{
  "answer": "The test should check if the iterator() method returns the expected iterator over the fields list.",
  "explanation": "The test should verify that the iterator() method returns an iterator that iterates over the fields list in the correct order.",
  "code": "import org.junit.Test;
import static org.junit.Assert.*;
public class DocumentTest {
    @Test
    public void testIterator() {
        Document document = new Document();
        document.add(new StringField("field1", "value1", Field.Store.YES));
        document.add(new StringField("field2", "value2", Field.Store.YES));
        document.add(new StringField("field3", "value3", Field.Store.YES));
        Iterator&lt;IndexableField&gt; iterator = document.iterator();
        assertTrue(iterator.hasNext());
        assertEquals("field1", iterator.next().name());
        assertTrue(iterator.hasNext());
        assertEquals("field2", iterator.next().name());
        assertTrue(iterator.hasNext());
        assertEquals("field3", iterator.next().name());
        assertFalse(iterator.hasNext());
    }
}"
}</v>
      </c>
      <c r="D152" s="9">
        <f ca="1">IFERROR(__xludf.DUMMYFUNCTION("""COMPUTED_VALUE"""),1)</f>
        <v>1</v>
      </c>
      <c r="E152" s="9" t="str">
        <f ca="1">IFERROR(__xludf.DUMMYFUNCTION("""COMPUTED_VALUE"""),"2024-01-10 15:05:32")</f>
        <v>2024-01-10 15:05:32</v>
      </c>
      <c r="F152" s="9">
        <f ca="1">IFERROR(__xludf.DUMMYFUNCTION("""COMPUTED_VALUE"""),244)</f>
        <v>244</v>
      </c>
      <c r="G152" s="9">
        <f ca="1">IFERROR(__xludf.DUMMYFUNCTION("""COMPUTED_VALUE"""),2)</f>
        <v>2</v>
      </c>
      <c r="H152" s="9" t="str">
        <f ca="1">IFERROR(__xludf.DUMMYFUNCTION("""COMPUTED_VALUE"""),"null")</f>
        <v>null</v>
      </c>
      <c r="I152" s="9" t="str">
        <f ca="1">IFERROR(__xludf.DUMMYFUNCTION("""COMPUTED_VALUE"""),"Y")</f>
        <v>Y</v>
      </c>
      <c r="J152" s="9" t="str">
        <f ca="1">IFERROR(__xludf.DUMMYFUNCTION("""COMPUTED_VALUE"""),"TEST")</f>
        <v>TEST</v>
      </c>
      <c r="K152" s="9" t="str">
        <f ca="1">IFERROR(__xludf.DUMMYFUNCTION("""COMPUTED_VALUE"""),"Specific method")</f>
        <v>Specific method</v>
      </c>
      <c r="L152" s="9" t="str">
        <f ca="1">IFERROR(__xludf.DUMMYFUNCTION("""COMPUTED_VALUE"""),"iterator")</f>
        <v>iterator</v>
      </c>
      <c r="M152" s="9" t="str">
        <f ca="1">IFERROR(__xludf.DUMMYFUNCTION("""COMPUTED_VALUE"""),"iterator")</f>
        <v>iterator</v>
      </c>
      <c r="N152" s="9">
        <f ca="1">IFERROR(__xludf.DUMMYFUNCTION("counta(split(B152,"" ""))"),9)</f>
        <v>9</v>
      </c>
      <c r="O152" s="9">
        <f t="shared" ca="1" si="7"/>
        <v>49.181986844324484</v>
      </c>
      <c r="P152" s="9" t="s">
        <v>689</v>
      </c>
    </row>
    <row r="153" spans="1:16" ht="15.75" customHeight="1">
      <c r="A153" s="9">
        <f ca="1">IFERROR(__xludf.DUMMYFUNCTION("""COMPUTED_VALUE"""),115)</f>
        <v>115</v>
      </c>
      <c r="B153" s="9" t="str">
        <f ca="1">IFERROR(__xludf.DUMMYFUNCTION("""COMPUTED_VALUE"""),"Write a test for mutant @mutant513")</f>
        <v>Write a test for mutant @mutant513</v>
      </c>
      <c r="C153" s="9" t="str">
        <f ca="1">IFERROR(__xludf.DUMMYFUNCTION("""COMPUTED_VALUE"""),"{
  ""answer"": ""Yes"",
  ""explanation"": ""We can write a test for mutant @mutant513 by verifying that the add method does not add the field to the document."",
  ""code"": ""Document document = new Document();
IndexableField field = new StringField("&amp;"""name"", ""John Doe"", Field.Store.YES);
document.add(field);
assertEquals(0, document.getFields().size());""
}")</f>
        <v>{
  "answer": "Yes",
  "explanation": "We can write a test for mutant @mutant513 by verifying that the add method does not add the field to the document.",
  "code": "Document document = new Document();
IndexableField field = new StringField("name", "John Doe", Field.Store.YES);
document.add(field);
assertEquals(0, document.getFields().size());"
}</v>
      </c>
      <c r="D153" s="9">
        <f ca="1">IFERROR(__xludf.DUMMYFUNCTION("""COMPUTED_VALUE"""),0)</f>
        <v>0</v>
      </c>
      <c r="E153" s="9" t="str">
        <f ca="1">IFERROR(__xludf.DUMMYFUNCTION("""COMPUTED_VALUE"""),"2024-01-10 15:09:30")</f>
        <v>2024-01-10 15:09:30</v>
      </c>
      <c r="F153" s="9">
        <f ca="1">IFERROR(__xludf.DUMMYFUNCTION("""COMPUTED_VALUE"""),244)</f>
        <v>244</v>
      </c>
      <c r="G153" s="9">
        <f ca="1">IFERROR(__xludf.DUMMYFUNCTION("""COMPUTED_VALUE"""),2)</f>
        <v>2</v>
      </c>
      <c r="H153" s="9" t="str">
        <f ca="1">IFERROR(__xludf.DUMMYFUNCTION("""COMPUTED_VALUE"""),"null")</f>
        <v>null</v>
      </c>
      <c r="I153" s="9" t="str">
        <f ca="1">IFERROR(__xludf.DUMMYFUNCTION("""COMPUTED_VALUE"""),"Y")</f>
        <v>Y</v>
      </c>
      <c r="J153" s="9" t="str">
        <f ca="1">IFERROR(__xludf.DUMMYFUNCTION("""COMPUTED_VALUE"""),"TEST")</f>
        <v>TEST</v>
      </c>
      <c r="K153" s="9" t="str">
        <f ca="1">IFERROR(__xludf.DUMMYFUNCTION("""COMPUTED_VALUE"""),"Specific mutant")</f>
        <v>Specific mutant</v>
      </c>
      <c r="L153" s="9">
        <f ca="1">IFERROR(__xludf.DUMMYFUNCTION("""COMPUTED_VALUE"""),513)</f>
        <v>513</v>
      </c>
      <c r="M153" s="9" t="str">
        <f ca="1">IFERROR(__xludf.DUMMYFUNCTION("""COMPUTED_VALUE"""),"add
")</f>
        <v xml:space="preserve">add
</v>
      </c>
      <c r="N153" s="9">
        <f ca="1">IFERROR(__xludf.DUMMYFUNCTION("counta(split(B153,"" ""))"),6)</f>
        <v>6</v>
      </c>
      <c r="O153" s="9">
        <f t="shared" ca="1" si="7"/>
        <v>100.25990892224655</v>
      </c>
      <c r="P153" s="9" t="s">
        <v>689</v>
      </c>
    </row>
    <row r="154" spans="1:16" ht="15.75" customHeight="1">
      <c r="A154" s="9">
        <f ca="1">IFERROR(__xludf.DUMMYFUNCTION("""COMPUTED_VALUE"""),117)</f>
        <v>117</v>
      </c>
      <c r="B154" s="9" t="str">
        <f ca="1">IFERROR(__xludf.DUMMYFUNCTION("""COMPUTED_VALUE"""),"Write a test for @Mutant513")</f>
        <v>Write a test for @Mutant513</v>
      </c>
      <c r="C154" s="9" t="str">
        <f ca="1">IFERROR(__xludf.DUMMYFUNCTION("""COMPUTED_VALUE"""),"{
  ""answer"": ""Yes"",
  ""explanation"": ""To test @Mutant513, we can verify that the add method adds the field to the document."",
  ""code"": ""Document document = new Document();
IndexableField field = new StringField(""name"", ""John Doe"", Field."&amp;"Store.YES);
document.add(field);
IndexableField addedField = document.getField(""name"");
assertNotNull(addedField);
assertEquals(""name"", addedField.name());
assertEquals(""John Doe"", addedField.stringValue());""
}")</f>
        <v>{
  "answer": "Yes",
  "explanation": "To test @Mutant513, we can verify that the add method adds the field to the document.",
  "code": "Document document = new Document();
IndexableField field = new StringField("name", "John Doe", Field.Store.YES);
document.add(field);
IndexableField addedField = document.getField("name");
assertNotNull(addedField);
assertEquals("name", addedField.name());
assertEquals("John Doe", addedField.stringValue());"
}</v>
      </c>
      <c r="D154" s="9">
        <f ca="1">IFERROR(__xludf.DUMMYFUNCTION("""COMPUTED_VALUE"""),1)</f>
        <v>1</v>
      </c>
      <c r="E154" s="9" t="str">
        <f ca="1">IFERROR(__xludf.DUMMYFUNCTION("""COMPUTED_VALUE"""),"2024-01-10 15:09:52")</f>
        <v>2024-01-10 15:09:52</v>
      </c>
      <c r="F154" s="9">
        <f ca="1">IFERROR(__xludf.DUMMYFUNCTION("""COMPUTED_VALUE"""),244)</f>
        <v>244</v>
      </c>
      <c r="G154" s="9">
        <f ca="1">IFERROR(__xludf.DUMMYFUNCTION("""COMPUTED_VALUE"""),2)</f>
        <v>2</v>
      </c>
      <c r="H154" s="9" t="str">
        <f ca="1">IFERROR(__xludf.DUMMYFUNCTION("""COMPUTED_VALUE"""),"null")</f>
        <v>null</v>
      </c>
      <c r="I154" s="9" t="str">
        <f ca="1">IFERROR(__xludf.DUMMYFUNCTION("""COMPUTED_VALUE"""),"Y")</f>
        <v>Y</v>
      </c>
      <c r="J154" s="9" t="str">
        <f ca="1">IFERROR(__xludf.DUMMYFUNCTION("""COMPUTED_VALUE"""),"TEST")</f>
        <v>TEST</v>
      </c>
      <c r="K154" s="9" t="str">
        <f ca="1">IFERROR(__xludf.DUMMYFUNCTION("""COMPUTED_VALUE"""),"Specific mutant")</f>
        <v>Specific mutant</v>
      </c>
      <c r="L154" s="9">
        <f ca="1">IFERROR(__xludf.DUMMYFUNCTION("""COMPUTED_VALUE"""),513)</f>
        <v>513</v>
      </c>
      <c r="M154" s="9" t="str">
        <f ca="1">IFERROR(__xludf.DUMMYFUNCTION("""COMPUTED_VALUE"""),"add
")</f>
        <v xml:space="preserve">add
</v>
      </c>
      <c r="N154" s="9">
        <f ca="1">IFERROR(__xludf.DUMMYFUNCTION("counta(split(B154,"" ""))"),5)</f>
        <v>5</v>
      </c>
      <c r="O154" s="9">
        <f t="shared" ca="1" si="7"/>
        <v>121.28588294822057</v>
      </c>
      <c r="P154" s="9" t="s">
        <v>689</v>
      </c>
    </row>
    <row r="155" spans="1:16" ht="15.75" customHeight="1">
      <c r="A155" s="9">
        <f ca="1">IFERROR(__xludf.DUMMYFUNCTION("""COMPUTED_VALUE"""),127)</f>
        <v>127</v>
      </c>
      <c r="B155" s="9" t="str">
        <f ca="1">IFERROR(__xludf.DUMMYFUNCTION("""COMPUTED_VALUE"""),"Write a test for @mutant513 . There are no concrete implementations of IndexableField and BytesRef available, so these need to be mocked with Mockito")</f>
        <v>Write a test for @mutant513 . There are no concrete implementations of IndexableField and BytesRef available, so these need to be mocked with Mockito</v>
      </c>
      <c r="C155" s="9" t="str">
        <f ca="1">IFERROR(__xludf.DUMMYFUNCTION("""COMPUTED_VALUE"""),"{
  ""answer"": ""Yes"",
  ""explanation"": ""Yes, we can write a test for @mutant513 by mocking the IndexableField and BytesRef classes using Mockito."",
  ""code"": ""import org.junit.Test;
import org.mockito.Mockito;
public class DocumentTest {
  @Te"&amp;"st
  public void testAddField() {
    // Create a mock IndexableField
    IndexableField field = Mockito.mock(IndexableField.class);
    // Create a mock Document
    Document document = new Document();
    // Add the mock field to the document
    docu"&amp;"ment.add(field);
    // Verify that the field was added
    Mockito.verify(document).add(field);
  }
}""
}")</f>
        <v>{
  "answer": "Yes",
  "explanation": "Yes, we can write a test for @mutant513 by mocking the IndexableField and BytesRef classes using Mockito.",
  "code": "import org.junit.Test;
import org.mockito.Mockito;
public class DocumentTest {
  @Test
  public void testAddField() {
    // Create a mock IndexableField
    IndexableField field = Mockito.mock(IndexableField.class);
    // Create a mock Document
    Document document = new Document();
    // Add the mock field to the document
    document.add(field);
    // Verify that the field was added
    Mockito.verify(document).add(field);
  }
}"
}</v>
      </c>
      <c r="D155" s="9">
        <f ca="1">IFERROR(__xludf.DUMMYFUNCTION("""COMPUTED_VALUE"""),1)</f>
        <v>1</v>
      </c>
      <c r="E155" s="9" t="str">
        <f ca="1">IFERROR(__xludf.DUMMYFUNCTION("""COMPUTED_VALUE"""),"2024-01-10 15:11:38")</f>
        <v>2024-01-10 15:11:38</v>
      </c>
      <c r="F155" s="9">
        <f ca="1">IFERROR(__xludf.DUMMYFUNCTION("""COMPUTED_VALUE"""),244)</f>
        <v>244</v>
      </c>
      <c r="G155" s="9">
        <f ca="1">IFERROR(__xludf.DUMMYFUNCTION("""COMPUTED_VALUE"""),2)</f>
        <v>2</v>
      </c>
      <c r="H155" s="9" t="str">
        <f ca="1">IFERROR(__xludf.DUMMYFUNCTION("""COMPUTED_VALUE"""),"null")</f>
        <v>null</v>
      </c>
      <c r="I155" s="9" t="str">
        <f ca="1">IFERROR(__xludf.DUMMYFUNCTION("""COMPUTED_VALUE"""),"Y")</f>
        <v>Y</v>
      </c>
      <c r="J155" s="9" t="str">
        <f ca="1">IFERROR(__xludf.DUMMYFUNCTION("""COMPUTED_VALUE"""),"TEST")</f>
        <v>TEST</v>
      </c>
      <c r="K155" s="9" t="str">
        <f ca="1">IFERROR(__xludf.DUMMYFUNCTION("""COMPUTED_VALUE"""),"Specific mutant")</f>
        <v>Specific mutant</v>
      </c>
      <c r="L155" s="9">
        <f ca="1">IFERROR(__xludf.DUMMYFUNCTION("""COMPUTED_VALUE"""),513)</f>
        <v>513</v>
      </c>
      <c r="M155" s="9" t="str">
        <f ca="1">IFERROR(__xludf.DUMMYFUNCTION("""COMPUTED_VALUE"""),"add
")</f>
        <v xml:space="preserve">add
</v>
      </c>
      <c r="N155" s="9">
        <f ca="1">IFERROR(__xludf.DUMMYFUNCTION("counta(split(B155,"" ""))"),24)</f>
        <v>24</v>
      </c>
      <c r="O155" s="9">
        <f t="shared" ca="1" si="7"/>
        <v>63.792376454714145</v>
      </c>
    </row>
    <row r="156" spans="1:16" ht="15.75" customHeight="1">
      <c r="A156" s="9">
        <f ca="1">IFERROR(__xludf.DUMMYFUNCTION("""COMPUTED_VALUE"""),134)</f>
        <v>134</v>
      </c>
      <c r="B156" s="9" t="str">
        <f ca="1">IFERROR(__xludf.DUMMYFUNCTION("""COMPUTED_VALUE"""),"Write a test for @mutant513 . There are no concrete implementations of IndexableField and BytesRef available, so these need to be mocked with Mockito. Do not only check if the function was called with Mockito, but also check if  the field has really been "&amp;"added to the Document.")</f>
        <v>Write a test for @mutant513 . There are no concrete implementations of IndexableField and BytesRef available, so these need to be mocked with Mockito. Do not only check if the function was called with Mockito, but also check if  the field has really been added to the Document.</v>
      </c>
      <c r="C156" s="9" t="str">
        <f ca="1">IFERROR(__xludf.DUMMYFUNCTION("""COMPUTED_VALUE"""),"{
  ""answer"": ""Yes"",
  ""explanation"": ""Yes, we can use Mockito to mock the IndexableField and BytesRef objects and verify that the add method was called on the Document object, as well as check if the field was actually added to the Document."",
  "&amp;"""code"": ""import org.junit.Test;
import org.mockito.Mockito;
public class DocumentTest {
  @Test
  public void testAddField() {
    // Create a mock IndexableField
    IndexableField field = Mockito.mock(IndexableField.class);
    // Create a mock Byt"&amp;"esRef
    BytesRef bytes = Mockito.mock(BytesRef.class);
    // Set up the mock behavior
    Mockito.when(field.name()).thenReturn(""fieldName"");
    Mockito.when(field.binaryValue()).thenReturn(bytes);
    // Create a Document
    Document document = ne"&amp;"w Document();
    // Add the field to the Document
    document.add(field);
    // Verify that the add method was called
    Mockito.verify(document).add(field);
    // Verify that the field was added to the Document
    Assert.assertEquals(field, documen"&amp;"t.getField(""fieldName""));
  }
}""
}")</f>
        <v>{
  "answer": "Yes",
  "explanation": "Yes, we can use Mockito to mock the IndexableField and BytesRef objects and verify that the add method was called on the Document object, as well as check if the field was actually added to the Document.",
  "code": "import org.junit.Test;
import org.mockito.Mockito;
public class DocumentTest {
  @Test
  public void testAddField() {
    // Create a mock IndexableField
    IndexableField field = Mockito.mock(IndexableField.class);
    // Create a mock BytesRef
    BytesRef bytes = Mockito.mock(BytesRef.class);
    // Set up the mock behavior
    Mockito.when(field.name()).thenReturn("fieldName");
    Mockito.when(field.binaryValue()).thenReturn(bytes);
    // Create a Document
    Document document = new Document();
    // Add the field to the Document
    document.add(field);
    // Verify that the add method was called
    Mockito.verify(document).add(field);
    // Verify that the field was added to the Document
    Assert.assertEquals(field, document.getField("fieldName"));
  }
}"
}</v>
      </c>
      <c r="D156" s="9">
        <f ca="1">IFERROR(__xludf.DUMMYFUNCTION("""COMPUTED_VALUE"""),1)</f>
        <v>1</v>
      </c>
      <c r="E156" s="9" t="str">
        <f ca="1">IFERROR(__xludf.DUMMYFUNCTION("""COMPUTED_VALUE"""),"2024-01-10 15:13:22")</f>
        <v>2024-01-10 15:13:22</v>
      </c>
      <c r="F156" s="9">
        <f ca="1">IFERROR(__xludf.DUMMYFUNCTION("""COMPUTED_VALUE"""),244)</f>
        <v>244</v>
      </c>
      <c r="G156" s="9">
        <f ca="1">IFERROR(__xludf.DUMMYFUNCTION("""COMPUTED_VALUE"""),2)</f>
        <v>2</v>
      </c>
      <c r="H156" s="9" t="str">
        <f ca="1">IFERROR(__xludf.DUMMYFUNCTION("""COMPUTED_VALUE"""),"null")</f>
        <v>null</v>
      </c>
      <c r="I156" s="9" t="str">
        <f ca="1">IFERROR(__xludf.DUMMYFUNCTION("""COMPUTED_VALUE"""),"Y")</f>
        <v>Y</v>
      </c>
      <c r="J156" s="9" t="str">
        <f ca="1">IFERROR(__xludf.DUMMYFUNCTION("""COMPUTED_VALUE"""),"TEST")</f>
        <v>TEST</v>
      </c>
      <c r="K156" s="9" t="str">
        <f ca="1">IFERROR(__xludf.DUMMYFUNCTION("""COMPUTED_VALUE"""),"Specific mutant")</f>
        <v>Specific mutant</v>
      </c>
      <c r="L156" s="9">
        <f ca="1">IFERROR(__xludf.DUMMYFUNCTION("""COMPUTED_VALUE"""),513)</f>
        <v>513</v>
      </c>
      <c r="M156" s="9" t="str">
        <f ca="1">IFERROR(__xludf.DUMMYFUNCTION("""COMPUTED_VALUE"""),"add
")</f>
        <v xml:space="preserve">add
</v>
      </c>
      <c r="N156" s="9">
        <f ca="1">IFERROR(__xludf.DUMMYFUNCTION("counta(split(B156,"" ""))"),48)</f>
        <v>48</v>
      </c>
      <c r="O156" s="9">
        <f t="shared" ca="1" si="7"/>
        <v>1023.1689998313376</v>
      </c>
    </row>
    <row r="157" spans="1:16" ht="15.75" customHeight="1">
      <c r="A157" s="9">
        <f ca="1">IFERROR(__xludf.DUMMYFUNCTION("""COMPUTED_VALUE"""),154)</f>
        <v>154</v>
      </c>
      <c r="B157" s="9" t="str">
        <f ca="1">IFERROR(__xludf.DUMMYFUNCTION("""COMPUTED_VALUE"""),"Write a test that test the removeField method . There are no concrete implementations of IndexableField and BytesRef available, so these need to be mocked with Mockito. Do not check if the function was called with Mockito, but check if  the field has real"&amp;"ly been added to and removed from the Document.")</f>
        <v>Write a test that test the removeField method . There are no concrete implementations of IndexableField and BytesRef available, so these need to be mocked with Mockito. Do not check if the function was called with Mockito, but check if  the field has really been added to and removed from the Document.</v>
      </c>
      <c r="C157" s="9" t="str">
        <f ca="1">IFERROR(__xludf.DUMMYFUNCTION("""COMPUTED_VALUE"""),"{
  ""answer"": ""Yes, it is possible to test the removeField method using Mockito to mock IndexableField and BytesRef."",
  ""explanation"": ""By mocking the IndexableField and BytesRef classes using Mockito, we can create test cases to verify that the f"&amp;"ield has been added to and removed from the Document."",
  ""code"": ""import org.junit.Test;
import org.mockito.Mockito;
public class DocumentTest {
  @Test
  public void testRemoveField() {
    // Create a mock IndexableField
    IndexableField field "&amp;"= Mockito.mock(IndexableField.class);
    // Create a mock BytesRef
    BytesRef bytes = Mockito.mock(BytesRef.class);
    // Set up the mock behavior
    Mockito.when(field.name()).thenReturn(""fieldName"");
    Mockito.when(field.binaryValue()).thenRetu"&amp;"rn(bytes);
    // Create a new Document
    Document document = new Document();
    // Add the field to the document
    document.add(field);
    // Verify that the field has been added
    Assert.assertEquals(1, document.getFields().size());
    // Remov"&amp;"e the field from the document
    document.removeField(""fieldName"");
    // Verify that the field has been removed
    Assert.assertEquals(0, document.getFields().size());
  }
}""
}")</f>
        <v>{
  "answer": "Yes, it is possible to test the removeField method using Mockito to mock IndexableField and BytesRef.",
  "explanation": "By mocking the IndexableField and BytesRef classes using Mockito, we can create test cases to verify that the field has been added to and removed from the Document.",
  "code": "import org.junit.Test;
import org.mockito.Mockito;
public class DocumentTest {
  @Test
  public void testRemoveField() {
    // Create a mock IndexableField
    IndexableField field = Mockito.mock(IndexableField.class);
    // Create a mock BytesRef
    BytesRef bytes = Mockito.mock(BytesRef.class);
    // Set up the mock behavior
    Mockito.when(field.name()).thenReturn("fieldName");
    Mockito.when(field.binaryValue()).thenReturn(bytes);
    // Create a new Document
    Document document = new Document();
    // Add the field to the document
    document.add(field);
    // Verify that the field has been added
    Assert.assertEquals(1, document.getFields().size());
    // Remove the field from the document
    document.removeField("fieldName");
    // Verify that the field has been removed
    Assert.assertEquals(0, document.getFields().size());
  }
}"
}</v>
      </c>
      <c r="D157" s="9">
        <f ca="1">IFERROR(__xludf.DUMMYFUNCTION("""COMPUTED_VALUE"""),1)</f>
        <v>1</v>
      </c>
      <c r="E157" s="9" t="str">
        <f ca="1">IFERROR(__xludf.DUMMYFUNCTION("""COMPUTED_VALUE"""),"2024-01-10 15:18:16")</f>
        <v>2024-01-10 15:18:16</v>
      </c>
      <c r="F157" s="9">
        <f ca="1">IFERROR(__xludf.DUMMYFUNCTION("""COMPUTED_VALUE"""),244)</f>
        <v>244</v>
      </c>
      <c r="G157" s="9">
        <f ca="1">IFERROR(__xludf.DUMMYFUNCTION("""COMPUTED_VALUE"""),2)</f>
        <v>2</v>
      </c>
      <c r="H157" s="9" t="str">
        <f ca="1">IFERROR(__xludf.DUMMYFUNCTION("""COMPUTED_VALUE"""),"null")</f>
        <v>null</v>
      </c>
      <c r="I157" s="9" t="str">
        <f ca="1">IFERROR(__xludf.DUMMYFUNCTION("""COMPUTED_VALUE"""),"Y")</f>
        <v>Y</v>
      </c>
      <c r="J157" s="9" t="str">
        <f ca="1">IFERROR(__xludf.DUMMYFUNCTION("""COMPUTED_VALUE"""),"TEST")</f>
        <v>TEST</v>
      </c>
      <c r="K157" s="9" t="str">
        <f ca="1">IFERROR(__xludf.DUMMYFUNCTION("""COMPUTED_VALUE"""),"Specific method")</f>
        <v>Specific method</v>
      </c>
      <c r="L157" s="9" t="str">
        <f ca="1">IFERROR(__xludf.DUMMYFUNCTION("""COMPUTED_VALUE"""),"removeField")</f>
        <v>removeField</v>
      </c>
      <c r="M157" s="9" t="str">
        <f ca="1">IFERROR(__xludf.DUMMYFUNCTION("""COMPUTED_VALUE"""),"removeField")</f>
        <v>removeField</v>
      </c>
      <c r="N157" s="9">
        <f ca="1">IFERROR(__xludf.DUMMYFUNCTION("counta(split(B157,"" ""))"),52)</f>
        <v>52</v>
      </c>
      <c r="O157" s="9">
        <f t="shared" ca="1" si="7"/>
        <v>1295.0651037274415</v>
      </c>
    </row>
    <row r="158" spans="1:16" ht="15.75" customHeight="1">
      <c r="A158" s="9">
        <f ca="1">IFERROR(__xludf.DUMMYFUNCTION("""COMPUTED_VALUE"""),169)</f>
        <v>169</v>
      </c>
      <c r="B158" s="9" t="str">
        <f ca="1">IFERROR(__xludf.DUMMYFUNCTION("""COMPUTED_VALUE"""),"Write a test that tests that  the removeField method only removes the first field with a given name, not all of them . There are no concrete implementations of IndexableField and BytesRef available, so these need to be mocked with Mockito. Do not check if"&amp;" the function was called with Mockito, but check if  the field has really been added to and removed from the Document. Also be aware that Mockito and Assert are already imported, so no function call prefixes for these libraries are needed.")</f>
        <v>Write a test that tests that  the removeField method only removes the first field with a given name, not all of them . There are no concrete implementations of IndexableField and BytesRef available, so these need to be mocked with Mockito. Do not check if the function was called with Mockito, but check if  the field has really been added to and removed from the Document. Also be aware that Mockito and Assert are already imported, so no function call prefixes for these libraries are needed.</v>
      </c>
      <c r="C158" s="9" t="str">
        <f ca="1">IFERROR(__xludf.DUMMYFUNCTION("""COMPUTED_VALUE"""),"{
  ""answer"": ""The test should verify that the removeField method removes only the first field with a given name, not all of them."",
  ""explanation"": ""To test this, we can create a Document object, add multiple fields with the same name, and then c"&amp;"all the removeField method. After removing the field, we can check if it has been successfully removed by using the getField method to see if the field still exists in the Document."",
  ""code"": ""Document document = new Document();
IndexableField fiel"&amp;"d1 = mock(IndexableField.class);
IndexableField field2 = mock(IndexableField.class);
when(field1.name()).thenReturn(""fieldName"");
when(field2.name()).thenReturn(""fieldName"");
// Add multiple fields with the same name
document.add(field1);
document.a"&amp;"dd(field2);
document.removeField(""fieldName"");
// Check if the field has been successfully removed
assertNull(document.getField(""fieldName""));""
}")</f>
        <v>{
  "answer": "The test should verify that the removeField method removes only the first field with a given name, not all of them.",
  "explanation": "To test this, we can create a Document object, add multiple fields with the same name, and then call the removeField method. After removing the field, we can check if it has been successfully removed by using the getField method to see if the field still exists in the Document.",
  "code": "Document document = new Document();
IndexableField field1 = mock(IndexableField.class);
IndexableField field2 = mock(IndexableField.class);
when(field1.name()).thenReturn("fieldName");
when(field2.name()).thenReturn("fieldName");
// Add multiple fields with the same name
document.add(field1);
document.add(field2);
document.removeField("fieldName");
// Check if the field has been successfully removed
assertNull(document.getField("fieldName"));"
}</v>
      </c>
      <c r="D158" s="9">
        <f ca="1">IFERROR(__xludf.DUMMYFUNCTION("""COMPUTED_VALUE"""),1)</f>
        <v>1</v>
      </c>
      <c r="E158" s="9" t="str">
        <f ca="1">IFERROR(__xludf.DUMMYFUNCTION("""COMPUTED_VALUE"""),"2024-01-10 15:21:44")</f>
        <v>2024-01-10 15:21:44</v>
      </c>
      <c r="F158" s="9">
        <f ca="1">IFERROR(__xludf.DUMMYFUNCTION("""COMPUTED_VALUE"""),244)</f>
        <v>244</v>
      </c>
      <c r="G158" s="9">
        <f ca="1">IFERROR(__xludf.DUMMYFUNCTION("""COMPUTED_VALUE"""),2)</f>
        <v>2</v>
      </c>
      <c r="H158" s="9">
        <f ca="1">IFERROR(__xludf.DUMMYFUNCTION("""COMPUTED_VALUE"""),1)</f>
        <v>1</v>
      </c>
      <c r="I158" s="9" t="str">
        <f ca="1">IFERROR(__xludf.DUMMYFUNCTION("""COMPUTED_VALUE"""),"Y")</f>
        <v>Y</v>
      </c>
      <c r="J158" s="9" t="str">
        <f ca="1">IFERROR(__xludf.DUMMYFUNCTION("""COMPUTED_VALUE"""),"TEST")</f>
        <v>TEST</v>
      </c>
      <c r="K158" s="9" t="str">
        <f ca="1">IFERROR(__xludf.DUMMYFUNCTION("""COMPUTED_VALUE"""),"Specific method")</f>
        <v>Specific method</v>
      </c>
      <c r="L158" s="9" t="str">
        <f ca="1">IFERROR(__xludf.DUMMYFUNCTION("""COMPUTED_VALUE"""),"removeField")</f>
        <v>removeField</v>
      </c>
      <c r="M158" s="9" t="str">
        <f ca="1">IFERROR(__xludf.DUMMYFUNCTION("""COMPUTED_VALUE"""),"removeField")</f>
        <v>removeField</v>
      </c>
      <c r="N158" s="9">
        <f ca="1">IFERROR(__xludf.DUMMYFUNCTION("counta(split(B158,"" ""))"),86)</f>
        <v>86</v>
      </c>
      <c r="O158" s="9">
        <f t="shared" ca="1" si="7"/>
        <v>4898.1819868443245</v>
      </c>
    </row>
    <row r="159" spans="1:16" ht="15.75" customHeight="1">
      <c r="A159" s="9">
        <f ca="1">IFERROR(__xludf.DUMMYFUNCTION("""COMPUTED_VALUE"""),185)</f>
        <v>185</v>
      </c>
      <c r="B159" s="9" t="str">
        <f ca="1">IFERROR(__xludf.DUMMYFUNCTION("""COMPUTED_VALUE"""),"Write a test that tests that tests getBinaryValues . There are no concrete implementations of IndexableField and BytesRef available, so these need to be mocked with Mockito. Do not check if the function was called with Mockito, but check if  the field has"&amp;" really been added to and removed from the Document. Also be aware that Mockito and Assert are already imported, so no function call prefixes for these libraries are needed.")</f>
        <v>Write a test that tests that tests getBinaryValues . There are no concrete implementations of IndexableField and BytesRef available, so these need to be mocked with Mockito. Do not check if the function was called with Mockito, but check if  the field has really been added to and removed from the Document. Also be aware that Mockito and Assert are already imported, so no function call prefixes for these libraries are needed.</v>
      </c>
      <c r="C159" s="9" t="str">
        <f ca="1">IFERROR(__xludf.DUMMYFUNCTION("""COMPUTED_VALUE"""),"{
  ""answer"": ""Yes, it is possible to test the getBinaryValues method using Mockito to mock the IndexableField and BytesRef classes."",
  ""explanation"": ""By mocking the IndexableField and BytesRef classes with Mockito, we can create test cases to ve"&amp;"rify that the getBinaryValues method correctly adds and removes fields from the Document."",
  ""code"": ""import org.mockito.Mockito;
@Test
public void testGetBinaryValues() {
  Document document = new Document();
  // Mock IndexableField
  IndexableFi"&amp;"eld field = Mockito.mock(IndexableField.class);
  Mockito.when(field.name()).thenReturn(""binaryField"");
  // Mock BytesRef
  BytesRef bytesRef = Mockito.mock(BytesRef.class);
  // Add field to document
  document.add(field);
  // Verify that field wa"&amp;"s added
  Assert.assertEquals(1, document.getFields().size());
  // Get binary values
  BytesRef[] binaryValues = document.getBinaryValues(""binaryField"");
  // Verify that binary values are returned
  Assert.assertEquals(1, binaryValues.length);
  Ass"&amp;"ert.assertEquals(bytesRef, binaryValues[0]);
  // Remove field from document
  document.removeField(""binaryField"");
  // Verify that field was removed
  Assert.assertEquals(0, document.getFields().size());
}""
}")</f>
        <v>{
  "answer": "Yes, it is possible to test the getBinaryValues method using Mockito to mock the IndexableField and BytesRef classes.",
  "explanation": "By mocking the IndexableField and BytesRef classes with Mockito, we can create test cases to verify that the getBinaryValues method correctly adds and removes fields from the Document.",
  "code": "import org.mockito.Mockito;
@Test
public void testGetBinaryValues() {
  Document document = new Document();
  // Mock IndexableField
  IndexableField field = Mockito.mock(IndexableField.class);
  Mockito.when(field.name()).thenReturn("binaryField");
  // Mock BytesRef
  BytesRef bytesRef = Mockito.mock(BytesRef.class);
  // Add field to document
  document.add(field);
  // Verify that field was added
  Assert.assertEquals(1, document.getFields().size());
  // Get binary values
  BytesRef[] binaryValues = document.getBinaryValues("binaryField");
  // Verify that binary values are returned
  Assert.assertEquals(1, binaryValues.length);
  Assert.assertEquals(bytesRef, binaryValues[0]);
  // Remove field from document
  document.removeField("binaryField");
  // Verify that field was removed
  Assert.assertEquals(0, document.getFields().size());
}"
}</v>
      </c>
      <c r="D159" s="9">
        <f ca="1">IFERROR(__xludf.DUMMYFUNCTION("""COMPUTED_VALUE"""),1)</f>
        <v>1</v>
      </c>
      <c r="E159" s="9" t="str">
        <f ca="1">IFERROR(__xludf.DUMMYFUNCTION("""COMPUTED_VALUE"""),"2024-01-10 15:25:33")</f>
        <v>2024-01-10 15:25:33</v>
      </c>
      <c r="F159" s="9">
        <f ca="1">IFERROR(__xludf.DUMMYFUNCTION("""COMPUTED_VALUE"""),244)</f>
        <v>244</v>
      </c>
      <c r="G159" s="9">
        <f ca="1">IFERROR(__xludf.DUMMYFUNCTION("""COMPUTED_VALUE"""),2)</f>
        <v>2</v>
      </c>
      <c r="H159" s="9" t="str">
        <f ca="1">IFERROR(__xludf.DUMMYFUNCTION("""COMPUTED_VALUE"""),"null")</f>
        <v>null</v>
      </c>
      <c r="I159" s="9" t="str">
        <f ca="1">IFERROR(__xludf.DUMMYFUNCTION("""COMPUTED_VALUE"""),"Y")</f>
        <v>Y</v>
      </c>
      <c r="J159" s="9" t="str">
        <f ca="1">IFERROR(__xludf.DUMMYFUNCTION("""COMPUTED_VALUE"""),"TEST")</f>
        <v>TEST</v>
      </c>
      <c r="K159" s="9" t="str">
        <f ca="1">IFERROR(__xludf.DUMMYFUNCTION("""COMPUTED_VALUE"""),"Specific method")</f>
        <v>Specific method</v>
      </c>
      <c r="L159" s="9" t="str">
        <f ca="1">IFERROR(__xludf.DUMMYFUNCTION("""COMPUTED_VALUE"""),"getBinaryValues")</f>
        <v>getBinaryValues</v>
      </c>
      <c r="M159" s="9" t="str">
        <f ca="1">IFERROR(__xludf.DUMMYFUNCTION("""COMPUTED_VALUE"""),"getBinaryValues")</f>
        <v>getBinaryValues</v>
      </c>
      <c r="N159" s="9">
        <f ca="1">IFERROR(__xludf.DUMMYFUNCTION("counta(split(B159,"" ""))"),72)</f>
        <v>72</v>
      </c>
      <c r="O159" s="9">
        <f t="shared" ca="1" si="7"/>
        <v>3134.5456232079609</v>
      </c>
    </row>
    <row r="160" spans="1:16" ht="15.75" customHeight="1">
      <c r="A160" s="9">
        <f ca="1">IFERROR(__xludf.DUMMYFUNCTION("""COMPUTED_VALUE"""),192)</f>
        <v>192</v>
      </c>
      <c r="B160" s="9" t="str">
        <f ca="1">IFERROR(__xludf.DUMMYFUNCTION("""COMPUTED_VALUE"""),"Write a test that tests that  the removeField method only removes the first field with a given name, not all of them . There are no concrete implementations of IndexableField and BytesRef available, so these need to be mocked with Mockito. Do not check if"&amp;" the function was called with Mockito. Also be aware that Mockito and Assert are already imported, so no function call prefixes for these libraries are needed.")</f>
        <v>Write a test that tests that  the removeField method only removes the first field with a given name, not all of them . There are no concrete implementations of IndexableField and BytesRef available, so these need to be mocked with Mockito. Do not check if the function was called with Mockito. Also be aware that Mockito and Assert are already imported, so no function call prefixes for these libraries are needed.</v>
      </c>
      <c r="C160" s="9" t="str">
        <f ca="1">IFERROR(__xludf.DUMMYFUNCTION("""COMPUTED_VALUE"""),"{
  ""answer"": ""The test should verify that the removeField method removes only the first field with a given name."",
  ""explanation"": ""To test the removeField method, we can create a Document object and add multiple fields with the same name. Then, "&amp;"we can call the removeField method and check if only the first field with the given name is removed."",
  ""code"": ""Document document = new Document();
IndexableField field1 = mock(IndexableField.class);
IndexableField field2 = mock(IndexableField.clas"&amp;"s);
when(field1.name()).thenReturn(""fieldName"");
when(field2.name()).thenReturn(""fieldName"");
// Add fields to the document
document.add(field1);
document.add(field2);
// Remove the field
document.removeField(""fieldName"");
// Verify that only th"&amp;"e first field is removed
assertNull(document.getField(""fieldName""));""
}")</f>
        <v>{
  "answer": "The test should verify that the removeField method removes only the first field with a given name.",
  "explanation": "To test the removeField method, we can create a Document object and add multiple fields with the same name. Then, we can call the removeField method and check if only the first field with the given name is removed.",
  "code": "Document document = new Document();
IndexableField field1 = mock(IndexableField.class);
IndexableField field2 = mock(IndexableField.class);
when(field1.name()).thenReturn("fieldName");
when(field2.name()).thenReturn("fieldName");
// Add fields to the document
document.add(field1);
document.add(field2);
// Remove the field
document.removeField("fieldName");
// Verify that only the first field is removed
assertNull(document.getField("fieldName"));"
}</v>
      </c>
      <c r="D160" s="9">
        <f ca="1">IFERROR(__xludf.DUMMYFUNCTION("""COMPUTED_VALUE"""),1)</f>
        <v>1</v>
      </c>
      <c r="E160" s="9" t="str">
        <f ca="1">IFERROR(__xludf.DUMMYFUNCTION("""COMPUTED_VALUE"""),"2024-01-10 15:26:43")</f>
        <v>2024-01-10 15:26:43</v>
      </c>
      <c r="F160" s="9">
        <f ca="1">IFERROR(__xludf.DUMMYFUNCTION("""COMPUTED_VALUE"""),244)</f>
        <v>244</v>
      </c>
      <c r="G160" s="9">
        <f ca="1">IFERROR(__xludf.DUMMYFUNCTION("""COMPUTED_VALUE"""),2)</f>
        <v>2</v>
      </c>
      <c r="H160" s="9" t="str">
        <f ca="1">IFERROR(__xludf.DUMMYFUNCTION("""COMPUTED_VALUE"""),"null")</f>
        <v>null</v>
      </c>
      <c r="I160" s="9" t="str">
        <f ca="1">IFERROR(__xludf.DUMMYFUNCTION("""COMPUTED_VALUE"""),"Y")</f>
        <v>Y</v>
      </c>
      <c r="J160" s="9" t="str">
        <f ca="1">IFERROR(__xludf.DUMMYFUNCTION("""COMPUTED_VALUE"""),"TEST")</f>
        <v>TEST</v>
      </c>
      <c r="K160" s="9" t="str">
        <f ca="1">IFERROR(__xludf.DUMMYFUNCTION("""COMPUTED_VALUE"""),"Specific method")</f>
        <v>Specific method</v>
      </c>
      <c r="L160" s="9" t="str">
        <f ca="1">IFERROR(__xludf.DUMMYFUNCTION("""COMPUTED_VALUE"""),"removeField")</f>
        <v>removeField</v>
      </c>
      <c r="M160" s="9" t="str">
        <f ca="1">IFERROR(__xludf.DUMMYFUNCTION("""COMPUTED_VALUE"""),"removeField")</f>
        <v>removeField</v>
      </c>
      <c r="N160" s="9">
        <f ca="1">IFERROR(__xludf.DUMMYFUNCTION("counta(split(B160,"" ""))"),71)</f>
        <v>71</v>
      </c>
      <c r="O160" s="9">
        <f t="shared" ca="1" si="7"/>
        <v>3023.5715972339349</v>
      </c>
    </row>
    <row r="161" spans="1:17" ht="15.75" customHeight="1">
      <c r="A161" s="9">
        <f ca="1">IFERROR(__xludf.DUMMYFUNCTION("""COMPUTED_VALUE"""),199)</f>
        <v>199</v>
      </c>
      <c r="B161" s="9" t="str">
        <f ca="1">IFERROR(__xludf.DUMMYFUNCTION("""COMPUTED_VALUE"""),"Write a test for the getBinaryValues method. There are no concrete implementations of IndexableField and BytesRef available, so these need to be mocked with Mockito. Do not check if the function was called with Mockito. Also be aware that Mockito and Asse"&amp;"rt are already imported, so no function call prefixes for these libraries are needed.")</f>
        <v>Write a test for the getBinaryValues method. There are no concrete implementations of IndexableField and BytesRef available, so these need to be mocked with Mockito. Do not check if the function was called with Mockito. Also be aware that Mockito and Assert are already imported, so no function call prefixes for these libraries are needed.</v>
      </c>
      <c r="C161" s="9" t="str">
        <f ca="1">IFERROR(__xludf.DUMMYFUNCTION("""COMPUTED_VALUE"""),"{
  ""answer"": ""Yes, it is possible to write a test for the getBinaryValues method using Mockito to mock IndexableField and BytesRef."",
  ""explanation"": ""By using Mockito, we can create mock objects for IndexableField and BytesRef and set up the des"&amp;"ired behavior for testing the getBinaryValues method."",
  ""code"": ""import org.mockito.Mock;
import org.mockito.MockitoAnnotations;
public class DocumentTest {
  @Mock
  private IndexableField field1;
  @Mock
  private IndexableField field2;
  @Bef"&amp;"ore
  public void setup() {
    MockitoAnnotations.initMocks(this);
  }
  @Test
  public void testGetBinaryValues() {
    Document document = new Document();
    document.add(field1);
    document.add(field2);
    BytesRef[] expected = {new BytesRef(""v"&amp;"alue1""), new BytesRef(""value2"")};
    when(field1.name()).thenReturn(""name"");
    when(field1.binaryValue()).thenReturn(new BytesRef(""value1""));
    when(field2.name()).thenReturn(""name"");
    when(field2.binaryValue()).thenReturn(new BytesRef("&amp;"""value2""));
    BytesRef[] actual = document.getBinaryValues(""name"");
    assertArrayEquals(expected, actual);
  }
}""
}")</f>
        <v>{
  "answer": "Yes, it is possible to write a test for the getBinaryValues method using Mockito to mock IndexableField and BytesRef.",
  "explanation": "By using Mockito, we can create mock objects for IndexableField and BytesRef and set up the desired behavior for testing the getBinaryValues method.",
  "code": "import org.mockito.Mock;
import org.mockito.MockitoAnnotations;
public class DocumentTest {
  @Mock
  private IndexableField field1;
  @Mock
  private IndexableField field2;
  @Before
  public void setup() {
    MockitoAnnotations.initMocks(this);
  }
  @Test
  public void testGetBinaryValues() {
    Document document = new Document();
    document.add(field1);
    document.add(field2);
    BytesRef[] expected = {new BytesRef("value1"), new BytesRef("value2")};
    when(field1.name()).thenReturn("name");
    when(field1.binaryValue()).thenReturn(new BytesRef("value1"));
    when(field2.name()).thenReturn("name");
    when(field2.binaryValue()).thenReturn(new BytesRef("value2"));
    BytesRef[] actual = document.getBinaryValues("name");
    assertArrayEquals(expected, actual);
  }
}"
}</v>
      </c>
      <c r="D161" s="9">
        <f ca="1">IFERROR(__xludf.DUMMYFUNCTION("""COMPUTED_VALUE"""),1)</f>
        <v>1</v>
      </c>
      <c r="E161" s="9" t="str">
        <f ca="1">IFERROR(__xludf.DUMMYFUNCTION("""COMPUTED_VALUE"""),"2024-01-10 15:28:00")</f>
        <v>2024-01-10 15:28:00</v>
      </c>
      <c r="F161" s="9">
        <f ca="1">IFERROR(__xludf.DUMMYFUNCTION("""COMPUTED_VALUE"""),244)</f>
        <v>244</v>
      </c>
      <c r="G161" s="9">
        <f ca="1">IFERROR(__xludf.DUMMYFUNCTION("""COMPUTED_VALUE"""),2)</f>
        <v>2</v>
      </c>
      <c r="H161" s="9">
        <f ca="1">IFERROR(__xludf.DUMMYFUNCTION("""COMPUTED_VALUE"""),1)</f>
        <v>1</v>
      </c>
      <c r="I161" s="9" t="str">
        <f ca="1">IFERROR(__xludf.DUMMYFUNCTION("""COMPUTED_VALUE"""),"Y")</f>
        <v>Y</v>
      </c>
      <c r="J161" s="9" t="str">
        <f ca="1">IFERROR(__xludf.DUMMYFUNCTION("""COMPUTED_VALUE"""),"TEST")</f>
        <v>TEST</v>
      </c>
      <c r="K161" s="9" t="str">
        <f ca="1">IFERROR(__xludf.DUMMYFUNCTION("""COMPUTED_VALUE"""),"Specific method")</f>
        <v>Specific method</v>
      </c>
      <c r="L161" s="9" t="str">
        <f ca="1">IFERROR(__xludf.DUMMYFUNCTION("""COMPUTED_VALUE"""),"getBinaryValues")</f>
        <v>getBinaryValues</v>
      </c>
      <c r="M161" s="9" t="str">
        <f ca="1">IFERROR(__xludf.DUMMYFUNCTION("""COMPUTED_VALUE"""),"getBinaryValues")</f>
        <v>getBinaryValues</v>
      </c>
      <c r="N161" s="9">
        <f ca="1">IFERROR(__xludf.DUMMYFUNCTION("counta(split(B161,"" ""))"),55)</f>
        <v>55</v>
      </c>
      <c r="O161" s="9">
        <f t="shared" ca="1" si="7"/>
        <v>1519.9871816495195</v>
      </c>
    </row>
    <row r="162" spans="1:17" ht="15.75" customHeight="1">
      <c r="A162" s="9">
        <f ca="1">IFERROR(__xludf.DUMMYFUNCTION("""COMPUTED_VALUE"""),111)</f>
        <v>111</v>
      </c>
      <c r="B162" s="9" t="str">
        <f ca="1">IFERROR(__xludf.DUMMYFUNCTION("""COMPUTED_VALUE"""),"write a test which kills @mutant380")</f>
        <v>write a test which kills @mutant380</v>
      </c>
      <c r="C162" s="9" t="str">
        <f ca="1">IFERROR(__xludf.DUMMYFUNCTION("""COMPUTED_VALUE"""),"{""answer"": ""Yes"", ""explanation"": ""The test can be written to verify that the modified iterator() method does not return the expected iterator."", ""code"": ""import org.junit.Test;
import static org.junit.Assert.*;
public class DocumentTest {
   "&amp;" @Test
    public void testIterator() {
        Document document = new Document();
        document.add(new StringField(""field1"", ""value1"", Field.Store.YES));
        document.add(new StringField(""field2"", ""value2"", Field.Store.YES));
        doc"&amp;"ument.add(new StringField(""field3"", ""value3"", Field.Store.YES));
        Iterator&lt;IndexableField&gt; iterator = document.iterator();
        assertFalse(iterator.hasNext());
    }
}""}")</f>
        <v>{"answer": "Yes", "explanation": "The test can be written to verify that the modified iterator() method does not return the expected iterator.", "code": "import org.junit.Test;
import static org.junit.Assert.*;
public class DocumentTest {
    @Test
    public void testIterator() {
        Document document = new Document();
        document.add(new StringField("field1", "value1", Field.Store.YES));
        document.add(new StringField("field2", "value2", Field.Store.YES));
        document.add(new StringField("field3", "value3", Field.Store.YES));
        Iterator&lt;IndexableField&gt; iterator = document.iterator();
        assertFalse(iterator.hasNext());
    }
}"}</v>
      </c>
      <c r="D162" s="9">
        <f ca="1">IFERROR(__xludf.DUMMYFUNCTION("""COMPUTED_VALUE"""),1)</f>
        <v>1</v>
      </c>
      <c r="E162" s="9" t="str">
        <f ca="1">IFERROR(__xludf.DUMMYFUNCTION("""COMPUTED_VALUE"""),"2024-01-10 15:08:15")</f>
        <v>2024-01-10 15:08:15</v>
      </c>
      <c r="F162" s="9">
        <f ca="1">IFERROR(__xludf.DUMMYFUNCTION("""COMPUTED_VALUE"""),245)</f>
        <v>245</v>
      </c>
      <c r="G162" s="9">
        <f ca="1">IFERROR(__xludf.DUMMYFUNCTION("""COMPUTED_VALUE"""),2)</f>
        <v>2</v>
      </c>
      <c r="H162" s="9" t="str">
        <f ca="1">IFERROR(__xludf.DUMMYFUNCTION("""COMPUTED_VALUE"""),"null")</f>
        <v>null</v>
      </c>
      <c r="I162" s="9" t="str">
        <f ca="1">IFERROR(__xludf.DUMMYFUNCTION("""COMPUTED_VALUE"""),"Y")</f>
        <v>Y</v>
      </c>
      <c r="J162" s="9" t="str">
        <f ca="1">IFERROR(__xludf.DUMMYFUNCTION("""COMPUTED_VALUE"""),"TEST")</f>
        <v>TEST</v>
      </c>
      <c r="K162" s="9" t="str">
        <f ca="1">IFERROR(__xludf.DUMMYFUNCTION("""COMPUTED_VALUE"""),"Specific mutant")</f>
        <v>Specific mutant</v>
      </c>
      <c r="L162" s="9">
        <f ca="1">IFERROR(__xludf.DUMMYFUNCTION("""COMPUTED_VALUE"""),380)</f>
        <v>380</v>
      </c>
      <c r="M162" s="9" t="str">
        <f ca="1">IFERROR(__xludf.DUMMYFUNCTION("""COMPUTED_VALUE"""),"iterator
")</f>
        <v xml:space="preserve">iterator
</v>
      </c>
      <c r="N162" s="9">
        <f ca="1">IFERROR(__xludf.DUMMYFUNCTION("counta(split(B162,"" ""))"),6)</f>
        <v>6</v>
      </c>
      <c r="O162" s="9">
        <f t="shared" ca="1" si="7"/>
        <v>100.25990892224655</v>
      </c>
      <c r="P162" s="9" t="s">
        <v>689</v>
      </c>
    </row>
    <row r="163" spans="1:17" ht="15.75" customHeight="1">
      <c r="A163" s="9">
        <f ca="1">IFERROR(__xludf.DUMMYFUNCTION("""COMPUTED_VALUE"""),126)</f>
        <v>126</v>
      </c>
      <c r="B163" s="9" t="str">
        <f ca="1">IFERROR(__xludf.DUMMYFUNCTION("""COMPUTED_VALUE"""),"write a test which kills @mutant380 using mockito")</f>
        <v>write a test which kills @mutant380 using mockito</v>
      </c>
      <c r="C163" s="9" t="str">
        <f ca="1">IFERROR(__xludf.DUMMYFUNCTION("""COMPUTED_VALUE"""),"{
  ""answer"": ""Yes"",
  ""explanation"": ""Yes, we can write a test using Mockito to kill @mutant380 by mocking the iterator() method to return a modified iterator."",
  ""code"": ""import org.junit.Test;
import org.mockito.Mockito;
public class Docum"&amp;"entTest {
  @Test
  public void testIterator() {
    Document document = new Document();
    Iterator&lt;IndexableField&gt; mockIterator = Mockito.mock(Iterator.class);
    Mockito.when(mockIterator.hasNext()).thenReturn(true);
    Mockito.when(mockIterator.ne"&amp;"xt()).thenReturn(Mockito.mock(IndexableField.class));
    Mockito.when(document.iterator()).thenReturn(mockIterator);
    // Perform test and assertions
  }
}""
}")</f>
        <v>{
  "answer": "Yes",
  "explanation": "Yes, we can write a test using Mockito to kill @mutant380 by mocking the iterator() method to return a modified iterator.",
  "code": "import org.junit.Test;
import org.mockito.Mockito;
public class DocumentTest {
  @Test
  public void testIterator() {
    Document document = new Document();
    Iterator&lt;IndexableField&gt; mockIterator = Mockito.mock(Iterator.class);
    Mockito.when(mockIterator.hasNext()).thenReturn(true);
    Mockito.when(mockIterator.next()).thenReturn(Mockito.mock(IndexableField.class));
    Mockito.when(document.iterator()).thenReturn(mockIterator);
    // Perform test and assertions
  }
}"
}</v>
      </c>
      <c r="D163" s="9">
        <f ca="1">IFERROR(__xludf.DUMMYFUNCTION("""COMPUTED_VALUE"""),1)</f>
        <v>1</v>
      </c>
      <c r="E163" s="9" t="str">
        <f ca="1">IFERROR(__xludf.DUMMYFUNCTION("""COMPUTED_VALUE"""),"2024-01-10 15:11:38")</f>
        <v>2024-01-10 15:11:38</v>
      </c>
      <c r="F163" s="9">
        <f ca="1">IFERROR(__xludf.DUMMYFUNCTION("""COMPUTED_VALUE"""),245)</f>
        <v>245</v>
      </c>
      <c r="G163" s="9">
        <f ca="1">IFERROR(__xludf.DUMMYFUNCTION("""COMPUTED_VALUE"""),2)</f>
        <v>2</v>
      </c>
      <c r="H163" s="9" t="str">
        <f ca="1">IFERROR(__xludf.DUMMYFUNCTION("""COMPUTED_VALUE"""),"null")</f>
        <v>null</v>
      </c>
      <c r="I163" s="9" t="str">
        <f ca="1">IFERROR(__xludf.DUMMYFUNCTION("""COMPUTED_VALUE"""),"Y")</f>
        <v>Y</v>
      </c>
      <c r="J163" s="9" t="str">
        <f ca="1">IFERROR(__xludf.DUMMYFUNCTION("""COMPUTED_VALUE"""),"TEST")</f>
        <v>TEST</v>
      </c>
      <c r="K163" s="9" t="str">
        <f ca="1">IFERROR(__xludf.DUMMYFUNCTION("""COMPUTED_VALUE"""),"Specific mutant")</f>
        <v>Specific mutant</v>
      </c>
      <c r="L163" s="9">
        <f ca="1">IFERROR(__xludf.DUMMYFUNCTION("""COMPUTED_VALUE"""),380)</f>
        <v>380</v>
      </c>
      <c r="M163" s="9" t="str">
        <f ca="1">IFERROR(__xludf.DUMMYFUNCTION("""COMPUTED_VALUE"""),"iterator
")</f>
        <v xml:space="preserve">iterator
</v>
      </c>
      <c r="N163" s="9">
        <f ca="1">IFERROR(__xludf.DUMMYFUNCTION("counta(split(B163,"" ""))"),8)</f>
        <v>8</v>
      </c>
      <c r="O163" s="9">
        <f t="shared" ca="1" si="7"/>
        <v>64.207960870298507</v>
      </c>
    </row>
    <row r="164" spans="1:17" ht="15.75" customHeight="1">
      <c r="A164" s="9">
        <f ca="1">IFERROR(__xludf.DUMMYFUNCTION("""COMPUTED_VALUE"""),150)</f>
        <v>150</v>
      </c>
      <c r="B164" s="9" t="str">
        <f ca="1">IFERROR(__xludf.DUMMYFUNCTION("""COMPUTED_VALUE"""),"write a test which kills @mutant396 using mockito")</f>
        <v>write a test which kills @mutant396 using mockito</v>
      </c>
      <c r="C164" s="9" t="str">
        <f ca="1">IFERROR(__xludf.DUMMYFUNCTION("""COMPUTED_VALUE"""),"{
  ""answer"": ""Yes"",
  ""explanation"": ""Yes, we can write a test using Mockito to kill @mutant396."",
  ""code"": ""import org.junit.Test;
import org.mockito.Mockito;
public class DocumentTest {
    @Test
    public void testRemoveFields() {
     "&amp;"   Document document = new Document();
        IndexableField field1 = Mockito.mock(IndexableField.class);
        IndexableField field2 = Mockito.mock(IndexableField.class);
        document.add(field1);
        document.add(field2);
        document.re"&amp;"moveFields(""name"");
        Mockito.verify(field1, Mockito.times(1)).name();
        Mockito.verify(field2, Mockito.times(1)).name();
    }
}""
}")</f>
        <v>{
  "answer": "Yes",
  "explanation": "Yes, we can write a test using Mockito to kill @mutant396.",
  "code": "import org.junit.Test;
import org.mockito.Mockito;
public class DocumentTest {
    @Test
    public void testRemoveFields() {
        Document document = new Document();
        IndexableField field1 = Mockito.mock(IndexableField.class);
        IndexableField field2 = Mockito.mock(IndexableField.class);
        document.add(field1);
        document.add(field2);
        document.removeFields("name");
        Mockito.verify(field1, Mockito.times(1)).name();
        Mockito.verify(field2, Mockito.times(1)).name();
    }
}"
}</v>
      </c>
      <c r="D164" s="9">
        <f ca="1">IFERROR(__xludf.DUMMYFUNCTION("""COMPUTED_VALUE"""),1)</f>
        <v>1</v>
      </c>
      <c r="E164" s="9" t="str">
        <f ca="1">IFERROR(__xludf.DUMMYFUNCTION("""COMPUTED_VALUE"""),"2024-01-10 15:17:32")</f>
        <v>2024-01-10 15:17:32</v>
      </c>
      <c r="F164" s="9">
        <f ca="1">IFERROR(__xludf.DUMMYFUNCTION("""COMPUTED_VALUE"""),245)</f>
        <v>245</v>
      </c>
      <c r="G164" s="9">
        <f ca="1">IFERROR(__xludf.DUMMYFUNCTION("""COMPUTED_VALUE"""),2)</f>
        <v>2</v>
      </c>
      <c r="H164" s="9" t="str">
        <f ca="1">IFERROR(__xludf.DUMMYFUNCTION("""COMPUTED_VALUE"""),"null")</f>
        <v>null</v>
      </c>
      <c r="I164" s="9" t="str">
        <f ca="1">IFERROR(__xludf.DUMMYFUNCTION("""COMPUTED_VALUE"""),"Y")</f>
        <v>Y</v>
      </c>
      <c r="J164" s="9" t="str">
        <f ca="1">IFERROR(__xludf.DUMMYFUNCTION("""COMPUTED_VALUE"""),"TEST")</f>
        <v>TEST</v>
      </c>
      <c r="K164" s="9" t="str">
        <f ca="1">IFERROR(__xludf.DUMMYFUNCTION("""COMPUTED_VALUE"""),"Specific mutant")</f>
        <v>Specific mutant</v>
      </c>
      <c r="L164" s="9">
        <f ca="1">IFERROR(__xludf.DUMMYFUNCTION("""COMPUTED_VALUE"""),396)</f>
        <v>396</v>
      </c>
      <c r="M164" s="9" t="str">
        <f ca="1">IFERROR(__xludf.DUMMYFUNCTION("""COMPUTED_VALUE"""),"removeField, removeFields
")</f>
        <v xml:space="preserve">removeField, removeFields
</v>
      </c>
      <c r="N164" s="9">
        <f ca="1">IFERROR(__xludf.DUMMYFUNCTION("counta(split(B164,"" ""))"),8)</f>
        <v>8</v>
      </c>
      <c r="O164" s="9">
        <f t="shared" ca="1" si="7"/>
        <v>64.207960870298507</v>
      </c>
    </row>
    <row r="165" spans="1:17" ht="15.75" customHeight="1">
      <c r="A165" s="9">
        <f ca="1">IFERROR(__xludf.DUMMYFUNCTION("""COMPUTED_VALUE"""),176)</f>
        <v>176</v>
      </c>
      <c r="B165" s="9" t="str">
        <f ca="1">IFERROR(__xludf.DUMMYFUNCTION("""COMPUTED_VALUE"""),"write a test which kills @mutant418 using mockito")</f>
        <v>write a test which kills @mutant418 using mockito</v>
      </c>
      <c r="C165" s="9" t="str">
        <f ca="1">IFERROR(__xludf.DUMMYFUNCTION("""COMPUTED_VALUE"""),"{
  ""answer"": ""Yes"",
  ""explanation"": ""Yes, we can write a test using Mockito to kill @mutant418."",
  ""code"": ""import org.junit.Test;
import org.mockito.Mockito;
public class DocumentTest {
    @Test
    public void testGetBinaryValues() {
  "&amp;"      Document document = new Document();
        IndexableField field = Mockito.mock(IndexableField.class);
        Mockito.when(field.name()).thenReturn(""testField"");
        Mockito.when(field.binaryValue()).thenReturn(new BytesRef(""testValue""));
 "&amp;"       document.add(field);
        BytesRef[] result = document.getBinaryValues(""testField"");
        assertArrayEquals(new BytesRef[]{new BytesRef(""testValue"")}, result);
    }
}""
}")</f>
        <v>{
  "answer": "Yes",
  "explanation": "Yes, we can write a test using Mockito to kill @mutant418.",
  "code": "import org.junit.Test;
import org.mockito.Mockito;
public class DocumentTest {
    @Test
    public void testGetBinaryValues() {
        Document document = new Document();
        IndexableField field = Mockito.mock(IndexableField.class);
        Mockito.when(field.name()).thenReturn("testField");
        Mockito.when(field.binaryValue()).thenReturn(new BytesRef("testValue"));
        document.add(field);
        BytesRef[] result = document.getBinaryValues("testField");
        assertArrayEquals(new BytesRef[]{new BytesRef("testValue")}, result);
    }
}"
}</v>
      </c>
      <c r="D165" s="9">
        <f ca="1">IFERROR(__xludf.DUMMYFUNCTION("""COMPUTED_VALUE"""),1)</f>
        <v>1</v>
      </c>
      <c r="E165" s="9" t="str">
        <f ca="1">IFERROR(__xludf.DUMMYFUNCTION("""COMPUTED_VALUE"""),"2024-01-10 15:24:05")</f>
        <v>2024-01-10 15:24:05</v>
      </c>
      <c r="F165" s="9">
        <f ca="1">IFERROR(__xludf.DUMMYFUNCTION("""COMPUTED_VALUE"""),245)</f>
        <v>245</v>
      </c>
      <c r="G165" s="9">
        <f ca="1">IFERROR(__xludf.DUMMYFUNCTION("""COMPUTED_VALUE"""),2)</f>
        <v>2</v>
      </c>
      <c r="H165" s="9" t="str">
        <f ca="1">IFERROR(__xludf.DUMMYFUNCTION("""COMPUTED_VALUE"""),"null")</f>
        <v>null</v>
      </c>
      <c r="I165" s="9" t="str">
        <f ca="1">IFERROR(__xludf.DUMMYFUNCTION("""COMPUTED_VALUE"""),"Y")</f>
        <v>Y</v>
      </c>
      <c r="J165" s="9" t="str">
        <f ca="1">IFERROR(__xludf.DUMMYFUNCTION("""COMPUTED_VALUE"""),"TEST")</f>
        <v>TEST</v>
      </c>
      <c r="K165" s="9" t="str">
        <f ca="1">IFERROR(__xludf.DUMMYFUNCTION("""COMPUTED_VALUE"""),"Specific mutant")</f>
        <v>Specific mutant</v>
      </c>
      <c r="L165" s="9">
        <f ca="1">IFERROR(__xludf.DUMMYFUNCTION("""COMPUTED_VALUE"""),418)</f>
        <v>418</v>
      </c>
      <c r="M165" s="9" t="str">
        <f ca="1">IFERROR(__xludf.DUMMYFUNCTION("""COMPUTED_VALUE"""),"getBinaryValues
")</f>
        <v xml:space="preserve">getBinaryValues
</v>
      </c>
      <c r="N165" s="9">
        <f ca="1">IFERROR(__xludf.DUMMYFUNCTION("counta(split(B165,"" ""))"),8)</f>
        <v>8</v>
      </c>
      <c r="O165" s="9">
        <f t="shared" ca="1" si="7"/>
        <v>64.207960870298507</v>
      </c>
    </row>
    <row r="166" spans="1:17" ht="15.75" customHeight="1">
      <c r="A166" s="9">
        <f ca="1">IFERROR(__xludf.DUMMYFUNCTION("""COMPUTED_VALUE"""),109)</f>
        <v>109</v>
      </c>
      <c r="B166" s="9" t="str">
        <f ca="1">IFERROR(__xludf.DUMMYFUNCTION("""COMPUTED_VALUE"""),"Which method is mutated by @mutant424")</f>
        <v>Which method is mutated by @mutant424</v>
      </c>
      <c r="C166" s="9" t="str">
        <f ca="1">IFERROR(__xludf.DUMMYFUNCTION("""COMPUTED_VALUE"""),"{
  ""answer"": ""getValues(String)"",
  ""explanation"": ""The method getValues(String) is mutated by @mutant424."",
  ""code"": ""public final String[] getValues(String name) {
  // mutated code
}""
}")</f>
        <v>{
  "answer": "getValues(String)",
  "explanation": "The method getValues(String) is mutated by @mutant424.",
  "code": "public final String[] getValues(String name) {
  // mutated code
}"
}</v>
      </c>
      <c r="D166" s="9">
        <f ca="1">IFERROR(__xludf.DUMMYFUNCTION("""COMPUTED_VALUE"""),1)</f>
        <v>1</v>
      </c>
      <c r="E166" s="9" t="str">
        <f ca="1">IFERROR(__xludf.DUMMYFUNCTION("""COMPUTED_VALUE"""),"2024-01-10 15:06:41")</f>
        <v>2024-01-10 15:06:41</v>
      </c>
      <c r="F166" s="9">
        <f ca="1">IFERROR(__xludf.DUMMYFUNCTION("""COMPUTED_VALUE"""),246)</f>
        <v>246</v>
      </c>
      <c r="G166" s="9">
        <f ca="1">IFERROR(__xludf.DUMMYFUNCTION("""COMPUTED_VALUE"""),2)</f>
        <v>2</v>
      </c>
      <c r="H166" s="9" t="str">
        <f ca="1">IFERROR(__xludf.DUMMYFUNCTION("""COMPUTED_VALUE"""),"null")</f>
        <v>null</v>
      </c>
      <c r="I166" s="9" t="str">
        <f ca="1">IFERROR(__xludf.DUMMYFUNCTION("""COMPUTED_VALUE"""),"Y")</f>
        <v>Y</v>
      </c>
      <c r="J166" s="9" t="str">
        <f ca="1">IFERROR(__xludf.DUMMYFUNCTION("""COMPUTED_VALUE"""),"MUTANT")</f>
        <v>MUTANT</v>
      </c>
      <c r="K166" s="9" t="str">
        <f ca="1">IFERROR(__xludf.DUMMYFUNCTION("""COMPUTED_VALUE"""),"Other")</f>
        <v>Other</v>
      </c>
      <c r="L166" s="9"/>
      <c r="M166" s="9"/>
      <c r="N166" s="9">
        <f ca="1">IFERROR(__xludf.DUMMYFUNCTION("counta(split(B166,"" ""))"),6)</f>
        <v>6</v>
      </c>
      <c r="O166" s="9">
        <f t="shared" ca="1" si="7"/>
        <v>100.25990892224655</v>
      </c>
    </row>
    <row r="167" spans="1:17" ht="15.75" customHeight="1">
      <c r="A167" s="9">
        <f ca="1">IFERROR(__xludf.DUMMYFUNCTION("""COMPUTED_VALUE"""),128)</f>
        <v>128</v>
      </c>
      <c r="B167" s="9" t="str">
        <f ca="1">IFERROR(__xludf.DUMMYFUNCTION("""COMPUTED_VALUE"""),"Please give me a test for @mutant513")</f>
        <v>Please give me a test for @mutant513</v>
      </c>
      <c r="C167" s="9" t="str">
        <f ca="1">IFERROR(__xludf.DUMMYFUNCTION("""COMPUTED_VALUE"""),"{
  ""answer"": ""Yes"",
  ""explanation"": ""To test @mutant513, we can verify if the add method adds the field to the document correctly."",
  ""code"": ""Document document = new Document();
IndexableField field = new StringField(""name"", ""John Doe"""&amp;", Field.Store.YES);
document.add(field);
IndexableField addedField = document.getField(""name"");
assertNotNull(addedField);
assertEquals(""name"", addedField.name());
assertEquals(""John Doe"", addedField.stringValue());""
}")</f>
        <v>{
  "answer": "Yes",
  "explanation": "To test @mutant513, we can verify if the add method adds the field to the document correctly.",
  "code": "Document document = new Document();
IndexableField field = new StringField("name", "John Doe", Field.Store.YES);
document.add(field);
IndexableField addedField = document.getField("name");
assertNotNull(addedField);
assertEquals("name", addedField.name());
assertEquals("John Doe", addedField.stringValue());"
}</v>
      </c>
      <c r="D167" s="9">
        <f ca="1">IFERROR(__xludf.DUMMYFUNCTION("""COMPUTED_VALUE"""),0)</f>
        <v>0</v>
      </c>
      <c r="E167" s="9" t="str">
        <f ca="1">IFERROR(__xludf.DUMMYFUNCTION("""COMPUTED_VALUE"""),"2024-01-10 15:12:05")</f>
        <v>2024-01-10 15:12:05</v>
      </c>
      <c r="F167" s="9">
        <f ca="1">IFERROR(__xludf.DUMMYFUNCTION("""COMPUTED_VALUE"""),246)</f>
        <v>246</v>
      </c>
      <c r="G167" s="9">
        <f ca="1">IFERROR(__xludf.DUMMYFUNCTION("""COMPUTED_VALUE"""),2)</f>
        <v>2</v>
      </c>
      <c r="H167" s="9">
        <f ca="1">IFERROR(__xludf.DUMMYFUNCTION("""COMPUTED_VALUE"""),0)</f>
        <v>0</v>
      </c>
      <c r="I167" s="9" t="str">
        <f ca="1">IFERROR(__xludf.DUMMYFUNCTION("""COMPUTED_VALUE"""),"Y")</f>
        <v>Y</v>
      </c>
      <c r="J167" s="9" t="str">
        <f ca="1">IFERROR(__xludf.DUMMYFUNCTION("""COMPUTED_VALUE"""),"TEST")</f>
        <v>TEST</v>
      </c>
      <c r="K167" s="9" t="str">
        <f ca="1">IFERROR(__xludf.DUMMYFUNCTION("""COMPUTED_VALUE"""),"Specific mutant")</f>
        <v>Specific mutant</v>
      </c>
      <c r="L167" s="9">
        <f ca="1">IFERROR(__xludf.DUMMYFUNCTION("""COMPUTED_VALUE"""),513)</f>
        <v>513</v>
      </c>
      <c r="M167" s="9" t="str">
        <f ca="1">IFERROR(__xludf.DUMMYFUNCTION("""COMPUTED_VALUE"""),"add
")</f>
        <v xml:space="preserve">add
</v>
      </c>
      <c r="N167" s="9">
        <f ca="1">IFERROR(__xludf.DUMMYFUNCTION("counta(split(B167,"" ""))"),7)</f>
        <v>7</v>
      </c>
      <c r="O167" s="9">
        <f t="shared" ca="1" si="7"/>
        <v>81.23393489627253</v>
      </c>
      <c r="P167" s="9" t="s">
        <v>689</v>
      </c>
    </row>
    <row r="168" spans="1:17" ht="15.75" customHeight="1">
      <c r="A168" s="9">
        <f ca="1">IFERROR(__xludf.DUMMYFUNCTION("""COMPUTED_VALUE"""),131)</f>
        <v>131</v>
      </c>
      <c r="B168" s="9" t="str">
        <f ca="1">IFERROR(__xludf.DUMMYFUNCTION("""COMPUTED_VALUE"""),"Can you implement a test for mutant @mutant513")</f>
        <v>Can you implement a test for mutant @mutant513</v>
      </c>
      <c r="C168" s="9" t="str">
        <f ca="1">IFERROR(__xludf.DUMMYFUNCTION("""COMPUTED_VALUE"""),"{
  ""answer"": ""Yes"",
  ""explanation"": ""To test mutant @mutant513, we can verify if the add method modifies the fields list by checking its size before and after calling the method."",
  ""code"": ""Document document = new Document();
int initialSi"&amp;"ze = document.getFields().size();
IndexableField field = new StringField(""name"", ""value"", Field.Store.YES);
document.add(field);
int finalSize = document.getFields().size();
assertNotEquals(initialSize, finalSize);""
}")</f>
        <v>{
  "answer": "Yes",
  "explanation": "To test mutant @mutant513, we can verify if the add method modifies the fields list by checking its size before and after calling the method.",
  "code": "Document document = new Document();
int initialSize = document.getFields().size();
IndexableField field = new StringField("name", "value", Field.Store.YES);
document.add(field);
int finalSize = document.getFields().size();
assertNotEquals(initialSize, finalSize);"
}</v>
      </c>
      <c r="D168" s="9">
        <f ca="1">IFERROR(__xludf.DUMMYFUNCTION("""COMPUTED_VALUE"""),1)</f>
        <v>1</v>
      </c>
      <c r="E168" s="9" t="str">
        <f ca="1">IFERROR(__xludf.DUMMYFUNCTION("""COMPUTED_VALUE"""),"2024-01-10 15:12:45")</f>
        <v>2024-01-10 15:12:45</v>
      </c>
      <c r="F168" s="9">
        <f ca="1">IFERROR(__xludf.DUMMYFUNCTION("""COMPUTED_VALUE"""),246)</f>
        <v>246</v>
      </c>
      <c r="G168" s="9">
        <f ca="1">IFERROR(__xludf.DUMMYFUNCTION("""COMPUTED_VALUE"""),2)</f>
        <v>2</v>
      </c>
      <c r="H168" s="9" t="str">
        <f ca="1">IFERROR(__xludf.DUMMYFUNCTION("""COMPUTED_VALUE"""),"null")</f>
        <v>null</v>
      </c>
      <c r="I168" s="9" t="str">
        <f ca="1">IFERROR(__xludf.DUMMYFUNCTION("""COMPUTED_VALUE"""),"Y")</f>
        <v>Y</v>
      </c>
      <c r="J168" s="9" t="str">
        <f ca="1">IFERROR(__xludf.DUMMYFUNCTION("""COMPUTED_VALUE"""),"TEST")</f>
        <v>TEST</v>
      </c>
      <c r="K168" s="9" t="str">
        <f ca="1">IFERROR(__xludf.DUMMYFUNCTION("""COMPUTED_VALUE"""),"Specific mutant")</f>
        <v>Specific mutant</v>
      </c>
      <c r="L168" s="9">
        <f ca="1">IFERROR(__xludf.DUMMYFUNCTION("""COMPUTED_VALUE"""),513)</f>
        <v>513</v>
      </c>
      <c r="M168" s="9" t="str">
        <f ca="1">IFERROR(__xludf.DUMMYFUNCTION("""COMPUTED_VALUE"""),"add
")</f>
        <v xml:space="preserve">add
</v>
      </c>
      <c r="N168" s="9">
        <f ca="1">IFERROR(__xludf.DUMMYFUNCTION("counta(split(B168,"" ""))"),8)</f>
        <v>8</v>
      </c>
      <c r="O168" s="9">
        <f t="shared" ca="1" si="7"/>
        <v>64.207960870298507</v>
      </c>
      <c r="P168" s="9" t="s">
        <v>689</v>
      </c>
    </row>
    <row r="169" spans="1:17" ht="15.75" customHeight="1">
      <c r="A169" s="9">
        <f ca="1">IFERROR(__xludf.DUMMYFUNCTION("""COMPUTED_VALUE"""),147)</f>
        <v>147</v>
      </c>
      <c r="B169" s="9" t="str">
        <f ca="1">IFERROR(__xludf.DUMMYFUNCTION("""COMPUTED_VALUE"""),"Please implement a working test for @mutant450")</f>
        <v>Please implement a working test for @mutant450</v>
      </c>
      <c r="C169" s="9" t="str">
        <f ca="1">IFERROR(__xludf.DUMMYFUNCTION("""COMPUTED_VALUE"""),"{
  ""answer"": ""The test should check if the getBinaryValue method returns null when there are no binary fields with the specified name."",
  ""explanation"": ""The mutant in @mutant450 changes the condition in the getBinaryValue method, causing it to a"&amp;"lways return null. The test should verify this behavior."",
  ""code"": ""public void testGetBinaryValue() {
  Document document = new Document();
  BytesRef result = document.getBinaryValue(""name"");
  assertNull(result);
}""
}")</f>
        <v>{
  "answer": "The test should check if the getBinaryValue method returns null when there are no binary fields with the specified name.",
  "explanation": "The mutant in @mutant450 changes the condition in the getBinaryValue method, causing it to always return null. The test should verify this behavior.",
  "code": "public void testGetBinaryValue() {
  Document document = new Document();
  BytesRef result = document.getBinaryValue("name");
  assertNull(result);
}"
}</v>
      </c>
      <c r="D169" s="9">
        <f ca="1">IFERROR(__xludf.DUMMYFUNCTION("""COMPUTED_VALUE"""),0)</f>
        <v>0</v>
      </c>
      <c r="E169" s="9" t="str">
        <f ca="1">IFERROR(__xludf.DUMMYFUNCTION("""COMPUTED_VALUE"""),"2024-01-10 15:17:01")</f>
        <v>2024-01-10 15:17:01</v>
      </c>
      <c r="F169" s="9">
        <f ca="1">IFERROR(__xludf.DUMMYFUNCTION("""COMPUTED_VALUE"""),246)</f>
        <v>246</v>
      </c>
      <c r="G169" s="9">
        <f ca="1">IFERROR(__xludf.DUMMYFUNCTION("""COMPUTED_VALUE"""),2)</f>
        <v>2</v>
      </c>
      <c r="H169" s="9">
        <f ca="1">IFERROR(__xludf.DUMMYFUNCTION("""COMPUTED_VALUE"""),0)</f>
        <v>0</v>
      </c>
      <c r="I169" s="9" t="str">
        <f ca="1">IFERROR(__xludf.DUMMYFUNCTION("""COMPUTED_VALUE"""),"Y")</f>
        <v>Y</v>
      </c>
      <c r="J169" s="9" t="str">
        <f ca="1">IFERROR(__xludf.DUMMYFUNCTION("""COMPUTED_VALUE"""),"TEST")</f>
        <v>TEST</v>
      </c>
      <c r="K169" s="9" t="str">
        <f ca="1">IFERROR(__xludf.DUMMYFUNCTION("""COMPUTED_VALUE"""),"Specific mutant")</f>
        <v>Specific mutant</v>
      </c>
      <c r="L169" s="9">
        <f ca="1">IFERROR(__xludf.DUMMYFUNCTION("""COMPUTED_VALUE"""),540)</f>
        <v>540</v>
      </c>
      <c r="M169" s="9" t="str">
        <f ca="1">IFERROR(__xludf.DUMMYFUNCTION("""COMPUTED_VALUE"""),"getBinaryValue
")</f>
        <v xml:space="preserve">getBinaryValue
</v>
      </c>
      <c r="N169" s="9">
        <f ca="1">IFERROR(__xludf.DUMMYFUNCTION("counta(split(B169,"" ""))"),7)</f>
        <v>7</v>
      </c>
      <c r="O169" s="9">
        <f t="shared" ca="1" si="7"/>
        <v>81.23393489627253</v>
      </c>
      <c r="P169" s="9" t="s">
        <v>689</v>
      </c>
    </row>
    <row r="170" spans="1:17" ht="15.75" customHeight="1">
      <c r="A170" s="9">
        <f ca="1">IFERROR(__xludf.DUMMYFUNCTION("""COMPUTED_VALUE"""),152)</f>
        <v>152</v>
      </c>
      <c r="B170" s="9" t="str">
        <f ca="1">IFERROR(__xludf.DUMMYFUNCTION("""COMPUTED_VALUE"""),"Please implement a working test to identify @mutant450")</f>
        <v>Please implement a working test to identify @mutant450</v>
      </c>
      <c r="C170" s="9" t="str">
        <f ca="1">IFERROR(__xludf.DUMMYFUNCTION("""COMPUTED_VALUE"""),"{
  ""answer"": ""The mutant @mutant450 can be identified by checking the condition in the getBinaryValue method."",
  ""explanation"": ""In the getBinaryValue method of the mutant, the condition 'field.name().equals(""name"")' is incorrect as it should c"&amp;"ompare with the parameter 'name' instead of the string literal 'name'."",
  ""code"": ""Document document = new Document();
IndexableField field1 = new StringField(""name"", ""John Doe"", Field.Store.YES);
IndexableField field2 = new StringField(""age"","&amp;" ""30"", Field.Store.YES);
document.add(field1);
document.add(field2);
BytesRef binaryValue = document.getBinaryValue(""name"");
if (binaryValue != null) {
    System.out.println(binaryValue.utf8ToString());
}""
}")</f>
        <v>{
  "answer": "The mutant @mutant450 can be identified by checking the condition in the getBinaryValue method.",
  "explanation": "In the getBinaryValue method of the mutant, the condition 'field.name().equals("name")' is incorrect as it should compare with the parameter 'name' instead of the string literal 'name'.",
  "code": "Document document = new Document();
IndexableField field1 = new StringField("name", "John Doe", Field.Store.YES);
IndexableField field2 = new StringField("age", "30", Field.Store.YES);
document.add(field1);
document.add(field2);
BytesRef binaryValue = document.getBinaryValue("name");
if (binaryValue != null) {
    System.out.println(binaryValue.utf8ToString());
}"
}</v>
      </c>
      <c r="D170" s="9">
        <f ca="1">IFERROR(__xludf.DUMMYFUNCTION("""COMPUTED_VALUE"""),1)</f>
        <v>1</v>
      </c>
      <c r="E170" s="9" t="str">
        <f ca="1">IFERROR(__xludf.DUMMYFUNCTION("""COMPUTED_VALUE"""),"2024-01-10 15:17:38")</f>
        <v>2024-01-10 15:17:38</v>
      </c>
      <c r="F170" s="9">
        <f ca="1">IFERROR(__xludf.DUMMYFUNCTION("""COMPUTED_VALUE"""),246)</f>
        <v>246</v>
      </c>
      <c r="G170" s="9">
        <f ca="1">IFERROR(__xludf.DUMMYFUNCTION("""COMPUTED_VALUE"""),2)</f>
        <v>2</v>
      </c>
      <c r="H170" s="9" t="str">
        <f ca="1">IFERROR(__xludf.DUMMYFUNCTION("""COMPUTED_VALUE"""),"null")</f>
        <v>null</v>
      </c>
      <c r="I170" s="9" t="str">
        <f ca="1">IFERROR(__xludf.DUMMYFUNCTION("""COMPUTED_VALUE"""),"Y")</f>
        <v>Y</v>
      </c>
      <c r="J170" s="9" t="str">
        <f ca="1">IFERROR(__xludf.DUMMYFUNCTION("""COMPUTED_VALUE"""),"TEST")</f>
        <v>TEST</v>
      </c>
      <c r="K170" s="9" t="str">
        <f ca="1">IFERROR(__xludf.DUMMYFUNCTION("""COMPUTED_VALUE"""),"Specific mutant")</f>
        <v>Specific mutant</v>
      </c>
      <c r="L170" s="9">
        <f ca="1">IFERROR(__xludf.DUMMYFUNCTION("""COMPUTED_VALUE"""),540)</f>
        <v>540</v>
      </c>
      <c r="M170" s="9" t="str">
        <f ca="1">IFERROR(__xludf.DUMMYFUNCTION("""COMPUTED_VALUE"""),"getBinaryValue
")</f>
        <v xml:space="preserve">getBinaryValue
</v>
      </c>
      <c r="N170" s="9">
        <f ca="1">IFERROR(__xludf.DUMMYFUNCTION("counta(split(B170,"" ""))"),8)</f>
        <v>8</v>
      </c>
      <c r="O170" s="9">
        <f t="shared" ca="1" si="7"/>
        <v>64.207960870298507</v>
      </c>
      <c r="P170" s="9" t="s">
        <v>689</v>
      </c>
    </row>
    <row r="171" spans="1:17" ht="15.75" customHeight="1">
      <c r="A171" s="9">
        <f ca="1">IFERROR(__xludf.DUMMYFUNCTION("""COMPUTED_VALUE"""),124)</f>
        <v>124</v>
      </c>
      <c r="B171" s="9" t="str">
        <f ca="1">IFERROR(__xludf.DUMMYFUNCTION("""COMPUTED_VALUE"""),"how do i create one instance of document or indexablefield? Elaborate the use of those classes and how they work together?")</f>
        <v>how do i create one instance of document or indexablefield? Elaborate the use of those classes and how they work together?</v>
      </c>
      <c r="C171" s="9" t="str">
        <f ca="1">IFERROR(__xludf.DUMMYFUNCTION("""COMPUTED_VALUE"""),"{
  ""answer"": ""To create an instance of Document or IndexableField, you can use their respective constructors."",
  ""explanation"": ""The Document class represents a set of fields, where each field has a name and a textual value. The IndexableField in"&amp;"terface represents a single field in a document. The Document class contains a list of IndexableField objects. You can create an instance of Document and add IndexableField objects to it using the add() method."",
  ""code"": ""Document document = new Doc"&amp;"ument();
IndexableField field = new StringField(""name"", ""John Doe"", Field.Store.YES);
document.add(field);""
}")</f>
        <v>{
  "answer": "To create an instance of Document or IndexableField, you can use their respective constructors.",
  "explanation": "The Document class represents a set of fields, where each field has a name and a textual value. The IndexableField interface represents a single field in a document. The Document class contains a list of IndexableField objects. You can create an instance of Document and add IndexableField objects to it using the add() method.",
  "code": "Document document = new Document();
IndexableField field = new StringField("name", "John Doe", Field.Store.YES);
document.add(field);"
}</v>
      </c>
      <c r="D171" s="9">
        <f ca="1">IFERROR(__xludf.DUMMYFUNCTION("""COMPUTED_VALUE"""),1)</f>
        <v>1</v>
      </c>
      <c r="E171" s="9" t="str">
        <f ca="1">IFERROR(__xludf.DUMMYFUNCTION("""COMPUTED_VALUE"""),"2024-01-10 15:11:10")</f>
        <v>2024-01-10 15:11:10</v>
      </c>
      <c r="F171" s="9">
        <f ca="1">IFERROR(__xludf.DUMMYFUNCTION("""COMPUTED_VALUE"""),247)</f>
        <v>247</v>
      </c>
      <c r="G171" s="9">
        <f ca="1">IFERROR(__xludf.DUMMYFUNCTION("""COMPUTED_VALUE"""),2)</f>
        <v>2</v>
      </c>
      <c r="H171" s="9" t="str">
        <f ca="1">IFERROR(__xludf.DUMMYFUNCTION("""COMPUTED_VALUE"""),"null")</f>
        <v>null</v>
      </c>
      <c r="I171" s="9" t="str">
        <f ca="1">IFERROR(__xludf.DUMMYFUNCTION("""COMPUTED_VALUE"""),"Y")</f>
        <v>Y</v>
      </c>
      <c r="J171" s="9" t="str">
        <f ca="1">IFERROR(__xludf.DUMMYFUNCTION("""COMPUTED_VALUE"""),"OTHER")</f>
        <v>OTHER</v>
      </c>
      <c r="K171" s="9" t="str">
        <f ca="1">IFERROR(__xludf.DUMMYFUNCTION("""COMPUTED_VALUE"""),"Code under test")</f>
        <v>Code under test</v>
      </c>
      <c r="L171" s="9"/>
      <c r="M171" s="9"/>
      <c r="N171" s="9">
        <f ca="1">IFERROR(__xludf.DUMMYFUNCTION("counta(split(B171,"" ""))"),21)</f>
        <v>21</v>
      </c>
      <c r="O171" s="9">
        <f t="shared" ca="1" si="7"/>
        <v>24.870298532636212</v>
      </c>
    </row>
    <row r="172" spans="1:17" ht="15.75" customHeight="1">
      <c r="A172" s="9">
        <f ca="1">IFERROR(__xludf.DUMMYFUNCTION("""COMPUTED_VALUE"""),145)</f>
        <v>145</v>
      </c>
      <c r="B172" s="9" t="str">
        <f ca="1">IFERROR(__xludf.DUMMYFUNCTION("""COMPUTED_VALUE"""),"How would you mock an indexablefield in this case and what would be an example test?")</f>
        <v>How would you mock an indexablefield in this case and what would be an example test?</v>
      </c>
      <c r="C172" s="9" t="str">
        <f ca="1">IFERROR(__xludf.DUMMYFUNCTION("""COMPUTED_VALUE"""),"{
  ""answer"": ""You can mock an IndexableField using a mocking framework like Mockito, and an example test would be to verify that the add method adds the field to the document."",
  ""explanation"": ""To mock an IndexableField, you can use a mocking fr"&amp;"amework like Mockito to create a mock object that simulates the behavior of an IndexableField. In the example test, you can use the mock object to verify that the add method of the Document class adds the field to the document."",
  ""code"": ""import org"&amp;".junit.Test;
import org.mockito.Mock;
import static org.mockito.Mockito.*;
public class DocumentTest {
    @Mock
    private IndexableField field;
    @Test
    public void testAddField() {
        Document document = new Document();
        document.a"&amp;"dd(field);
        verify(field).name();
    }
}"" 
}")</f>
        <v>{
  "answer": "You can mock an IndexableField using a mocking framework like Mockito, and an example test would be to verify that the add method adds the field to the document.",
  "explanation": "To mock an IndexableField, you can use a mocking framework like Mockito to create a mock object that simulates the behavior of an IndexableField. In the example test, you can use the mock object to verify that the add method of the Document class adds the field to the document.",
  "code": "import org.junit.Test;
import org.mockito.Mock;
import static org.mockito.Mockito.*;
public class DocumentTest {
    @Mock
    private IndexableField field;
    @Test
    public void testAddField() {
        Document document = new Document();
        document.add(field);
        verify(field).name();
    }
}" 
}</v>
      </c>
      <c r="D172" s="9">
        <f ca="1">IFERROR(__xludf.DUMMYFUNCTION("""COMPUTED_VALUE"""),1)</f>
        <v>1</v>
      </c>
      <c r="E172" s="9" t="str">
        <f ca="1">IFERROR(__xludf.DUMMYFUNCTION("""COMPUTED_VALUE"""),"2024-01-10 15:16:28")</f>
        <v>2024-01-10 15:16:28</v>
      </c>
      <c r="F172" s="9">
        <f ca="1">IFERROR(__xludf.DUMMYFUNCTION("""COMPUTED_VALUE"""),247)</f>
        <v>247</v>
      </c>
      <c r="G172" s="9">
        <f ca="1">IFERROR(__xludf.DUMMYFUNCTION("""COMPUTED_VALUE"""),2)</f>
        <v>2</v>
      </c>
      <c r="H172" s="9" t="str">
        <f ca="1">IFERROR(__xludf.DUMMYFUNCTION("""COMPUTED_VALUE"""),"null")</f>
        <v>null</v>
      </c>
      <c r="I172" s="9" t="str">
        <f ca="1">IFERROR(__xludf.DUMMYFUNCTION("""COMPUTED_VALUE"""),"Y")</f>
        <v>Y</v>
      </c>
      <c r="J172" s="9" t="str">
        <f ca="1">IFERROR(__xludf.DUMMYFUNCTION("""COMPUTED_VALUE"""),"OTHER")</f>
        <v>OTHER</v>
      </c>
      <c r="K172" s="9" t="str">
        <f ca="1">IFERROR(__xludf.DUMMYFUNCTION("""COMPUTED_VALUE"""),"Mock")</f>
        <v>Mock</v>
      </c>
      <c r="L172" s="9"/>
      <c r="M172" s="9"/>
      <c r="N172" s="9">
        <f ca="1">IFERROR(__xludf.DUMMYFUNCTION("counta(split(B172,"" ""))"),16)</f>
        <v>16</v>
      </c>
      <c r="O172" s="9">
        <f t="shared" ca="1" si="7"/>
        <v>1.6866250632480083E-4</v>
      </c>
    </row>
    <row r="173" spans="1:17" ht="15.75" customHeight="1">
      <c r="A173" s="9">
        <f ca="1">IFERROR(__xludf.DUMMYFUNCTION("""COMPUTED_VALUE"""),167)</f>
        <v>167</v>
      </c>
      <c r="B173" s="9" t="str">
        <f ca="1">IFERROR(__xludf.DUMMYFUNCTION("""COMPUTED_VALUE"""),"How to create a mock of IndexableField with fitting values?")</f>
        <v>How to create a mock of IndexableField with fitting values?</v>
      </c>
      <c r="C173" s="9" t="str">
        <f ca="1">IFERROR(__xludf.DUMMYFUNCTION("""COMPUTED_VALUE"""),"{
  ""answer"": ""You can create a mock of IndexableField using a mocking framework like Mockito."",
  ""explanation"": ""Mockito allows you to create a mock object of IndexableField and set the desired values for testing purposes."",
  ""code"": ""Indexa"&amp;"bleField mockField = Mockito.mock(IndexableField.class);
Mockito.when(mockField.name()).thenReturn(""fieldName"");
Mockito.when(mockField.stringValue()).thenReturn(""fieldValue"");""
}")</f>
        <v>{
  "answer": "You can create a mock of IndexableField using a mocking framework like Mockito.",
  "explanation": "Mockito allows you to create a mock object of IndexableField and set the desired values for testing purposes.",
  "code": "IndexableField mockField = Mockito.mock(IndexableField.class);
Mockito.when(mockField.name()).thenReturn("fieldName");
Mockito.when(mockField.stringValue()).thenReturn("fieldValue");"
}</v>
      </c>
      <c r="D173" s="9">
        <f ca="1">IFERROR(__xludf.DUMMYFUNCTION("""COMPUTED_VALUE"""),0)</f>
        <v>0</v>
      </c>
      <c r="E173" s="9" t="str">
        <f ca="1">IFERROR(__xludf.DUMMYFUNCTION("""COMPUTED_VALUE"""),"2024-01-10 15:21:29")</f>
        <v>2024-01-10 15:21:29</v>
      </c>
      <c r="F173" s="9">
        <f ca="1">IFERROR(__xludf.DUMMYFUNCTION("""COMPUTED_VALUE"""),247)</f>
        <v>247</v>
      </c>
      <c r="G173" s="9">
        <f ca="1">IFERROR(__xludf.DUMMYFUNCTION("""COMPUTED_VALUE"""),2)</f>
        <v>2</v>
      </c>
      <c r="H173" s="9" t="str">
        <f ca="1">IFERROR(__xludf.DUMMYFUNCTION("""COMPUTED_VALUE"""),"null")</f>
        <v>null</v>
      </c>
      <c r="I173" s="9" t="str">
        <f ca="1">IFERROR(__xludf.DUMMYFUNCTION("""COMPUTED_VALUE"""),"Y")</f>
        <v>Y</v>
      </c>
      <c r="J173" s="9" t="str">
        <f ca="1">IFERROR(__xludf.DUMMYFUNCTION("""COMPUTED_VALUE"""),"OTHER")</f>
        <v>OTHER</v>
      </c>
      <c r="K173" s="9" t="str">
        <f ca="1">IFERROR(__xludf.DUMMYFUNCTION("""COMPUTED_VALUE"""),"Mock")</f>
        <v>Mock</v>
      </c>
      <c r="L173" s="9"/>
      <c r="M173" s="9"/>
      <c r="N173" s="9">
        <f ca="1">IFERROR(__xludf.DUMMYFUNCTION("counta(split(B173,"" ""))"),10)</f>
        <v>10</v>
      </c>
      <c r="O173" s="9">
        <f t="shared" ca="1" si="7"/>
        <v>36.156012818350462</v>
      </c>
      <c r="Q173" s="9">
        <f ca="1">COUNTIFS(J75:J173,"=TEST",K75:K173,"&lt;&gt;Other")</f>
        <v>58</v>
      </c>
    </row>
    <row r="175" spans="1:17" ht="15.75" customHeight="1">
      <c r="M175" s="9">
        <f ca="1">COUNTA(M2:M173)</f>
        <v>86</v>
      </c>
      <c r="N175" s="9">
        <f t="shared" ref="N175:O175" ca="1" si="8">COUNT(N2:N173)</f>
        <v>154</v>
      </c>
      <c r="O175" s="9">
        <f t="shared" ca="1" si="8"/>
        <v>154</v>
      </c>
      <c r="P175" s="9">
        <f>COUNTA(P2:P173)</f>
        <v>44</v>
      </c>
    </row>
    <row r="178" spans="15:15" ht="15.75" customHeight="1">
      <c r="O178" s="9">
        <f ca="1">SQRT(SUM(O2:O173)/O175)</f>
        <v>16.034454385522132</v>
      </c>
    </row>
  </sheetData>
  <conditionalFormatting sqref="J1:J1000">
    <cfRule type="cellIs" dxfId="461" priority="1" operator="equal">
      <formula>"TEST"</formula>
    </cfRule>
    <cfRule type="cellIs" dxfId="460" priority="2" operator="equal">
      <formula>"MUTANT"</formula>
    </cfRule>
    <cfRule type="cellIs" dxfId="459" priority="3" operator="equal">
      <formula>"OTHER"</formula>
    </cfRule>
  </conditionalFormatting>
  <conditionalFormatting sqref="K1:K1000">
    <cfRule type="cellIs" dxfId="458" priority="4" operator="equal">
      <formula>"Other"</formula>
    </cfRule>
    <cfRule type="cellIs" dxfId="457" priority="5" operator="equal">
      <formula>"Mock"</formula>
    </cfRule>
    <cfRule type="cellIs" dxfId="456" priority="6" operator="equal">
      <formula>"Code under test"</formula>
    </cfRule>
    <cfRule type="cellIs" dxfId="455" priority="7" operator="equal">
      <formula>"Specific method"</formula>
    </cfRule>
    <cfRule type="cellIs" dxfId="454" priority="8" operator="equal">
      <formula>"Specific mutant"</formula>
    </cfRule>
  </conditionalFormatting>
  <conditionalFormatting sqref="P1:P1000">
    <cfRule type="notContainsBlanks" dxfId="453" priority="9">
      <formula>LEN(TRIM(P1))&gt;0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FF"/>
    <outlinePr summaryBelow="0" summaryRight="0"/>
  </sheetPr>
  <dimension ref="A1:L841"/>
  <sheetViews>
    <sheetView workbookViewId="0">
      <pane ySplit="1" topLeftCell="A284" activePane="bottomLeft" state="frozen"/>
      <selection pane="bottomLeft" activeCell="N301" sqref="N301"/>
    </sheetView>
  </sheetViews>
  <sheetFormatPr defaultColWidth="12.5703125" defaultRowHeight="15.75" customHeight="1"/>
  <cols>
    <col min="1" max="1" width="7.28515625" bestFit="1" customWidth="1"/>
    <col min="2" max="2" width="8.7109375" bestFit="1" customWidth="1"/>
    <col min="3" max="3" width="42.140625" hidden="1" customWidth="1"/>
    <col min="4" max="4" width="42.85546875" hidden="1" customWidth="1"/>
    <col min="5" max="5" width="9" bestFit="1" customWidth="1"/>
    <col min="6" max="6" width="18.140625" bestFit="1" customWidth="1"/>
    <col min="7" max="7" width="12.85546875" bestFit="1" customWidth="1"/>
    <col min="8" max="8" width="50" customWidth="1"/>
    <col min="9" max="9" width="53.5703125" hidden="1" customWidth="1"/>
    <col min="10" max="10" width="6.28515625" bestFit="1" customWidth="1"/>
    <col min="11" max="11" width="53.85546875" bestFit="1" customWidth="1"/>
  </cols>
  <sheetData>
    <row r="1" spans="1:12">
      <c r="A1" s="111" t="s">
        <v>4609</v>
      </c>
      <c r="B1" s="9" t="s">
        <v>4</v>
      </c>
      <c r="C1" s="9" t="s">
        <v>690</v>
      </c>
      <c r="D1" s="9" t="s">
        <v>691</v>
      </c>
      <c r="E1" s="9" t="s">
        <v>3</v>
      </c>
      <c r="F1" s="9" t="s">
        <v>110</v>
      </c>
      <c r="G1" s="9" t="s">
        <v>692</v>
      </c>
      <c r="H1" s="9" t="s">
        <v>693</v>
      </c>
      <c r="I1" s="9" t="s">
        <v>694</v>
      </c>
      <c r="J1" s="9" t="s">
        <v>695</v>
      </c>
      <c r="K1" s="9" t="s">
        <v>696</v>
      </c>
      <c r="L1" s="9" t="s">
        <v>2</v>
      </c>
    </row>
    <row r="2" spans="1:12">
      <c r="A2" s="9">
        <v>103</v>
      </c>
      <c r="B2" s="9">
        <v>112</v>
      </c>
      <c r="C2" s="9" t="s">
        <v>697</v>
      </c>
      <c r="D2" s="9" t="s">
        <v>20</v>
      </c>
      <c r="E2" s="9">
        <v>155</v>
      </c>
      <c r="F2" s="9" t="s">
        <v>698</v>
      </c>
      <c r="G2" s="9">
        <v>0</v>
      </c>
      <c r="H2" s="9"/>
      <c r="I2" s="9"/>
      <c r="J2" s="9">
        <v>0</v>
      </c>
      <c r="K2" s="9" t="s">
        <v>699</v>
      </c>
      <c r="L2" s="9" t="str">
        <f t="shared" ref="L2:L256" si="0">IF(D2="\N","N","Y")</f>
        <v>N</v>
      </c>
    </row>
    <row r="3" spans="1:12">
      <c r="A3" s="9">
        <v>104</v>
      </c>
      <c r="B3" s="9">
        <v>109</v>
      </c>
      <c r="C3" s="9" t="s">
        <v>700</v>
      </c>
      <c r="D3" s="9" t="s">
        <v>20</v>
      </c>
      <c r="E3" s="9">
        <v>136</v>
      </c>
      <c r="F3" s="9" t="s">
        <v>701</v>
      </c>
      <c r="G3" s="9">
        <v>0</v>
      </c>
      <c r="J3" s="9">
        <v>0</v>
      </c>
      <c r="K3" s="9" t="s">
        <v>699</v>
      </c>
      <c r="L3" s="9" t="str">
        <f t="shared" si="0"/>
        <v>N</v>
      </c>
    </row>
    <row r="4" spans="1:12">
      <c r="A4" s="9">
        <v>105</v>
      </c>
      <c r="B4" s="9">
        <v>117</v>
      </c>
      <c r="C4" s="9" t="s">
        <v>702</v>
      </c>
      <c r="D4" s="9" t="s">
        <v>20</v>
      </c>
      <c r="E4" s="9">
        <v>186</v>
      </c>
      <c r="F4" s="9" t="s">
        <v>703</v>
      </c>
      <c r="G4" s="9">
        <v>0</v>
      </c>
      <c r="J4" s="9">
        <v>0</v>
      </c>
      <c r="K4" s="9" t="s">
        <v>699</v>
      </c>
      <c r="L4" s="9" t="str">
        <f t="shared" si="0"/>
        <v>N</v>
      </c>
    </row>
    <row r="5" spans="1:12">
      <c r="A5" s="9">
        <v>106</v>
      </c>
      <c r="B5" s="9">
        <v>111</v>
      </c>
      <c r="C5" s="9" t="s">
        <v>704</v>
      </c>
      <c r="D5" s="9" t="s">
        <v>20</v>
      </c>
      <c r="E5" s="9">
        <v>149</v>
      </c>
      <c r="F5" s="9" t="s">
        <v>705</v>
      </c>
      <c r="G5" s="9">
        <v>0</v>
      </c>
      <c r="H5" s="9"/>
      <c r="I5" s="9"/>
      <c r="J5" s="9">
        <v>0</v>
      </c>
      <c r="K5" s="9" t="s">
        <v>699</v>
      </c>
      <c r="L5" s="9" t="str">
        <f t="shared" si="0"/>
        <v>N</v>
      </c>
    </row>
    <row r="6" spans="1:12">
      <c r="A6" s="9">
        <v>107</v>
      </c>
      <c r="B6" s="9">
        <v>117</v>
      </c>
      <c r="C6" s="9" t="s">
        <v>706</v>
      </c>
      <c r="D6" s="9" t="s">
        <v>20</v>
      </c>
      <c r="E6" s="9">
        <v>186</v>
      </c>
      <c r="F6" s="9" t="s">
        <v>707</v>
      </c>
      <c r="G6" s="9">
        <v>0</v>
      </c>
      <c r="H6" s="9"/>
      <c r="I6" s="9"/>
      <c r="J6" s="9">
        <v>0</v>
      </c>
      <c r="K6" s="9" t="s">
        <v>699</v>
      </c>
      <c r="L6" s="9" t="str">
        <f t="shared" si="0"/>
        <v>N</v>
      </c>
    </row>
    <row r="7" spans="1:12">
      <c r="A7" s="9">
        <v>108</v>
      </c>
      <c r="B7" s="9">
        <v>109</v>
      </c>
      <c r="C7" s="9" t="s">
        <v>708</v>
      </c>
      <c r="D7" s="9" t="s">
        <v>20</v>
      </c>
      <c r="E7" s="9">
        <v>138</v>
      </c>
      <c r="F7" s="9" t="s">
        <v>709</v>
      </c>
      <c r="G7" s="9">
        <v>0</v>
      </c>
      <c r="J7" s="9">
        <v>0</v>
      </c>
      <c r="K7" s="9" t="s">
        <v>699</v>
      </c>
      <c r="L7" s="9" t="str">
        <f t="shared" si="0"/>
        <v>N</v>
      </c>
    </row>
    <row r="8" spans="1:12">
      <c r="A8" s="9">
        <v>109</v>
      </c>
      <c r="B8" s="9">
        <v>109</v>
      </c>
      <c r="C8" s="9" t="s">
        <v>710</v>
      </c>
      <c r="D8" s="9" t="s">
        <v>20</v>
      </c>
      <c r="E8" s="9">
        <v>136</v>
      </c>
      <c r="F8" s="9" t="s">
        <v>711</v>
      </c>
      <c r="G8" s="9">
        <v>0</v>
      </c>
      <c r="J8" s="9">
        <v>0</v>
      </c>
      <c r="K8" s="9" t="s">
        <v>699</v>
      </c>
      <c r="L8" s="9" t="str">
        <f t="shared" si="0"/>
        <v>N</v>
      </c>
    </row>
    <row r="9" spans="1:12">
      <c r="A9" s="9">
        <v>110</v>
      </c>
      <c r="B9" s="9">
        <v>117</v>
      </c>
      <c r="C9" s="9" t="s">
        <v>712</v>
      </c>
      <c r="D9" s="9" t="s">
        <v>20</v>
      </c>
      <c r="E9" s="9">
        <v>186</v>
      </c>
      <c r="F9" s="9" t="s">
        <v>713</v>
      </c>
      <c r="G9" s="9">
        <v>0</v>
      </c>
      <c r="H9" s="9"/>
      <c r="I9" s="9"/>
      <c r="J9" s="9">
        <v>0</v>
      </c>
      <c r="K9" s="9" t="s">
        <v>699</v>
      </c>
      <c r="L9" s="9" t="str">
        <f t="shared" si="0"/>
        <v>N</v>
      </c>
    </row>
    <row r="10" spans="1:12">
      <c r="A10" s="9">
        <v>111</v>
      </c>
      <c r="B10" s="9">
        <v>113</v>
      </c>
      <c r="C10" s="9" t="s">
        <v>714</v>
      </c>
      <c r="D10" s="9" t="s">
        <v>20</v>
      </c>
      <c r="E10" s="9">
        <v>164</v>
      </c>
      <c r="F10" s="9" t="s">
        <v>715</v>
      </c>
      <c r="G10" s="9">
        <v>0</v>
      </c>
      <c r="H10" s="9"/>
      <c r="I10" s="9"/>
      <c r="J10" s="9">
        <v>0</v>
      </c>
      <c r="K10" s="9" t="s">
        <v>699</v>
      </c>
      <c r="L10" s="9" t="str">
        <f t="shared" si="0"/>
        <v>N</v>
      </c>
    </row>
    <row r="11" spans="1:12">
      <c r="A11" s="9">
        <v>112</v>
      </c>
      <c r="B11" s="9">
        <v>109</v>
      </c>
      <c r="C11" s="9" t="s">
        <v>716</v>
      </c>
      <c r="D11" s="9" t="s">
        <v>20</v>
      </c>
      <c r="E11" s="9">
        <v>136</v>
      </c>
      <c r="F11" s="9" t="s">
        <v>717</v>
      </c>
      <c r="G11" s="9">
        <v>0</v>
      </c>
      <c r="J11" s="9">
        <v>0</v>
      </c>
      <c r="K11" s="9" t="s">
        <v>699</v>
      </c>
      <c r="L11" s="9" t="str">
        <f t="shared" si="0"/>
        <v>N</v>
      </c>
    </row>
    <row r="12" spans="1:12">
      <c r="A12" s="9">
        <v>113</v>
      </c>
      <c r="B12" s="9">
        <v>109</v>
      </c>
      <c r="C12" s="9" t="s">
        <v>718</v>
      </c>
      <c r="D12" s="9" t="s">
        <v>719</v>
      </c>
      <c r="E12" s="9">
        <v>136</v>
      </c>
      <c r="F12" s="9" t="s">
        <v>720</v>
      </c>
      <c r="G12" s="9">
        <v>0</v>
      </c>
      <c r="H12" s="9" t="s">
        <v>721</v>
      </c>
      <c r="I12" s="9" t="s">
        <v>722</v>
      </c>
      <c r="J12" s="9">
        <v>0</v>
      </c>
      <c r="K12" s="9" t="s">
        <v>723</v>
      </c>
      <c r="L12" s="9" t="str">
        <f t="shared" si="0"/>
        <v>Y</v>
      </c>
    </row>
    <row r="13" spans="1:12">
      <c r="A13" s="9">
        <v>114</v>
      </c>
      <c r="B13" s="9">
        <v>113</v>
      </c>
      <c r="C13" s="9" t="s">
        <v>724</v>
      </c>
      <c r="D13" s="9" t="s">
        <v>20</v>
      </c>
      <c r="E13" s="9">
        <v>163</v>
      </c>
      <c r="F13" s="9" t="s">
        <v>725</v>
      </c>
      <c r="G13" s="9">
        <v>0</v>
      </c>
      <c r="H13" s="9"/>
      <c r="I13" s="9"/>
      <c r="J13" s="9">
        <v>0</v>
      </c>
      <c r="K13" s="9" t="s">
        <v>699</v>
      </c>
      <c r="L13" s="9" t="str">
        <f t="shared" si="0"/>
        <v>N</v>
      </c>
    </row>
    <row r="14" spans="1:12">
      <c r="A14" s="9">
        <v>115</v>
      </c>
      <c r="B14" s="9">
        <v>117</v>
      </c>
      <c r="C14" s="9" t="s">
        <v>726</v>
      </c>
      <c r="D14" s="9" t="s">
        <v>727</v>
      </c>
      <c r="E14" s="9">
        <v>186</v>
      </c>
      <c r="F14" s="9" t="s">
        <v>728</v>
      </c>
      <c r="G14" s="9">
        <v>0</v>
      </c>
      <c r="H14" s="9" t="s">
        <v>729</v>
      </c>
      <c r="I14" s="9" t="s">
        <v>730</v>
      </c>
      <c r="J14" s="9">
        <v>0</v>
      </c>
      <c r="K14" s="9" t="s">
        <v>731</v>
      </c>
      <c r="L14" s="9" t="str">
        <f t="shared" si="0"/>
        <v>Y</v>
      </c>
    </row>
    <row r="15" spans="1:12">
      <c r="A15" s="9">
        <v>116</v>
      </c>
      <c r="B15" s="9">
        <v>109</v>
      </c>
      <c r="C15" s="9" t="s">
        <v>732</v>
      </c>
      <c r="D15" s="9" t="s">
        <v>20</v>
      </c>
      <c r="E15" s="9">
        <v>135</v>
      </c>
      <c r="F15" s="9" t="s">
        <v>733</v>
      </c>
      <c r="G15" s="9">
        <v>0</v>
      </c>
      <c r="J15" s="9">
        <v>0</v>
      </c>
      <c r="K15" s="9" t="s">
        <v>699</v>
      </c>
      <c r="L15" s="9" t="str">
        <f t="shared" si="0"/>
        <v>N</v>
      </c>
    </row>
    <row r="16" spans="1:12">
      <c r="A16" s="9">
        <v>117</v>
      </c>
      <c r="B16" s="9">
        <v>109</v>
      </c>
      <c r="C16" s="9" t="s">
        <v>734</v>
      </c>
      <c r="D16" s="9" t="s">
        <v>735</v>
      </c>
      <c r="E16" s="9">
        <v>136</v>
      </c>
      <c r="F16" s="9" t="s">
        <v>736</v>
      </c>
      <c r="G16" s="9">
        <v>1</v>
      </c>
      <c r="H16" s="9" t="s">
        <v>737</v>
      </c>
      <c r="I16" s="9" t="s">
        <v>738</v>
      </c>
      <c r="J16" s="9">
        <v>2</v>
      </c>
      <c r="K16" s="9" t="s">
        <v>739</v>
      </c>
      <c r="L16" s="9" t="str">
        <f t="shared" si="0"/>
        <v>Y</v>
      </c>
    </row>
    <row r="17" spans="1:12">
      <c r="A17" s="9">
        <v>118</v>
      </c>
      <c r="B17" s="9">
        <v>117</v>
      </c>
      <c r="C17" s="9" t="s">
        <v>740</v>
      </c>
      <c r="D17" s="9" t="s">
        <v>20</v>
      </c>
      <c r="E17" s="9">
        <v>185</v>
      </c>
      <c r="F17" s="9" t="s">
        <v>741</v>
      </c>
      <c r="G17" s="9">
        <v>0</v>
      </c>
      <c r="J17" s="9">
        <v>0</v>
      </c>
      <c r="K17" s="9" t="s">
        <v>699</v>
      </c>
      <c r="L17" s="9" t="str">
        <f t="shared" si="0"/>
        <v>N</v>
      </c>
    </row>
    <row r="18" spans="1:12">
      <c r="A18" s="9">
        <v>119</v>
      </c>
      <c r="B18" s="9">
        <v>113</v>
      </c>
      <c r="C18" s="9" t="s">
        <v>742</v>
      </c>
      <c r="D18" s="9" t="s">
        <v>743</v>
      </c>
      <c r="E18" s="9">
        <v>163</v>
      </c>
      <c r="F18" s="9" t="s">
        <v>744</v>
      </c>
      <c r="G18" s="9">
        <v>0</v>
      </c>
      <c r="H18" s="9" t="s">
        <v>745</v>
      </c>
      <c r="I18" s="9" t="s">
        <v>746</v>
      </c>
      <c r="J18" s="9">
        <v>0</v>
      </c>
      <c r="K18" s="9" t="s">
        <v>731</v>
      </c>
      <c r="L18" s="9" t="str">
        <f t="shared" si="0"/>
        <v>Y</v>
      </c>
    </row>
    <row r="19" spans="1:12">
      <c r="A19" s="9">
        <v>120</v>
      </c>
      <c r="B19" s="9">
        <v>117</v>
      </c>
      <c r="C19" s="9" t="s">
        <v>747</v>
      </c>
      <c r="D19" s="9" t="s">
        <v>748</v>
      </c>
      <c r="E19" s="9">
        <v>185</v>
      </c>
      <c r="F19" s="9" t="s">
        <v>749</v>
      </c>
      <c r="G19" s="9">
        <v>0</v>
      </c>
      <c r="H19" s="9" t="s">
        <v>750</v>
      </c>
      <c r="I19" s="9" t="s">
        <v>751</v>
      </c>
      <c r="J19" s="9">
        <v>0</v>
      </c>
      <c r="K19" s="9" t="s">
        <v>752</v>
      </c>
      <c r="L19" s="9" t="str">
        <f t="shared" si="0"/>
        <v>Y</v>
      </c>
    </row>
    <row r="20" spans="1:12">
      <c r="A20" s="9">
        <v>121</v>
      </c>
      <c r="B20" s="9">
        <v>109</v>
      </c>
      <c r="C20" s="9" t="s">
        <v>753</v>
      </c>
      <c r="D20" s="9" t="s">
        <v>20</v>
      </c>
      <c r="E20" s="9">
        <v>138</v>
      </c>
      <c r="F20" s="9" t="s">
        <v>754</v>
      </c>
      <c r="G20" s="9">
        <v>0</v>
      </c>
      <c r="H20" s="9"/>
      <c r="I20" s="9"/>
      <c r="J20" s="9">
        <v>0</v>
      </c>
      <c r="K20" s="9" t="s">
        <v>699</v>
      </c>
      <c r="L20" s="9" t="str">
        <f t="shared" si="0"/>
        <v>N</v>
      </c>
    </row>
    <row r="21" spans="1:12">
      <c r="A21" s="9">
        <v>122</v>
      </c>
      <c r="B21" s="9">
        <v>111</v>
      </c>
      <c r="C21" s="9" t="s">
        <v>755</v>
      </c>
      <c r="D21" s="9" t="s">
        <v>20</v>
      </c>
      <c r="E21" s="9">
        <v>149</v>
      </c>
      <c r="F21" s="9" t="s">
        <v>756</v>
      </c>
      <c r="G21" s="9">
        <v>0</v>
      </c>
      <c r="J21" s="9">
        <v>0</v>
      </c>
      <c r="K21" s="9" t="s">
        <v>699</v>
      </c>
      <c r="L21" s="9" t="str">
        <f t="shared" si="0"/>
        <v>N</v>
      </c>
    </row>
    <row r="22" spans="1:12">
      <c r="A22" s="9">
        <v>123</v>
      </c>
      <c r="B22" s="9">
        <v>110</v>
      </c>
      <c r="C22" s="9" t="s">
        <v>757</v>
      </c>
      <c r="D22" s="9" t="s">
        <v>20</v>
      </c>
      <c r="E22" s="9">
        <v>145</v>
      </c>
      <c r="F22" s="9" t="s">
        <v>758</v>
      </c>
      <c r="G22" s="9">
        <v>0</v>
      </c>
      <c r="J22" s="9">
        <v>0</v>
      </c>
      <c r="K22" s="9" t="s">
        <v>699</v>
      </c>
      <c r="L22" s="9" t="str">
        <f t="shared" si="0"/>
        <v>N</v>
      </c>
    </row>
    <row r="23" spans="1:12">
      <c r="A23" s="9">
        <v>124</v>
      </c>
      <c r="B23" s="9">
        <v>113</v>
      </c>
      <c r="C23" s="9" t="s">
        <v>759</v>
      </c>
      <c r="D23" s="9" t="s">
        <v>760</v>
      </c>
      <c r="E23" s="9">
        <v>163</v>
      </c>
      <c r="F23" s="9" t="s">
        <v>761</v>
      </c>
      <c r="G23" s="9">
        <v>0</v>
      </c>
      <c r="H23" s="9" t="s">
        <v>729</v>
      </c>
      <c r="I23" s="9" t="s">
        <v>730</v>
      </c>
      <c r="J23" s="9">
        <v>0</v>
      </c>
      <c r="K23" s="9" t="s">
        <v>731</v>
      </c>
      <c r="L23" s="9" t="str">
        <f t="shared" si="0"/>
        <v>Y</v>
      </c>
    </row>
    <row r="24" spans="1:12">
      <c r="A24" s="9">
        <v>125</v>
      </c>
      <c r="B24" s="9">
        <v>111</v>
      </c>
      <c r="C24" s="9" t="s">
        <v>762</v>
      </c>
      <c r="D24" s="9" t="s">
        <v>20</v>
      </c>
      <c r="E24" s="9">
        <v>149</v>
      </c>
      <c r="F24" s="9" t="s">
        <v>763</v>
      </c>
      <c r="G24" s="9">
        <v>0</v>
      </c>
      <c r="H24" s="9"/>
      <c r="I24" s="9"/>
      <c r="J24" s="9">
        <v>0</v>
      </c>
      <c r="K24" s="9" t="s">
        <v>699</v>
      </c>
      <c r="L24" s="9" t="str">
        <f t="shared" si="0"/>
        <v>N</v>
      </c>
    </row>
    <row r="25" spans="1:12">
      <c r="A25" s="9">
        <v>126</v>
      </c>
      <c r="B25" s="9">
        <v>110</v>
      </c>
      <c r="C25" s="9" t="s">
        <v>764</v>
      </c>
      <c r="D25" s="9" t="s">
        <v>20</v>
      </c>
      <c r="E25" s="9">
        <v>144</v>
      </c>
      <c r="F25" s="9" t="s">
        <v>765</v>
      </c>
      <c r="G25" s="9">
        <v>0</v>
      </c>
      <c r="J25" s="9">
        <v>0</v>
      </c>
      <c r="K25" s="9" t="s">
        <v>699</v>
      </c>
      <c r="L25" s="9" t="str">
        <f t="shared" si="0"/>
        <v>N</v>
      </c>
    </row>
    <row r="26" spans="1:12">
      <c r="A26" s="9">
        <v>127</v>
      </c>
      <c r="B26" s="9">
        <v>113</v>
      </c>
      <c r="C26" s="9" t="s">
        <v>766</v>
      </c>
      <c r="D26" s="9" t="s">
        <v>767</v>
      </c>
      <c r="E26" s="9">
        <v>163</v>
      </c>
      <c r="F26" s="9" t="s">
        <v>768</v>
      </c>
      <c r="G26" s="9">
        <v>0</v>
      </c>
      <c r="H26" s="9" t="s">
        <v>729</v>
      </c>
      <c r="I26" s="9" t="s">
        <v>730</v>
      </c>
      <c r="J26" s="9">
        <v>0</v>
      </c>
      <c r="K26" s="9" t="s">
        <v>731</v>
      </c>
      <c r="L26" s="9" t="str">
        <f t="shared" si="0"/>
        <v>Y</v>
      </c>
    </row>
    <row r="27" spans="1:12">
      <c r="A27" s="9">
        <v>128</v>
      </c>
      <c r="B27" s="9">
        <v>111</v>
      </c>
      <c r="C27" s="9" t="s">
        <v>769</v>
      </c>
      <c r="D27" s="9" t="s">
        <v>20</v>
      </c>
      <c r="E27" s="9">
        <v>149</v>
      </c>
      <c r="F27" s="9" t="s">
        <v>770</v>
      </c>
      <c r="G27" s="9">
        <v>0</v>
      </c>
      <c r="H27" s="9"/>
      <c r="I27" s="9"/>
      <c r="J27" s="9">
        <v>0</v>
      </c>
      <c r="K27" s="9" t="s">
        <v>699</v>
      </c>
      <c r="L27" s="9" t="str">
        <f t="shared" si="0"/>
        <v>N</v>
      </c>
    </row>
    <row r="28" spans="1:12">
      <c r="A28" s="9">
        <v>129</v>
      </c>
      <c r="B28" s="9">
        <v>110</v>
      </c>
      <c r="C28" s="9" t="s">
        <v>771</v>
      </c>
      <c r="D28" s="9" t="s">
        <v>20</v>
      </c>
      <c r="E28" s="9">
        <v>144</v>
      </c>
      <c r="F28" s="9" t="s">
        <v>772</v>
      </c>
      <c r="G28" s="9">
        <v>0</v>
      </c>
      <c r="J28" s="9">
        <v>0</v>
      </c>
      <c r="K28" s="9" t="s">
        <v>699</v>
      </c>
      <c r="L28" s="9" t="str">
        <f t="shared" si="0"/>
        <v>N</v>
      </c>
    </row>
    <row r="29" spans="1:12">
      <c r="A29" s="9">
        <v>130</v>
      </c>
      <c r="B29" s="9">
        <v>113</v>
      </c>
      <c r="C29" s="9" t="s">
        <v>773</v>
      </c>
      <c r="D29" s="9" t="s">
        <v>20</v>
      </c>
      <c r="E29" s="9">
        <v>164</v>
      </c>
      <c r="F29" s="9" t="s">
        <v>774</v>
      </c>
      <c r="G29" s="9">
        <v>0</v>
      </c>
      <c r="J29" s="9">
        <v>0</v>
      </c>
      <c r="K29" s="9" t="s">
        <v>699</v>
      </c>
      <c r="L29" s="9" t="str">
        <f t="shared" si="0"/>
        <v>N</v>
      </c>
    </row>
    <row r="30" spans="1:12">
      <c r="A30" s="9">
        <v>131</v>
      </c>
      <c r="B30" s="9">
        <v>111</v>
      </c>
      <c r="C30" s="9" t="s">
        <v>775</v>
      </c>
      <c r="D30" s="9" t="s">
        <v>20</v>
      </c>
      <c r="E30" s="9">
        <v>149</v>
      </c>
      <c r="F30" s="9" t="s">
        <v>776</v>
      </c>
      <c r="G30" s="9">
        <v>0</v>
      </c>
      <c r="H30" s="9"/>
      <c r="I30" s="9"/>
      <c r="J30" s="9">
        <v>0</v>
      </c>
      <c r="K30" s="9" t="s">
        <v>699</v>
      </c>
      <c r="L30" s="9" t="str">
        <f t="shared" si="0"/>
        <v>N</v>
      </c>
    </row>
    <row r="31" spans="1:12">
      <c r="A31" s="9">
        <v>132</v>
      </c>
      <c r="B31" s="9">
        <v>111</v>
      </c>
      <c r="C31" s="9" t="s">
        <v>777</v>
      </c>
      <c r="D31" s="9" t="s">
        <v>20</v>
      </c>
      <c r="E31" s="9">
        <v>152</v>
      </c>
      <c r="F31" s="9" t="s">
        <v>776</v>
      </c>
      <c r="G31" s="9">
        <v>0</v>
      </c>
      <c r="J31" s="9">
        <v>0</v>
      </c>
      <c r="K31" s="9" t="s">
        <v>699</v>
      </c>
      <c r="L31" s="9" t="str">
        <f t="shared" si="0"/>
        <v>N</v>
      </c>
    </row>
    <row r="32" spans="1:12">
      <c r="A32" s="9">
        <v>133</v>
      </c>
      <c r="B32" s="9">
        <v>110</v>
      </c>
      <c r="C32" s="9" t="s">
        <v>778</v>
      </c>
      <c r="D32" s="9" t="s">
        <v>779</v>
      </c>
      <c r="E32" s="9">
        <v>144</v>
      </c>
      <c r="F32" s="9" t="s">
        <v>780</v>
      </c>
      <c r="G32" s="9">
        <v>2</v>
      </c>
      <c r="H32" s="9" t="s">
        <v>781</v>
      </c>
      <c r="I32" s="9" t="s">
        <v>782</v>
      </c>
      <c r="J32" s="9">
        <v>2</v>
      </c>
      <c r="K32" s="9" t="s">
        <v>783</v>
      </c>
      <c r="L32" s="9" t="str">
        <f t="shared" si="0"/>
        <v>Y</v>
      </c>
    </row>
    <row r="33" spans="1:12">
      <c r="A33" s="9">
        <v>134</v>
      </c>
      <c r="B33" s="9">
        <v>111</v>
      </c>
      <c r="C33" s="9" t="s">
        <v>784</v>
      </c>
      <c r="D33" s="9" t="s">
        <v>785</v>
      </c>
      <c r="E33" s="9">
        <v>152</v>
      </c>
      <c r="F33" s="9" t="s">
        <v>786</v>
      </c>
      <c r="G33" s="9">
        <v>0</v>
      </c>
      <c r="H33" s="9" t="s">
        <v>750</v>
      </c>
      <c r="I33" s="9" t="s">
        <v>751</v>
      </c>
      <c r="J33" s="9">
        <v>0</v>
      </c>
      <c r="K33" s="9" t="s">
        <v>752</v>
      </c>
      <c r="L33" s="9" t="str">
        <f t="shared" si="0"/>
        <v>Y</v>
      </c>
    </row>
    <row r="34" spans="1:12">
      <c r="A34" s="9">
        <v>135</v>
      </c>
      <c r="B34" s="9">
        <v>111</v>
      </c>
      <c r="C34" s="9" t="s">
        <v>787</v>
      </c>
      <c r="D34" s="9" t="s">
        <v>20</v>
      </c>
      <c r="E34" s="9">
        <v>149</v>
      </c>
      <c r="F34" s="9" t="s">
        <v>788</v>
      </c>
      <c r="G34" s="9">
        <v>0</v>
      </c>
      <c r="J34" s="9">
        <v>0</v>
      </c>
      <c r="K34" s="9" t="s">
        <v>699</v>
      </c>
      <c r="L34" s="9" t="str">
        <f t="shared" si="0"/>
        <v>N</v>
      </c>
    </row>
    <row r="35" spans="1:12">
      <c r="A35" s="9">
        <v>136</v>
      </c>
      <c r="B35" s="9">
        <v>111</v>
      </c>
      <c r="C35" s="9" t="s">
        <v>789</v>
      </c>
      <c r="D35" s="9" t="s">
        <v>790</v>
      </c>
      <c r="E35" s="9">
        <v>152</v>
      </c>
      <c r="F35" s="9" t="s">
        <v>791</v>
      </c>
      <c r="G35" s="9">
        <v>0</v>
      </c>
      <c r="H35" s="9" t="s">
        <v>750</v>
      </c>
      <c r="I35" s="9" t="s">
        <v>751</v>
      </c>
      <c r="J35" s="9">
        <v>0</v>
      </c>
      <c r="K35" s="9" t="s">
        <v>752</v>
      </c>
      <c r="L35" s="9" t="str">
        <f t="shared" si="0"/>
        <v>Y</v>
      </c>
    </row>
    <row r="36" spans="1:12">
      <c r="A36" s="9">
        <v>137</v>
      </c>
      <c r="B36" s="9">
        <v>109</v>
      </c>
      <c r="C36" s="9" t="s">
        <v>792</v>
      </c>
      <c r="D36" s="9" t="s">
        <v>20</v>
      </c>
      <c r="E36" s="9">
        <v>136</v>
      </c>
      <c r="F36" s="9" t="s">
        <v>793</v>
      </c>
      <c r="G36" s="9">
        <v>0</v>
      </c>
      <c r="J36" s="9">
        <v>0</v>
      </c>
      <c r="K36" s="9" t="s">
        <v>699</v>
      </c>
      <c r="L36" s="9" t="str">
        <f t="shared" si="0"/>
        <v>N</v>
      </c>
    </row>
    <row r="37" spans="1:12">
      <c r="A37" s="9">
        <v>138</v>
      </c>
      <c r="B37" s="9">
        <v>113</v>
      </c>
      <c r="C37" s="9" t="s">
        <v>794</v>
      </c>
      <c r="D37" s="9" t="s">
        <v>795</v>
      </c>
      <c r="E37" s="9">
        <v>164</v>
      </c>
      <c r="F37" s="9" t="s">
        <v>796</v>
      </c>
      <c r="G37" s="9">
        <v>0</v>
      </c>
      <c r="H37" s="9" t="s">
        <v>721</v>
      </c>
      <c r="I37" s="9" t="s">
        <v>722</v>
      </c>
      <c r="J37" s="9">
        <v>0</v>
      </c>
      <c r="K37" s="9" t="s">
        <v>723</v>
      </c>
      <c r="L37" s="9" t="str">
        <f t="shared" si="0"/>
        <v>Y</v>
      </c>
    </row>
    <row r="38" spans="1:12">
      <c r="A38" s="9">
        <v>139</v>
      </c>
      <c r="B38" s="9">
        <v>109</v>
      </c>
      <c r="C38" s="9" t="s">
        <v>797</v>
      </c>
      <c r="D38" s="9" t="s">
        <v>20</v>
      </c>
      <c r="E38" s="9">
        <v>135</v>
      </c>
      <c r="F38" s="9" t="s">
        <v>798</v>
      </c>
      <c r="G38" s="9">
        <v>0</v>
      </c>
      <c r="J38" s="9">
        <v>0</v>
      </c>
      <c r="K38" s="9" t="s">
        <v>699</v>
      </c>
      <c r="L38" s="9" t="str">
        <f t="shared" si="0"/>
        <v>N</v>
      </c>
    </row>
    <row r="39" spans="1:12">
      <c r="A39" s="9">
        <v>140</v>
      </c>
      <c r="B39" s="9">
        <v>117</v>
      </c>
      <c r="C39" s="9" t="s">
        <v>799</v>
      </c>
      <c r="D39" s="9" t="s">
        <v>800</v>
      </c>
      <c r="E39" s="9">
        <v>185</v>
      </c>
      <c r="F39" s="9" t="s">
        <v>798</v>
      </c>
      <c r="G39" s="9">
        <v>0</v>
      </c>
      <c r="H39" s="9" t="s">
        <v>750</v>
      </c>
      <c r="I39" s="9" t="s">
        <v>751</v>
      </c>
      <c r="J39" s="9">
        <v>0</v>
      </c>
      <c r="K39" s="9" t="s">
        <v>752</v>
      </c>
      <c r="L39" s="9" t="str">
        <f t="shared" si="0"/>
        <v>Y</v>
      </c>
    </row>
    <row r="40" spans="1:12">
      <c r="A40" s="9">
        <v>141</v>
      </c>
      <c r="B40" s="9">
        <v>111</v>
      </c>
      <c r="C40" s="9" t="s">
        <v>801</v>
      </c>
      <c r="D40" s="9" t="s">
        <v>20</v>
      </c>
      <c r="E40" s="9">
        <v>149</v>
      </c>
      <c r="F40" s="9" t="s">
        <v>802</v>
      </c>
      <c r="G40" s="9">
        <v>0</v>
      </c>
      <c r="J40" s="9">
        <v>0</v>
      </c>
      <c r="K40" s="9" t="s">
        <v>699</v>
      </c>
      <c r="L40" s="9" t="str">
        <f t="shared" si="0"/>
        <v>N</v>
      </c>
    </row>
    <row r="41" spans="1:12">
      <c r="A41" s="9">
        <v>142</v>
      </c>
      <c r="B41" s="9">
        <v>111</v>
      </c>
      <c r="C41" s="9" t="s">
        <v>803</v>
      </c>
      <c r="D41" s="9" t="s">
        <v>804</v>
      </c>
      <c r="E41" s="9">
        <v>152</v>
      </c>
      <c r="F41" s="9" t="s">
        <v>805</v>
      </c>
      <c r="G41" s="9">
        <v>0</v>
      </c>
      <c r="H41" s="9" t="s">
        <v>750</v>
      </c>
      <c r="I41" s="9" t="s">
        <v>751</v>
      </c>
      <c r="J41" s="9">
        <v>0</v>
      </c>
      <c r="K41" s="9" t="s">
        <v>752</v>
      </c>
      <c r="L41" s="9" t="str">
        <f t="shared" si="0"/>
        <v>Y</v>
      </c>
    </row>
    <row r="42" spans="1:12">
      <c r="A42" s="9">
        <v>143</v>
      </c>
      <c r="B42" s="9">
        <v>109</v>
      </c>
      <c r="C42" s="9" t="s">
        <v>806</v>
      </c>
      <c r="D42" s="9" t="s">
        <v>807</v>
      </c>
      <c r="E42" s="9">
        <v>136</v>
      </c>
      <c r="F42" s="9" t="s">
        <v>805</v>
      </c>
      <c r="G42" s="9">
        <v>0</v>
      </c>
      <c r="H42" s="9" t="s">
        <v>737</v>
      </c>
      <c r="I42" s="9" t="s">
        <v>738</v>
      </c>
      <c r="J42" s="9">
        <v>0</v>
      </c>
      <c r="K42" s="9" t="s">
        <v>739</v>
      </c>
      <c r="L42" s="9" t="str">
        <f t="shared" si="0"/>
        <v>Y</v>
      </c>
    </row>
    <row r="43" spans="1:12">
      <c r="A43" s="9">
        <v>144</v>
      </c>
      <c r="B43" s="9">
        <v>109</v>
      </c>
      <c r="C43" s="9" t="s">
        <v>808</v>
      </c>
      <c r="D43" s="9" t="s">
        <v>20</v>
      </c>
      <c r="E43" s="9">
        <v>138</v>
      </c>
      <c r="F43" s="9" t="s">
        <v>809</v>
      </c>
      <c r="G43" s="9">
        <v>0</v>
      </c>
      <c r="J43" s="9">
        <v>0</v>
      </c>
      <c r="K43" s="9" t="s">
        <v>699</v>
      </c>
      <c r="L43" s="9" t="str">
        <f t="shared" si="0"/>
        <v>N</v>
      </c>
    </row>
    <row r="44" spans="1:12">
      <c r="A44" s="9">
        <v>145</v>
      </c>
      <c r="B44" s="9">
        <v>117</v>
      </c>
      <c r="C44" s="9" t="s">
        <v>810</v>
      </c>
      <c r="D44" s="9" t="s">
        <v>811</v>
      </c>
      <c r="E44" s="9">
        <v>185</v>
      </c>
      <c r="F44" s="9" t="s">
        <v>812</v>
      </c>
      <c r="G44" s="9">
        <v>0</v>
      </c>
      <c r="H44" s="9" t="s">
        <v>750</v>
      </c>
      <c r="I44" s="9" t="s">
        <v>751</v>
      </c>
      <c r="J44" s="9">
        <v>0</v>
      </c>
      <c r="K44" s="9" t="s">
        <v>752</v>
      </c>
      <c r="L44" s="9" t="str">
        <f t="shared" si="0"/>
        <v>Y</v>
      </c>
    </row>
    <row r="45" spans="1:12">
      <c r="A45" s="9">
        <v>146</v>
      </c>
      <c r="B45" s="9">
        <v>110</v>
      </c>
      <c r="C45" s="9" t="s">
        <v>813</v>
      </c>
      <c r="D45" s="9" t="s">
        <v>20</v>
      </c>
      <c r="E45" s="9">
        <v>143</v>
      </c>
      <c r="F45" s="9" t="s">
        <v>814</v>
      </c>
      <c r="G45" s="9">
        <v>0</v>
      </c>
      <c r="J45" s="9">
        <v>0</v>
      </c>
      <c r="K45" s="9" t="s">
        <v>699</v>
      </c>
      <c r="L45" s="9" t="str">
        <f t="shared" si="0"/>
        <v>N</v>
      </c>
    </row>
    <row r="46" spans="1:12">
      <c r="A46" s="9">
        <v>147</v>
      </c>
      <c r="B46" s="9">
        <v>109</v>
      </c>
      <c r="C46" s="9" t="s">
        <v>815</v>
      </c>
      <c r="D46" s="9" t="s">
        <v>20</v>
      </c>
      <c r="E46" s="9">
        <v>135</v>
      </c>
      <c r="F46" s="9" t="s">
        <v>816</v>
      </c>
      <c r="G46" s="9">
        <v>0</v>
      </c>
      <c r="J46" s="9">
        <v>0</v>
      </c>
      <c r="K46" s="9" t="s">
        <v>699</v>
      </c>
      <c r="L46" s="9" t="str">
        <f t="shared" si="0"/>
        <v>N</v>
      </c>
    </row>
    <row r="47" spans="1:12">
      <c r="A47" s="9">
        <v>148</v>
      </c>
      <c r="B47" s="9">
        <v>111</v>
      </c>
      <c r="C47" s="9" t="s">
        <v>817</v>
      </c>
      <c r="D47" s="9" t="s">
        <v>20</v>
      </c>
      <c r="E47" s="9">
        <v>149</v>
      </c>
      <c r="F47" s="9" t="s">
        <v>816</v>
      </c>
      <c r="G47" s="9">
        <v>0</v>
      </c>
      <c r="J47" s="9">
        <v>0</v>
      </c>
      <c r="K47" s="9" t="s">
        <v>699</v>
      </c>
      <c r="L47" s="9" t="str">
        <f t="shared" si="0"/>
        <v>N</v>
      </c>
    </row>
    <row r="48" spans="1:12">
      <c r="A48" s="9">
        <v>149</v>
      </c>
      <c r="B48" s="9">
        <v>117</v>
      </c>
      <c r="C48" s="9" t="s">
        <v>818</v>
      </c>
      <c r="D48" s="9" t="s">
        <v>819</v>
      </c>
      <c r="E48" s="9">
        <v>185</v>
      </c>
      <c r="F48" s="9" t="s">
        <v>820</v>
      </c>
      <c r="G48" s="9">
        <v>3</v>
      </c>
      <c r="H48" s="9" t="s">
        <v>750</v>
      </c>
      <c r="I48" s="9" t="s">
        <v>751</v>
      </c>
      <c r="J48" s="9">
        <v>5</v>
      </c>
      <c r="K48" s="9" t="s">
        <v>752</v>
      </c>
      <c r="L48" s="9" t="str">
        <f t="shared" si="0"/>
        <v>Y</v>
      </c>
    </row>
    <row r="49" spans="1:12">
      <c r="A49" s="9">
        <v>150</v>
      </c>
      <c r="B49" s="9">
        <v>112</v>
      </c>
      <c r="C49" s="9" t="s">
        <v>821</v>
      </c>
      <c r="D49" s="9" t="s">
        <v>20</v>
      </c>
      <c r="E49" s="9">
        <v>156</v>
      </c>
      <c r="F49" s="9" t="s">
        <v>822</v>
      </c>
      <c r="G49" s="9">
        <v>0</v>
      </c>
      <c r="H49" s="9"/>
      <c r="I49" s="9"/>
      <c r="J49" s="9">
        <v>0</v>
      </c>
      <c r="K49" s="9" t="s">
        <v>699</v>
      </c>
      <c r="L49" s="9" t="str">
        <f t="shared" si="0"/>
        <v>N</v>
      </c>
    </row>
    <row r="50" spans="1:12">
      <c r="A50" s="9">
        <v>151</v>
      </c>
      <c r="B50" s="9">
        <v>114</v>
      </c>
      <c r="C50" s="9" t="s">
        <v>823</v>
      </c>
      <c r="D50" s="9" t="s">
        <v>20</v>
      </c>
      <c r="E50" s="9">
        <v>170</v>
      </c>
      <c r="F50" s="9" t="s">
        <v>824</v>
      </c>
      <c r="G50" s="9">
        <v>0</v>
      </c>
      <c r="I50" s="9"/>
      <c r="J50" s="9">
        <v>0</v>
      </c>
      <c r="K50" s="9" t="s">
        <v>699</v>
      </c>
      <c r="L50" s="9" t="str">
        <f t="shared" si="0"/>
        <v>N</v>
      </c>
    </row>
    <row r="51" spans="1:12">
      <c r="A51" s="9">
        <v>152</v>
      </c>
      <c r="B51" s="9">
        <v>114</v>
      </c>
      <c r="C51" s="9" t="s">
        <v>825</v>
      </c>
      <c r="D51" s="9" t="s">
        <v>20</v>
      </c>
      <c r="E51" s="9">
        <v>170</v>
      </c>
      <c r="F51" s="9" t="s">
        <v>826</v>
      </c>
      <c r="G51" s="9">
        <v>0</v>
      </c>
      <c r="H51" s="9"/>
      <c r="I51" s="9"/>
      <c r="J51" s="9">
        <v>0</v>
      </c>
      <c r="K51" s="9" t="s">
        <v>699</v>
      </c>
      <c r="L51" s="9" t="str">
        <f t="shared" si="0"/>
        <v>N</v>
      </c>
    </row>
    <row r="52" spans="1:12">
      <c r="A52" s="9">
        <v>153</v>
      </c>
      <c r="B52" s="9">
        <v>112</v>
      </c>
      <c r="C52" s="9" t="s">
        <v>827</v>
      </c>
      <c r="D52" s="9" t="s">
        <v>20</v>
      </c>
      <c r="E52" s="9">
        <v>156</v>
      </c>
      <c r="F52" s="9" t="s">
        <v>828</v>
      </c>
      <c r="G52" s="9">
        <v>0</v>
      </c>
      <c r="H52" s="9"/>
      <c r="I52" s="9"/>
      <c r="J52" s="9">
        <v>0</v>
      </c>
      <c r="K52" s="9" t="s">
        <v>699</v>
      </c>
      <c r="L52" s="9" t="str">
        <f t="shared" si="0"/>
        <v>N</v>
      </c>
    </row>
    <row r="53" spans="1:12">
      <c r="A53" s="9">
        <v>154</v>
      </c>
      <c r="B53" s="9">
        <v>110</v>
      </c>
      <c r="C53" s="9" t="s">
        <v>829</v>
      </c>
      <c r="D53" s="9" t="s">
        <v>830</v>
      </c>
      <c r="E53" s="9">
        <v>144</v>
      </c>
      <c r="F53" s="9" t="s">
        <v>831</v>
      </c>
      <c r="G53" s="9">
        <v>1</v>
      </c>
      <c r="H53" s="9" t="s">
        <v>832</v>
      </c>
      <c r="I53" s="9" t="s">
        <v>833</v>
      </c>
      <c r="J53" s="9">
        <v>2</v>
      </c>
      <c r="K53" s="9" t="s">
        <v>783</v>
      </c>
      <c r="L53" s="9" t="str">
        <f t="shared" si="0"/>
        <v>Y</v>
      </c>
    </row>
    <row r="54" spans="1:12">
      <c r="A54" s="9">
        <v>155</v>
      </c>
      <c r="B54" s="9">
        <v>112</v>
      </c>
      <c r="C54" s="9" t="s">
        <v>834</v>
      </c>
      <c r="D54" s="9" t="s">
        <v>20</v>
      </c>
      <c r="E54" s="9">
        <v>156</v>
      </c>
      <c r="F54" s="9" t="s">
        <v>835</v>
      </c>
      <c r="G54" s="9">
        <v>0</v>
      </c>
      <c r="J54" s="9">
        <v>0</v>
      </c>
      <c r="K54" s="9" t="s">
        <v>699</v>
      </c>
      <c r="L54" s="9" t="str">
        <f t="shared" si="0"/>
        <v>N</v>
      </c>
    </row>
    <row r="55" spans="1:12">
      <c r="A55" s="9">
        <v>156</v>
      </c>
      <c r="B55" s="9">
        <v>111</v>
      </c>
      <c r="C55" s="9" t="s">
        <v>836</v>
      </c>
      <c r="D55" s="9" t="s">
        <v>20</v>
      </c>
      <c r="E55" s="9">
        <v>149</v>
      </c>
      <c r="F55" s="9" t="s">
        <v>835</v>
      </c>
      <c r="G55" s="9">
        <v>0</v>
      </c>
      <c r="H55" s="9"/>
      <c r="I55" s="9"/>
      <c r="J55" s="9">
        <v>0</v>
      </c>
      <c r="K55" s="9" t="s">
        <v>699</v>
      </c>
      <c r="L55" s="9" t="str">
        <f t="shared" si="0"/>
        <v>N</v>
      </c>
    </row>
    <row r="56" spans="1:12">
      <c r="A56" s="9">
        <v>157</v>
      </c>
      <c r="B56" s="9">
        <v>111</v>
      </c>
      <c r="C56" s="9" t="s">
        <v>837</v>
      </c>
      <c r="D56" s="9" t="s">
        <v>20</v>
      </c>
      <c r="E56" s="9">
        <v>152</v>
      </c>
      <c r="F56" s="9" t="s">
        <v>838</v>
      </c>
      <c r="G56" s="9">
        <v>0</v>
      </c>
      <c r="J56" s="9">
        <v>0</v>
      </c>
      <c r="K56" s="9" t="s">
        <v>699</v>
      </c>
      <c r="L56" s="9" t="str">
        <f t="shared" si="0"/>
        <v>N</v>
      </c>
    </row>
    <row r="57" spans="1:12">
      <c r="A57" s="9">
        <v>158</v>
      </c>
      <c r="B57" s="9">
        <v>109</v>
      </c>
      <c r="C57" s="9" t="s">
        <v>839</v>
      </c>
      <c r="D57" s="9" t="s">
        <v>840</v>
      </c>
      <c r="E57" s="9">
        <v>138</v>
      </c>
      <c r="F57" s="9" t="s">
        <v>841</v>
      </c>
      <c r="G57" s="9">
        <v>0</v>
      </c>
      <c r="H57" s="9" t="s">
        <v>750</v>
      </c>
      <c r="I57" s="9" t="s">
        <v>751</v>
      </c>
      <c r="J57" s="9">
        <v>0</v>
      </c>
      <c r="K57" s="9" t="s">
        <v>752</v>
      </c>
      <c r="L57" s="9" t="str">
        <f t="shared" si="0"/>
        <v>Y</v>
      </c>
    </row>
    <row r="58" spans="1:12">
      <c r="A58" s="9">
        <v>159</v>
      </c>
      <c r="B58" s="9">
        <v>115</v>
      </c>
      <c r="C58" s="9" t="s">
        <v>842</v>
      </c>
      <c r="D58" s="9" t="s">
        <v>20</v>
      </c>
      <c r="E58" s="9">
        <v>175</v>
      </c>
      <c r="F58" s="9" t="s">
        <v>843</v>
      </c>
      <c r="G58" s="9">
        <v>0</v>
      </c>
      <c r="H58" s="9"/>
      <c r="I58" s="9"/>
      <c r="J58" s="9">
        <v>0</v>
      </c>
      <c r="K58" s="9" t="s">
        <v>699</v>
      </c>
      <c r="L58" s="9" t="str">
        <f t="shared" si="0"/>
        <v>N</v>
      </c>
    </row>
    <row r="59" spans="1:12">
      <c r="A59" s="9">
        <v>160</v>
      </c>
      <c r="B59" s="9">
        <v>113</v>
      </c>
      <c r="C59" s="9" t="s">
        <v>844</v>
      </c>
      <c r="D59" s="9" t="s">
        <v>20</v>
      </c>
      <c r="E59" s="9">
        <v>163</v>
      </c>
      <c r="F59" s="9" t="s">
        <v>845</v>
      </c>
      <c r="G59" s="9">
        <v>0</v>
      </c>
      <c r="H59" s="9"/>
      <c r="I59" s="9"/>
      <c r="J59" s="9">
        <v>0</v>
      </c>
      <c r="K59" s="9" t="s">
        <v>699</v>
      </c>
      <c r="L59" s="9" t="str">
        <f t="shared" si="0"/>
        <v>N</v>
      </c>
    </row>
    <row r="60" spans="1:12">
      <c r="A60" s="9">
        <v>161</v>
      </c>
      <c r="B60" s="9">
        <v>112</v>
      </c>
      <c r="C60" s="9" t="s">
        <v>846</v>
      </c>
      <c r="D60" s="9" t="s">
        <v>20</v>
      </c>
      <c r="E60" s="9">
        <v>156</v>
      </c>
      <c r="F60" s="9" t="s">
        <v>847</v>
      </c>
      <c r="G60" s="9">
        <v>0</v>
      </c>
      <c r="J60" s="9">
        <v>0</v>
      </c>
      <c r="K60" s="9" t="s">
        <v>699</v>
      </c>
      <c r="L60" s="9" t="str">
        <f t="shared" si="0"/>
        <v>N</v>
      </c>
    </row>
    <row r="61" spans="1:12">
      <c r="A61" s="9">
        <v>162</v>
      </c>
      <c r="B61" s="9">
        <v>115</v>
      </c>
      <c r="C61" s="9" t="s">
        <v>848</v>
      </c>
      <c r="D61" s="9" t="s">
        <v>849</v>
      </c>
      <c r="E61" s="9">
        <v>175</v>
      </c>
      <c r="F61" s="9" t="s">
        <v>850</v>
      </c>
      <c r="G61" s="9">
        <v>0</v>
      </c>
      <c r="H61" s="9" t="s">
        <v>851</v>
      </c>
      <c r="I61" s="9" t="s">
        <v>852</v>
      </c>
      <c r="J61" s="9">
        <v>0</v>
      </c>
      <c r="K61" s="9" t="s">
        <v>853</v>
      </c>
      <c r="L61" s="9" t="str">
        <f t="shared" si="0"/>
        <v>Y</v>
      </c>
    </row>
    <row r="62" spans="1:12">
      <c r="A62" s="9">
        <v>163</v>
      </c>
      <c r="B62" s="9">
        <v>110</v>
      </c>
      <c r="C62" s="9" t="s">
        <v>854</v>
      </c>
      <c r="D62" s="9" t="s">
        <v>20</v>
      </c>
      <c r="E62" s="9">
        <v>146</v>
      </c>
      <c r="F62" s="9" t="s">
        <v>850</v>
      </c>
      <c r="G62" s="9">
        <v>0</v>
      </c>
      <c r="H62" s="9"/>
      <c r="I62" s="9"/>
      <c r="J62" s="9">
        <v>0</v>
      </c>
      <c r="K62" s="9" t="s">
        <v>699</v>
      </c>
      <c r="L62" s="9" t="str">
        <f t="shared" si="0"/>
        <v>N</v>
      </c>
    </row>
    <row r="63" spans="1:12">
      <c r="A63" s="9">
        <v>164</v>
      </c>
      <c r="B63" s="9">
        <v>110</v>
      </c>
      <c r="C63" s="9" t="s">
        <v>855</v>
      </c>
      <c r="D63" s="9" t="s">
        <v>856</v>
      </c>
      <c r="E63" s="9">
        <v>144</v>
      </c>
      <c r="F63" s="9" t="s">
        <v>857</v>
      </c>
      <c r="G63" s="9">
        <v>3</v>
      </c>
      <c r="H63" s="9" t="s">
        <v>858</v>
      </c>
      <c r="I63" s="9" t="s">
        <v>859</v>
      </c>
      <c r="J63" s="9">
        <v>7</v>
      </c>
      <c r="K63" s="9" t="s">
        <v>783</v>
      </c>
      <c r="L63" s="9" t="str">
        <f t="shared" si="0"/>
        <v>Y</v>
      </c>
    </row>
    <row r="64" spans="1:12">
      <c r="A64" s="9">
        <v>165</v>
      </c>
      <c r="B64" s="9">
        <v>109</v>
      </c>
      <c r="C64" s="9" t="s">
        <v>860</v>
      </c>
      <c r="D64" s="9" t="s">
        <v>861</v>
      </c>
      <c r="E64" s="9">
        <v>138</v>
      </c>
      <c r="F64" s="9" t="s">
        <v>857</v>
      </c>
      <c r="G64" s="9">
        <v>0</v>
      </c>
      <c r="H64" s="9" t="s">
        <v>750</v>
      </c>
      <c r="I64" s="9" t="s">
        <v>751</v>
      </c>
      <c r="J64" s="9">
        <v>0</v>
      </c>
      <c r="K64" s="9" t="s">
        <v>752</v>
      </c>
      <c r="L64" s="9" t="str">
        <f t="shared" si="0"/>
        <v>Y</v>
      </c>
    </row>
    <row r="65" spans="1:12">
      <c r="A65" s="9">
        <v>166</v>
      </c>
      <c r="B65" s="9">
        <v>112</v>
      </c>
      <c r="C65" s="9" t="s">
        <v>862</v>
      </c>
      <c r="D65" s="9" t="s">
        <v>863</v>
      </c>
      <c r="E65" s="9">
        <v>156</v>
      </c>
      <c r="F65" s="9" t="s">
        <v>864</v>
      </c>
      <c r="G65" s="9">
        <v>0</v>
      </c>
      <c r="H65" s="9" t="s">
        <v>737</v>
      </c>
      <c r="I65" s="9" t="s">
        <v>738</v>
      </c>
      <c r="J65" s="9">
        <v>0</v>
      </c>
      <c r="K65" s="9" t="s">
        <v>739</v>
      </c>
      <c r="L65" s="9" t="str">
        <f t="shared" si="0"/>
        <v>Y</v>
      </c>
    </row>
    <row r="66" spans="1:12">
      <c r="A66" s="9">
        <v>167</v>
      </c>
      <c r="B66" s="9">
        <v>113</v>
      </c>
      <c r="C66" s="9" t="s">
        <v>865</v>
      </c>
      <c r="D66" s="9" t="s">
        <v>866</v>
      </c>
      <c r="E66" s="9">
        <v>163</v>
      </c>
      <c r="F66" s="9" t="s">
        <v>867</v>
      </c>
      <c r="G66" s="9">
        <v>0</v>
      </c>
      <c r="H66" s="9" t="s">
        <v>868</v>
      </c>
      <c r="I66" s="9" t="s">
        <v>869</v>
      </c>
      <c r="J66" s="9">
        <v>0</v>
      </c>
      <c r="K66" s="9" t="s">
        <v>731</v>
      </c>
      <c r="L66" s="9" t="str">
        <f t="shared" si="0"/>
        <v>Y</v>
      </c>
    </row>
    <row r="67" spans="1:12">
      <c r="A67" s="9">
        <v>168</v>
      </c>
      <c r="B67" s="9">
        <v>109</v>
      </c>
      <c r="C67" s="9" t="s">
        <v>870</v>
      </c>
      <c r="D67" s="9" t="s">
        <v>871</v>
      </c>
      <c r="E67" s="9">
        <v>138</v>
      </c>
      <c r="F67" s="9" t="s">
        <v>872</v>
      </c>
      <c r="G67" s="9">
        <v>2</v>
      </c>
      <c r="H67" s="9" t="s">
        <v>750</v>
      </c>
      <c r="I67" s="9" t="s">
        <v>751</v>
      </c>
      <c r="J67" s="9">
        <v>2</v>
      </c>
      <c r="K67" s="9" t="s">
        <v>752</v>
      </c>
      <c r="L67" s="9" t="str">
        <f t="shared" si="0"/>
        <v>Y</v>
      </c>
    </row>
    <row r="68" spans="1:12">
      <c r="A68" s="9">
        <v>169</v>
      </c>
      <c r="B68" s="9">
        <v>113</v>
      </c>
      <c r="C68" s="9" t="s">
        <v>873</v>
      </c>
      <c r="D68" s="9" t="s">
        <v>874</v>
      </c>
      <c r="E68" s="9">
        <v>163</v>
      </c>
      <c r="F68" s="9" t="s">
        <v>875</v>
      </c>
      <c r="G68" s="9">
        <v>0</v>
      </c>
      <c r="H68" s="9" t="s">
        <v>868</v>
      </c>
      <c r="I68" s="9" t="s">
        <v>869</v>
      </c>
      <c r="J68" s="9">
        <v>0</v>
      </c>
      <c r="K68" s="9" t="s">
        <v>731</v>
      </c>
      <c r="L68" s="9" t="str">
        <f t="shared" si="0"/>
        <v>Y</v>
      </c>
    </row>
    <row r="69" spans="1:12">
      <c r="A69" s="9">
        <v>170</v>
      </c>
      <c r="B69" s="9">
        <v>110</v>
      </c>
      <c r="C69" s="9" t="s">
        <v>876</v>
      </c>
      <c r="D69" s="9" t="s">
        <v>877</v>
      </c>
      <c r="E69" s="9">
        <v>144</v>
      </c>
      <c r="F69" s="9" t="s">
        <v>878</v>
      </c>
      <c r="G69" s="9">
        <v>0</v>
      </c>
      <c r="H69" s="9" t="s">
        <v>781</v>
      </c>
      <c r="I69" s="9" t="s">
        <v>782</v>
      </c>
      <c r="J69" s="9">
        <v>0</v>
      </c>
      <c r="K69" s="9" t="s">
        <v>783</v>
      </c>
      <c r="L69" s="9" t="str">
        <f t="shared" si="0"/>
        <v>Y</v>
      </c>
    </row>
    <row r="70" spans="1:12">
      <c r="A70" s="9">
        <v>171</v>
      </c>
      <c r="B70" s="9">
        <v>113</v>
      </c>
      <c r="C70" s="9" t="s">
        <v>879</v>
      </c>
      <c r="D70" s="9" t="s">
        <v>20</v>
      </c>
      <c r="E70" s="9">
        <v>161</v>
      </c>
      <c r="F70" s="9" t="s">
        <v>118</v>
      </c>
      <c r="G70" s="9">
        <v>0</v>
      </c>
      <c r="J70" s="9">
        <v>0</v>
      </c>
      <c r="K70" s="9" t="s">
        <v>699</v>
      </c>
      <c r="L70" s="9" t="str">
        <f t="shared" si="0"/>
        <v>N</v>
      </c>
    </row>
    <row r="71" spans="1:12">
      <c r="A71" s="9">
        <v>172</v>
      </c>
      <c r="B71" s="9">
        <v>113</v>
      </c>
      <c r="C71" s="9" t="s">
        <v>880</v>
      </c>
      <c r="D71" s="9" t="s">
        <v>20</v>
      </c>
      <c r="E71" s="9">
        <v>161</v>
      </c>
      <c r="F71" s="9" t="s">
        <v>881</v>
      </c>
      <c r="G71" s="9">
        <v>0</v>
      </c>
      <c r="J71" s="9">
        <v>0</v>
      </c>
      <c r="K71" s="9" t="s">
        <v>699</v>
      </c>
      <c r="L71" s="9" t="str">
        <f t="shared" si="0"/>
        <v>N</v>
      </c>
    </row>
    <row r="72" spans="1:12">
      <c r="A72" s="9">
        <v>173</v>
      </c>
      <c r="B72" s="9">
        <v>113</v>
      </c>
      <c r="C72" s="9" t="s">
        <v>882</v>
      </c>
      <c r="D72" s="9" t="s">
        <v>20</v>
      </c>
      <c r="E72" s="9">
        <v>162</v>
      </c>
      <c r="F72" s="9" t="s">
        <v>883</v>
      </c>
      <c r="G72" s="9">
        <v>0</v>
      </c>
      <c r="H72" s="9"/>
      <c r="I72" s="9"/>
      <c r="J72" s="9">
        <v>0</v>
      </c>
      <c r="K72" s="9" t="s">
        <v>699</v>
      </c>
      <c r="L72" s="9" t="str">
        <f t="shared" si="0"/>
        <v>N</v>
      </c>
    </row>
    <row r="73" spans="1:12">
      <c r="A73" s="9">
        <v>174</v>
      </c>
      <c r="B73" s="9">
        <v>114</v>
      </c>
      <c r="C73" s="9" t="s">
        <v>884</v>
      </c>
      <c r="D73" s="9" t="s">
        <v>20</v>
      </c>
      <c r="E73" s="9">
        <v>170</v>
      </c>
      <c r="F73" s="9" t="s">
        <v>885</v>
      </c>
      <c r="G73" s="9">
        <v>0</v>
      </c>
      <c r="J73" s="9">
        <v>0</v>
      </c>
      <c r="K73" s="9" t="s">
        <v>699</v>
      </c>
      <c r="L73" s="9" t="str">
        <f t="shared" si="0"/>
        <v>N</v>
      </c>
    </row>
    <row r="74" spans="1:12">
      <c r="A74" s="9">
        <v>175</v>
      </c>
      <c r="B74" s="9">
        <v>109</v>
      </c>
      <c r="C74" s="9" t="s">
        <v>886</v>
      </c>
      <c r="D74" s="9" t="s">
        <v>20</v>
      </c>
      <c r="E74" s="9">
        <v>135</v>
      </c>
      <c r="F74" s="9" t="s">
        <v>887</v>
      </c>
      <c r="G74" s="9">
        <v>0</v>
      </c>
      <c r="J74" s="9">
        <v>0</v>
      </c>
      <c r="K74" s="9" t="s">
        <v>699</v>
      </c>
      <c r="L74" s="9" t="str">
        <f t="shared" si="0"/>
        <v>N</v>
      </c>
    </row>
    <row r="75" spans="1:12">
      <c r="A75" s="9">
        <v>176</v>
      </c>
      <c r="B75" s="9">
        <v>113</v>
      </c>
      <c r="C75" s="9" t="s">
        <v>888</v>
      </c>
      <c r="D75" s="9" t="s">
        <v>20</v>
      </c>
      <c r="E75" s="9">
        <v>162</v>
      </c>
      <c r="F75" s="9" t="s">
        <v>889</v>
      </c>
      <c r="G75" s="9">
        <v>0</v>
      </c>
      <c r="J75" s="9">
        <v>0</v>
      </c>
      <c r="K75" s="9" t="s">
        <v>699</v>
      </c>
      <c r="L75" s="9" t="str">
        <f t="shared" si="0"/>
        <v>N</v>
      </c>
    </row>
    <row r="76" spans="1:12">
      <c r="A76" s="9">
        <v>177</v>
      </c>
      <c r="B76" s="9">
        <v>110</v>
      </c>
      <c r="C76" s="9" t="s">
        <v>890</v>
      </c>
      <c r="D76" s="9" t="s">
        <v>20</v>
      </c>
      <c r="E76" s="9">
        <v>145</v>
      </c>
      <c r="F76" s="9" t="s">
        <v>891</v>
      </c>
      <c r="G76" s="9">
        <v>0</v>
      </c>
      <c r="J76" s="9">
        <v>0</v>
      </c>
      <c r="K76" s="9" t="s">
        <v>699</v>
      </c>
      <c r="L76" s="9" t="str">
        <f t="shared" si="0"/>
        <v>N</v>
      </c>
    </row>
    <row r="77" spans="1:12">
      <c r="A77" s="9">
        <v>178</v>
      </c>
      <c r="B77" s="9">
        <v>114</v>
      </c>
      <c r="C77" s="9" t="s">
        <v>892</v>
      </c>
      <c r="D77" s="9" t="s">
        <v>20</v>
      </c>
      <c r="E77" s="9">
        <v>170</v>
      </c>
      <c r="F77" s="9" t="s">
        <v>319</v>
      </c>
      <c r="G77" s="9">
        <v>0</v>
      </c>
      <c r="H77" s="9"/>
      <c r="I77" s="9"/>
      <c r="J77" s="9">
        <v>0</v>
      </c>
      <c r="K77" s="9" t="s">
        <v>699</v>
      </c>
      <c r="L77" s="9" t="str">
        <f t="shared" si="0"/>
        <v>N</v>
      </c>
    </row>
    <row r="78" spans="1:12">
      <c r="A78" s="9">
        <v>179</v>
      </c>
      <c r="B78" s="9">
        <v>113</v>
      </c>
      <c r="C78" s="9" t="s">
        <v>893</v>
      </c>
      <c r="D78" s="9" t="s">
        <v>20</v>
      </c>
      <c r="E78" s="9">
        <v>164</v>
      </c>
      <c r="F78" s="9" t="s">
        <v>894</v>
      </c>
      <c r="G78" s="9">
        <v>0</v>
      </c>
      <c r="J78" s="9">
        <v>0</v>
      </c>
      <c r="K78" s="9" t="s">
        <v>699</v>
      </c>
      <c r="L78" s="9" t="str">
        <f t="shared" si="0"/>
        <v>N</v>
      </c>
    </row>
    <row r="79" spans="1:12">
      <c r="A79" s="9">
        <v>180</v>
      </c>
      <c r="B79" s="9">
        <v>113</v>
      </c>
      <c r="C79" s="9" t="s">
        <v>895</v>
      </c>
      <c r="D79" s="9" t="s">
        <v>896</v>
      </c>
      <c r="E79" s="9">
        <v>162</v>
      </c>
      <c r="F79" s="9" t="s">
        <v>897</v>
      </c>
      <c r="G79" s="9">
        <v>0</v>
      </c>
      <c r="H79" s="9" t="s">
        <v>898</v>
      </c>
      <c r="I79" s="9" t="s">
        <v>899</v>
      </c>
      <c r="J79" s="9">
        <v>0</v>
      </c>
      <c r="K79" s="9" t="s">
        <v>900</v>
      </c>
      <c r="L79" s="9" t="str">
        <f t="shared" si="0"/>
        <v>Y</v>
      </c>
    </row>
    <row r="80" spans="1:12">
      <c r="A80" s="9">
        <v>181</v>
      </c>
      <c r="B80" s="9">
        <v>110</v>
      </c>
      <c r="C80" s="9" t="s">
        <v>901</v>
      </c>
      <c r="D80" s="9" t="s">
        <v>902</v>
      </c>
      <c r="E80" s="9">
        <v>144</v>
      </c>
      <c r="F80" s="9" t="s">
        <v>903</v>
      </c>
      <c r="G80" s="9">
        <v>0</v>
      </c>
      <c r="H80" s="9" t="s">
        <v>904</v>
      </c>
      <c r="I80" s="9" t="s">
        <v>905</v>
      </c>
      <c r="J80" s="9">
        <v>0</v>
      </c>
      <c r="K80" s="9" t="s">
        <v>906</v>
      </c>
      <c r="L80" s="9" t="str">
        <f t="shared" si="0"/>
        <v>Y</v>
      </c>
    </row>
    <row r="81" spans="1:12">
      <c r="A81" s="9">
        <v>182</v>
      </c>
      <c r="B81" s="9">
        <v>115</v>
      </c>
      <c r="C81" s="9" t="s">
        <v>907</v>
      </c>
      <c r="D81" s="9" t="s">
        <v>20</v>
      </c>
      <c r="E81" s="9">
        <v>175</v>
      </c>
      <c r="F81" s="9" t="s">
        <v>908</v>
      </c>
      <c r="G81" s="9">
        <v>0</v>
      </c>
      <c r="J81" s="9">
        <v>0</v>
      </c>
      <c r="K81" s="9" t="s">
        <v>699</v>
      </c>
      <c r="L81" s="9" t="str">
        <f t="shared" si="0"/>
        <v>N</v>
      </c>
    </row>
    <row r="82" spans="1:12">
      <c r="A82" s="9">
        <v>183</v>
      </c>
      <c r="B82" s="9">
        <v>113</v>
      </c>
      <c r="C82" s="9" t="s">
        <v>909</v>
      </c>
      <c r="D82" s="9" t="s">
        <v>20</v>
      </c>
      <c r="E82" s="9">
        <v>164</v>
      </c>
      <c r="F82" s="9" t="s">
        <v>910</v>
      </c>
      <c r="G82" s="9">
        <v>0</v>
      </c>
      <c r="H82" s="9"/>
      <c r="I82" s="9"/>
      <c r="J82" s="9">
        <v>0</v>
      </c>
      <c r="K82" s="9" t="s">
        <v>699</v>
      </c>
      <c r="L82" s="9" t="str">
        <f t="shared" si="0"/>
        <v>N</v>
      </c>
    </row>
    <row r="83" spans="1:12">
      <c r="A83" s="9">
        <v>184</v>
      </c>
      <c r="B83" s="9">
        <v>115</v>
      </c>
      <c r="C83" s="9" t="s">
        <v>911</v>
      </c>
      <c r="D83" s="9" t="s">
        <v>20</v>
      </c>
      <c r="E83" s="9">
        <v>176</v>
      </c>
      <c r="F83" s="9" t="s">
        <v>910</v>
      </c>
      <c r="G83" s="9">
        <v>0</v>
      </c>
      <c r="H83" s="9"/>
      <c r="I83" s="9"/>
      <c r="J83" s="9">
        <v>0</v>
      </c>
      <c r="K83" s="9" t="s">
        <v>699</v>
      </c>
      <c r="L83" s="9" t="str">
        <f t="shared" si="0"/>
        <v>N</v>
      </c>
    </row>
    <row r="84" spans="1:12">
      <c r="A84" s="9">
        <v>185</v>
      </c>
      <c r="B84" s="9">
        <v>113</v>
      </c>
      <c r="C84" s="9" t="s">
        <v>912</v>
      </c>
      <c r="D84" s="9" t="s">
        <v>20</v>
      </c>
      <c r="E84" s="9">
        <v>163</v>
      </c>
      <c r="F84" s="9" t="s">
        <v>913</v>
      </c>
      <c r="G84" s="9">
        <v>0</v>
      </c>
      <c r="J84" s="9">
        <v>0</v>
      </c>
      <c r="K84" s="9" t="s">
        <v>699</v>
      </c>
      <c r="L84" s="9" t="str">
        <f t="shared" si="0"/>
        <v>N</v>
      </c>
    </row>
    <row r="85" spans="1:12">
      <c r="A85" s="9">
        <v>186</v>
      </c>
      <c r="B85" s="9">
        <v>112</v>
      </c>
      <c r="C85" s="9" t="s">
        <v>914</v>
      </c>
      <c r="D85" s="9" t="s">
        <v>20</v>
      </c>
      <c r="E85" s="9">
        <v>157</v>
      </c>
      <c r="F85" s="9" t="s">
        <v>915</v>
      </c>
      <c r="G85" s="9">
        <v>0</v>
      </c>
      <c r="J85" s="9">
        <v>0</v>
      </c>
      <c r="K85" s="9" t="s">
        <v>699</v>
      </c>
      <c r="L85" s="9" t="str">
        <f t="shared" si="0"/>
        <v>N</v>
      </c>
    </row>
    <row r="86" spans="1:12">
      <c r="A86" s="9">
        <v>187</v>
      </c>
      <c r="B86" s="9">
        <v>112</v>
      </c>
      <c r="C86" s="9" t="s">
        <v>916</v>
      </c>
      <c r="D86" s="9" t="s">
        <v>917</v>
      </c>
      <c r="E86" s="9">
        <v>156</v>
      </c>
      <c r="F86" s="9" t="s">
        <v>918</v>
      </c>
      <c r="G86" s="9">
        <v>4</v>
      </c>
      <c r="H86" s="9" t="s">
        <v>737</v>
      </c>
      <c r="I86" s="9" t="s">
        <v>738</v>
      </c>
      <c r="J86" s="9">
        <v>4</v>
      </c>
      <c r="K86" s="9" t="s">
        <v>739</v>
      </c>
      <c r="L86" s="9" t="str">
        <f t="shared" si="0"/>
        <v>Y</v>
      </c>
    </row>
    <row r="87" spans="1:12">
      <c r="A87" s="9">
        <v>188</v>
      </c>
      <c r="B87" s="9">
        <v>113</v>
      </c>
      <c r="C87" s="9" t="s">
        <v>919</v>
      </c>
      <c r="D87" s="9" t="s">
        <v>20</v>
      </c>
      <c r="E87" s="9">
        <v>161</v>
      </c>
      <c r="F87" s="9" t="s">
        <v>920</v>
      </c>
      <c r="G87" s="9">
        <v>0</v>
      </c>
      <c r="H87" s="9"/>
      <c r="I87" s="9"/>
      <c r="J87" s="9">
        <v>0</v>
      </c>
      <c r="K87" s="9" t="s">
        <v>699</v>
      </c>
      <c r="L87" s="9" t="str">
        <f t="shared" si="0"/>
        <v>N</v>
      </c>
    </row>
    <row r="88" spans="1:12">
      <c r="A88" s="9">
        <v>189</v>
      </c>
      <c r="B88" s="9">
        <v>117</v>
      </c>
      <c r="C88" s="9" t="s">
        <v>921</v>
      </c>
      <c r="D88" s="9" t="s">
        <v>922</v>
      </c>
      <c r="E88" s="9">
        <v>185</v>
      </c>
      <c r="F88" s="9" t="s">
        <v>920</v>
      </c>
      <c r="G88" s="9">
        <v>1</v>
      </c>
      <c r="H88" s="9" t="s">
        <v>721</v>
      </c>
      <c r="I88" s="9" t="s">
        <v>722</v>
      </c>
      <c r="J88" s="9">
        <v>1</v>
      </c>
      <c r="K88" s="9" t="s">
        <v>723</v>
      </c>
      <c r="L88" s="9" t="str">
        <f t="shared" si="0"/>
        <v>Y</v>
      </c>
    </row>
    <row r="89" spans="1:12">
      <c r="A89" s="9">
        <v>190</v>
      </c>
      <c r="B89" s="9">
        <v>113</v>
      </c>
      <c r="C89" s="9" t="s">
        <v>923</v>
      </c>
      <c r="D89" s="9" t="s">
        <v>20</v>
      </c>
      <c r="E89" s="9">
        <v>164</v>
      </c>
      <c r="F89" s="9" t="s">
        <v>920</v>
      </c>
      <c r="G89" s="9">
        <v>0</v>
      </c>
      <c r="H89" s="9"/>
      <c r="I89" s="9"/>
      <c r="J89" s="9">
        <v>0</v>
      </c>
      <c r="K89" s="9" t="s">
        <v>699</v>
      </c>
      <c r="L89" s="9" t="str">
        <f t="shared" si="0"/>
        <v>N</v>
      </c>
    </row>
    <row r="90" spans="1:12">
      <c r="A90" s="9">
        <v>191</v>
      </c>
      <c r="B90" s="9">
        <v>113</v>
      </c>
      <c r="C90" s="9" t="s">
        <v>924</v>
      </c>
      <c r="D90" s="9" t="s">
        <v>925</v>
      </c>
      <c r="E90" s="9">
        <v>162</v>
      </c>
      <c r="F90" s="9" t="s">
        <v>926</v>
      </c>
      <c r="G90" s="9">
        <v>0</v>
      </c>
      <c r="H90" s="9" t="s">
        <v>927</v>
      </c>
      <c r="I90" s="9" t="s">
        <v>928</v>
      </c>
      <c r="J90" s="9">
        <v>0</v>
      </c>
      <c r="K90" s="9" t="s">
        <v>900</v>
      </c>
      <c r="L90" s="9" t="str">
        <f t="shared" si="0"/>
        <v>Y</v>
      </c>
    </row>
    <row r="91" spans="1:12">
      <c r="A91" s="9">
        <v>192</v>
      </c>
      <c r="B91" s="9">
        <v>113</v>
      </c>
      <c r="C91" s="9" t="s">
        <v>929</v>
      </c>
      <c r="D91" s="9" t="s">
        <v>930</v>
      </c>
      <c r="E91" s="9">
        <v>164</v>
      </c>
      <c r="F91" s="9" t="s">
        <v>931</v>
      </c>
      <c r="G91" s="9">
        <v>0</v>
      </c>
      <c r="H91" s="9" t="s">
        <v>750</v>
      </c>
      <c r="I91" s="9" t="s">
        <v>751</v>
      </c>
      <c r="J91" s="9">
        <v>0</v>
      </c>
      <c r="K91" s="9" t="s">
        <v>752</v>
      </c>
      <c r="L91" s="9" t="str">
        <f t="shared" si="0"/>
        <v>Y</v>
      </c>
    </row>
    <row r="92" spans="1:12">
      <c r="A92" s="9">
        <v>193</v>
      </c>
      <c r="B92" s="9">
        <v>112</v>
      </c>
      <c r="C92" s="9" t="s">
        <v>932</v>
      </c>
      <c r="D92" s="9" t="s">
        <v>20</v>
      </c>
      <c r="E92" s="9">
        <v>157</v>
      </c>
      <c r="F92" s="9" t="s">
        <v>933</v>
      </c>
      <c r="G92" s="9">
        <v>0</v>
      </c>
      <c r="H92" s="9"/>
      <c r="I92" s="9"/>
      <c r="J92" s="9">
        <v>0</v>
      </c>
      <c r="K92" s="9" t="s">
        <v>699</v>
      </c>
      <c r="L92" s="9" t="str">
        <f t="shared" si="0"/>
        <v>N</v>
      </c>
    </row>
    <row r="93" spans="1:12">
      <c r="A93" s="9">
        <v>194</v>
      </c>
      <c r="B93" s="9">
        <v>115</v>
      </c>
      <c r="C93" s="9" t="s">
        <v>934</v>
      </c>
      <c r="D93" s="9" t="s">
        <v>20</v>
      </c>
      <c r="E93" s="9">
        <v>175</v>
      </c>
      <c r="F93" s="9" t="s">
        <v>935</v>
      </c>
      <c r="G93" s="9">
        <v>0</v>
      </c>
      <c r="H93" s="9"/>
      <c r="I93" s="9"/>
      <c r="J93" s="9">
        <v>0</v>
      </c>
      <c r="K93" s="9" t="s">
        <v>699</v>
      </c>
      <c r="L93" s="9" t="str">
        <f t="shared" si="0"/>
        <v>N</v>
      </c>
    </row>
    <row r="94" spans="1:12">
      <c r="A94" s="9">
        <v>195</v>
      </c>
      <c r="B94" s="9">
        <v>110</v>
      </c>
      <c r="C94" s="9" t="s">
        <v>936</v>
      </c>
      <c r="D94" s="9" t="s">
        <v>20</v>
      </c>
      <c r="E94" s="9">
        <v>143</v>
      </c>
      <c r="F94" s="9" t="s">
        <v>937</v>
      </c>
      <c r="G94" s="9">
        <v>0</v>
      </c>
      <c r="H94" s="9"/>
      <c r="I94" s="9"/>
      <c r="J94" s="9">
        <v>0</v>
      </c>
      <c r="K94" s="9" t="s">
        <v>699</v>
      </c>
      <c r="L94" s="9" t="str">
        <f t="shared" si="0"/>
        <v>N</v>
      </c>
    </row>
    <row r="95" spans="1:12">
      <c r="A95" s="9">
        <v>196</v>
      </c>
      <c r="B95" s="9">
        <v>112</v>
      </c>
      <c r="C95" s="9" t="s">
        <v>938</v>
      </c>
      <c r="D95" s="9" t="s">
        <v>20</v>
      </c>
      <c r="E95" s="9">
        <v>157</v>
      </c>
      <c r="F95" s="9" t="s">
        <v>939</v>
      </c>
      <c r="G95" s="9">
        <v>0</v>
      </c>
      <c r="J95" s="9">
        <v>0</v>
      </c>
      <c r="K95" s="9" t="s">
        <v>699</v>
      </c>
      <c r="L95" s="9" t="str">
        <f t="shared" si="0"/>
        <v>N</v>
      </c>
    </row>
    <row r="96" spans="1:12">
      <c r="A96" s="9">
        <v>197</v>
      </c>
      <c r="B96" s="9">
        <v>113</v>
      </c>
      <c r="C96" s="9" t="s">
        <v>940</v>
      </c>
      <c r="D96" s="9" t="s">
        <v>941</v>
      </c>
      <c r="E96" s="9">
        <v>164</v>
      </c>
      <c r="F96" s="9" t="s">
        <v>942</v>
      </c>
      <c r="G96" s="9">
        <v>2</v>
      </c>
      <c r="H96" s="9" t="s">
        <v>750</v>
      </c>
      <c r="I96" s="9" t="s">
        <v>751</v>
      </c>
      <c r="J96" s="9">
        <v>3</v>
      </c>
      <c r="K96" s="9" t="s">
        <v>752</v>
      </c>
      <c r="L96" s="9" t="str">
        <f t="shared" si="0"/>
        <v>Y</v>
      </c>
    </row>
    <row r="97" spans="1:12">
      <c r="A97" s="9">
        <v>198</v>
      </c>
      <c r="B97" s="9">
        <v>114</v>
      </c>
      <c r="C97" s="9" t="s">
        <v>943</v>
      </c>
      <c r="D97" s="9" t="s">
        <v>944</v>
      </c>
      <c r="E97" s="9">
        <v>170</v>
      </c>
      <c r="F97" s="9" t="s">
        <v>945</v>
      </c>
      <c r="G97" s="9">
        <v>1</v>
      </c>
      <c r="H97" s="9" t="s">
        <v>946</v>
      </c>
      <c r="I97" s="9" t="s">
        <v>947</v>
      </c>
      <c r="J97" s="9">
        <v>1</v>
      </c>
      <c r="K97" s="9" t="s">
        <v>948</v>
      </c>
      <c r="L97" s="9" t="str">
        <f t="shared" si="0"/>
        <v>Y</v>
      </c>
    </row>
    <row r="98" spans="1:12">
      <c r="A98" s="9">
        <v>199</v>
      </c>
      <c r="B98" s="9">
        <v>111</v>
      </c>
      <c r="C98" s="9" t="s">
        <v>949</v>
      </c>
      <c r="D98" s="9" t="s">
        <v>950</v>
      </c>
      <c r="E98" s="9">
        <v>151</v>
      </c>
      <c r="F98" s="9" t="s">
        <v>951</v>
      </c>
      <c r="G98" s="9">
        <v>3</v>
      </c>
      <c r="H98" s="9" t="s">
        <v>952</v>
      </c>
      <c r="I98" s="9" t="s">
        <v>953</v>
      </c>
      <c r="J98" s="9">
        <v>3</v>
      </c>
      <c r="K98" s="9" t="s">
        <v>783</v>
      </c>
      <c r="L98" s="9" t="str">
        <f t="shared" si="0"/>
        <v>Y</v>
      </c>
    </row>
    <row r="99" spans="1:12">
      <c r="A99" s="9">
        <v>200</v>
      </c>
      <c r="B99" s="9">
        <v>111</v>
      </c>
      <c r="C99" s="9" t="s">
        <v>954</v>
      </c>
      <c r="D99" s="9" t="s">
        <v>20</v>
      </c>
      <c r="E99" s="9">
        <v>152</v>
      </c>
      <c r="F99" s="9" t="s">
        <v>955</v>
      </c>
      <c r="G99" s="9">
        <v>0</v>
      </c>
      <c r="J99" s="9">
        <v>0</v>
      </c>
      <c r="K99" s="9" t="s">
        <v>699</v>
      </c>
      <c r="L99" s="9" t="str">
        <f t="shared" si="0"/>
        <v>N</v>
      </c>
    </row>
    <row r="100" spans="1:12">
      <c r="A100" s="9">
        <v>201</v>
      </c>
      <c r="B100" s="9">
        <v>115</v>
      </c>
      <c r="C100" s="9" t="s">
        <v>956</v>
      </c>
      <c r="D100" s="9" t="s">
        <v>20</v>
      </c>
      <c r="E100" s="9">
        <v>175</v>
      </c>
      <c r="F100" s="9" t="s">
        <v>955</v>
      </c>
      <c r="G100" s="9">
        <v>0</v>
      </c>
      <c r="H100" s="9"/>
      <c r="I100" s="9"/>
      <c r="J100" s="9">
        <v>0</v>
      </c>
      <c r="K100" s="9" t="s">
        <v>699</v>
      </c>
      <c r="L100" s="9" t="str">
        <f t="shared" si="0"/>
        <v>N</v>
      </c>
    </row>
    <row r="101" spans="1:12">
      <c r="A101" s="9">
        <v>202</v>
      </c>
      <c r="B101" s="9">
        <v>113</v>
      </c>
      <c r="C101" s="9" t="s">
        <v>957</v>
      </c>
      <c r="D101" s="9" t="s">
        <v>958</v>
      </c>
      <c r="E101" s="9">
        <v>162</v>
      </c>
      <c r="F101" s="9" t="s">
        <v>959</v>
      </c>
      <c r="G101" s="9">
        <v>0</v>
      </c>
      <c r="H101" s="9" t="s">
        <v>927</v>
      </c>
      <c r="I101" s="9" t="s">
        <v>928</v>
      </c>
      <c r="J101" s="9">
        <v>0</v>
      </c>
      <c r="K101" s="9" t="s">
        <v>900</v>
      </c>
      <c r="L101" s="9" t="str">
        <f t="shared" si="0"/>
        <v>Y</v>
      </c>
    </row>
    <row r="102" spans="1:12">
      <c r="A102" s="9">
        <v>203</v>
      </c>
      <c r="B102" s="9">
        <v>113</v>
      </c>
      <c r="C102" s="9" t="s">
        <v>960</v>
      </c>
      <c r="D102" s="9" t="s">
        <v>20</v>
      </c>
      <c r="E102" s="9">
        <v>163</v>
      </c>
      <c r="F102" s="9" t="s">
        <v>961</v>
      </c>
      <c r="G102" s="9">
        <v>0</v>
      </c>
      <c r="J102" s="9">
        <v>0</v>
      </c>
      <c r="K102" s="9" t="s">
        <v>699</v>
      </c>
      <c r="L102" s="9" t="str">
        <f t="shared" si="0"/>
        <v>N</v>
      </c>
    </row>
    <row r="103" spans="1:12">
      <c r="A103" s="9">
        <v>204</v>
      </c>
      <c r="B103" s="9">
        <v>109</v>
      </c>
      <c r="C103" s="9" t="s">
        <v>962</v>
      </c>
      <c r="D103" s="9" t="s">
        <v>963</v>
      </c>
      <c r="E103" s="9">
        <v>138</v>
      </c>
      <c r="F103" s="9" t="s">
        <v>964</v>
      </c>
      <c r="G103" s="9">
        <v>0</v>
      </c>
      <c r="H103" s="9" t="s">
        <v>745</v>
      </c>
      <c r="I103" s="9" t="s">
        <v>746</v>
      </c>
      <c r="J103" s="9">
        <v>0</v>
      </c>
      <c r="K103" s="9" t="s">
        <v>731</v>
      </c>
      <c r="L103" s="9" t="str">
        <f t="shared" si="0"/>
        <v>Y</v>
      </c>
    </row>
    <row r="104" spans="1:12">
      <c r="A104" s="9">
        <v>205</v>
      </c>
      <c r="B104" s="9">
        <v>109</v>
      </c>
      <c r="C104" s="9" t="s">
        <v>965</v>
      </c>
      <c r="D104" s="9" t="s">
        <v>966</v>
      </c>
      <c r="E104" s="9">
        <v>136</v>
      </c>
      <c r="F104" s="9" t="s">
        <v>967</v>
      </c>
      <c r="G104" s="9">
        <v>0</v>
      </c>
      <c r="H104" s="9" t="s">
        <v>904</v>
      </c>
      <c r="I104" s="9" t="s">
        <v>905</v>
      </c>
      <c r="J104" s="9">
        <v>0</v>
      </c>
      <c r="K104" s="9" t="s">
        <v>906</v>
      </c>
      <c r="L104" s="9" t="str">
        <f t="shared" si="0"/>
        <v>Y</v>
      </c>
    </row>
    <row r="105" spans="1:12">
      <c r="A105" s="9">
        <v>206</v>
      </c>
      <c r="B105" s="9">
        <v>113</v>
      </c>
      <c r="C105" s="9" t="s">
        <v>968</v>
      </c>
      <c r="D105" s="9" t="s">
        <v>969</v>
      </c>
      <c r="E105" s="9">
        <v>163</v>
      </c>
      <c r="F105" s="9" t="s">
        <v>970</v>
      </c>
      <c r="G105" s="9">
        <v>0</v>
      </c>
      <c r="H105" s="9" t="s">
        <v>971</v>
      </c>
      <c r="I105" s="9" t="s">
        <v>972</v>
      </c>
      <c r="J105" s="9">
        <v>0</v>
      </c>
      <c r="K105" s="9" t="s">
        <v>973</v>
      </c>
      <c r="L105" s="9" t="str">
        <f t="shared" si="0"/>
        <v>Y</v>
      </c>
    </row>
    <row r="106" spans="1:12">
      <c r="A106" s="9">
        <v>207</v>
      </c>
      <c r="B106" s="9">
        <v>110</v>
      </c>
      <c r="C106" s="9" t="s">
        <v>974</v>
      </c>
      <c r="D106" s="9" t="s">
        <v>20</v>
      </c>
      <c r="E106" s="9">
        <v>142</v>
      </c>
      <c r="F106" s="9" t="s">
        <v>975</v>
      </c>
      <c r="G106" s="9">
        <v>0</v>
      </c>
      <c r="J106" s="9">
        <v>0</v>
      </c>
      <c r="K106" s="9" t="s">
        <v>699</v>
      </c>
      <c r="L106" s="9" t="str">
        <f t="shared" si="0"/>
        <v>N</v>
      </c>
    </row>
    <row r="107" spans="1:12">
      <c r="A107" s="9">
        <v>208</v>
      </c>
      <c r="B107" s="9">
        <v>112</v>
      </c>
      <c r="C107" s="9" t="s">
        <v>976</v>
      </c>
      <c r="D107" s="9" t="s">
        <v>20</v>
      </c>
      <c r="E107" s="9">
        <v>157</v>
      </c>
      <c r="F107" s="9" t="s">
        <v>977</v>
      </c>
      <c r="G107" s="9">
        <v>0</v>
      </c>
      <c r="J107" s="9">
        <v>0</v>
      </c>
      <c r="K107" s="9" t="s">
        <v>699</v>
      </c>
      <c r="L107" s="9" t="str">
        <f t="shared" si="0"/>
        <v>N</v>
      </c>
    </row>
    <row r="108" spans="1:12">
      <c r="A108" s="9">
        <v>209</v>
      </c>
      <c r="B108" s="9">
        <v>113</v>
      </c>
      <c r="C108" s="9" t="s">
        <v>978</v>
      </c>
      <c r="D108" s="9" t="s">
        <v>20</v>
      </c>
      <c r="E108" s="9">
        <v>163</v>
      </c>
      <c r="F108" s="9" t="s">
        <v>979</v>
      </c>
      <c r="G108" s="9">
        <v>0</v>
      </c>
      <c r="H108" s="9"/>
      <c r="I108" s="9"/>
      <c r="J108" s="9">
        <v>0</v>
      </c>
      <c r="K108" s="9" t="s">
        <v>699</v>
      </c>
      <c r="L108" s="9" t="str">
        <f t="shared" si="0"/>
        <v>N</v>
      </c>
    </row>
    <row r="109" spans="1:12">
      <c r="A109" s="9">
        <v>210</v>
      </c>
      <c r="B109" s="9">
        <v>109</v>
      </c>
      <c r="C109" s="9" t="s">
        <v>980</v>
      </c>
      <c r="D109" s="9" t="s">
        <v>981</v>
      </c>
      <c r="E109" s="9">
        <v>138</v>
      </c>
      <c r="F109" s="9" t="s">
        <v>982</v>
      </c>
      <c r="G109" s="9">
        <v>0</v>
      </c>
      <c r="H109" s="9" t="s">
        <v>745</v>
      </c>
      <c r="I109" s="9" t="s">
        <v>746</v>
      </c>
      <c r="J109" s="9">
        <v>0</v>
      </c>
      <c r="K109" s="9" t="s">
        <v>731</v>
      </c>
      <c r="L109" s="9" t="str">
        <f t="shared" si="0"/>
        <v>Y</v>
      </c>
    </row>
    <row r="110" spans="1:12">
      <c r="A110" s="9">
        <v>211</v>
      </c>
      <c r="B110" s="9">
        <v>113</v>
      </c>
      <c r="C110" s="9" t="s">
        <v>983</v>
      </c>
      <c r="D110" s="9" t="s">
        <v>20</v>
      </c>
      <c r="E110" s="9">
        <v>163</v>
      </c>
      <c r="F110" s="9" t="s">
        <v>984</v>
      </c>
      <c r="G110" s="9">
        <v>0</v>
      </c>
      <c r="H110" s="9"/>
      <c r="I110" s="9"/>
      <c r="J110" s="9">
        <v>0</v>
      </c>
      <c r="K110" s="9" t="s">
        <v>699</v>
      </c>
      <c r="L110" s="9" t="str">
        <f t="shared" si="0"/>
        <v>N</v>
      </c>
    </row>
    <row r="111" spans="1:12">
      <c r="A111" s="9">
        <v>212</v>
      </c>
      <c r="B111" s="9">
        <v>114</v>
      </c>
      <c r="C111" s="9" t="s">
        <v>985</v>
      </c>
      <c r="D111" s="9" t="s">
        <v>986</v>
      </c>
      <c r="E111" s="9">
        <v>170</v>
      </c>
      <c r="F111" s="9" t="s">
        <v>984</v>
      </c>
      <c r="G111" s="9">
        <v>1</v>
      </c>
      <c r="H111" s="9" t="s">
        <v>987</v>
      </c>
      <c r="I111" s="9" t="s">
        <v>988</v>
      </c>
      <c r="J111" s="9">
        <v>1</v>
      </c>
      <c r="K111" s="9" t="s">
        <v>989</v>
      </c>
      <c r="L111" s="9" t="str">
        <f t="shared" si="0"/>
        <v>Y</v>
      </c>
    </row>
    <row r="112" spans="1:12">
      <c r="A112" s="9">
        <v>213</v>
      </c>
      <c r="B112" s="9">
        <v>113</v>
      </c>
      <c r="C112" s="9" t="s">
        <v>990</v>
      </c>
      <c r="D112" s="9" t="s">
        <v>20</v>
      </c>
      <c r="E112" s="9">
        <v>161</v>
      </c>
      <c r="F112" s="9" t="s">
        <v>991</v>
      </c>
      <c r="G112" s="9">
        <v>0</v>
      </c>
      <c r="I112" s="9"/>
      <c r="J112" s="9">
        <v>0</v>
      </c>
      <c r="K112" s="9" t="s">
        <v>699</v>
      </c>
      <c r="L112" s="9" t="str">
        <f t="shared" si="0"/>
        <v>N</v>
      </c>
    </row>
    <row r="113" spans="1:12">
      <c r="A113" s="9">
        <v>214</v>
      </c>
      <c r="B113" s="9">
        <v>111</v>
      </c>
      <c r="C113" s="9" t="s">
        <v>992</v>
      </c>
      <c r="D113" s="9" t="s">
        <v>20</v>
      </c>
      <c r="E113" s="9">
        <v>152</v>
      </c>
      <c r="F113" s="9" t="s">
        <v>993</v>
      </c>
      <c r="G113" s="9">
        <v>0</v>
      </c>
      <c r="H113" s="9"/>
      <c r="I113" s="9"/>
      <c r="J113" s="9">
        <v>0</v>
      </c>
      <c r="K113" s="9" t="s">
        <v>699</v>
      </c>
      <c r="L113" s="9" t="str">
        <f t="shared" si="0"/>
        <v>N</v>
      </c>
    </row>
    <row r="114" spans="1:12">
      <c r="A114" s="9">
        <v>215</v>
      </c>
      <c r="B114" s="9">
        <v>117</v>
      </c>
      <c r="C114" s="9" t="s">
        <v>994</v>
      </c>
      <c r="D114" s="9" t="s">
        <v>20</v>
      </c>
      <c r="E114" s="9">
        <v>188</v>
      </c>
      <c r="F114" s="9" t="s">
        <v>995</v>
      </c>
      <c r="G114" s="9">
        <v>0</v>
      </c>
      <c r="I114" s="9"/>
      <c r="J114" s="9">
        <v>0</v>
      </c>
      <c r="K114" s="9" t="s">
        <v>699</v>
      </c>
      <c r="L114" s="9" t="str">
        <f t="shared" si="0"/>
        <v>N</v>
      </c>
    </row>
    <row r="115" spans="1:12">
      <c r="A115" s="9">
        <v>216</v>
      </c>
      <c r="B115" s="9">
        <v>109</v>
      </c>
      <c r="C115" s="9" t="s">
        <v>996</v>
      </c>
      <c r="D115" s="9" t="s">
        <v>997</v>
      </c>
      <c r="E115" s="9">
        <v>135</v>
      </c>
      <c r="F115" s="9" t="s">
        <v>998</v>
      </c>
      <c r="G115" s="9">
        <v>0</v>
      </c>
      <c r="H115" s="9" t="s">
        <v>999</v>
      </c>
      <c r="I115" s="9" t="s">
        <v>1000</v>
      </c>
      <c r="J115" s="9">
        <v>0</v>
      </c>
      <c r="K115" s="9" t="s">
        <v>1001</v>
      </c>
      <c r="L115" s="9" t="str">
        <f t="shared" si="0"/>
        <v>Y</v>
      </c>
    </row>
    <row r="116" spans="1:12">
      <c r="A116" s="9">
        <v>217</v>
      </c>
      <c r="B116" s="9">
        <v>111</v>
      </c>
      <c r="C116" s="9" t="s">
        <v>1002</v>
      </c>
      <c r="D116" s="9" t="s">
        <v>1003</v>
      </c>
      <c r="E116" s="9">
        <v>151</v>
      </c>
      <c r="F116" s="9" t="s">
        <v>998</v>
      </c>
      <c r="G116" s="9">
        <v>0</v>
      </c>
      <c r="H116" s="9" t="s">
        <v>1004</v>
      </c>
      <c r="I116" s="9" t="s">
        <v>1005</v>
      </c>
      <c r="J116" s="9">
        <v>0</v>
      </c>
      <c r="K116" s="9" t="s">
        <v>783</v>
      </c>
      <c r="L116" s="9" t="str">
        <f t="shared" si="0"/>
        <v>Y</v>
      </c>
    </row>
    <row r="117" spans="1:12">
      <c r="A117" s="9">
        <v>218</v>
      </c>
      <c r="B117" s="9">
        <v>113</v>
      </c>
      <c r="C117" s="9" t="s">
        <v>1006</v>
      </c>
      <c r="D117" s="9" t="s">
        <v>1007</v>
      </c>
      <c r="E117" s="9">
        <v>163</v>
      </c>
      <c r="F117" s="9" t="s">
        <v>1008</v>
      </c>
      <c r="G117" s="9">
        <v>0</v>
      </c>
      <c r="H117" s="9" t="s">
        <v>971</v>
      </c>
      <c r="I117" s="9" t="s">
        <v>972</v>
      </c>
      <c r="J117" s="9">
        <v>0</v>
      </c>
      <c r="K117" s="9" t="s">
        <v>973</v>
      </c>
      <c r="L117" s="9" t="str">
        <f t="shared" si="0"/>
        <v>Y</v>
      </c>
    </row>
    <row r="118" spans="1:12">
      <c r="A118" s="9">
        <v>219</v>
      </c>
      <c r="B118" s="9">
        <v>110</v>
      </c>
      <c r="C118" s="9" t="s">
        <v>1009</v>
      </c>
      <c r="D118" s="9" t="s">
        <v>20</v>
      </c>
      <c r="E118" s="9">
        <v>143</v>
      </c>
      <c r="F118" s="9" t="s">
        <v>1010</v>
      </c>
      <c r="G118" s="9">
        <v>0</v>
      </c>
      <c r="J118" s="9">
        <v>0</v>
      </c>
      <c r="K118" s="9" t="s">
        <v>699</v>
      </c>
      <c r="L118" s="9" t="str">
        <f t="shared" si="0"/>
        <v>N</v>
      </c>
    </row>
    <row r="119" spans="1:12">
      <c r="A119" s="9">
        <v>220</v>
      </c>
      <c r="B119" s="9">
        <v>114</v>
      </c>
      <c r="C119" s="9" t="s">
        <v>1011</v>
      </c>
      <c r="D119" s="9" t="s">
        <v>1012</v>
      </c>
      <c r="E119" s="9">
        <v>170</v>
      </c>
      <c r="F119" s="9" t="s">
        <v>1013</v>
      </c>
      <c r="G119" s="9">
        <v>1</v>
      </c>
      <c r="H119" s="9" t="s">
        <v>1014</v>
      </c>
      <c r="I119" s="9" t="s">
        <v>1015</v>
      </c>
      <c r="J119" s="9">
        <v>1</v>
      </c>
      <c r="K119" s="9" t="s">
        <v>948</v>
      </c>
      <c r="L119" s="9" t="str">
        <f t="shared" si="0"/>
        <v>Y</v>
      </c>
    </row>
    <row r="120" spans="1:12">
      <c r="A120" s="9">
        <v>221</v>
      </c>
      <c r="B120" s="9">
        <v>117</v>
      </c>
      <c r="C120" s="9" t="s">
        <v>1016</v>
      </c>
      <c r="D120" s="9" t="s">
        <v>20</v>
      </c>
      <c r="E120" s="9">
        <v>188</v>
      </c>
      <c r="F120" s="9" t="s">
        <v>1017</v>
      </c>
      <c r="G120" s="9">
        <v>0</v>
      </c>
      <c r="H120" s="9"/>
      <c r="I120" s="9"/>
      <c r="J120" s="9">
        <v>0</v>
      </c>
      <c r="K120" s="9" t="s">
        <v>699</v>
      </c>
      <c r="L120" s="9" t="str">
        <f t="shared" si="0"/>
        <v>N</v>
      </c>
    </row>
    <row r="121" spans="1:12">
      <c r="A121" s="9">
        <v>222</v>
      </c>
      <c r="B121" s="9">
        <v>115</v>
      </c>
      <c r="C121" s="9" t="s">
        <v>1018</v>
      </c>
      <c r="D121" s="9" t="s">
        <v>20</v>
      </c>
      <c r="E121" s="9">
        <v>175</v>
      </c>
      <c r="F121" s="9" t="s">
        <v>1017</v>
      </c>
      <c r="G121" s="9">
        <v>0</v>
      </c>
      <c r="H121" s="9"/>
      <c r="I121" s="9"/>
      <c r="J121" s="9">
        <v>0</v>
      </c>
      <c r="K121" s="9" t="s">
        <v>699</v>
      </c>
      <c r="L121" s="9" t="str">
        <f t="shared" si="0"/>
        <v>N</v>
      </c>
    </row>
    <row r="122" spans="1:12">
      <c r="A122" s="9">
        <v>223</v>
      </c>
      <c r="B122" s="9">
        <v>112</v>
      </c>
      <c r="C122" s="9" t="s">
        <v>1019</v>
      </c>
      <c r="D122" s="9" t="s">
        <v>20</v>
      </c>
      <c r="E122" s="9">
        <v>155</v>
      </c>
      <c r="F122" s="9" t="s">
        <v>1020</v>
      </c>
      <c r="G122" s="9">
        <v>0</v>
      </c>
      <c r="J122" s="9">
        <v>0</v>
      </c>
      <c r="K122" s="9" t="s">
        <v>699</v>
      </c>
      <c r="L122" s="9" t="str">
        <f t="shared" si="0"/>
        <v>N</v>
      </c>
    </row>
    <row r="123" spans="1:12">
      <c r="A123" s="9">
        <v>224</v>
      </c>
      <c r="B123" s="9">
        <v>111</v>
      </c>
      <c r="C123" s="9" t="s">
        <v>1021</v>
      </c>
      <c r="D123" s="9" t="s">
        <v>20</v>
      </c>
      <c r="E123" s="9">
        <v>152</v>
      </c>
      <c r="F123" s="9" t="s">
        <v>1022</v>
      </c>
      <c r="G123" s="9">
        <v>0</v>
      </c>
      <c r="J123" s="9">
        <v>0</v>
      </c>
      <c r="K123" s="9" t="s">
        <v>699</v>
      </c>
      <c r="L123" s="9" t="str">
        <f t="shared" si="0"/>
        <v>N</v>
      </c>
    </row>
    <row r="124" spans="1:12">
      <c r="A124" s="9">
        <v>225</v>
      </c>
      <c r="B124" s="9">
        <v>117</v>
      </c>
      <c r="C124" s="9" t="s">
        <v>1023</v>
      </c>
      <c r="D124" s="9" t="s">
        <v>1024</v>
      </c>
      <c r="E124" s="9">
        <v>187</v>
      </c>
      <c r="F124" s="9" t="s">
        <v>183</v>
      </c>
      <c r="G124" s="9">
        <v>0</v>
      </c>
      <c r="H124" s="9"/>
      <c r="I124" s="9" t="s">
        <v>1025</v>
      </c>
      <c r="J124" s="9">
        <v>0</v>
      </c>
      <c r="K124" s="9" t="s">
        <v>699</v>
      </c>
      <c r="L124" s="9" t="str">
        <f t="shared" si="0"/>
        <v>Y</v>
      </c>
    </row>
    <row r="125" spans="1:12">
      <c r="A125" s="9">
        <v>226</v>
      </c>
      <c r="B125" s="9">
        <v>115</v>
      </c>
      <c r="C125" s="9" t="s">
        <v>1026</v>
      </c>
      <c r="D125" s="9" t="s">
        <v>20</v>
      </c>
      <c r="E125" s="9">
        <v>175</v>
      </c>
      <c r="F125" s="9" t="s">
        <v>1027</v>
      </c>
      <c r="G125" s="9">
        <v>0</v>
      </c>
      <c r="H125" s="9"/>
      <c r="I125" s="9"/>
      <c r="J125" s="9">
        <v>0</v>
      </c>
      <c r="K125" s="9" t="s">
        <v>699</v>
      </c>
      <c r="L125" s="9" t="str">
        <f t="shared" si="0"/>
        <v>N</v>
      </c>
    </row>
    <row r="126" spans="1:12">
      <c r="A126" s="9">
        <v>227</v>
      </c>
      <c r="B126" s="9">
        <v>110</v>
      </c>
      <c r="C126" s="9" t="s">
        <v>1028</v>
      </c>
      <c r="D126" s="9" t="s">
        <v>20</v>
      </c>
      <c r="E126" s="9">
        <v>146</v>
      </c>
      <c r="F126" s="9" t="s">
        <v>1027</v>
      </c>
      <c r="G126" s="9">
        <v>0</v>
      </c>
      <c r="J126" s="9">
        <v>0</v>
      </c>
      <c r="K126" s="9" t="s">
        <v>699</v>
      </c>
      <c r="L126" s="9" t="str">
        <f t="shared" si="0"/>
        <v>N</v>
      </c>
    </row>
    <row r="127" spans="1:12">
      <c r="A127" s="9">
        <v>228</v>
      </c>
      <c r="B127" s="9">
        <v>112</v>
      </c>
      <c r="C127" s="9" t="s">
        <v>1029</v>
      </c>
      <c r="D127" s="9" t="s">
        <v>20</v>
      </c>
      <c r="E127" s="9">
        <v>155</v>
      </c>
      <c r="F127" s="9" t="s">
        <v>361</v>
      </c>
      <c r="G127" s="9">
        <v>0</v>
      </c>
      <c r="J127" s="9">
        <v>0</v>
      </c>
      <c r="K127" s="9" t="s">
        <v>699</v>
      </c>
      <c r="L127" s="9" t="str">
        <f t="shared" si="0"/>
        <v>N</v>
      </c>
    </row>
    <row r="128" spans="1:12">
      <c r="A128" s="9">
        <v>229</v>
      </c>
      <c r="B128" s="9">
        <v>113</v>
      </c>
      <c r="C128" s="9" t="s">
        <v>1030</v>
      </c>
      <c r="D128" s="9" t="s">
        <v>1031</v>
      </c>
      <c r="E128" s="9">
        <v>163</v>
      </c>
      <c r="F128" s="9" t="s">
        <v>1032</v>
      </c>
      <c r="G128" s="9">
        <v>0</v>
      </c>
      <c r="H128" s="9" t="s">
        <v>1033</v>
      </c>
      <c r="I128" s="9" t="s">
        <v>1034</v>
      </c>
      <c r="J128" s="9">
        <v>0</v>
      </c>
      <c r="K128" s="9" t="s">
        <v>1035</v>
      </c>
      <c r="L128" s="9" t="str">
        <f t="shared" si="0"/>
        <v>Y</v>
      </c>
    </row>
    <row r="129" spans="1:12">
      <c r="A129" s="9">
        <v>230</v>
      </c>
      <c r="B129" s="9">
        <v>109</v>
      </c>
      <c r="C129" s="9" t="s">
        <v>1036</v>
      </c>
      <c r="D129" s="9" t="s">
        <v>1037</v>
      </c>
      <c r="E129" s="9">
        <v>135</v>
      </c>
      <c r="F129" s="9" t="s">
        <v>1038</v>
      </c>
      <c r="G129" s="9">
        <v>0</v>
      </c>
      <c r="H129" s="9" t="s">
        <v>999</v>
      </c>
      <c r="I129" s="9" t="s">
        <v>1000</v>
      </c>
      <c r="J129" s="9">
        <v>0</v>
      </c>
      <c r="K129" s="9" t="s">
        <v>1001</v>
      </c>
      <c r="L129" s="9" t="str">
        <f t="shared" si="0"/>
        <v>Y</v>
      </c>
    </row>
    <row r="130" spans="1:12">
      <c r="A130" s="9">
        <v>231</v>
      </c>
      <c r="B130" s="9">
        <v>117</v>
      </c>
      <c r="C130" s="9" t="s">
        <v>1039</v>
      </c>
      <c r="D130" s="9" t="s">
        <v>20</v>
      </c>
      <c r="E130" s="9">
        <v>185</v>
      </c>
      <c r="F130" s="9" t="s">
        <v>1040</v>
      </c>
      <c r="G130" s="9">
        <v>0</v>
      </c>
      <c r="H130" s="9"/>
      <c r="I130" s="9"/>
      <c r="J130" s="9">
        <v>0</v>
      </c>
      <c r="K130" s="9" t="s">
        <v>699</v>
      </c>
      <c r="L130" s="9" t="str">
        <f t="shared" si="0"/>
        <v>N</v>
      </c>
    </row>
    <row r="131" spans="1:12">
      <c r="A131" s="9">
        <v>232</v>
      </c>
      <c r="B131" s="9">
        <v>117</v>
      </c>
      <c r="C131" s="9" t="s">
        <v>1041</v>
      </c>
      <c r="D131" s="9" t="s">
        <v>20</v>
      </c>
      <c r="E131" s="9">
        <v>185</v>
      </c>
      <c r="F131" s="9" t="s">
        <v>1042</v>
      </c>
      <c r="G131" s="9">
        <v>0</v>
      </c>
      <c r="H131" s="9"/>
      <c r="I131" s="9"/>
      <c r="J131" s="9">
        <v>0</v>
      </c>
      <c r="K131" s="9" t="s">
        <v>699</v>
      </c>
      <c r="L131" s="9" t="str">
        <f t="shared" si="0"/>
        <v>N</v>
      </c>
    </row>
    <row r="132" spans="1:12">
      <c r="A132" s="9">
        <v>233</v>
      </c>
      <c r="B132" s="9">
        <v>110</v>
      </c>
      <c r="C132" s="9" t="s">
        <v>1043</v>
      </c>
      <c r="D132" s="9" t="s">
        <v>1044</v>
      </c>
      <c r="E132" s="9">
        <v>144</v>
      </c>
      <c r="F132" s="9" t="s">
        <v>1042</v>
      </c>
      <c r="G132" s="9">
        <v>0</v>
      </c>
      <c r="H132" s="9" t="s">
        <v>1045</v>
      </c>
      <c r="I132" s="9" t="s">
        <v>1046</v>
      </c>
      <c r="J132" s="9">
        <v>0</v>
      </c>
      <c r="K132" s="9" t="s">
        <v>1047</v>
      </c>
      <c r="L132" s="9" t="str">
        <f t="shared" si="0"/>
        <v>Y</v>
      </c>
    </row>
    <row r="133" spans="1:12">
      <c r="A133" s="9">
        <v>234</v>
      </c>
      <c r="B133" s="9">
        <v>112</v>
      </c>
      <c r="C133" s="9" t="s">
        <v>1048</v>
      </c>
      <c r="D133" s="9" t="s">
        <v>20</v>
      </c>
      <c r="E133" s="9">
        <v>155</v>
      </c>
      <c r="F133" s="9" t="s">
        <v>1049</v>
      </c>
      <c r="G133" s="9">
        <v>0</v>
      </c>
      <c r="H133" s="9"/>
      <c r="I133" s="9"/>
      <c r="J133" s="9">
        <v>0</v>
      </c>
      <c r="K133" s="9" t="s">
        <v>699</v>
      </c>
      <c r="L133" s="9" t="str">
        <f t="shared" si="0"/>
        <v>N</v>
      </c>
    </row>
    <row r="134" spans="1:12">
      <c r="A134" s="9">
        <v>235</v>
      </c>
      <c r="B134" s="9">
        <v>115</v>
      </c>
      <c r="C134" s="9" t="s">
        <v>1050</v>
      </c>
      <c r="D134" s="9" t="s">
        <v>20</v>
      </c>
      <c r="E134" s="9">
        <v>175</v>
      </c>
      <c r="F134" s="9" t="s">
        <v>1051</v>
      </c>
      <c r="G134" s="9">
        <v>0</v>
      </c>
      <c r="I134" s="9"/>
      <c r="J134" s="9">
        <v>0</v>
      </c>
      <c r="K134" s="9" t="s">
        <v>699</v>
      </c>
      <c r="L134" s="9" t="str">
        <f t="shared" si="0"/>
        <v>N</v>
      </c>
    </row>
    <row r="135" spans="1:12">
      <c r="A135" s="9">
        <v>236</v>
      </c>
      <c r="B135" s="9">
        <v>110</v>
      </c>
      <c r="C135" s="9" t="s">
        <v>1052</v>
      </c>
      <c r="D135" s="9" t="s">
        <v>20</v>
      </c>
      <c r="E135" s="9">
        <v>143</v>
      </c>
      <c r="F135" s="9" t="s">
        <v>1053</v>
      </c>
      <c r="G135" s="9">
        <v>0</v>
      </c>
      <c r="H135" s="9"/>
      <c r="I135" s="9"/>
      <c r="J135" s="9">
        <v>0</v>
      </c>
      <c r="K135" s="9" t="s">
        <v>699</v>
      </c>
      <c r="L135" s="9" t="str">
        <f t="shared" si="0"/>
        <v>N</v>
      </c>
    </row>
    <row r="136" spans="1:12">
      <c r="A136" s="9">
        <v>237</v>
      </c>
      <c r="B136" s="9">
        <v>113</v>
      </c>
      <c r="C136" s="9" t="s">
        <v>1054</v>
      </c>
      <c r="D136" s="9" t="s">
        <v>20</v>
      </c>
      <c r="E136" s="9">
        <v>161</v>
      </c>
      <c r="F136" s="9" t="s">
        <v>1055</v>
      </c>
      <c r="G136" s="9">
        <v>0</v>
      </c>
      <c r="H136" s="9"/>
      <c r="I136" s="9"/>
      <c r="J136" s="9">
        <v>0</v>
      </c>
      <c r="K136" s="9" t="s">
        <v>699</v>
      </c>
      <c r="L136" s="9" t="str">
        <f t="shared" si="0"/>
        <v>N</v>
      </c>
    </row>
    <row r="137" spans="1:12">
      <c r="A137" s="9">
        <v>238</v>
      </c>
      <c r="B137" s="9">
        <v>114</v>
      </c>
      <c r="C137" s="9" t="s">
        <v>1056</v>
      </c>
      <c r="D137" s="9" t="s">
        <v>20</v>
      </c>
      <c r="E137" s="9">
        <v>167</v>
      </c>
      <c r="F137" s="9" t="s">
        <v>1057</v>
      </c>
      <c r="G137" s="9">
        <v>0</v>
      </c>
      <c r="H137" s="9"/>
      <c r="I137" s="9"/>
      <c r="J137" s="9">
        <v>0</v>
      </c>
      <c r="K137" s="9" t="s">
        <v>699</v>
      </c>
      <c r="L137" s="9" t="str">
        <f t="shared" si="0"/>
        <v>N</v>
      </c>
    </row>
    <row r="138" spans="1:12">
      <c r="A138" s="9">
        <v>239</v>
      </c>
      <c r="B138" s="9">
        <v>112</v>
      </c>
      <c r="C138" s="9" t="s">
        <v>1058</v>
      </c>
      <c r="D138" s="9" t="s">
        <v>1059</v>
      </c>
      <c r="E138" s="9">
        <v>156</v>
      </c>
      <c r="F138" s="9" t="s">
        <v>1060</v>
      </c>
      <c r="G138" s="9">
        <v>1</v>
      </c>
      <c r="H138" s="9" t="s">
        <v>1061</v>
      </c>
      <c r="I138" s="9" t="s">
        <v>1062</v>
      </c>
      <c r="J138" s="9">
        <v>2</v>
      </c>
      <c r="K138" s="9" t="s">
        <v>1063</v>
      </c>
      <c r="L138" s="9" t="str">
        <f t="shared" si="0"/>
        <v>Y</v>
      </c>
    </row>
    <row r="139" spans="1:12">
      <c r="A139" s="9">
        <v>240</v>
      </c>
      <c r="B139" s="9">
        <v>110</v>
      </c>
      <c r="C139" s="9" t="s">
        <v>1064</v>
      </c>
      <c r="D139" s="9" t="s">
        <v>1065</v>
      </c>
      <c r="E139" s="9">
        <v>143</v>
      </c>
      <c r="F139" s="9" t="s">
        <v>1066</v>
      </c>
      <c r="G139" s="9">
        <v>0</v>
      </c>
      <c r="H139" s="9" t="s">
        <v>904</v>
      </c>
      <c r="I139" s="9" t="s">
        <v>905</v>
      </c>
      <c r="J139" s="9">
        <v>0</v>
      </c>
      <c r="K139" s="9" t="s">
        <v>906</v>
      </c>
      <c r="L139" s="9" t="str">
        <f t="shared" si="0"/>
        <v>Y</v>
      </c>
    </row>
    <row r="140" spans="1:12">
      <c r="A140" s="9">
        <v>241</v>
      </c>
      <c r="B140" s="9">
        <v>114</v>
      </c>
      <c r="C140" s="9" t="s">
        <v>1067</v>
      </c>
      <c r="D140" s="9" t="s">
        <v>20</v>
      </c>
      <c r="E140" s="9">
        <v>167</v>
      </c>
      <c r="F140" s="9" t="s">
        <v>1068</v>
      </c>
      <c r="G140" s="9">
        <v>0</v>
      </c>
      <c r="H140" s="9"/>
      <c r="I140" s="9"/>
      <c r="J140" s="9">
        <v>0</v>
      </c>
      <c r="K140" s="9" t="s">
        <v>699</v>
      </c>
      <c r="L140" s="9" t="str">
        <f t="shared" si="0"/>
        <v>N</v>
      </c>
    </row>
    <row r="141" spans="1:12">
      <c r="A141" s="9">
        <v>242</v>
      </c>
      <c r="B141" s="9">
        <v>109</v>
      </c>
      <c r="C141" s="9" t="s">
        <v>1069</v>
      </c>
      <c r="D141" s="9" t="s">
        <v>1070</v>
      </c>
      <c r="E141" s="9">
        <v>136</v>
      </c>
      <c r="F141" s="9" t="s">
        <v>1071</v>
      </c>
      <c r="G141" s="9">
        <v>0</v>
      </c>
      <c r="H141" s="9" t="s">
        <v>750</v>
      </c>
      <c r="I141" s="9" t="s">
        <v>751</v>
      </c>
      <c r="J141" s="9">
        <v>0</v>
      </c>
      <c r="K141" s="9" t="s">
        <v>752</v>
      </c>
      <c r="L141" s="9" t="str">
        <f t="shared" si="0"/>
        <v>Y</v>
      </c>
    </row>
    <row r="142" spans="1:12">
      <c r="A142" s="9">
        <v>243</v>
      </c>
      <c r="B142" s="9">
        <v>110</v>
      </c>
      <c r="C142" s="9" t="s">
        <v>1072</v>
      </c>
      <c r="D142" s="9" t="s">
        <v>20</v>
      </c>
      <c r="E142" s="9">
        <v>146</v>
      </c>
      <c r="F142" s="9" t="s">
        <v>1073</v>
      </c>
      <c r="G142" s="9">
        <v>0</v>
      </c>
      <c r="J142" s="9">
        <v>0</v>
      </c>
      <c r="K142" s="9" t="s">
        <v>699</v>
      </c>
      <c r="L142" s="9" t="str">
        <f t="shared" si="0"/>
        <v>N</v>
      </c>
    </row>
    <row r="143" spans="1:12">
      <c r="A143" s="9">
        <v>244</v>
      </c>
      <c r="B143" s="9">
        <v>114</v>
      </c>
      <c r="C143" s="9" t="s">
        <v>1074</v>
      </c>
      <c r="D143" s="9" t="s">
        <v>20</v>
      </c>
      <c r="E143" s="9">
        <v>167</v>
      </c>
      <c r="F143" s="9" t="s">
        <v>1075</v>
      </c>
      <c r="G143" s="9">
        <v>0</v>
      </c>
      <c r="H143" s="9"/>
      <c r="I143" s="9"/>
      <c r="J143" s="9">
        <v>0</v>
      </c>
      <c r="K143" s="9" t="s">
        <v>699</v>
      </c>
      <c r="L143" s="9" t="str">
        <f t="shared" si="0"/>
        <v>N</v>
      </c>
    </row>
    <row r="144" spans="1:12">
      <c r="A144" s="9">
        <v>245</v>
      </c>
      <c r="B144" s="9">
        <v>113</v>
      </c>
      <c r="C144" s="9" t="s">
        <v>1076</v>
      </c>
      <c r="D144" s="9" t="s">
        <v>1077</v>
      </c>
      <c r="E144" s="9">
        <v>163</v>
      </c>
      <c r="F144" s="9" t="s">
        <v>1078</v>
      </c>
      <c r="G144" s="9">
        <v>0</v>
      </c>
      <c r="H144" s="9" t="s">
        <v>750</v>
      </c>
      <c r="I144" s="9" t="s">
        <v>751</v>
      </c>
      <c r="J144" s="9">
        <v>0</v>
      </c>
      <c r="K144" s="9" t="s">
        <v>752</v>
      </c>
      <c r="L144" s="9" t="str">
        <f t="shared" si="0"/>
        <v>Y</v>
      </c>
    </row>
    <row r="145" spans="1:12">
      <c r="A145" s="9">
        <v>246</v>
      </c>
      <c r="B145" s="9">
        <v>112</v>
      </c>
      <c r="C145" s="9" t="s">
        <v>1079</v>
      </c>
      <c r="D145" s="9" t="s">
        <v>20</v>
      </c>
      <c r="E145" s="9">
        <v>155</v>
      </c>
      <c r="F145" s="9" t="s">
        <v>1080</v>
      </c>
      <c r="G145" s="9">
        <v>0</v>
      </c>
      <c r="J145" s="9">
        <v>0</v>
      </c>
      <c r="K145" s="9" t="s">
        <v>699</v>
      </c>
      <c r="L145" s="9" t="str">
        <f t="shared" si="0"/>
        <v>N</v>
      </c>
    </row>
    <row r="146" spans="1:12">
      <c r="A146" s="9">
        <v>247</v>
      </c>
      <c r="B146" s="9">
        <v>111</v>
      </c>
      <c r="C146" s="9" t="s">
        <v>1081</v>
      </c>
      <c r="D146" s="9" t="s">
        <v>1082</v>
      </c>
      <c r="E146" s="9">
        <v>151</v>
      </c>
      <c r="F146" s="9" t="s">
        <v>1083</v>
      </c>
      <c r="G146" s="9">
        <v>1</v>
      </c>
      <c r="H146" s="9" t="s">
        <v>1084</v>
      </c>
      <c r="I146" s="9" t="s">
        <v>1085</v>
      </c>
      <c r="J146" s="9">
        <v>1</v>
      </c>
      <c r="K146" s="9" t="s">
        <v>783</v>
      </c>
      <c r="L146" s="9" t="str">
        <f t="shared" si="0"/>
        <v>Y</v>
      </c>
    </row>
    <row r="147" spans="1:12">
      <c r="A147" s="9">
        <v>248</v>
      </c>
      <c r="B147" s="9">
        <v>112</v>
      </c>
      <c r="C147" s="9" t="s">
        <v>1086</v>
      </c>
      <c r="D147" s="9" t="s">
        <v>1087</v>
      </c>
      <c r="E147" s="9">
        <v>155</v>
      </c>
      <c r="F147" s="9" t="s">
        <v>1088</v>
      </c>
      <c r="G147" s="9">
        <v>2</v>
      </c>
      <c r="H147" s="9" t="s">
        <v>1089</v>
      </c>
      <c r="I147" s="9" t="s">
        <v>1090</v>
      </c>
      <c r="J147" s="9">
        <v>4</v>
      </c>
      <c r="K147" s="9" t="s">
        <v>1091</v>
      </c>
      <c r="L147" s="9" t="str">
        <f t="shared" si="0"/>
        <v>Y</v>
      </c>
    </row>
    <row r="148" spans="1:12">
      <c r="A148" s="9">
        <v>249</v>
      </c>
      <c r="B148" s="9">
        <v>117</v>
      </c>
      <c r="C148" s="9" t="s">
        <v>1092</v>
      </c>
      <c r="D148" s="9" t="s">
        <v>20</v>
      </c>
      <c r="E148" s="9">
        <v>186</v>
      </c>
      <c r="F148" s="9" t="s">
        <v>1093</v>
      </c>
      <c r="G148" s="9">
        <v>0</v>
      </c>
      <c r="H148" s="9"/>
      <c r="I148" s="9"/>
      <c r="J148" s="9">
        <v>0</v>
      </c>
      <c r="K148" s="9" t="s">
        <v>699</v>
      </c>
      <c r="L148" s="9" t="str">
        <f t="shared" si="0"/>
        <v>N</v>
      </c>
    </row>
    <row r="149" spans="1:12">
      <c r="A149" s="9">
        <v>250</v>
      </c>
      <c r="B149" s="9">
        <v>112</v>
      </c>
      <c r="C149" s="9" t="s">
        <v>1094</v>
      </c>
      <c r="D149" s="9" t="s">
        <v>1095</v>
      </c>
      <c r="E149" s="9">
        <v>156</v>
      </c>
      <c r="F149" s="9" t="s">
        <v>1096</v>
      </c>
      <c r="G149" s="9">
        <v>2</v>
      </c>
      <c r="H149" s="9" t="s">
        <v>1097</v>
      </c>
      <c r="I149" s="9" t="s">
        <v>1098</v>
      </c>
      <c r="J149" s="9">
        <v>2</v>
      </c>
      <c r="K149" s="9" t="s">
        <v>1099</v>
      </c>
      <c r="L149" s="9" t="str">
        <f t="shared" si="0"/>
        <v>Y</v>
      </c>
    </row>
    <row r="150" spans="1:12">
      <c r="A150" s="9">
        <v>251</v>
      </c>
      <c r="B150" s="9">
        <v>117</v>
      </c>
      <c r="C150" s="9" t="s">
        <v>1100</v>
      </c>
      <c r="D150" s="9" t="s">
        <v>20</v>
      </c>
      <c r="E150" s="9">
        <v>185</v>
      </c>
      <c r="F150" s="9" t="s">
        <v>1101</v>
      </c>
      <c r="G150" s="9">
        <v>0</v>
      </c>
      <c r="J150" s="9">
        <v>0</v>
      </c>
      <c r="K150" s="9" t="s">
        <v>699</v>
      </c>
      <c r="L150" s="9" t="str">
        <f t="shared" si="0"/>
        <v>N</v>
      </c>
    </row>
    <row r="151" spans="1:12">
      <c r="A151" s="9">
        <v>252</v>
      </c>
      <c r="B151" s="9">
        <v>113</v>
      </c>
      <c r="C151" s="9" t="s">
        <v>1102</v>
      </c>
      <c r="D151" s="9" t="s">
        <v>1103</v>
      </c>
      <c r="E151" s="9">
        <v>163</v>
      </c>
      <c r="F151" s="9" t="s">
        <v>1104</v>
      </c>
      <c r="G151" s="9">
        <v>0</v>
      </c>
      <c r="H151" s="9" t="s">
        <v>750</v>
      </c>
      <c r="I151" s="9" t="s">
        <v>751</v>
      </c>
      <c r="J151" s="9">
        <v>0</v>
      </c>
      <c r="K151" s="9" t="s">
        <v>752</v>
      </c>
      <c r="L151" s="9" t="str">
        <f t="shared" si="0"/>
        <v>Y</v>
      </c>
    </row>
    <row r="152" spans="1:12">
      <c r="A152" s="9">
        <v>253</v>
      </c>
      <c r="B152" s="9">
        <v>117</v>
      </c>
      <c r="C152" s="9" t="s">
        <v>1105</v>
      </c>
      <c r="D152" s="9" t="s">
        <v>20</v>
      </c>
      <c r="E152" s="9">
        <v>186</v>
      </c>
      <c r="F152" s="9" t="s">
        <v>1104</v>
      </c>
      <c r="G152" s="9">
        <v>0</v>
      </c>
      <c r="H152" s="9"/>
      <c r="I152" s="9"/>
      <c r="J152" s="9">
        <v>0</v>
      </c>
      <c r="K152" s="9" t="s">
        <v>699</v>
      </c>
      <c r="L152" s="9" t="str">
        <f t="shared" si="0"/>
        <v>N</v>
      </c>
    </row>
    <row r="153" spans="1:12">
      <c r="A153" s="9">
        <v>254</v>
      </c>
      <c r="B153" s="9">
        <v>117</v>
      </c>
      <c r="C153" s="9" t="s">
        <v>1106</v>
      </c>
      <c r="D153" s="9" t="s">
        <v>1107</v>
      </c>
      <c r="E153" s="9">
        <v>185</v>
      </c>
      <c r="F153" s="9" t="s">
        <v>1108</v>
      </c>
      <c r="G153" s="9">
        <v>0</v>
      </c>
      <c r="H153" s="9" t="s">
        <v>971</v>
      </c>
      <c r="I153" s="9" t="s">
        <v>972</v>
      </c>
      <c r="J153" s="9">
        <v>0</v>
      </c>
      <c r="K153" s="9" t="s">
        <v>973</v>
      </c>
      <c r="L153" s="9" t="str">
        <f t="shared" si="0"/>
        <v>Y</v>
      </c>
    </row>
    <row r="154" spans="1:12">
      <c r="A154" s="9">
        <v>255</v>
      </c>
      <c r="B154" s="9">
        <v>115</v>
      </c>
      <c r="C154" s="9" t="s">
        <v>1109</v>
      </c>
      <c r="D154" s="9" t="s">
        <v>20</v>
      </c>
      <c r="E154" s="9">
        <v>176</v>
      </c>
      <c r="F154" s="9" t="s">
        <v>1110</v>
      </c>
      <c r="G154" s="9">
        <v>0</v>
      </c>
      <c r="H154" s="9"/>
      <c r="I154" s="9"/>
      <c r="J154" s="9">
        <v>0</v>
      </c>
      <c r="K154" s="9" t="s">
        <v>699</v>
      </c>
      <c r="L154" s="9" t="str">
        <f t="shared" si="0"/>
        <v>N</v>
      </c>
    </row>
    <row r="155" spans="1:12">
      <c r="A155" s="9">
        <v>256</v>
      </c>
      <c r="B155" s="9">
        <v>113</v>
      </c>
      <c r="C155" s="9" t="s">
        <v>1111</v>
      </c>
      <c r="D155" s="9" t="s">
        <v>1112</v>
      </c>
      <c r="E155" s="9">
        <v>163</v>
      </c>
      <c r="F155" s="9" t="s">
        <v>1113</v>
      </c>
      <c r="G155" s="9">
        <v>0</v>
      </c>
      <c r="H155" s="9" t="s">
        <v>750</v>
      </c>
      <c r="I155" s="9" t="s">
        <v>751</v>
      </c>
      <c r="J155" s="9">
        <v>0</v>
      </c>
      <c r="K155" s="9" t="s">
        <v>752</v>
      </c>
      <c r="L155" s="9" t="str">
        <f t="shared" si="0"/>
        <v>Y</v>
      </c>
    </row>
    <row r="156" spans="1:12">
      <c r="A156" s="9">
        <v>257</v>
      </c>
      <c r="B156" s="9">
        <v>117</v>
      </c>
      <c r="C156" s="9" t="s">
        <v>1114</v>
      </c>
      <c r="D156" s="9" t="s">
        <v>1115</v>
      </c>
      <c r="E156" s="9">
        <v>187</v>
      </c>
      <c r="F156" s="9" t="s">
        <v>1116</v>
      </c>
      <c r="G156" s="9">
        <v>0</v>
      </c>
      <c r="H156" s="9"/>
      <c r="I156" s="9" t="s">
        <v>1025</v>
      </c>
      <c r="J156" s="9">
        <v>0</v>
      </c>
      <c r="K156" s="9" t="s">
        <v>699</v>
      </c>
      <c r="L156" s="9" t="str">
        <f t="shared" si="0"/>
        <v>Y</v>
      </c>
    </row>
    <row r="157" spans="1:12">
      <c r="A157" s="9">
        <v>258</v>
      </c>
      <c r="B157" s="9">
        <v>113</v>
      </c>
      <c r="C157" s="9" t="s">
        <v>1117</v>
      </c>
      <c r="D157" s="9" t="s">
        <v>20</v>
      </c>
      <c r="E157" s="9">
        <v>162</v>
      </c>
      <c r="F157" s="9" t="s">
        <v>1118</v>
      </c>
      <c r="G157" s="9">
        <v>0</v>
      </c>
      <c r="J157" s="9">
        <v>0</v>
      </c>
      <c r="K157" s="9" t="s">
        <v>699</v>
      </c>
      <c r="L157" s="9" t="str">
        <f t="shared" si="0"/>
        <v>N</v>
      </c>
    </row>
    <row r="158" spans="1:12">
      <c r="A158" s="9">
        <v>259</v>
      </c>
      <c r="B158" s="9">
        <v>117</v>
      </c>
      <c r="C158" s="9" t="s">
        <v>1119</v>
      </c>
      <c r="D158" s="9" t="s">
        <v>1120</v>
      </c>
      <c r="E158" s="9">
        <v>185</v>
      </c>
      <c r="F158" s="9" t="s">
        <v>1121</v>
      </c>
      <c r="G158" s="9">
        <v>1</v>
      </c>
      <c r="H158" s="9" t="s">
        <v>851</v>
      </c>
      <c r="I158" s="9" t="s">
        <v>852</v>
      </c>
      <c r="J158" s="9">
        <v>1</v>
      </c>
      <c r="K158" s="9" t="s">
        <v>853</v>
      </c>
      <c r="L158" s="9" t="str">
        <f t="shared" si="0"/>
        <v>Y</v>
      </c>
    </row>
    <row r="159" spans="1:12">
      <c r="A159" s="9">
        <v>260</v>
      </c>
      <c r="B159" s="9">
        <v>111</v>
      </c>
      <c r="C159" s="9" t="s">
        <v>1122</v>
      </c>
      <c r="D159" s="9" t="s">
        <v>1123</v>
      </c>
      <c r="E159" s="9">
        <v>151</v>
      </c>
      <c r="F159" s="9" t="s">
        <v>1124</v>
      </c>
      <c r="G159" s="9">
        <v>1</v>
      </c>
      <c r="H159" s="9" t="s">
        <v>1125</v>
      </c>
      <c r="I159" s="9" t="s">
        <v>1126</v>
      </c>
      <c r="J159" s="9">
        <v>2</v>
      </c>
      <c r="K159" s="9" t="s">
        <v>783</v>
      </c>
      <c r="L159" s="9" t="str">
        <f t="shared" si="0"/>
        <v>Y</v>
      </c>
    </row>
    <row r="160" spans="1:12">
      <c r="A160" s="9">
        <v>261</v>
      </c>
      <c r="B160" s="9">
        <v>117</v>
      </c>
      <c r="C160" s="9" t="s">
        <v>1127</v>
      </c>
      <c r="D160" s="9" t="s">
        <v>20</v>
      </c>
      <c r="E160" s="9">
        <v>186</v>
      </c>
      <c r="F160" s="9" t="s">
        <v>1128</v>
      </c>
      <c r="G160" s="9">
        <v>0</v>
      </c>
      <c r="J160" s="9">
        <v>0</v>
      </c>
      <c r="K160" s="9" t="s">
        <v>699</v>
      </c>
      <c r="L160" s="9" t="str">
        <f t="shared" si="0"/>
        <v>N</v>
      </c>
    </row>
    <row r="161" spans="1:12">
      <c r="A161" s="9">
        <v>262</v>
      </c>
      <c r="B161" s="9">
        <v>113</v>
      </c>
      <c r="C161" s="9" t="s">
        <v>1129</v>
      </c>
      <c r="D161" s="9" t="s">
        <v>20</v>
      </c>
      <c r="E161" s="9">
        <v>162</v>
      </c>
      <c r="F161" s="9" t="s">
        <v>1130</v>
      </c>
      <c r="G161" s="9">
        <v>0</v>
      </c>
      <c r="H161" s="9"/>
      <c r="I161" s="9"/>
      <c r="J161" s="9">
        <v>0</v>
      </c>
      <c r="K161" s="9" t="s">
        <v>699</v>
      </c>
      <c r="L161" s="9" t="str">
        <f t="shared" si="0"/>
        <v>N</v>
      </c>
    </row>
    <row r="162" spans="1:12">
      <c r="A162" s="9">
        <v>263</v>
      </c>
      <c r="B162" s="9">
        <v>117</v>
      </c>
      <c r="C162" s="9" t="s">
        <v>1131</v>
      </c>
      <c r="D162" s="9" t="s">
        <v>20</v>
      </c>
      <c r="E162" s="9">
        <v>186</v>
      </c>
      <c r="F162" s="9" t="s">
        <v>1130</v>
      </c>
      <c r="G162" s="9">
        <v>0</v>
      </c>
      <c r="H162" s="9"/>
      <c r="I162" s="9"/>
      <c r="J162" s="9">
        <v>0</v>
      </c>
      <c r="K162" s="9" t="s">
        <v>699</v>
      </c>
      <c r="L162" s="9" t="str">
        <f t="shared" si="0"/>
        <v>N</v>
      </c>
    </row>
    <row r="163" spans="1:12">
      <c r="A163" s="9">
        <v>264</v>
      </c>
      <c r="B163" s="9">
        <v>112</v>
      </c>
      <c r="C163" s="9" t="s">
        <v>1132</v>
      </c>
      <c r="D163" s="9" t="s">
        <v>20</v>
      </c>
      <c r="E163" s="9">
        <v>157</v>
      </c>
      <c r="F163" s="9" t="s">
        <v>1133</v>
      </c>
      <c r="G163" s="9">
        <v>0</v>
      </c>
      <c r="H163" s="9"/>
      <c r="I163" s="9"/>
      <c r="J163" s="9">
        <v>0</v>
      </c>
      <c r="K163" s="9" t="s">
        <v>699</v>
      </c>
      <c r="L163" s="9" t="str">
        <f t="shared" si="0"/>
        <v>N</v>
      </c>
    </row>
    <row r="164" spans="1:12">
      <c r="A164" s="9">
        <v>265</v>
      </c>
      <c r="B164" s="9">
        <v>117</v>
      </c>
      <c r="C164" s="9" t="s">
        <v>1134</v>
      </c>
      <c r="D164" s="9" t="s">
        <v>20</v>
      </c>
      <c r="E164" s="9">
        <v>186</v>
      </c>
      <c r="F164" s="9" t="s">
        <v>1135</v>
      </c>
      <c r="G164" s="9">
        <v>0</v>
      </c>
      <c r="J164" s="9">
        <v>0</v>
      </c>
      <c r="K164" s="9" t="s">
        <v>699</v>
      </c>
      <c r="L164" s="9" t="str">
        <f t="shared" si="0"/>
        <v>N</v>
      </c>
    </row>
    <row r="165" spans="1:12">
      <c r="A165" s="9">
        <v>266</v>
      </c>
      <c r="B165" s="9">
        <v>113</v>
      </c>
      <c r="C165" s="9" t="s">
        <v>1136</v>
      </c>
      <c r="D165" s="9" t="s">
        <v>1137</v>
      </c>
      <c r="E165" s="9">
        <v>162</v>
      </c>
      <c r="F165" s="9" t="s">
        <v>1138</v>
      </c>
      <c r="G165" s="9">
        <v>1</v>
      </c>
      <c r="H165" s="9" t="s">
        <v>737</v>
      </c>
      <c r="I165" s="9" t="s">
        <v>738</v>
      </c>
      <c r="J165" s="9">
        <v>2</v>
      </c>
      <c r="K165" s="9" t="s">
        <v>739</v>
      </c>
      <c r="L165" s="9" t="str">
        <f t="shared" si="0"/>
        <v>Y</v>
      </c>
    </row>
    <row r="166" spans="1:12">
      <c r="A166" s="9">
        <v>267</v>
      </c>
      <c r="B166" s="9">
        <v>115</v>
      </c>
      <c r="C166" s="9" t="s">
        <v>1139</v>
      </c>
      <c r="D166" s="9" t="s">
        <v>20</v>
      </c>
      <c r="E166" s="9">
        <v>173</v>
      </c>
      <c r="F166" s="9" t="s">
        <v>1138</v>
      </c>
      <c r="G166" s="9">
        <v>0</v>
      </c>
      <c r="J166" s="9">
        <v>0</v>
      </c>
      <c r="K166" s="9" t="s">
        <v>699</v>
      </c>
      <c r="L166" s="9" t="str">
        <f t="shared" si="0"/>
        <v>N</v>
      </c>
    </row>
    <row r="167" spans="1:12">
      <c r="A167" s="9">
        <v>268</v>
      </c>
      <c r="B167" s="9">
        <v>110</v>
      </c>
      <c r="C167" s="9" t="s">
        <v>1140</v>
      </c>
      <c r="D167" s="9" t="s">
        <v>20</v>
      </c>
      <c r="E167" s="9">
        <v>145</v>
      </c>
      <c r="F167" s="9" t="s">
        <v>1141</v>
      </c>
      <c r="G167" s="9">
        <v>0</v>
      </c>
      <c r="J167" s="9">
        <v>0</v>
      </c>
      <c r="K167" s="9" t="s">
        <v>699</v>
      </c>
      <c r="L167" s="9" t="str">
        <f t="shared" si="0"/>
        <v>N</v>
      </c>
    </row>
    <row r="168" spans="1:12">
      <c r="A168" s="9">
        <v>269</v>
      </c>
      <c r="B168" s="9">
        <v>115</v>
      </c>
      <c r="C168" s="9" t="s">
        <v>1142</v>
      </c>
      <c r="D168" s="9" t="s">
        <v>20</v>
      </c>
      <c r="E168" s="9">
        <v>175</v>
      </c>
      <c r="F168" s="9" t="s">
        <v>1143</v>
      </c>
      <c r="G168" s="9">
        <v>0</v>
      </c>
      <c r="H168" s="9"/>
      <c r="I168" s="9"/>
      <c r="J168" s="9">
        <v>0</v>
      </c>
      <c r="K168" s="9" t="s">
        <v>699</v>
      </c>
      <c r="L168" s="9" t="str">
        <f t="shared" si="0"/>
        <v>N</v>
      </c>
    </row>
    <row r="169" spans="1:12">
      <c r="A169" s="9">
        <v>270</v>
      </c>
      <c r="B169" s="9">
        <v>110</v>
      </c>
      <c r="C169" s="9" t="s">
        <v>1144</v>
      </c>
      <c r="D169" s="9" t="s">
        <v>1145</v>
      </c>
      <c r="E169" s="9">
        <v>146</v>
      </c>
      <c r="F169" s="9" t="s">
        <v>1146</v>
      </c>
      <c r="G169" s="9">
        <v>0</v>
      </c>
      <c r="H169" s="9" t="s">
        <v>737</v>
      </c>
      <c r="I169" s="9" t="s">
        <v>738</v>
      </c>
      <c r="J169" s="9">
        <v>0</v>
      </c>
      <c r="K169" s="9" t="s">
        <v>739</v>
      </c>
      <c r="L169" s="9" t="str">
        <f t="shared" si="0"/>
        <v>Y</v>
      </c>
    </row>
    <row r="170" spans="1:12">
      <c r="A170" s="9">
        <v>271</v>
      </c>
      <c r="B170" s="9">
        <v>111</v>
      </c>
      <c r="C170" s="9" t="s">
        <v>1147</v>
      </c>
      <c r="D170" s="9" t="s">
        <v>20</v>
      </c>
      <c r="E170" s="9">
        <v>152</v>
      </c>
      <c r="F170" s="9" t="s">
        <v>1148</v>
      </c>
      <c r="G170" s="9">
        <v>0</v>
      </c>
      <c r="J170" s="9">
        <v>0</v>
      </c>
      <c r="K170" s="9" t="s">
        <v>699</v>
      </c>
      <c r="L170" s="9" t="str">
        <f t="shared" si="0"/>
        <v>N</v>
      </c>
    </row>
    <row r="171" spans="1:12">
      <c r="A171" s="9">
        <v>272</v>
      </c>
      <c r="B171" s="9">
        <v>112</v>
      </c>
      <c r="C171" s="9" t="s">
        <v>1149</v>
      </c>
      <c r="D171" s="9" t="s">
        <v>20</v>
      </c>
      <c r="E171" s="9">
        <v>155</v>
      </c>
      <c r="F171" s="9" t="s">
        <v>1148</v>
      </c>
      <c r="G171" s="9">
        <v>0</v>
      </c>
      <c r="H171" s="9"/>
      <c r="I171" s="9"/>
      <c r="J171" s="9">
        <v>0</v>
      </c>
      <c r="K171" s="9" t="s">
        <v>699</v>
      </c>
      <c r="L171" s="9" t="str">
        <f t="shared" si="0"/>
        <v>N</v>
      </c>
    </row>
    <row r="172" spans="1:12">
      <c r="A172" s="9">
        <v>273</v>
      </c>
      <c r="B172" s="9">
        <v>113</v>
      </c>
      <c r="C172" s="9" t="s">
        <v>1150</v>
      </c>
      <c r="D172" s="9" t="s">
        <v>1151</v>
      </c>
      <c r="E172" s="9">
        <v>162</v>
      </c>
      <c r="F172" s="9" t="s">
        <v>1152</v>
      </c>
      <c r="G172" s="9">
        <v>0</v>
      </c>
      <c r="H172" s="9" t="s">
        <v>737</v>
      </c>
      <c r="I172" s="9" t="s">
        <v>738</v>
      </c>
      <c r="J172" s="9">
        <v>0</v>
      </c>
      <c r="K172" s="9" t="s">
        <v>739</v>
      </c>
      <c r="L172" s="9" t="str">
        <f t="shared" si="0"/>
        <v>Y</v>
      </c>
    </row>
    <row r="173" spans="1:12">
      <c r="A173" s="9">
        <v>274</v>
      </c>
      <c r="B173" s="9">
        <v>112</v>
      </c>
      <c r="C173" s="9" t="s">
        <v>1153</v>
      </c>
      <c r="D173" s="9" t="s">
        <v>20</v>
      </c>
      <c r="E173" s="9">
        <v>155</v>
      </c>
      <c r="F173" s="9" t="s">
        <v>1152</v>
      </c>
      <c r="G173" s="9">
        <v>0</v>
      </c>
      <c r="J173" s="9">
        <v>0</v>
      </c>
      <c r="K173" s="9" t="s">
        <v>699</v>
      </c>
      <c r="L173" s="9" t="str">
        <f t="shared" si="0"/>
        <v>N</v>
      </c>
    </row>
    <row r="174" spans="1:12">
      <c r="A174" s="9">
        <v>275</v>
      </c>
      <c r="B174" s="9">
        <v>117</v>
      </c>
      <c r="C174" s="9" t="s">
        <v>1154</v>
      </c>
      <c r="D174" s="9" t="s">
        <v>1155</v>
      </c>
      <c r="E174" s="9">
        <v>185</v>
      </c>
      <c r="F174" s="9" t="s">
        <v>1156</v>
      </c>
      <c r="G174" s="9">
        <v>0</v>
      </c>
      <c r="H174" s="9" t="s">
        <v>971</v>
      </c>
      <c r="I174" s="9" t="s">
        <v>972</v>
      </c>
      <c r="J174" s="9">
        <v>0</v>
      </c>
      <c r="K174" s="9" t="s">
        <v>973</v>
      </c>
      <c r="L174" s="9" t="str">
        <f t="shared" si="0"/>
        <v>Y</v>
      </c>
    </row>
    <row r="175" spans="1:12">
      <c r="A175" s="9">
        <v>276</v>
      </c>
      <c r="B175" s="9">
        <v>109</v>
      </c>
      <c r="C175" s="9" t="s">
        <v>1157</v>
      </c>
      <c r="D175" s="9" t="s">
        <v>20</v>
      </c>
      <c r="E175" s="9">
        <v>137</v>
      </c>
      <c r="F175" s="9" t="s">
        <v>1158</v>
      </c>
      <c r="G175" s="9">
        <v>0</v>
      </c>
      <c r="J175" s="9">
        <v>0</v>
      </c>
      <c r="K175" s="9" t="s">
        <v>699</v>
      </c>
      <c r="L175" s="9" t="str">
        <f t="shared" si="0"/>
        <v>N</v>
      </c>
    </row>
    <row r="176" spans="1:12">
      <c r="A176" s="9">
        <v>277</v>
      </c>
      <c r="B176" s="9">
        <v>114</v>
      </c>
      <c r="C176" s="9" t="s">
        <v>1159</v>
      </c>
      <c r="D176" s="9" t="s">
        <v>20</v>
      </c>
      <c r="E176" s="9">
        <v>170</v>
      </c>
      <c r="F176" s="9" t="s">
        <v>1160</v>
      </c>
      <c r="G176" s="9">
        <v>0</v>
      </c>
      <c r="H176" s="9"/>
      <c r="I176" s="9"/>
      <c r="J176" s="9">
        <v>0</v>
      </c>
      <c r="K176" s="9" t="s">
        <v>699</v>
      </c>
      <c r="L176" s="9" t="str">
        <f t="shared" si="0"/>
        <v>N</v>
      </c>
    </row>
    <row r="177" spans="1:12">
      <c r="A177" s="9">
        <v>278</v>
      </c>
      <c r="B177" s="9">
        <v>113</v>
      </c>
      <c r="C177" s="9" t="s">
        <v>1161</v>
      </c>
      <c r="D177" s="9" t="s">
        <v>1162</v>
      </c>
      <c r="E177" s="9">
        <v>163</v>
      </c>
      <c r="F177" s="9" t="s">
        <v>1163</v>
      </c>
      <c r="G177" s="9">
        <v>0</v>
      </c>
      <c r="H177" s="9" t="s">
        <v>1164</v>
      </c>
      <c r="I177" s="9" t="s">
        <v>1165</v>
      </c>
      <c r="J177" s="9">
        <v>0</v>
      </c>
      <c r="K177" s="9" t="s">
        <v>1166</v>
      </c>
      <c r="L177" s="9" t="str">
        <f t="shared" si="0"/>
        <v>Y</v>
      </c>
    </row>
    <row r="178" spans="1:12">
      <c r="A178" s="9">
        <v>279</v>
      </c>
      <c r="B178" s="9">
        <v>117</v>
      </c>
      <c r="C178" s="9" t="s">
        <v>1167</v>
      </c>
      <c r="D178" s="9" t="s">
        <v>1168</v>
      </c>
      <c r="E178" s="9">
        <v>185</v>
      </c>
      <c r="F178" s="9" t="s">
        <v>1169</v>
      </c>
      <c r="G178" s="9">
        <v>0</v>
      </c>
      <c r="H178" s="9" t="s">
        <v>971</v>
      </c>
      <c r="I178" s="9" t="s">
        <v>972</v>
      </c>
      <c r="J178" s="9">
        <v>0</v>
      </c>
      <c r="K178" s="9" t="s">
        <v>973</v>
      </c>
      <c r="L178" s="9" t="str">
        <f t="shared" si="0"/>
        <v>Y</v>
      </c>
    </row>
    <row r="179" spans="1:12">
      <c r="A179" s="9">
        <v>280</v>
      </c>
      <c r="B179" s="9">
        <v>114</v>
      </c>
      <c r="C179" s="9" t="s">
        <v>1170</v>
      </c>
      <c r="D179" s="9" t="s">
        <v>1171</v>
      </c>
      <c r="E179" s="9">
        <v>170</v>
      </c>
      <c r="F179" s="9" t="s">
        <v>1172</v>
      </c>
      <c r="G179" s="9">
        <v>3</v>
      </c>
      <c r="H179" s="9" t="s">
        <v>1173</v>
      </c>
      <c r="I179" s="9" t="s">
        <v>1174</v>
      </c>
      <c r="J179" s="9">
        <v>6</v>
      </c>
      <c r="K179" s="9" t="s">
        <v>1099</v>
      </c>
      <c r="L179" s="9" t="str">
        <f t="shared" si="0"/>
        <v>Y</v>
      </c>
    </row>
    <row r="180" spans="1:12">
      <c r="A180" s="9">
        <v>281</v>
      </c>
      <c r="B180" s="9">
        <v>117</v>
      </c>
      <c r="C180" s="9" t="s">
        <v>1175</v>
      </c>
      <c r="D180" s="9" t="s">
        <v>1176</v>
      </c>
      <c r="E180" s="9">
        <v>185</v>
      </c>
      <c r="F180" s="9" t="s">
        <v>1177</v>
      </c>
      <c r="G180" s="9">
        <v>0</v>
      </c>
      <c r="H180" s="9" t="s">
        <v>971</v>
      </c>
      <c r="I180" s="9" t="s">
        <v>972</v>
      </c>
      <c r="J180" s="9">
        <v>0</v>
      </c>
      <c r="K180" s="9" t="s">
        <v>973</v>
      </c>
      <c r="L180" s="9" t="str">
        <f t="shared" si="0"/>
        <v>Y</v>
      </c>
    </row>
    <row r="181" spans="1:12">
      <c r="A181" s="9">
        <v>282</v>
      </c>
      <c r="B181" s="9">
        <v>112</v>
      </c>
      <c r="C181" s="9" t="s">
        <v>1178</v>
      </c>
      <c r="D181" s="9" t="s">
        <v>20</v>
      </c>
      <c r="E181" s="9">
        <v>157</v>
      </c>
      <c r="F181" s="9" t="s">
        <v>1179</v>
      </c>
      <c r="G181" s="9">
        <v>0</v>
      </c>
      <c r="H181" s="9"/>
      <c r="I181" s="9"/>
      <c r="J181" s="9">
        <v>0</v>
      </c>
      <c r="K181" s="9" t="s">
        <v>699</v>
      </c>
      <c r="L181" s="9" t="str">
        <f t="shared" si="0"/>
        <v>N</v>
      </c>
    </row>
    <row r="182" spans="1:12">
      <c r="A182" s="9">
        <v>283</v>
      </c>
      <c r="B182" s="9">
        <v>113</v>
      </c>
      <c r="C182" s="9" t="s">
        <v>1180</v>
      </c>
      <c r="D182" s="9" t="s">
        <v>1181</v>
      </c>
      <c r="E182" s="9">
        <v>164</v>
      </c>
      <c r="F182" s="9" t="s">
        <v>1182</v>
      </c>
      <c r="G182" s="9">
        <v>1</v>
      </c>
      <c r="H182" s="9" t="s">
        <v>1183</v>
      </c>
      <c r="I182" s="9" t="s">
        <v>1184</v>
      </c>
      <c r="J182" s="9">
        <v>1</v>
      </c>
      <c r="K182" s="9" t="s">
        <v>1185</v>
      </c>
      <c r="L182" s="9" t="str">
        <f t="shared" si="0"/>
        <v>Y</v>
      </c>
    </row>
    <row r="183" spans="1:12">
      <c r="A183" s="9">
        <v>284</v>
      </c>
      <c r="B183" s="9">
        <v>109</v>
      </c>
      <c r="C183" s="9" t="s">
        <v>1186</v>
      </c>
      <c r="D183" s="9" t="s">
        <v>20</v>
      </c>
      <c r="E183" s="9">
        <v>138</v>
      </c>
      <c r="F183" s="9" t="s">
        <v>1187</v>
      </c>
      <c r="G183" s="9">
        <v>0</v>
      </c>
      <c r="H183" s="9"/>
      <c r="I183" s="9"/>
      <c r="J183" s="9">
        <v>0</v>
      </c>
      <c r="K183" s="9" t="s">
        <v>699</v>
      </c>
      <c r="L183" s="9" t="str">
        <f t="shared" si="0"/>
        <v>N</v>
      </c>
    </row>
    <row r="184" spans="1:12">
      <c r="A184" s="9">
        <v>285</v>
      </c>
      <c r="B184" s="9">
        <v>113</v>
      </c>
      <c r="C184" s="9" t="s">
        <v>1188</v>
      </c>
      <c r="D184" s="9" t="s">
        <v>20</v>
      </c>
      <c r="E184" s="9">
        <v>162</v>
      </c>
      <c r="F184" s="9" t="s">
        <v>1189</v>
      </c>
      <c r="G184" s="9">
        <v>0</v>
      </c>
      <c r="H184" s="9"/>
      <c r="I184" s="9"/>
      <c r="J184" s="9">
        <v>0</v>
      </c>
      <c r="K184" s="9" t="s">
        <v>699</v>
      </c>
      <c r="L184" s="9" t="str">
        <f t="shared" si="0"/>
        <v>N</v>
      </c>
    </row>
    <row r="185" spans="1:12">
      <c r="A185" s="9">
        <v>286</v>
      </c>
      <c r="B185" s="9">
        <v>109</v>
      </c>
      <c r="C185" s="9" t="s">
        <v>1190</v>
      </c>
      <c r="D185" s="9" t="s">
        <v>1191</v>
      </c>
      <c r="E185" s="9">
        <v>138</v>
      </c>
      <c r="F185" s="9" t="s">
        <v>1192</v>
      </c>
      <c r="G185" s="9">
        <v>1</v>
      </c>
      <c r="H185" s="9" t="s">
        <v>1164</v>
      </c>
      <c r="I185" s="9" t="s">
        <v>1165</v>
      </c>
      <c r="J185" s="9">
        <v>1</v>
      </c>
      <c r="K185" s="9" t="s">
        <v>1166</v>
      </c>
      <c r="L185" s="9" t="str">
        <f t="shared" si="0"/>
        <v>Y</v>
      </c>
    </row>
    <row r="186" spans="1:12">
      <c r="A186" s="9">
        <v>287</v>
      </c>
      <c r="B186" s="9">
        <v>117</v>
      </c>
      <c r="C186" s="9" t="s">
        <v>1193</v>
      </c>
      <c r="D186" s="9" t="s">
        <v>1194</v>
      </c>
      <c r="E186" s="9">
        <v>187</v>
      </c>
      <c r="F186" s="9" t="s">
        <v>1195</v>
      </c>
      <c r="G186" s="9">
        <v>0</v>
      </c>
      <c r="H186" s="9"/>
      <c r="I186" s="9" t="s">
        <v>1025</v>
      </c>
      <c r="J186" s="9">
        <v>0</v>
      </c>
      <c r="K186" s="9" t="s">
        <v>699</v>
      </c>
      <c r="L186" s="9" t="str">
        <f t="shared" si="0"/>
        <v>Y</v>
      </c>
    </row>
    <row r="187" spans="1:12">
      <c r="A187" s="9">
        <v>288</v>
      </c>
      <c r="B187" s="9">
        <v>113</v>
      </c>
      <c r="C187" s="9" t="s">
        <v>1196</v>
      </c>
      <c r="D187" s="9" t="s">
        <v>1197</v>
      </c>
      <c r="E187" s="9">
        <v>164</v>
      </c>
      <c r="F187" s="9" t="s">
        <v>1198</v>
      </c>
      <c r="G187" s="9">
        <v>1</v>
      </c>
      <c r="H187" s="9" t="s">
        <v>1164</v>
      </c>
      <c r="I187" s="9" t="s">
        <v>1165</v>
      </c>
      <c r="J187" s="9">
        <v>1</v>
      </c>
      <c r="K187" s="9" t="s">
        <v>1166</v>
      </c>
      <c r="L187" s="9" t="str">
        <f t="shared" si="0"/>
        <v>Y</v>
      </c>
    </row>
    <row r="188" spans="1:12">
      <c r="A188" s="9">
        <v>289</v>
      </c>
      <c r="B188" s="9">
        <v>112</v>
      </c>
      <c r="C188" s="9" t="s">
        <v>1199</v>
      </c>
      <c r="D188" s="9" t="s">
        <v>1200</v>
      </c>
      <c r="E188" s="9">
        <v>155</v>
      </c>
      <c r="F188" s="9" t="s">
        <v>1201</v>
      </c>
      <c r="G188" s="9">
        <v>0</v>
      </c>
      <c r="H188" s="9" t="s">
        <v>1202</v>
      </c>
      <c r="I188" s="9" t="s">
        <v>1203</v>
      </c>
      <c r="J188" s="9">
        <v>0</v>
      </c>
      <c r="K188" s="9" t="s">
        <v>906</v>
      </c>
      <c r="L188" s="9" t="str">
        <f t="shared" si="0"/>
        <v>Y</v>
      </c>
    </row>
    <row r="189" spans="1:12">
      <c r="A189" s="9">
        <v>290</v>
      </c>
      <c r="B189" s="9">
        <v>113</v>
      </c>
      <c r="C189" s="9" t="s">
        <v>1204</v>
      </c>
      <c r="D189" s="9" t="s">
        <v>20</v>
      </c>
      <c r="E189" s="9">
        <v>162</v>
      </c>
      <c r="F189" s="9" t="s">
        <v>1205</v>
      </c>
      <c r="G189" s="9">
        <v>0</v>
      </c>
      <c r="H189" s="9"/>
      <c r="I189" s="9"/>
      <c r="J189" s="9">
        <v>0</v>
      </c>
      <c r="K189" s="9" t="s">
        <v>699</v>
      </c>
      <c r="L189" s="9" t="str">
        <f t="shared" si="0"/>
        <v>N</v>
      </c>
    </row>
    <row r="190" spans="1:12">
      <c r="A190" s="9">
        <v>291</v>
      </c>
      <c r="B190" s="9">
        <v>110</v>
      </c>
      <c r="C190" s="9" t="s">
        <v>1206</v>
      </c>
      <c r="D190" s="9" t="s">
        <v>1207</v>
      </c>
      <c r="E190" s="9">
        <v>146</v>
      </c>
      <c r="F190" s="9" t="s">
        <v>1208</v>
      </c>
      <c r="G190" s="9">
        <v>0</v>
      </c>
      <c r="H190" s="9" t="s">
        <v>1209</v>
      </c>
      <c r="I190" s="9" t="s">
        <v>1210</v>
      </c>
      <c r="J190" s="9">
        <v>0</v>
      </c>
      <c r="K190" s="9" t="s">
        <v>739</v>
      </c>
      <c r="L190" s="9" t="str">
        <f t="shared" si="0"/>
        <v>Y</v>
      </c>
    </row>
    <row r="191" spans="1:12">
      <c r="A191" s="9">
        <v>292</v>
      </c>
      <c r="B191" s="9">
        <v>115</v>
      </c>
      <c r="C191" s="9" t="s">
        <v>1211</v>
      </c>
      <c r="D191" s="9" t="s">
        <v>20</v>
      </c>
      <c r="E191" s="9">
        <v>176</v>
      </c>
      <c r="F191" s="9" t="s">
        <v>1212</v>
      </c>
      <c r="G191" s="9">
        <v>0</v>
      </c>
      <c r="H191" s="9"/>
      <c r="I191" s="9"/>
      <c r="J191" s="9">
        <v>0</v>
      </c>
      <c r="K191" s="9" t="s">
        <v>699</v>
      </c>
      <c r="L191" s="9" t="str">
        <f t="shared" si="0"/>
        <v>N</v>
      </c>
    </row>
    <row r="192" spans="1:12">
      <c r="A192" s="9">
        <v>293</v>
      </c>
      <c r="B192" s="9">
        <v>109</v>
      </c>
      <c r="C192" s="9" t="s">
        <v>1213</v>
      </c>
      <c r="D192" s="9" t="s">
        <v>1214</v>
      </c>
      <c r="E192" s="9">
        <v>136</v>
      </c>
      <c r="F192" s="9" t="s">
        <v>1215</v>
      </c>
      <c r="G192" s="9">
        <v>0</v>
      </c>
      <c r="H192" s="9" t="s">
        <v>904</v>
      </c>
      <c r="I192" s="9" t="s">
        <v>905</v>
      </c>
      <c r="J192" s="9">
        <v>0</v>
      </c>
      <c r="K192" s="9" t="s">
        <v>906</v>
      </c>
      <c r="L192" s="9" t="str">
        <f t="shared" si="0"/>
        <v>Y</v>
      </c>
    </row>
    <row r="193" spans="1:12">
      <c r="A193" s="9">
        <v>294</v>
      </c>
      <c r="B193" s="9">
        <v>112</v>
      </c>
      <c r="C193" s="9" t="s">
        <v>1216</v>
      </c>
      <c r="D193" s="9" t="s">
        <v>1217</v>
      </c>
      <c r="E193" s="9">
        <v>157</v>
      </c>
      <c r="F193" s="9" t="s">
        <v>1218</v>
      </c>
      <c r="G193" s="9">
        <v>0</v>
      </c>
      <c r="H193" s="9" t="s">
        <v>1219</v>
      </c>
      <c r="I193" s="9" t="s">
        <v>1220</v>
      </c>
      <c r="J193" s="9">
        <v>0</v>
      </c>
      <c r="K193" s="9" t="s">
        <v>1221</v>
      </c>
      <c r="L193" s="9" t="str">
        <f t="shared" si="0"/>
        <v>Y</v>
      </c>
    </row>
    <row r="194" spans="1:12">
      <c r="A194" s="9">
        <v>295</v>
      </c>
      <c r="B194" s="9">
        <v>113</v>
      </c>
      <c r="C194" s="9" t="s">
        <v>1222</v>
      </c>
      <c r="D194" s="9" t="s">
        <v>1223</v>
      </c>
      <c r="E194" s="9">
        <v>162</v>
      </c>
      <c r="F194" s="9" t="s">
        <v>1224</v>
      </c>
      <c r="G194" s="9">
        <v>0</v>
      </c>
      <c r="H194" s="9" t="s">
        <v>898</v>
      </c>
      <c r="I194" s="9" t="s">
        <v>899</v>
      </c>
      <c r="J194" s="9">
        <v>0</v>
      </c>
      <c r="K194" s="9" t="s">
        <v>900</v>
      </c>
      <c r="L194" s="9" t="str">
        <f t="shared" si="0"/>
        <v>Y</v>
      </c>
    </row>
    <row r="195" spans="1:12">
      <c r="A195" s="9">
        <v>296</v>
      </c>
      <c r="B195" s="9">
        <v>111</v>
      </c>
      <c r="C195" s="9" t="s">
        <v>1225</v>
      </c>
      <c r="D195" s="9" t="s">
        <v>20</v>
      </c>
      <c r="E195" s="9">
        <v>189</v>
      </c>
      <c r="F195" s="9" t="s">
        <v>1226</v>
      </c>
      <c r="G195" s="9">
        <v>0</v>
      </c>
      <c r="H195" s="9"/>
      <c r="I195" s="9"/>
      <c r="J195" s="9">
        <v>0</v>
      </c>
      <c r="K195" s="9" t="s">
        <v>699</v>
      </c>
      <c r="L195" s="9" t="str">
        <f t="shared" si="0"/>
        <v>N</v>
      </c>
    </row>
    <row r="196" spans="1:12">
      <c r="A196" s="9">
        <v>297</v>
      </c>
      <c r="B196" s="9">
        <v>112</v>
      </c>
      <c r="C196" s="9" t="s">
        <v>1227</v>
      </c>
      <c r="D196" s="9" t="s">
        <v>1228</v>
      </c>
      <c r="E196" s="9">
        <v>157</v>
      </c>
      <c r="F196" s="9" t="s">
        <v>1229</v>
      </c>
      <c r="G196" s="9">
        <v>1</v>
      </c>
      <c r="H196" s="9" t="s">
        <v>1219</v>
      </c>
      <c r="I196" s="9" t="s">
        <v>1220</v>
      </c>
      <c r="J196" s="9">
        <v>1</v>
      </c>
      <c r="K196" s="9" t="s">
        <v>1221</v>
      </c>
      <c r="L196" s="9" t="str">
        <f t="shared" si="0"/>
        <v>Y</v>
      </c>
    </row>
    <row r="197" spans="1:12">
      <c r="A197" s="9">
        <v>298</v>
      </c>
      <c r="B197" s="9">
        <v>109</v>
      </c>
      <c r="C197" s="9" t="s">
        <v>1230</v>
      </c>
      <c r="D197" s="9" t="s">
        <v>1231</v>
      </c>
      <c r="E197" s="9">
        <v>138</v>
      </c>
      <c r="F197" s="9" t="s">
        <v>1232</v>
      </c>
      <c r="G197" s="9">
        <v>1</v>
      </c>
      <c r="H197" s="9" t="s">
        <v>1183</v>
      </c>
      <c r="I197" s="9" t="s">
        <v>1184</v>
      </c>
      <c r="J197" s="9">
        <v>1</v>
      </c>
      <c r="K197" s="9" t="s">
        <v>1185</v>
      </c>
      <c r="L197" s="9" t="str">
        <f t="shared" si="0"/>
        <v>Y</v>
      </c>
    </row>
    <row r="198" spans="1:12">
      <c r="A198" s="9">
        <v>299</v>
      </c>
      <c r="B198" s="9">
        <v>109</v>
      </c>
      <c r="C198" s="9" t="s">
        <v>1233</v>
      </c>
      <c r="D198" s="9" t="s">
        <v>1234</v>
      </c>
      <c r="E198" s="9">
        <v>136</v>
      </c>
      <c r="F198" s="9" t="s">
        <v>1235</v>
      </c>
      <c r="G198" s="9">
        <v>0</v>
      </c>
      <c r="H198" s="9" t="s">
        <v>904</v>
      </c>
      <c r="I198" s="9" t="s">
        <v>905</v>
      </c>
      <c r="J198" s="9">
        <v>0</v>
      </c>
      <c r="K198" s="9" t="s">
        <v>906</v>
      </c>
      <c r="L198" s="9" t="str">
        <f t="shared" si="0"/>
        <v>Y</v>
      </c>
    </row>
    <row r="199" spans="1:12">
      <c r="A199" s="9">
        <v>300</v>
      </c>
      <c r="B199" s="9">
        <v>114</v>
      </c>
      <c r="C199" s="9" t="s">
        <v>1236</v>
      </c>
      <c r="D199" s="9" t="s">
        <v>20</v>
      </c>
      <c r="E199" s="9">
        <v>167</v>
      </c>
      <c r="F199" s="9" t="s">
        <v>1237</v>
      </c>
      <c r="G199" s="9">
        <v>0</v>
      </c>
      <c r="H199" s="9"/>
      <c r="I199" s="9"/>
      <c r="J199" s="9">
        <v>0</v>
      </c>
      <c r="K199" s="9" t="s">
        <v>699</v>
      </c>
      <c r="L199" s="9" t="str">
        <f t="shared" si="0"/>
        <v>N</v>
      </c>
    </row>
    <row r="200" spans="1:12">
      <c r="A200" s="9">
        <v>301</v>
      </c>
      <c r="B200" s="9">
        <v>112</v>
      </c>
      <c r="C200" s="9" t="s">
        <v>1238</v>
      </c>
      <c r="D200" s="9" t="s">
        <v>1239</v>
      </c>
      <c r="E200" s="9">
        <v>155</v>
      </c>
      <c r="F200" s="9" t="s">
        <v>1240</v>
      </c>
      <c r="G200" s="9">
        <v>0</v>
      </c>
      <c r="H200" s="9" t="s">
        <v>1202</v>
      </c>
      <c r="I200" s="9" t="s">
        <v>1203</v>
      </c>
      <c r="J200" s="9">
        <v>0</v>
      </c>
      <c r="K200" s="9" t="s">
        <v>906</v>
      </c>
      <c r="L200" s="9" t="str">
        <f t="shared" si="0"/>
        <v>Y</v>
      </c>
    </row>
    <row r="201" spans="1:12">
      <c r="A201" s="9">
        <v>302</v>
      </c>
      <c r="B201" s="9">
        <v>114</v>
      </c>
      <c r="C201" s="9" t="s">
        <v>1241</v>
      </c>
      <c r="D201" s="9" t="s">
        <v>20</v>
      </c>
      <c r="E201" s="9">
        <v>170</v>
      </c>
      <c r="F201" s="9" t="s">
        <v>1242</v>
      </c>
      <c r="G201" s="9">
        <v>0</v>
      </c>
      <c r="J201" s="9">
        <v>0</v>
      </c>
      <c r="K201" s="9" t="s">
        <v>699</v>
      </c>
      <c r="L201" s="9" t="str">
        <f t="shared" si="0"/>
        <v>N</v>
      </c>
    </row>
    <row r="202" spans="1:12">
      <c r="A202" s="9">
        <v>303</v>
      </c>
      <c r="B202" s="9">
        <v>117</v>
      </c>
      <c r="C202" s="9" t="s">
        <v>1243</v>
      </c>
      <c r="D202" s="9" t="s">
        <v>1244</v>
      </c>
      <c r="E202" s="9">
        <v>185</v>
      </c>
      <c r="F202" s="9" t="s">
        <v>1245</v>
      </c>
      <c r="G202" s="9">
        <v>0</v>
      </c>
      <c r="H202" s="9" t="s">
        <v>971</v>
      </c>
      <c r="I202" s="9" t="s">
        <v>972</v>
      </c>
      <c r="J202" s="9">
        <v>0</v>
      </c>
      <c r="K202" s="9" t="s">
        <v>973</v>
      </c>
      <c r="L202" s="9" t="str">
        <f t="shared" si="0"/>
        <v>Y</v>
      </c>
    </row>
    <row r="203" spans="1:12">
      <c r="A203" s="9">
        <v>304</v>
      </c>
      <c r="B203" s="9">
        <v>110</v>
      </c>
      <c r="C203" s="9" t="s">
        <v>1246</v>
      </c>
      <c r="D203" s="9" t="s">
        <v>1247</v>
      </c>
      <c r="E203" s="9">
        <v>144</v>
      </c>
      <c r="F203" s="9" t="s">
        <v>1245</v>
      </c>
      <c r="G203" s="9">
        <v>1</v>
      </c>
      <c r="H203" s="9" t="s">
        <v>1248</v>
      </c>
      <c r="I203" s="9" t="s">
        <v>1249</v>
      </c>
      <c r="J203" s="9">
        <v>1</v>
      </c>
      <c r="K203" s="9" t="s">
        <v>1250</v>
      </c>
      <c r="L203" s="9" t="str">
        <f t="shared" si="0"/>
        <v>Y</v>
      </c>
    </row>
    <row r="204" spans="1:12">
      <c r="A204" s="9">
        <v>305</v>
      </c>
      <c r="B204" s="9">
        <v>114</v>
      </c>
      <c r="C204" s="9" t="s">
        <v>1251</v>
      </c>
      <c r="D204" s="9" t="s">
        <v>1252</v>
      </c>
      <c r="E204" s="9">
        <v>170</v>
      </c>
      <c r="F204" s="9" t="s">
        <v>1253</v>
      </c>
      <c r="G204" s="9">
        <v>0</v>
      </c>
      <c r="H204" s="9" t="s">
        <v>1254</v>
      </c>
      <c r="I204" s="9" t="s">
        <v>1255</v>
      </c>
      <c r="J204" s="9">
        <v>0</v>
      </c>
      <c r="K204" s="9" t="s">
        <v>1001</v>
      </c>
      <c r="L204" s="9" t="str">
        <f t="shared" si="0"/>
        <v>Y</v>
      </c>
    </row>
    <row r="205" spans="1:12">
      <c r="A205" s="9">
        <v>306</v>
      </c>
      <c r="B205" s="9">
        <v>111</v>
      </c>
      <c r="C205" s="9" t="s">
        <v>1256</v>
      </c>
      <c r="D205" s="9" t="s">
        <v>1257</v>
      </c>
      <c r="E205" s="9">
        <v>149</v>
      </c>
      <c r="F205" s="9" t="s">
        <v>1258</v>
      </c>
      <c r="G205" s="9">
        <v>0</v>
      </c>
      <c r="H205" s="9" t="s">
        <v>904</v>
      </c>
      <c r="I205" s="9" t="s">
        <v>905</v>
      </c>
      <c r="J205" s="9">
        <v>0</v>
      </c>
      <c r="K205" s="9" t="s">
        <v>906</v>
      </c>
      <c r="L205" s="9" t="str">
        <f t="shared" si="0"/>
        <v>Y</v>
      </c>
    </row>
    <row r="206" spans="1:12">
      <c r="A206" s="9">
        <v>307</v>
      </c>
      <c r="B206" s="9">
        <v>114</v>
      </c>
      <c r="C206" s="9" t="s">
        <v>1259</v>
      </c>
      <c r="D206" s="9" t="s">
        <v>1260</v>
      </c>
      <c r="E206" s="9">
        <v>167</v>
      </c>
      <c r="F206" s="9" t="s">
        <v>1261</v>
      </c>
      <c r="G206" s="9">
        <v>0</v>
      </c>
      <c r="H206" s="9" t="s">
        <v>750</v>
      </c>
      <c r="I206" s="9" t="s">
        <v>751</v>
      </c>
      <c r="J206" s="9">
        <v>0</v>
      </c>
      <c r="K206" s="9" t="s">
        <v>752</v>
      </c>
      <c r="L206" s="9" t="str">
        <f t="shared" si="0"/>
        <v>Y</v>
      </c>
    </row>
    <row r="207" spans="1:12">
      <c r="A207" s="9">
        <v>308</v>
      </c>
      <c r="B207" s="9">
        <v>109</v>
      </c>
      <c r="C207" s="9" t="s">
        <v>1262</v>
      </c>
      <c r="D207" s="9" t="s">
        <v>1263</v>
      </c>
      <c r="E207" s="9">
        <v>136</v>
      </c>
      <c r="F207" s="9" t="s">
        <v>1264</v>
      </c>
      <c r="G207" s="9">
        <v>1</v>
      </c>
      <c r="H207" s="9" t="s">
        <v>904</v>
      </c>
      <c r="I207" s="9" t="s">
        <v>905</v>
      </c>
      <c r="J207" s="9">
        <v>2</v>
      </c>
      <c r="K207" s="9" t="s">
        <v>906</v>
      </c>
      <c r="L207" s="9" t="str">
        <f t="shared" si="0"/>
        <v>Y</v>
      </c>
    </row>
    <row r="208" spans="1:12">
      <c r="A208" s="9">
        <v>309</v>
      </c>
      <c r="B208" s="9">
        <v>113</v>
      </c>
      <c r="C208" s="9" t="s">
        <v>1265</v>
      </c>
      <c r="D208" s="9" t="s">
        <v>1266</v>
      </c>
      <c r="E208" s="9">
        <v>164</v>
      </c>
      <c r="F208" s="9" t="s">
        <v>1267</v>
      </c>
      <c r="G208" s="9">
        <v>0</v>
      </c>
      <c r="H208" s="9" t="s">
        <v>1268</v>
      </c>
      <c r="I208" s="9" t="s">
        <v>1269</v>
      </c>
      <c r="J208" s="9">
        <v>0</v>
      </c>
      <c r="K208" s="9" t="s">
        <v>1270</v>
      </c>
      <c r="L208" s="9" t="str">
        <f t="shared" si="0"/>
        <v>Y</v>
      </c>
    </row>
    <row r="209" spans="1:12">
      <c r="A209" s="9">
        <v>310</v>
      </c>
      <c r="B209" s="9">
        <v>110</v>
      </c>
      <c r="C209" s="9" t="s">
        <v>1271</v>
      </c>
      <c r="D209" s="9" t="s">
        <v>20</v>
      </c>
      <c r="E209" s="9">
        <v>145</v>
      </c>
      <c r="F209" s="9" t="s">
        <v>1272</v>
      </c>
      <c r="G209" s="9">
        <v>0</v>
      </c>
      <c r="J209" s="9">
        <v>0</v>
      </c>
      <c r="K209" s="9" t="s">
        <v>699</v>
      </c>
      <c r="L209" s="9" t="str">
        <f t="shared" si="0"/>
        <v>N</v>
      </c>
    </row>
    <row r="210" spans="1:12">
      <c r="A210" s="9">
        <v>311</v>
      </c>
      <c r="B210" s="9">
        <v>113</v>
      </c>
      <c r="C210" s="9" t="s">
        <v>1273</v>
      </c>
      <c r="D210" s="9" t="s">
        <v>20</v>
      </c>
      <c r="E210" s="9">
        <v>163</v>
      </c>
      <c r="F210" s="9" t="s">
        <v>1274</v>
      </c>
      <c r="G210" s="9">
        <v>0</v>
      </c>
      <c r="H210" s="9"/>
      <c r="I210" s="9"/>
      <c r="J210" s="9">
        <v>0</v>
      </c>
      <c r="K210" s="9" t="s">
        <v>699</v>
      </c>
      <c r="L210" s="9" t="str">
        <f t="shared" si="0"/>
        <v>N</v>
      </c>
    </row>
    <row r="211" spans="1:12">
      <c r="A211" s="9">
        <v>312</v>
      </c>
      <c r="B211" s="9">
        <v>113</v>
      </c>
      <c r="C211" s="9" t="s">
        <v>1275</v>
      </c>
      <c r="D211" s="9" t="s">
        <v>1276</v>
      </c>
      <c r="E211" s="9">
        <v>162</v>
      </c>
      <c r="F211" s="9" t="s">
        <v>1277</v>
      </c>
      <c r="G211" s="9">
        <v>0</v>
      </c>
      <c r="H211" s="9" t="s">
        <v>927</v>
      </c>
      <c r="I211" s="9" t="s">
        <v>928</v>
      </c>
      <c r="J211" s="9">
        <v>0</v>
      </c>
      <c r="K211" s="9" t="s">
        <v>900</v>
      </c>
      <c r="L211" s="9" t="str">
        <f t="shared" si="0"/>
        <v>Y</v>
      </c>
    </row>
    <row r="212" spans="1:12">
      <c r="A212" s="9">
        <v>313</v>
      </c>
      <c r="B212" s="9">
        <v>117</v>
      </c>
      <c r="C212" s="9" t="s">
        <v>1278</v>
      </c>
      <c r="D212" s="9" t="s">
        <v>20</v>
      </c>
      <c r="E212" s="9">
        <v>188</v>
      </c>
      <c r="F212" s="9" t="s">
        <v>1277</v>
      </c>
      <c r="G212" s="9">
        <v>0</v>
      </c>
      <c r="H212" s="9"/>
      <c r="I212" s="9"/>
      <c r="J212" s="9">
        <v>0</v>
      </c>
      <c r="K212" s="9" t="s">
        <v>699</v>
      </c>
      <c r="L212" s="9" t="str">
        <f t="shared" si="0"/>
        <v>N</v>
      </c>
    </row>
    <row r="213" spans="1:12">
      <c r="A213" s="9">
        <v>314</v>
      </c>
      <c r="B213" s="9">
        <v>111</v>
      </c>
      <c r="C213" s="9" t="s">
        <v>1279</v>
      </c>
      <c r="D213" s="9" t="s">
        <v>1280</v>
      </c>
      <c r="E213" s="9">
        <v>149</v>
      </c>
      <c r="F213" s="9" t="s">
        <v>1281</v>
      </c>
      <c r="G213" s="9">
        <v>0</v>
      </c>
      <c r="H213" s="9" t="s">
        <v>904</v>
      </c>
      <c r="I213" s="9" t="s">
        <v>905</v>
      </c>
      <c r="J213" s="9">
        <v>0</v>
      </c>
      <c r="K213" s="9" t="s">
        <v>906</v>
      </c>
      <c r="L213" s="9" t="str">
        <f t="shared" si="0"/>
        <v>Y</v>
      </c>
    </row>
    <row r="214" spans="1:12">
      <c r="A214" s="9">
        <v>315</v>
      </c>
      <c r="B214" s="9">
        <v>109</v>
      </c>
      <c r="C214" s="9" t="s">
        <v>1282</v>
      </c>
      <c r="D214" s="9" t="s">
        <v>1283</v>
      </c>
      <c r="E214" s="9">
        <v>138</v>
      </c>
      <c r="F214" s="9" t="s">
        <v>1281</v>
      </c>
      <c r="G214" s="9">
        <v>0</v>
      </c>
      <c r="H214" s="9" t="s">
        <v>721</v>
      </c>
      <c r="I214" s="9" t="s">
        <v>722</v>
      </c>
      <c r="J214" s="9">
        <v>0</v>
      </c>
      <c r="K214" s="9" t="s">
        <v>723</v>
      </c>
      <c r="L214" s="9" t="str">
        <f t="shared" si="0"/>
        <v>Y</v>
      </c>
    </row>
    <row r="215" spans="1:12">
      <c r="A215" s="9">
        <v>316</v>
      </c>
      <c r="B215" s="9">
        <v>111</v>
      </c>
      <c r="C215" s="9" t="s">
        <v>1284</v>
      </c>
      <c r="D215" s="9" t="s">
        <v>1285</v>
      </c>
      <c r="E215" s="9">
        <v>189</v>
      </c>
      <c r="F215" s="9" t="s">
        <v>1286</v>
      </c>
      <c r="G215" s="9">
        <v>0</v>
      </c>
      <c r="H215" s="9" t="s">
        <v>750</v>
      </c>
      <c r="I215" s="9" t="s">
        <v>751</v>
      </c>
      <c r="J215" s="9">
        <v>0</v>
      </c>
      <c r="K215" s="9" t="s">
        <v>752</v>
      </c>
      <c r="L215" s="9" t="str">
        <f t="shared" si="0"/>
        <v>Y</v>
      </c>
    </row>
    <row r="216" spans="1:12">
      <c r="A216" s="9">
        <v>317</v>
      </c>
      <c r="B216" s="9">
        <v>114</v>
      </c>
      <c r="C216" s="9" t="s">
        <v>1287</v>
      </c>
      <c r="D216" s="9" t="s">
        <v>1288</v>
      </c>
      <c r="E216" s="9">
        <v>167</v>
      </c>
      <c r="F216" s="9" t="s">
        <v>1289</v>
      </c>
      <c r="G216" s="9">
        <v>1</v>
      </c>
      <c r="H216" s="9" t="s">
        <v>750</v>
      </c>
      <c r="I216" s="9" t="s">
        <v>751</v>
      </c>
      <c r="J216" s="9">
        <v>1</v>
      </c>
      <c r="K216" s="9" t="s">
        <v>752</v>
      </c>
      <c r="L216" s="9" t="str">
        <f t="shared" si="0"/>
        <v>Y</v>
      </c>
    </row>
    <row r="217" spans="1:12">
      <c r="A217" s="9">
        <v>318</v>
      </c>
      <c r="B217" s="9">
        <v>110</v>
      </c>
      <c r="C217" s="9" t="s">
        <v>1290</v>
      </c>
      <c r="D217" s="9" t="s">
        <v>20</v>
      </c>
      <c r="E217" s="9">
        <v>143</v>
      </c>
      <c r="F217" s="9" t="s">
        <v>1291</v>
      </c>
      <c r="G217" s="9">
        <v>0</v>
      </c>
      <c r="H217" s="9"/>
      <c r="I217" s="9"/>
      <c r="J217" s="9">
        <v>0</v>
      </c>
      <c r="K217" s="9" t="s">
        <v>699</v>
      </c>
      <c r="L217" s="9" t="str">
        <f t="shared" si="0"/>
        <v>N</v>
      </c>
    </row>
    <row r="218" spans="1:12">
      <c r="A218" s="9">
        <v>319</v>
      </c>
      <c r="B218" s="9">
        <v>117</v>
      </c>
      <c r="C218" s="9" t="s">
        <v>1292</v>
      </c>
      <c r="D218" s="9" t="s">
        <v>20</v>
      </c>
      <c r="E218" s="9">
        <v>186</v>
      </c>
      <c r="F218" s="9" t="s">
        <v>1293</v>
      </c>
      <c r="G218" s="9">
        <v>0</v>
      </c>
      <c r="H218" s="9"/>
      <c r="I218" s="9"/>
      <c r="J218" s="9">
        <v>0</v>
      </c>
      <c r="K218" s="9" t="s">
        <v>699</v>
      </c>
      <c r="L218" s="9" t="str">
        <f t="shared" si="0"/>
        <v>N</v>
      </c>
    </row>
    <row r="219" spans="1:12">
      <c r="A219" s="9">
        <v>320</v>
      </c>
      <c r="B219" s="9">
        <v>111</v>
      </c>
      <c r="C219" s="9" t="s">
        <v>1294</v>
      </c>
      <c r="D219" s="9" t="s">
        <v>1295</v>
      </c>
      <c r="E219" s="9">
        <v>149</v>
      </c>
      <c r="F219" s="9" t="s">
        <v>292</v>
      </c>
      <c r="G219" s="9">
        <v>0</v>
      </c>
      <c r="H219" s="9" t="s">
        <v>904</v>
      </c>
      <c r="I219" s="9" t="s">
        <v>905</v>
      </c>
      <c r="J219" s="9">
        <v>0</v>
      </c>
      <c r="K219" s="9" t="s">
        <v>906</v>
      </c>
      <c r="L219" s="9" t="str">
        <f t="shared" si="0"/>
        <v>Y</v>
      </c>
    </row>
    <row r="220" spans="1:12">
      <c r="A220" s="9">
        <v>321</v>
      </c>
      <c r="B220" s="9">
        <v>113</v>
      </c>
      <c r="C220" s="9" t="s">
        <v>1296</v>
      </c>
      <c r="D220" s="9" t="s">
        <v>1297</v>
      </c>
      <c r="E220" s="9">
        <v>161</v>
      </c>
      <c r="F220" s="9" t="s">
        <v>292</v>
      </c>
      <c r="G220" s="9">
        <v>0</v>
      </c>
      <c r="H220" s="9"/>
      <c r="I220" s="9" t="s">
        <v>1025</v>
      </c>
      <c r="J220" s="9">
        <v>0</v>
      </c>
      <c r="K220" s="9" t="s">
        <v>699</v>
      </c>
      <c r="L220" s="9" t="str">
        <f t="shared" si="0"/>
        <v>Y</v>
      </c>
    </row>
    <row r="221" spans="1:12">
      <c r="A221" s="9">
        <v>322</v>
      </c>
      <c r="B221" s="9">
        <v>113</v>
      </c>
      <c r="C221" s="9" t="s">
        <v>1298</v>
      </c>
      <c r="D221" s="9" t="s">
        <v>1299</v>
      </c>
      <c r="E221" s="9">
        <v>162</v>
      </c>
      <c r="F221" s="9" t="s">
        <v>1300</v>
      </c>
      <c r="G221" s="9">
        <v>0</v>
      </c>
      <c r="H221" s="9" t="s">
        <v>927</v>
      </c>
      <c r="I221" s="9" t="s">
        <v>928</v>
      </c>
      <c r="J221" s="9">
        <v>0</v>
      </c>
      <c r="K221" s="9" t="s">
        <v>900</v>
      </c>
      <c r="L221" s="9" t="str">
        <f t="shared" si="0"/>
        <v>Y</v>
      </c>
    </row>
    <row r="222" spans="1:12">
      <c r="A222" s="9">
        <v>323</v>
      </c>
      <c r="B222" s="9">
        <v>110</v>
      </c>
      <c r="C222" s="9" t="s">
        <v>1301</v>
      </c>
      <c r="D222" s="9" t="s">
        <v>20</v>
      </c>
      <c r="E222" s="9">
        <v>145</v>
      </c>
      <c r="F222" s="9" t="s">
        <v>1302</v>
      </c>
      <c r="G222" s="9">
        <v>0</v>
      </c>
      <c r="H222" s="9"/>
      <c r="I222" s="9"/>
      <c r="J222" s="9">
        <v>0</v>
      </c>
      <c r="K222" s="9" t="s">
        <v>699</v>
      </c>
      <c r="L222" s="9" t="str">
        <f t="shared" si="0"/>
        <v>N</v>
      </c>
    </row>
    <row r="223" spans="1:12">
      <c r="A223" s="9">
        <v>324</v>
      </c>
      <c r="B223" s="9">
        <v>116</v>
      </c>
      <c r="C223" s="9" t="s">
        <v>1303</v>
      </c>
      <c r="D223" s="9" t="s">
        <v>20</v>
      </c>
      <c r="E223" s="9">
        <v>180</v>
      </c>
      <c r="F223" s="9" t="s">
        <v>1304</v>
      </c>
      <c r="G223" s="9">
        <v>0</v>
      </c>
      <c r="H223" s="9"/>
      <c r="I223" s="9"/>
      <c r="J223" s="9">
        <v>0</v>
      </c>
      <c r="K223" s="9" t="s">
        <v>699</v>
      </c>
      <c r="L223" s="9" t="str">
        <f t="shared" si="0"/>
        <v>N</v>
      </c>
    </row>
    <row r="224" spans="1:12">
      <c r="A224" s="9">
        <v>325</v>
      </c>
      <c r="B224" s="9">
        <v>113</v>
      </c>
      <c r="C224" s="9" t="s">
        <v>1305</v>
      </c>
      <c r="D224" s="9" t="s">
        <v>20</v>
      </c>
      <c r="E224" s="9">
        <v>163</v>
      </c>
      <c r="F224" s="9" t="s">
        <v>1306</v>
      </c>
      <c r="G224" s="9">
        <v>0</v>
      </c>
      <c r="H224" s="9"/>
      <c r="I224" s="9"/>
      <c r="J224" s="9">
        <v>0</v>
      </c>
      <c r="K224" s="9" t="s">
        <v>699</v>
      </c>
      <c r="L224" s="9" t="str">
        <f t="shared" si="0"/>
        <v>N</v>
      </c>
    </row>
    <row r="225" spans="1:12">
      <c r="A225" s="9">
        <v>326</v>
      </c>
      <c r="B225" s="9">
        <v>116</v>
      </c>
      <c r="C225" s="9" t="s">
        <v>1307</v>
      </c>
      <c r="D225" s="9" t="s">
        <v>1308</v>
      </c>
      <c r="E225" s="9">
        <v>180</v>
      </c>
      <c r="F225" s="9" t="s">
        <v>1309</v>
      </c>
      <c r="G225" s="9">
        <v>2</v>
      </c>
      <c r="H225" s="9" t="s">
        <v>1310</v>
      </c>
      <c r="I225" s="9" t="s">
        <v>1311</v>
      </c>
      <c r="J225" s="9">
        <v>2</v>
      </c>
      <c r="K225" s="9" t="s">
        <v>1312</v>
      </c>
      <c r="L225" s="9" t="str">
        <f t="shared" si="0"/>
        <v>Y</v>
      </c>
    </row>
    <row r="226" spans="1:12">
      <c r="A226" s="9">
        <v>327</v>
      </c>
      <c r="B226" s="9">
        <v>111</v>
      </c>
      <c r="C226" s="9" t="s">
        <v>1313</v>
      </c>
      <c r="D226" s="9" t="s">
        <v>1314</v>
      </c>
      <c r="E226" s="9">
        <v>149</v>
      </c>
      <c r="F226" s="9" t="s">
        <v>1309</v>
      </c>
      <c r="G226" s="9">
        <v>0</v>
      </c>
      <c r="H226" s="9" t="s">
        <v>904</v>
      </c>
      <c r="I226" s="9" t="s">
        <v>905</v>
      </c>
      <c r="J226" s="9">
        <v>0</v>
      </c>
      <c r="K226" s="9" t="s">
        <v>906</v>
      </c>
      <c r="L226" s="9" t="str">
        <f t="shared" si="0"/>
        <v>Y</v>
      </c>
    </row>
    <row r="227" spans="1:12">
      <c r="A227" s="9">
        <v>328</v>
      </c>
      <c r="B227" s="9">
        <v>112</v>
      </c>
      <c r="C227" s="9" t="s">
        <v>1315</v>
      </c>
      <c r="D227" s="9" t="s">
        <v>20</v>
      </c>
      <c r="E227" s="9">
        <v>157</v>
      </c>
      <c r="F227" s="9" t="s">
        <v>1316</v>
      </c>
      <c r="G227" s="9">
        <v>0</v>
      </c>
      <c r="J227" s="9">
        <v>0</v>
      </c>
      <c r="K227" s="9" t="s">
        <v>699</v>
      </c>
      <c r="L227" s="9" t="str">
        <f t="shared" si="0"/>
        <v>N</v>
      </c>
    </row>
    <row r="228" spans="1:12">
      <c r="A228" s="9">
        <v>329</v>
      </c>
      <c r="B228" s="9">
        <v>112</v>
      </c>
      <c r="C228" s="9" t="s">
        <v>1317</v>
      </c>
      <c r="D228" s="9" t="s">
        <v>1318</v>
      </c>
      <c r="E228" s="9">
        <v>156</v>
      </c>
      <c r="F228" s="9" t="s">
        <v>1319</v>
      </c>
      <c r="G228" s="9">
        <v>0</v>
      </c>
      <c r="H228" s="9" t="s">
        <v>1320</v>
      </c>
      <c r="I228" s="9" t="s">
        <v>1321</v>
      </c>
      <c r="J228" s="9">
        <v>0</v>
      </c>
      <c r="K228" s="9" t="s">
        <v>1322</v>
      </c>
      <c r="L228" s="9" t="str">
        <f t="shared" si="0"/>
        <v>Y</v>
      </c>
    </row>
    <row r="229" spans="1:12">
      <c r="A229" s="9">
        <v>330</v>
      </c>
      <c r="B229" s="9">
        <v>111</v>
      </c>
      <c r="C229" s="9" t="s">
        <v>1323</v>
      </c>
      <c r="D229" s="9" t="s">
        <v>1324</v>
      </c>
      <c r="E229" s="9">
        <v>151</v>
      </c>
      <c r="F229" s="9" t="s">
        <v>1325</v>
      </c>
      <c r="G229" s="9">
        <v>1</v>
      </c>
      <c r="H229" s="9" t="s">
        <v>927</v>
      </c>
      <c r="I229" s="9" t="s">
        <v>928</v>
      </c>
      <c r="J229" s="9">
        <v>4</v>
      </c>
      <c r="K229" s="9" t="s">
        <v>900</v>
      </c>
      <c r="L229" s="9" t="str">
        <f t="shared" si="0"/>
        <v>Y</v>
      </c>
    </row>
    <row r="230" spans="1:12">
      <c r="A230" s="9">
        <v>331</v>
      </c>
      <c r="B230" s="9">
        <v>113</v>
      </c>
      <c r="C230" s="9" t="s">
        <v>1326</v>
      </c>
      <c r="D230" s="9" t="s">
        <v>20</v>
      </c>
      <c r="E230" s="9">
        <v>163</v>
      </c>
      <c r="F230" s="9" t="s">
        <v>1327</v>
      </c>
      <c r="G230" s="9">
        <v>0</v>
      </c>
      <c r="J230" s="9">
        <v>0</v>
      </c>
      <c r="K230" s="9" t="s">
        <v>699</v>
      </c>
      <c r="L230" s="9" t="str">
        <f t="shared" si="0"/>
        <v>N</v>
      </c>
    </row>
    <row r="231" spans="1:12">
      <c r="A231" s="9">
        <v>332</v>
      </c>
      <c r="B231" s="9">
        <v>113</v>
      </c>
      <c r="C231" s="9" t="s">
        <v>1328</v>
      </c>
      <c r="D231" s="9" t="s">
        <v>1329</v>
      </c>
      <c r="E231" s="9">
        <v>162</v>
      </c>
      <c r="F231" s="9" t="s">
        <v>1330</v>
      </c>
      <c r="G231" s="9">
        <v>0</v>
      </c>
      <c r="H231" s="9" t="s">
        <v>927</v>
      </c>
      <c r="I231" s="9" t="s">
        <v>928</v>
      </c>
      <c r="J231" s="9">
        <v>0</v>
      </c>
      <c r="K231" s="9" t="s">
        <v>900</v>
      </c>
      <c r="L231" s="9" t="str">
        <f t="shared" si="0"/>
        <v>Y</v>
      </c>
    </row>
    <row r="232" spans="1:12">
      <c r="A232" s="9">
        <v>333</v>
      </c>
      <c r="B232" s="9">
        <v>109</v>
      </c>
      <c r="C232" s="9" t="s">
        <v>1331</v>
      </c>
      <c r="D232" s="9" t="s">
        <v>20</v>
      </c>
      <c r="E232" s="9">
        <v>139</v>
      </c>
      <c r="F232" s="9" t="s">
        <v>1332</v>
      </c>
      <c r="G232" s="9">
        <v>0</v>
      </c>
      <c r="J232" s="9">
        <v>0</v>
      </c>
      <c r="K232" s="9" t="s">
        <v>699</v>
      </c>
      <c r="L232" s="9" t="str">
        <f t="shared" si="0"/>
        <v>N</v>
      </c>
    </row>
    <row r="233" spans="1:12">
      <c r="A233" s="9">
        <v>334</v>
      </c>
      <c r="B233" s="9">
        <v>112</v>
      </c>
      <c r="C233" s="9" t="s">
        <v>1333</v>
      </c>
      <c r="D233" s="9" t="s">
        <v>1334</v>
      </c>
      <c r="E233" s="9">
        <v>155</v>
      </c>
      <c r="F233" s="9" t="s">
        <v>1332</v>
      </c>
      <c r="G233" s="9">
        <v>0</v>
      </c>
      <c r="H233" s="9" t="s">
        <v>1202</v>
      </c>
      <c r="I233" s="9" t="s">
        <v>1203</v>
      </c>
      <c r="J233" s="9">
        <v>0</v>
      </c>
      <c r="K233" s="9" t="s">
        <v>906</v>
      </c>
      <c r="L233" s="9" t="str">
        <f t="shared" si="0"/>
        <v>Y</v>
      </c>
    </row>
    <row r="234" spans="1:12">
      <c r="A234" s="9">
        <v>335</v>
      </c>
      <c r="B234" s="9">
        <v>117</v>
      </c>
      <c r="C234" s="9" t="s">
        <v>1335</v>
      </c>
      <c r="D234" s="9" t="s">
        <v>1336</v>
      </c>
      <c r="E234" s="9">
        <v>185</v>
      </c>
      <c r="F234" s="9" t="s">
        <v>1337</v>
      </c>
      <c r="G234" s="9">
        <v>0</v>
      </c>
      <c r="H234" s="9" t="s">
        <v>971</v>
      </c>
      <c r="I234" s="9" t="s">
        <v>972</v>
      </c>
      <c r="J234" s="9">
        <v>0</v>
      </c>
      <c r="K234" s="9" t="s">
        <v>973</v>
      </c>
      <c r="L234" s="9" t="str">
        <f t="shared" si="0"/>
        <v>Y</v>
      </c>
    </row>
    <row r="235" spans="1:12">
      <c r="A235" s="9">
        <v>336</v>
      </c>
      <c r="B235" s="9">
        <v>112</v>
      </c>
      <c r="C235" s="9" t="s">
        <v>1338</v>
      </c>
      <c r="D235" s="9" t="s">
        <v>20</v>
      </c>
      <c r="E235" s="9">
        <v>157</v>
      </c>
      <c r="F235" s="9" t="s">
        <v>1339</v>
      </c>
      <c r="G235" s="9">
        <v>0</v>
      </c>
      <c r="H235" s="9"/>
      <c r="I235" s="9"/>
      <c r="J235" s="9">
        <v>0</v>
      </c>
      <c r="K235" s="9" t="s">
        <v>699</v>
      </c>
      <c r="L235" s="9" t="str">
        <f t="shared" si="0"/>
        <v>N</v>
      </c>
    </row>
    <row r="236" spans="1:12">
      <c r="A236" s="9">
        <v>337</v>
      </c>
      <c r="B236" s="9">
        <v>113</v>
      </c>
      <c r="C236" s="9" t="s">
        <v>1340</v>
      </c>
      <c r="D236" s="9" t="s">
        <v>20</v>
      </c>
      <c r="E236" s="9">
        <v>163</v>
      </c>
      <c r="F236" s="9" t="s">
        <v>1341</v>
      </c>
      <c r="G236" s="9">
        <v>0</v>
      </c>
      <c r="J236" s="9">
        <v>0</v>
      </c>
      <c r="K236" s="9" t="s">
        <v>699</v>
      </c>
      <c r="L236" s="9" t="str">
        <f t="shared" si="0"/>
        <v>N</v>
      </c>
    </row>
    <row r="237" spans="1:12">
      <c r="A237" s="9">
        <v>338</v>
      </c>
      <c r="B237" s="9">
        <v>109</v>
      </c>
      <c r="C237" s="9" t="s">
        <v>1342</v>
      </c>
      <c r="D237" s="9" t="s">
        <v>20</v>
      </c>
      <c r="E237" s="9">
        <v>136</v>
      </c>
      <c r="F237" s="9" t="s">
        <v>1343</v>
      </c>
      <c r="G237" s="9">
        <v>0</v>
      </c>
      <c r="J237" s="9">
        <v>0</v>
      </c>
      <c r="K237" s="9" t="s">
        <v>699</v>
      </c>
      <c r="L237" s="9" t="str">
        <f t="shared" si="0"/>
        <v>N</v>
      </c>
    </row>
    <row r="238" spans="1:12">
      <c r="A238" s="9">
        <v>339</v>
      </c>
      <c r="B238" s="9">
        <v>109</v>
      </c>
      <c r="C238" s="9" t="s">
        <v>1344</v>
      </c>
      <c r="D238" s="9" t="s">
        <v>20</v>
      </c>
      <c r="E238" s="9">
        <v>137</v>
      </c>
      <c r="F238" s="9" t="s">
        <v>1345</v>
      </c>
      <c r="G238" s="9">
        <v>0</v>
      </c>
      <c r="J238" s="9">
        <v>0</v>
      </c>
      <c r="K238" s="9" t="s">
        <v>699</v>
      </c>
      <c r="L238" s="9" t="str">
        <f t="shared" si="0"/>
        <v>N</v>
      </c>
    </row>
    <row r="239" spans="1:12">
      <c r="A239" s="9">
        <v>340</v>
      </c>
      <c r="B239" s="9">
        <v>113</v>
      </c>
      <c r="C239" s="9" t="s">
        <v>1346</v>
      </c>
      <c r="D239" s="9" t="s">
        <v>1347</v>
      </c>
      <c r="E239" s="9">
        <v>161</v>
      </c>
      <c r="F239" s="9" t="s">
        <v>1348</v>
      </c>
      <c r="G239" s="9">
        <v>0</v>
      </c>
      <c r="I239" s="9" t="s">
        <v>1025</v>
      </c>
      <c r="J239" s="9">
        <v>0</v>
      </c>
      <c r="K239" s="9" t="s">
        <v>699</v>
      </c>
      <c r="L239" s="9" t="str">
        <f t="shared" si="0"/>
        <v>Y</v>
      </c>
    </row>
    <row r="240" spans="1:12">
      <c r="A240" s="9">
        <v>341</v>
      </c>
      <c r="B240" s="9">
        <v>111</v>
      </c>
      <c r="C240" s="9" t="s">
        <v>1349</v>
      </c>
      <c r="D240" s="9" t="s">
        <v>1350</v>
      </c>
      <c r="E240" s="9">
        <v>149</v>
      </c>
      <c r="F240" s="9" t="s">
        <v>1351</v>
      </c>
      <c r="G240" s="9">
        <v>0</v>
      </c>
      <c r="H240" s="9" t="s">
        <v>750</v>
      </c>
      <c r="I240" s="9" t="s">
        <v>751</v>
      </c>
      <c r="J240" s="9">
        <v>0</v>
      </c>
      <c r="K240" s="9" t="s">
        <v>752</v>
      </c>
      <c r="L240" s="9" t="str">
        <f t="shared" si="0"/>
        <v>Y</v>
      </c>
    </row>
    <row r="241" spans="1:12">
      <c r="A241" s="9">
        <v>342</v>
      </c>
      <c r="B241" s="9">
        <v>109</v>
      </c>
      <c r="C241" s="9" t="s">
        <v>1352</v>
      </c>
      <c r="D241" s="9" t="s">
        <v>20</v>
      </c>
      <c r="E241" s="9">
        <v>136</v>
      </c>
      <c r="F241" s="9" t="s">
        <v>1353</v>
      </c>
      <c r="G241" s="9">
        <v>0</v>
      </c>
      <c r="J241" s="9">
        <v>0</v>
      </c>
      <c r="K241" s="9" t="s">
        <v>699</v>
      </c>
      <c r="L241" s="9" t="str">
        <f t="shared" si="0"/>
        <v>N</v>
      </c>
    </row>
    <row r="242" spans="1:12">
      <c r="A242" s="9">
        <v>343</v>
      </c>
      <c r="B242" s="9">
        <v>113</v>
      </c>
      <c r="C242" s="9" t="s">
        <v>1354</v>
      </c>
      <c r="D242" s="9" t="s">
        <v>1355</v>
      </c>
      <c r="E242" s="9">
        <v>164</v>
      </c>
      <c r="F242" s="9" t="s">
        <v>1356</v>
      </c>
      <c r="G242" s="9">
        <v>0</v>
      </c>
      <c r="H242" s="9" t="s">
        <v>971</v>
      </c>
      <c r="I242" s="9" t="s">
        <v>972</v>
      </c>
      <c r="J242" s="9">
        <v>0</v>
      </c>
      <c r="K242" s="9" t="s">
        <v>973</v>
      </c>
      <c r="L242" s="9" t="str">
        <f t="shared" si="0"/>
        <v>Y</v>
      </c>
    </row>
    <row r="243" spans="1:12">
      <c r="A243" s="9">
        <v>344</v>
      </c>
      <c r="B243" s="9">
        <v>114</v>
      </c>
      <c r="C243" s="9" t="s">
        <v>1357</v>
      </c>
      <c r="D243" s="9" t="s">
        <v>1358</v>
      </c>
      <c r="E243" s="9">
        <v>170</v>
      </c>
      <c r="F243" s="9" t="s">
        <v>1359</v>
      </c>
      <c r="G243" s="9">
        <v>0</v>
      </c>
      <c r="H243" s="9" t="s">
        <v>1360</v>
      </c>
      <c r="I243" s="9" t="s">
        <v>1361</v>
      </c>
      <c r="J243" s="9">
        <v>0</v>
      </c>
      <c r="K243" s="9" t="s">
        <v>783</v>
      </c>
      <c r="L243" s="9" t="str">
        <f t="shared" si="0"/>
        <v>Y</v>
      </c>
    </row>
    <row r="244" spans="1:12">
      <c r="A244" s="9">
        <v>345</v>
      </c>
      <c r="B244" s="9">
        <v>116</v>
      </c>
      <c r="C244" s="9" t="s">
        <v>1362</v>
      </c>
      <c r="D244" s="9" t="s">
        <v>1363</v>
      </c>
      <c r="E244" s="9">
        <v>180</v>
      </c>
      <c r="F244" s="9" t="s">
        <v>1364</v>
      </c>
      <c r="G244" s="9">
        <v>1</v>
      </c>
      <c r="H244" s="9" t="s">
        <v>898</v>
      </c>
      <c r="I244" s="9" t="s">
        <v>899</v>
      </c>
      <c r="J244" s="9">
        <v>1</v>
      </c>
      <c r="K244" s="9" t="s">
        <v>900</v>
      </c>
      <c r="L244" s="9" t="str">
        <f t="shared" si="0"/>
        <v>Y</v>
      </c>
    </row>
    <row r="245" spans="1:12">
      <c r="A245" s="9">
        <v>346</v>
      </c>
      <c r="B245" s="9">
        <v>110</v>
      </c>
      <c r="C245" s="9" t="s">
        <v>1365</v>
      </c>
      <c r="D245" s="9" t="s">
        <v>20</v>
      </c>
      <c r="E245" s="9">
        <v>142</v>
      </c>
      <c r="F245" s="9" t="s">
        <v>1366</v>
      </c>
      <c r="G245" s="9">
        <v>0</v>
      </c>
      <c r="J245" s="9">
        <v>0</v>
      </c>
      <c r="K245" s="9" t="s">
        <v>699</v>
      </c>
      <c r="L245" s="9" t="str">
        <f t="shared" si="0"/>
        <v>N</v>
      </c>
    </row>
    <row r="246" spans="1:12">
      <c r="A246" s="9">
        <v>347</v>
      </c>
      <c r="B246" s="9">
        <v>109</v>
      </c>
      <c r="C246" s="9" t="s">
        <v>1367</v>
      </c>
      <c r="D246" s="9" t="s">
        <v>1368</v>
      </c>
      <c r="E246" s="9">
        <v>136</v>
      </c>
      <c r="F246" s="9" t="s">
        <v>1369</v>
      </c>
      <c r="G246" s="9">
        <v>1</v>
      </c>
      <c r="H246" s="9" t="s">
        <v>781</v>
      </c>
      <c r="I246" s="9" t="s">
        <v>782</v>
      </c>
      <c r="J246" s="9">
        <v>2</v>
      </c>
      <c r="K246" s="9" t="s">
        <v>783</v>
      </c>
      <c r="L246" s="9" t="str">
        <f t="shared" si="0"/>
        <v>Y</v>
      </c>
    </row>
    <row r="247" spans="1:12">
      <c r="A247" s="9">
        <v>348</v>
      </c>
      <c r="B247" s="9">
        <v>110</v>
      </c>
      <c r="C247" s="9" t="s">
        <v>1370</v>
      </c>
      <c r="D247" s="9" t="s">
        <v>20</v>
      </c>
      <c r="E247" s="9">
        <v>142</v>
      </c>
      <c r="F247" s="9" t="s">
        <v>1371</v>
      </c>
      <c r="G247" s="9">
        <v>0</v>
      </c>
      <c r="J247" s="9">
        <v>0</v>
      </c>
      <c r="K247" s="9" t="s">
        <v>699</v>
      </c>
      <c r="L247" s="9" t="str">
        <f t="shared" si="0"/>
        <v>N</v>
      </c>
    </row>
    <row r="248" spans="1:12">
      <c r="A248" s="9">
        <v>349</v>
      </c>
      <c r="B248" s="9">
        <v>111</v>
      </c>
      <c r="C248" s="9" t="s">
        <v>1372</v>
      </c>
      <c r="D248" s="9" t="s">
        <v>1373</v>
      </c>
      <c r="E248" s="9">
        <v>149</v>
      </c>
      <c r="F248" s="9" t="s">
        <v>1374</v>
      </c>
      <c r="G248" s="9">
        <v>0</v>
      </c>
      <c r="H248" s="9" t="s">
        <v>750</v>
      </c>
      <c r="I248" s="9" t="s">
        <v>751</v>
      </c>
      <c r="J248" s="9">
        <v>0</v>
      </c>
      <c r="K248" s="9" t="s">
        <v>752</v>
      </c>
      <c r="L248" s="9" t="str">
        <f t="shared" si="0"/>
        <v>Y</v>
      </c>
    </row>
    <row r="249" spans="1:12">
      <c r="A249" s="9">
        <v>350</v>
      </c>
      <c r="B249" s="9">
        <v>115</v>
      </c>
      <c r="C249" s="9" t="s">
        <v>1375</v>
      </c>
      <c r="D249" s="9" t="s">
        <v>1376</v>
      </c>
      <c r="E249" s="9">
        <v>176</v>
      </c>
      <c r="F249" s="9" t="s">
        <v>1377</v>
      </c>
      <c r="G249" s="9">
        <v>2</v>
      </c>
      <c r="H249" s="9" t="s">
        <v>1378</v>
      </c>
      <c r="I249" s="9" t="s">
        <v>1379</v>
      </c>
      <c r="J249" s="9">
        <v>2</v>
      </c>
      <c r="K249" s="9" t="s">
        <v>948</v>
      </c>
      <c r="L249" s="9" t="str">
        <f t="shared" si="0"/>
        <v>Y</v>
      </c>
    </row>
    <row r="250" spans="1:12">
      <c r="A250" s="9">
        <v>351</v>
      </c>
      <c r="B250" s="9">
        <v>110</v>
      </c>
      <c r="C250" s="9" t="s">
        <v>1380</v>
      </c>
      <c r="D250" s="9" t="s">
        <v>20</v>
      </c>
      <c r="E250" s="9">
        <v>142</v>
      </c>
      <c r="F250" s="9" t="s">
        <v>1381</v>
      </c>
      <c r="G250" s="9">
        <v>0</v>
      </c>
      <c r="H250" s="9"/>
      <c r="I250" s="9"/>
      <c r="J250" s="9">
        <v>0</v>
      </c>
      <c r="K250" s="9" t="s">
        <v>699</v>
      </c>
      <c r="L250" s="9" t="str">
        <f t="shared" si="0"/>
        <v>N</v>
      </c>
    </row>
    <row r="251" spans="1:12">
      <c r="A251" s="9">
        <v>352</v>
      </c>
      <c r="B251" s="9">
        <v>110</v>
      </c>
      <c r="C251" s="9" t="s">
        <v>1382</v>
      </c>
      <c r="D251" s="9" t="s">
        <v>20</v>
      </c>
      <c r="E251" s="9">
        <v>146</v>
      </c>
      <c r="F251" s="9" t="s">
        <v>1383</v>
      </c>
      <c r="G251" s="9">
        <v>0</v>
      </c>
      <c r="H251" s="9"/>
      <c r="I251" s="9"/>
      <c r="J251" s="9">
        <v>0</v>
      </c>
      <c r="K251" s="9" t="s">
        <v>699</v>
      </c>
      <c r="L251" s="9" t="str">
        <f t="shared" si="0"/>
        <v>N</v>
      </c>
    </row>
    <row r="252" spans="1:12">
      <c r="A252" s="9">
        <v>353</v>
      </c>
      <c r="B252" s="9">
        <v>114</v>
      </c>
      <c r="C252" s="9" t="s">
        <v>1384</v>
      </c>
      <c r="D252" s="9" t="s">
        <v>20</v>
      </c>
      <c r="E252" s="9">
        <v>170</v>
      </c>
      <c r="F252" s="9" t="s">
        <v>1383</v>
      </c>
      <c r="G252" s="9">
        <v>0</v>
      </c>
      <c r="J252" s="9">
        <v>0</v>
      </c>
      <c r="K252" s="9" t="s">
        <v>699</v>
      </c>
      <c r="L252" s="9" t="str">
        <f t="shared" si="0"/>
        <v>N</v>
      </c>
    </row>
    <row r="253" spans="1:12">
      <c r="A253" s="9">
        <v>354</v>
      </c>
      <c r="B253" s="9">
        <v>113</v>
      </c>
      <c r="C253" s="9" t="s">
        <v>1385</v>
      </c>
      <c r="D253" s="9" t="s">
        <v>20</v>
      </c>
      <c r="E253" s="9">
        <v>163</v>
      </c>
      <c r="F253" s="9" t="s">
        <v>1386</v>
      </c>
      <c r="G253" s="9">
        <v>0</v>
      </c>
      <c r="J253" s="9">
        <v>0</v>
      </c>
      <c r="K253" s="9" t="s">
        <v>699</v>
      </c>
      <c r="L253" s="9" t="str">
        <f t="shared" si="0"/>
        <v>N</v>
      </c>
    </row>
    <row r="254" spans="1:12">
      <c r="A254" s="9">
        <v>355</v>
      </c>
      <c r="B254" s="9">
        <v>114</v>
      </c>
      <c r="C254" s="9" t="s">
        <v>1387</v>
      </c>
      <c r="D254" s="9" t="s">
        <v>1388</v>
      </c>
      <c r="E254" s="9">
        <v>170</v>
      </c>
      <c r="F254" s="9" t="s">
        <v>1389</v>
      </c>
      <c r="G254" s="9">
        <v>0</v>
      </c>
      <c r="H254" s="9" t="s">
        <v>1360</v>
      </c>
      <c r="I254" s="9" t="s">
        <v>1361</v>
      </c>
      <c r="J254" s="9">
        <v>0</v>
      </c>
      <c r="K254" s="9" t="s">
        <v>783</v>
      </c>
      <c r="L254" s="9" t="str">
        <f t="shared" si="0"/>
        <v>Y</v>
      </c>
    </row>
    <row r="255" spans="1:12">
      <c r="A255" s="9">
        <v>356</v>
      </c>
      <c r="B255" s="9">
        <v>113</v>
      </c>
      <c r="C255" s="9" t="s">
        <v>1390</v>
      </c>
      <c r="D255" s="9" t="s">
        <v>1391</v>
      </c>
      <c r="E255" s="9">
        <v>163</v>
      </c>
      <c r="F255" s="9" t="s">
        <v>1392</v>
      </c>
      <c r="G255" s="9">
        <v>0</v>
      </c>
      <c r="H255" s="9" t="s">
        <v>971</v>
      </c>
      <c r="I255" s="9" t="s">
        <v>972</v>
      </c>
      <c r="J255" s="9">
        <v>0</v>
      </c>
      <c r="K255" s="9" t="s">
        <v>973</v>
      </c>
      <c r="L255" s="9" t="str">
        <f t="shared" si="0"/>
        <v>Y</v>
      </c>
    </row>
    <row r="256" spans="1:12">
      <c r="A256" s="9">
        <v>357</v>
      </c>
      <c r="B256" s="9">
        <v>110</v>
      </c>
      <c r="C256" s="9" t="s">
        <v>1393</v>
      </c>
      <c r="D256" s="9" t="s">
        <v>20</v>
      </c>
      <c r="E256" s="9">
        <v>146</v>
      </c>
      <c r="F256" s="9" t="s">
        <v>1394</v>
      </c>
      <c r="G256" s="9">
        <v>0</v>
      </c>
      <c r="H256" s="9"/>
      <c r="I256" s="9"/>
      <c r="J256" s="9">
        <v>0</v>
      </c>
      <c r="K256" s="9" t="s">
        <v>699</v>
      </c>
      <c r="L256" s="9" t="str">
        <f t="shared" si="0"/>
        <v>N</v>
      </c>
    </row>
    <row r="257" spans="1:12">
      <c r="A257" s="9">
        <v>358</v>
      </c>
      <c r="B257" s="9">
        <v>113</v>
      </c>
      <c r="C257" s="9" t="s">
        <v>1395</v>
      </c>
      <c r="D257" s="9" t="s">
        <v>1396</v>
      </c>
      <c r="E257" s="9">
        <v>164</v>
      </c>
      <c r="F257" s="9" t="s">
        <v>1397</v>
      </c>
      <c r="G257" s="9">
        <v>0</v>
      </c>
      <c r="H257" s="9" t="s">
        <v>1398</v>
      </c>
      <c r="I257" s="9" t="s">
        <v>1399</v>
      </c>
      <c r="J257" s="9">
        <v>0</v>
      </c>
      <c r="K257" s="9" t="s">
        <v>1400</v>
      </c>
      <c r="L257" s="9" t="str">
        <f t="shared" ref="L257:L511" si="1">IF(D257="\N","N","Y")</f>
        <v>Y</v>
      </c>
    </row>
    <row r="258" spans="1:12">
      <c r="A258" s="9">
        <v>359</v>
      </c>
      <c r="B258" s="9">
        <v>117</v>
      </c>
      <c r="C258" s="9" t="s">
        <v>1401</v>
      </c>
      <c r="D258" s="9" t="s">
        <v>20</v>
      </c>
      <c r="E258" s="9">
        <v>185</v>
      </c>
      <c r="F258" s="9" t="s">
        <v>1397</v>
      </c>
      <c r="G258" s="9">
        <v>0</v>
      </c>
      <c r="H258" s="9"/>
      <c r="I258" s="9"/>
      <c r="J258" s="9">
        <v>0</v>
      </c>
      <c r="K258" s="9" t="s">
        <v>699</v>
      </c>
      <c r="L258" s="9" t="str">
        <f t="shared" si="1"/>
        <v>N</v>
      </c>
    </row>
    <row r="259" spans="1:12">
      <c r="A259" s="9">
        <v>360</v>
      </c>
      <c r="B259" s="9">
        <v>110</v>
      </c>
      <c r="C259" s="9" t="s">
        <v>1402</v>
      </c>
      <c r="D259" s="9" t="s">
        <v>20</v>
      </c>
      <c r="E259" s="9">
        <v>142</v>
      </c>
      <c r="F259" s="9" t="s">
        <v>1403</v>
      </c>
      <c r="G259" s="9">
        <v>0</v>
      </c>
      <c r="J259" s="9">
        <v>0</v>
      </c>
      <c r="K259" s="9" t="s">
        <v>699</v>
      </c>
      <c r="L259" s="9" t="str">
        <f t="shared" si="1"/>
        <v>N</v>
      </c>
    </row>
    <row r="260" spans="1:12">
      <c r="A260" s="9">
        <v>361</v>
      </c>
      <c r="B260" s="9">
        <v>115</v>
      </c>
      <c r="C260" s="9" t="s">
        <v>1404</v>
      </c>
      <c r="D260" s="9" t="s">
        <v>20</v>
      </c>
      <c r="E260" s="9">
        <v>174</v>
      </c>
      <c r="F260" s="9" t="s">
        <v>269</v>
      </c>
      <c r="G260" s="9">
        <v>0</v>
      </c>
      <c r="H260" s="9"/>
      <c r="I260" s="9"/>
      <c r="J260" s="9">
        <v>0</v>
      </c>
      <c r="K260" s="9" t="s">
        <v>699</v>
      </c>
      <c r="L260" s="9" t="str">
        <f t="shared" si="1"/>
        <v>N</v>
      </c>
    </row>
    <row r="261" spans="1:12">
      <c r="A261" s="9">
        <v>362</v>
      </c>
      <c r="B261" s="9">
        <v>113</v>
      </c>
      <c r="C261" s="9" t="s">
        <v>1405</v>
      </c>
      <c r="D261" s="9" t="s">
        <v>1406</v>
      </c>
      <c r="E261" s="9">
        <v>161</v>
      </c>
      <c r="F261" s="9" t="s">
        <v>1407</v>
      </c>
      <c r="G261" s="9">
        <v>0</v>
      </c>
      <c r="H261" s="9"/>
      <c r="I261" s="9" t="s">
        <v>1025</v>
      </c>
      <c r="J261" s="9">
        <v>0</v>
      </c>
      <c r="K261" s="9" t="s">
        <v>699</v>
      </c>
      <c r="L261" s="9" t="str">
        <f t="shared" si="1"/>
        <v>Y</v>
      </c>
    </row>
    <row r="262" spans="1:12">
      <c r="A262" s="9">
        <v>363</v>
      </c>
      <c r="B262" s="9">
        <v>110</v>
      </c>
      <c r="C262" s="9" t="s">
        <v>1408</v>
      </c>
      <c r="D262" s="9" t="s">
        <v>1409</v>
      </c>
      <c r="E262" s="9">
        <v>146</v>
      </c>
      <c r="F262" s="9" t="s">
        <v>1407</v>
      </c>
      <c r="G262" s="9">
        <v>2</v>
      </c>
      <c r="H262" s="9" t="s">
        <v>1410</v>
      </c>
      <c r="I262" s="9" t="s">
        <v>1411</v>
      </c>
      <c r="J262" s="9">
        <v>2</v>
      </c>
      <c r="K262" s="9" t="s">
        <v>900</v>
      </c>
      <c r="L262" s="9" t="str">
        <f t="shared" si="1"/>
        <v>Y</v>
      </c>
    </row>
    <row r="263" spans="1:12">
      <c r="A263" s="9">
        <v>364</v>
      </c>
      <c r="B263" s="9">
        <v>110</v>
      </c>
      <c r="C263" s="9" t="s">
        <v>1412</v>
      </c>
      <c r="D263" s="9" t="s">
        <v>1413</v>
      </c>
      <c r="E263" s="9">
        <v>145</v>
      </c>
      <c r="F263" s="9" t="s">
        <v>1414</v>
      </c>
      <c r="G263" s="9">
        <v>0</v>
      </c>
      <c r="H263" s="9" t="s">
        <v>1415</v>
      </c>
      <c r="I263" s="9" t="s">
        <v>1416</v>
      </c>
      <c r="J263" s="9">
        <v>0</v>
      </c>
      <c r="K263" s="9" t="s">
        <v>1417</v>
      </c>
      <c r="L263" s="9" t="str">
        <f t="shared" si="1"/>
        <v>Y</v>
      </c>
    </row>
    <row r="264" spans="1:12">
      <c r="A264" s="9">
        <v>365</v>
      </c>
      <c r="B264" s="9">
        <v>114</v>
      </c>
      <c r="C264" s="9" t="s">
        <v>1418</v>
      </c>
      <c r="D264" s="9" t="s">
        <v>20</v>
      </c>
      <c r="E264" s="9">
        <v>167</v>
      </c>
      <c r="F264" s="9" t="s">
        <v>1419</v>
      </c>
      <c r="G264" s="9">
        <v>0</v>
      </c>
      <c r="H264" s="9"/>
      <c r="I264" s="9"/>
      <c r="J264" s="9">
        <v>0</v>
      </c>
      <c r="K264" s="9" t="s">
        <v>699</v>
      </c>
      <c r="L264" s="9" t="str">
        <f t="shared" si="1"/>
        <v>N</v>
      </c>
    </row>
    <row r="265" spans="1:12">
      <c r="A265" s="9">
        <v>366</v>
      </c>
      <c r="B265" s="9">
        <v>113</v>
      </c>
      <c r="C265" s="9" t="s">
        <v>1420</v>
      </c>
      <c r="D265" s="9" t="s">
        <v>1421</v>
      </c>
      <c r="E265" s="9">
        <v>163</v>
      </c>
      <c r="F265" s="9" t="s">
        <v>1422</v>
      </c>
      <c r="G265" s="9">
        <v>0</v>
      </c>
      <c r="H265" s="9" t="s">
        <v>971</v>
      </c>
      <c r="I265" s="9" t="s">
        <v>972</v>
      </c>
      <c r="J265" s="9">
        <v>0</v>
      </c>
      <c r="K265" s="9" t="s">
        <v>973</v>
      </c>
      <c r="L265" s="9" t="str">
        <f t="shared" si="1"/>
        <v>Y</v>
      </c>
    </row>
    <row r="266" spans="1:12">
      <c r="A266" s="9">
        <v>367</v>
      </c>
      <c r="B266" s="9">
        <v>111</v>
      </c>
      <c r="C266" s="9" t="s">
        <v>1423</v>
      </c>
      <c r="D266" s="9" t="s">
        <v>1424</v>
      </c>
      <c r="E266" s="9">
        <v>149</v>
      </c>
      <c r="F266" s="9" t="s">
        <v>1425</v>
      </c>
      <c r="G266" s="9">
        <v>0</v>
      </c>
      <c r="H266" s="9" t="s">
        <v>750</v>
      </c>
      <c r="I266" s="9" t="s">
        <v>751</v>
      </c>
      <c r="J266" s="9">
        <v>0</v>
      </c>
      <c r="K266" s="9" t="s">
        <v>752</v>
      </c>
      <c r="L266" s="9" t="str">
        <f t="shared" si="1"/>
        <v>Y</v>
      </c>
    </row>
    <row r="267" spans="1:12">
      <c r="A267" s="9">
        <v>368</v>
      </c>
      <c r="B267" s="9">
        <v>112</v>
      </c>
      <c r="C267" s="9" t="s">
        <v>1426</v>
      </c>
      <c r="D267" s="9" t="s">
        <v>1427</v>
      </c>
      <c r="E267" s="9">
        <v>156</v>
      </c>
      <c r="F267" s="9" t="s">
        <v>1428</v>
      </c>
      <c r="G267" s="9">
        <v>0</v>
      </c>
      <c r="H267" s="9" t="s">
        <v>1429</v>
      </c>
      <c r="I267" s="9" t="s">
        <v>1430</v>
      </c>
      <c r="J267" s="9">
        <v>0</v>
      </c>
      <c r="K267" s="9" t="s">
        <v>1431</v>
      </c>
      <c r="L267" s="9" t="str">
        <f t="shared" si="1"/>
        <v>Y</v>
      </c>
    </row>
    <row r="268" spans="1:12">
      <c r="A268" s="9">
        <v>369</v>
      </c>
      <c r="B268" s="9">
        <v>110</v>
      </c>
      <c r="C268" s="9" t="s">
        <v>1432</v>
      </c>
      <c r="D268" s="9" t="s">
        <v>1433</v>
      </c>
      <c r="E268" s="9">
        <v>143</v>
      </c>
      <c r="F268" s="9" t="s">
        <v>216</v>
      </c>
      <c r="G268" s="9">
        <v>0</v>
      </c>
      <c r="H268" s="9" t="s">
        <v>1434</v>
      </c>
      <c r="I268" s="9" t="s">
        <v>1435</v>
      </c>
      <c r="J268" s="9">
        <v>0</v>
      </c>
      <c r="K268" s="9" t="s">
        <v>699</v>
      </c>
      <c r="L268" s="9" t="str">
        <f t="shared" si="1"/>
        <v>Y</v>
      </c>
    </row>
    <row r="269" spans="1:12">
      <c r="A269" s="9">
        <v>370</v>
      </c>
      <c r="B269" s="9">
        <v>113</v>
      </c>
      <c r="C269" s="9" t="s">
        <v>1436</v>
      </c>
      <c r="D269" s="9" t="s">
        <v>1437</v>
      </c>
      <c r="E269" s="9">
        <v>163</v>
      </c>
      <c r="F269" s="9" t="s">
        <v>1438</v>
      </c>
      <c r="G269" s="9">
        <v>0</v>
      </c>
      <c r="H269" s="9" t="s">
        <v>971</v>
      </c>
      <c r="I269" s="9" t="s">
        <v>972</v>
      </c>
      <c r="J269" s="9">
        <v>0</v>
      </c>
      <c r="K269" s="9" t="s">
        <v>973</v>
      </c>
      <c r="L269" s="9" t="str">
        <f t="shared" si="1"/>
        <v>Y</v>
      </c>
    </row>
    <row r="270" spans="1:12">
      <c r="A270" s="9">
        <v>371</v>
      </c>
      <c r="B270" s="9">
        <v>116</v>
      </c>
      <c r="C270" s="9" t="s">
        <v>1439</v>
      </c>
      <c r="D270" s="9" t="s">
        <v>1440</v>
      </c>
      <c r="E270" s="9">
        <v>180</v>
      </c>
      <c r="F270" s="9" t="s">
        <v>1441</v>
      </c>
      <c r="G270" s="9">
        <v>2</v>
      </c>
      <c r="H270" s="9" t="s">
        <v>781</v>
      </c>
      <c r="I270" s="9" t="s">
        <v>782</v>
      </c>
      <c r="J270" s="9">
        <v>4</v>
      </c>
      <c r="K270" s="9" t="s">
        <v>783</v>
      </c>
      <c r="L270" s="9" t="str">
        <f t="shared" si="1"/>
        <v>Y</v>
      </c>
    </row>
    <row r="271" spans="1:12">
      <c r="A271" s="9">
        <v>372</v>
      </c>
      <c r="B271" s="9">
        <v>111</v>
      </c>
      <c r="C271" s="9" t="s">
        <v>1442</v>
      </c>
      <c r="D271" s="9" t="s">
        <v>1443</v>
      </c>
      <c r="E271" s="9">
        <v>149</v>
      </c>
      <c r="F271" s="9" t="s">
        <v>1444</v>
      </c>
      <c r="G271" s="9">
        <v>0</v>
      </c>
      <c r="H271" s="9" t="s">
        <v>750</v>
      </c>
      <c r="I271" s="9" t="s">
        <v>751</v>
      </c>
      <c r="J271" s="9">
        <v>0</v>
      </c>
      <c r="K271" s="9" t="s">
        <v>752</v>
      </c>
      <c r="L271" s="9" t="str">
        <f t="shared" si="1"/>
        <v>Y</v>
      </c>
    </row>
    <row r="272" spans="1:12">
      <c r="A272" s="9">
        <v>373</v>
      </c>
      <c r="B272" s="9">
        <v>112</v>
      </c>
      <c r="C272" s="9" t="s">
        <v>1445</v>
      </c>
      <c r="D272" s="9" t="s">
        <v>1446</v>
      </c>
      <c r="E272" s="9">
        <v>155</v>
      </c>
      <c r="F272" s="9" t="s">
        <v>1447</v>
      </c>
      <c r="G272" s="9">
        <v>1</v>
      </c>
      <c r="H272" s="9" t="s">
        <v>1448</v>
      </c>
      <c r="I272" s="9" t="s">
        <v>1449</v>
      </c>
      <c r="J272" s="9">
        <v>1</v>
      </c>
      <c r="K272" s="9" t="s">
        <v>1063</v>
      </c>
      <c r="L272" s="9" t="str">
        <f t="shared" si="1"/>
        <v>Y</v>
      </c>
    </row>
    <row r="273" spans="1:12">
      <c r="A273" s="9">
        <v>374</v>
      </c>
      <c r="B273" s="9">
        <v>109</v>
      </c>
      <c r="C273" s="9" t="s">
        <v>1450</v>
      </c>
      <c r="D273" s="9" t="s">
        <v>1451</v>
      </c>
      <c r="E273" s="9">
        <v>136</v>
      </c>
      <c r="F273" s="9" t="s">
        <v>1452</v>
      </c>
      <c r="G273" s="9">
        <v>2</v>
      </c>
      <c r="H273" s="9" t="s">
        <v>1084</v>
      </c>
      <c r="I273" s="9" t="s">
        <v>1085</v>
      </c>
      <c r="J273" s="9">
        <v>10</v>
      </c>
      <c r="K273" s="9" t="s">
        <v>783</v>
      </c>
      <c r="L273" s="9" t="str">
        <f t="shared" si="1"/>
        <v>Y</v>
      </c>
    </row>
    <row r="274" spans="1:12">
      <c r="A274" s="9">
        <v>375</v>
      </c>
      <c r="B274" s="9">
        <v>112</v>
      </c>
      <c r="C274" s="9" t="s">
        <v>1453</v>
      </c>
      <c r="D274" s="9" t="s">
        <v>1454</v>
      </c>
      <c r="E274" s="9">
        <v>156</v>
      </c>
      <c r="F274" s="9" t="s">
        <v>1452</v>
      </c>
      <c r="G274" s="9">
        <v>5</v>
      </c>
      <c r="H274" s="9" t="s">
        <v>1429</v>
      </c>
      <c r="I274" s="9" t="s">
        <v>1430</v>
      </c>
      <c r="J274" s="9">
        <v>5</v>
      </c>
      <c r="K274" s="9" t="s">
        <v>1431</v>
      </c>
      <c r="L274" s="9" t="str">
        <f t="shared" si="1"/>
        <v>Y</v>
      </c>
    </row>
    <row r="275" spans="1:12">
      <c r="A275" s="9">
        <v>376</v>
      </c>
      <c r="B275" s="9">
        <v>113</v>
      </c>
      <c r="C275" s="9" t="s">
        <v>1455</v>
      </c>
      <c r="D275" s="9" t="s">
        <v>1456</v>
      </c>
      <c r="E275" s="9">
        <v>161</v>
      </c>
      <c r="F275" s="9" t="s">
        <v>1457</v>
      </c>
      <c r="G275" s="9">
        <v>0</v>
      </c>
      <c r="I275" s="9" t="s">
        <v>1025</v>
      </c>
      <c r="J275" s="9">
        <v>0</v>
      </c>
      <c r="K275" s="9" t="s">
        <v>699</v>
      </c>
      <c r="L275" s="9" t="str">
        <f t="shared" si="1"/>
        <v>Y</v>
      </c>
    </row>
    <row r="276" spans="1:12">
      <c r="A276" s="9">
        <v>377</v>
      </c>
      <c r="B276" s="9">
        <v>112</v>
      </c>
      <c r="C276" s="9" t="s">
        <v>1458</v>
      </c>
      <c r="D276" s="9" t="s">
        <v>1459</v>
      </c>
      <c r="E276" s="9">
        <v>155</v>
      </c>
      <c r="F276" s="9" t="s">
        <v>1460</v>
      </c>
      <c r="G276" s="9">
        <v>2</v>
      </c>
      <c r="H276" s="9" t="s">
        <v>1461</v>
      </c>
      <c r="I276" s="9" t="s">
        <v>1462</v>
      </c>
      <c r="J276" s="9">
        <v>8</v>
      </c>
      <c r="K276" s="9" t="s">
        <v>1063</v>
      </c>
      <c r="L276" s="9" t="str">
        <f t="shared" si="1"/>
        <v>Y</v>
      </c>
    </row>
    <row r="277" spans="1:12">
      <c r="A277" s="9">
        <v>378</v>
      </c>
      <c r="B277" s="9">
        <v>111</v>
      </c>
      <c r="C277" s="9" t="s">
        <v>1463</v>
      </c>
      <c r="D277" s="9" t="s">
        <v>20</v>
      </c>
      <c r="E277" s="9">
        <v>152</v>
      </c>
      <c r="F277" s="9" t="s">
        <v>1464</v>
      </c>
      <c r="G277" s="9">
        <v>0</v>
      </c>
      <c r="J277" s="9">
        <v>0</v>
      </c>
      <c r="K277" s="9" t="s">
        <v>699</v>
      </c>
      <c r="L277" s="9" t="str">
        <f t="shared" si="1"/>
        <v>N</v>
      </c>
    </row>
    <row r="278" spans="1:12">
      <c r="A278" s="9">
        <v>379</v>
      </c>
      <c r="B278" s="9">
        <v>114</v>
      </c>
      <c r="C278" s="9" t="s">
        <v>1465</v>
      </c>
      <c r="D278" s="9" t="s">
        <v>1466</v>
      </c>
      <c r="E278" s="9">
        <v>170</v>
      </c>
      <c r="F278" s="9" t="s">
        <v>1467</v>
      </c>
      <c r="G278" s="9">
        <v>0</v>
      </c>
      <c r="H278" s="9" t="s">
        <v>1360</v>
      </c>
      <c r="I278" s="9" t="s">
        <v>1361</v>
      </c>
      <c r="J278" s="9">
        <v>0</v>
      </c>
      <c r="K278" s="9" t="s">
        <v>783</v>
      </c>
      <c r="L278" s="9" t="str">
        <f t="shared" si="1"/>
        <v>Y</v>
      </c>
    </row>
    <row r="279" spans="1:12">
      <c r="A279" s="9">
        <v>380</v>
      </c>
      <c r="B279" s="9">
        <v>115</v>
      </c>
      <c r="C279" s="9" t="s">
        <v>1468</v>
      </c>
      <c r="D279" s="9" t="s">
        <v>20</v>
      </c>
      <c r="E279" s="9">
        <v>174</v>
      </c>
      <c r="F279" s="9" t="s">
        <v>1469</v>
      </c>
      <c r="G279" s="9">
        <v>0</v>
      </c>
      <c r="H279" s="9"/>
      <c r="I279" s="9"/>
      <c r="J279" s="9">
        <v>0</v>
      </c>
      <c r="K279" s="9" t="s">
        <v>699</v>
      </c>
      <c r="L279" s="9" t="str">
        <f t="shared" si="1"/>
        <v>N</v>
      </c>
    </row>
    <row r="280" spans="1:12">
      <c r="A280" s="9">
        <v>381</v>
      </c>
      <c r="B280" s="9">
        <v>113</v>
      </c>
      <c r="C280" s="9" t="s">
        <v>1470</v>
      </c>
      <c r="D280" s="9" t="s">
        <v>20</v>
      </c>
      <c r="E280" s="9">
        <v>163</v>
      </c>
      <c r="F280" s="9" t="s">
        <v>1471</v>
      </c>
      <c r="G280" s="9">
        <v>0</v>
      </c>
      <c r="J280" s="9">
        <v>0</v>
      </c>
      <c r="K280" s="9" t="s">
        <v>699</v>
      </c>
      <c r="L280" s="9" t="str">
        <f t="shared" si="1"/>
        <v>N</v>
      </c>
    </row>
    <row r="281" spans="1:12">
      <c r="A281" s="9">
        <v>382</v>
      </c>
      <c r="B281" s="9">
        <v>117</v>
      </c>
      <c r="C281" s="9" t="s">
        <v>1472</v>
      </c>
      <c r="D281" s="9" t="s">
        <v>20</v>
      </c>
      <c r="E281" s="9">
        <v>188</v>
      </c>
      <c r="F281" s="9" t="s">
        <v>1473</v>
      </c>
      <c r="G281" s="9">
        <v>0</v>
      </c>
      <c r="H281" s="9"/>
      <c r="I281" s="9"/>
      <c r="J281" s="9">
        <v>0</v>
      </c>
      <c r="K281" s="9" t="s">
        <v>699</v>
      </c>
      <c r="L281" s="9" t="str">
        <f t="shared" si="1"/>
        <v>N</v>
      </c>
    </row>
    <row r="282" spans="1:12">
      <c r="A282" s="9">
        <v>383</v>
      </c>
      <c r="B282" s="9">
        <v>109</v>
      </c>
      <c r="C282" s="9" t="s">
        <v>1474</v>
      </c>
      <c r="D282" s="9" t="s">
        <v>1475</v>
      </c>
      <c r="E282" s="9">
        <v>136</v>
      </c>
      <c r="F282" s="9" t="s">
        <v>1476</v>
      </c>
      <c r="G282" s="9">
        <v>3</v>
      </c>
      <c r="H282" s="9" t="s">
        <v>1125</v>
      </c>
      <c r="I282" s="9" t="s">
        <v>1126</v>
      </c>
      <c r="J282" s="9">
        <v>20</v>
      </c>
      <c r="K282" s="9" t="s">
        <v>783</v>
      </c>
      <c r="L282" s="9" t="str">
        <f t="shared" si="1"/>
        <v>Y</v>
      </c>
    </row>
    <row r="283" spans="1:12">
      <c r="A283" s="9">
        <v>384</v>
      </c>
      <c r="B283" s="9">
        <v>113</v>
      </c>
      <c r="C283" s="9" t="s">
        <v>1477</v>
      </c>
      <c r="D283" s="9" t="s">
        <v>20</v>
      </c>
      <c r="E283" s="9">
        <v>163</v>
      </c>
      <c r="F283" s="9" t="s">
        <v>1476</v>
      </c>
      <c r="G283" s="9">
        <v>0</v>
      </c>
      <c r="H283" s="9"/>
      <c r="I283" s="9"/>
      <c r="J283" s="9">
        <v>0</v>
      </c>
      <c r="K283" s="9" t="s">
        <v>699</v>
      </c>
      <c r="L283" s="9" t="str">
        <f t="shared" si="1"/>
        <v>N</v>
      </c>
    </row>
    <row r="284" spans="1:12">
      <c r="A284" s="9">
        <v>385</v>
      </c>
      <c r="B284" s="9">
        <v>115</v>
      </c>
      <c r="C284" s="9" t="s">
        <v>1478</v>
      </c>
      <c r="D284" s="9" t="s">
        <v>20</v>
      </c>
      <c r="E284" s="9">
        <v>174</v>
      </c>
      <c r="F284" s="9" t="s">
        <v>1479</v>
      </c>
      <c r="G284" s="9">
        <v>0</v>
      </c>
      <c r="J284" s="9">
        <v>0</v>
      </c>
      <c r="K284" s="9" t="s">
        <v>699</v>
      </c>
      <c r="L284" s="9" t="str">
        <f t="shared" si="1"/>
        <v>N</v>
      </c>
    </row>
    <row r="285" spans="1:12">
      <c r="A285" s="9">
        <v>386</v>
      </c>
      <c r="B285" s="9">
        <v>112</v>
      </c>
      <c r="C285" s="9" t="s">
        <v>1480</v>
      </c>
      <c r="D285" s="9" t="s">
        <v>1481</v>
      </c>
      <c r="E285" s="9">
        <v>155</v>
      </c>
      <c r="F285" s="9" t="s">
        <v>1479</v>
      </c>
      <c r="G285" s="9">
        <v>2</v>
      </c>
      <c r="H285" s="9" t="s">
        <v>1482</v>
      </c>
      <c r="I285" s="9" t="s">
        <v>1483</v>
      </c>
      <c r="J285" s="9">
        <v>9</v>
      </c>
      <c r="K285" s="9" t="s">
        <v>1063</v>
      </c>
      <c r="L285" s="9" t="str">
        <f t="shared" si="1"/>
        <v>Y</v>
      </c>
    </row>
    <row r="286" spans="1:12">
      <c r="A286" s="9">
        <v>387</v>
      </c>
      <c r="B286" s="9">
        <v>117</v>
      </c>
      <c r="C286" s="9" t="s">
        <v>1484</v>
      </c>
      <c r="D286" s="9" t="s">
        <v>1485</v>
      </c>
      <c r="E286" s="9">
        <v>188</v>
      </c>
      <c r="F286" s="9" t="s">
        <v>1486</v>
      </c>
      <c r="G286" s="9">
        <v>0</v>
      </c>
      <c r="H286" s="9" t="s">
        <v>1033</v>
      </c>
      <c r="I286" s="9" t="s">
        <v>1034</v>
      </c>
      <c r="J286" s="9">
        <v>0</v>
      </c>
      <c r="K286" s="9" t="s">
        <v>1035</v>
      </c>
      <c r="L286" s="9" t="str">
        <f t="shared" si="1"/>
        <v>Y</v>
      </c>
    </row>
    <row r="287" spans="1:12">
      <c r="A287" s="9">
        <v>388</v>
      </c>
      <c r="B287" s="9">
        <v>110</v>
      </c>
      <c r="C287" s="9" t="s">
        <v>1487</v>
      </c>
      <c r="D287" s="9" t="s">
        <v>20</v>
      </c>
      <c r="E287" s="9">
        <v>143</v>
      </c>
      <c r="F287" s="9" t="s">
        <v>1488</v>
      </c>
      <c r="G287" s="9">
        <v>0</v>
      </c>
      <c r="H287" s="9"/>
      <c r="I287" s="9"/>
      <c r="J287" s="9">
        <v>0</v>
      </c>
      <c r="K287" s="9" t="s">
        <v>699</v>
      </c>
      <c r="L287" s="9" t="str">
        <f t="shared" si="1"/>
        <v>N</v>
      </c>
    </row>
    <row r="288" spans="1:12">
      <c r="A288" s="9">
        <v>389</v>
      </c>
      <c r="B288" s="9">
        <v>109</v>
      </c>
      <c r="C288" s="9" t="s">
        <v>1489</v>
      </c>
      <c r="D288" s="9" t="s">
        <v>20</v>
      </c>
      <c r="E288" s="9">
        <v>137</v>
      </c>
      <c r="F288" s="9" t="s">
        <v>1490</v>
      </c>
      <c r="G288" s="9">
        <v>0</v>
      </c>
      <c r="J288" s="9">
        <v>0</v>
      </c>
      <c r="K288" s="9" t="s">
        <v>699</v>
      </c>
      <c r="L288" s="9" t="str">
        <f t="shared" si="1"/>
        <v>N</v>
      </c>
    </row>
    <row r="289" spans="1:12">
      <c r="A289" s="9">
        <v>390</v>
      </c>
      <c r="B289" s="9">
        <v>113</v>
      </c>
      <c r="C289" s="9" t="s">
        <v>1491</v>
      </c>
      <c r="D289" s="9" t="s">
        <v>1492</v>
      </c>
      <c r="E289" s="9">
        <v>164</v>
      </c>
      <c r="F289" s="9" t="s">
        <v>1493</v>
      </c>
      <c r="G289" s="9">
        <v>0</v>
      </c>
      <c r="H289" s="9" t="s">
        <v>904</v>
      </c>
      <c r="I289" s="9" t="s">
        <v>905</v>
      </c>
      <c r="J289" s="9">
        <v>0</v>
      </c>
      <c r="K289" s="9" t="s">
        <v>906</v>
      </c>
      <c r="L289" s="9" t="str">
        <f t="shared" si="1"/>
        <v>Y</v>
      </c>
    </row>
    <row r="290" spans="1:12">
      <c r="A290" s="9">
        <v>391</v>
      </c>
      <c r="B290" s="9">
        <v>116</v>
      </c>
      <c r="C290" s="9" t="s">
        <v>1494</v>
      </c>
      <c r="D290" s="9" t="s">
        <v>1495</v>
      </c>
      <c r="E290" s="9">
        <v>180</v>
      </c>
      <c r="F290" s="9" t="s">
        <v>1496</v>
      </c>
      <c r="G290" s="9">
        <v>0</v>
      </c>
      <c r="H290" s="9" t="s">
        <v>1497</v>
      </c>
      <c r="I290" s="9" t="s">
        <v>1498</v>
      </c>
      <c r="J290" s="9">
        <v>0</v>
      </c>
      <c r="K290" s="9" t="s">
        <v>783</v>
      </c>
      <c r="L290" s="9" t="str">
        <f t="shared" si="1"/>
        <v>Y</v>
      </c>
    </row>
    <row r="291" spans="1:12">
      <c r="A291" s="9">
        <v>392</v>
      </c>
      <c r="B291" s="9">
        <v>110</v>
      </c>
      <c r="C291" s="9" t="s">
        <v>1499</v>
      </c>
      <c r="D291" s="9" t="s">
        <v>1500</v>
      </c>
      <c r="E291" s="9">
        <v>143</v>
      </c>
      <c r="F291" s="9" t="s">
        <v>1501</v>
      </c>
      <c r="G291" s="9">
        <v>0</v>
      </c>
      <c r="H291" s="9" t="s">
        <v>1502</v>
      </c>
      <c r="I291" s="9" t="s">
        <v>1503</v>
      </c>
      <c r="J291" s="9">
        <v>0</v>
      </c>
      <c r="K291" s="9" t="s">
        <v>1504</v>
      </c>
      <c r="L291" s="9" t="str">
        <f t="shared" si="1"/>
        <v>Y</v>
      </c>
    </row>
    <row r="292" spans="1:12">
      <c r="A292" s="9">
        <v>393</v>
      </c>
      <c r="B292" s="9">
        <v>109</v>
      </c>
      <c r="C292" s="9" t="s">
        <v>1505</v>
      </c>
      <c r="D292" s="9" t="s">
        <v>20</v>
      </c>
      <c r="E292" s="9">
        <v>139</v>
      </c>
      <c r="F292" s="9" t="s">
        <v>153</v>
      </c>
      <c r="G292" s="9">
        <v>0</v>
      </c>
      <c r="H292" s="9"/>
      <c r="I292" s="9"/>
      <c r="J292" s="9">
        <v>0</v>
      </c>
      <c r="K292" s="9" t="s">
        <v>699</v>
      </c>
      <c r="L292" s="9" t="str">
        <f t="shared" si="1"/>
        <v>N</v>
      </c>
    </row>
    <row r="293" spans="1:12">
      <c r="A293" s="9">
        <v>394</v>
      </c>
      <c r="B293" s="9">
        <v>116</v>
      </c>
      <c r="C293" s="9" t="s">
        <v>1506</v>
      </c>
      <c r="D293" s="9" t="s">
        <v>1507</v>
      </c>
      <c r="E293" s="9">
        <v>180</v>
      </c>
      <c r="F293" s="9" t="s">
        <v>1508</v>
      </c>
      <c r="G293" s="9">
        <v>1</v>
      </c>
      <c r="H293" s="9" t="s">
        <v>1497</v>
      </c>
      <c r="I293" s="9" t="s">
        <v>1498</v>
      </c>
      <c r="J293" s="9">
        <v>1</v>
      </c>
      <c r="K293" s="9" t="s">
        <v>783</v>
      </c>
      <c r="L293" s="9" t="str">
        <f t="shared" si="1"/>
        <v>Y</v>
      </c>
    </row>
    <row r="294" spans="1:12">
      <c r="A294" s="9">
        <v>395</v>
      </c>
      <c r="B294" s="9">
        <v>111</v>
      </c>
      <c r="C294" s="9" t="s">
        <v>1509</v>
      </c>
      <c r="D294" s="9" t="s">
        <v>20</v>
      </c>
      <c r="E294" s="9">
        <v>189</v>
      </c>
      <c r="F294" s="9" t="s">
        <v>1510</v>
      </c>
      <c r="G294" s="9">
        <v>0</v>
      </c>
      <c r="H294" s="9"/>
      <c r="I294" s="9"/>
      <c r="J294" s="9">
        <v>0</v>
      </c>
      <c r="K294" s="9" t="s">
        <v>699</v>
      </c>
      <c r="L294" s="9" t="str">
        <f t="shared" si="1"/>
        <v>N</v>
      </c>
    </row>
    <row r="295" spans="1:12">
      <c r="A295" s="9">
        <v>396</v>
      </c>
      <c r="B295" s="9">
        <v>111</v>
      </c>
      <c r="C295" s="9" t="s">
        <v>1511</v>
      </c>
      <c r="D295" s="9" t="s">
        <v>1512</v>
      </c>
      <c r="E295" s="9">
        <v>189</v>
      </c>
      <c r="F295" s="9" t="s">
        <v>1513</v>
      </c>
      <c r="G295" s="9">
        <v>0</v>
      </c>
      <c r="H295" s="9" t="s">
        <v>1514</v>
      </c>
      <c r="I295" s="9" t="s">
        <v>1515</v>
      </c>
      <c r="J295" s="9">
        <v>0</v>
      </c>
      <c r="K295" s="9" t="s">
        <v>1312</v>
      </c>
      <c r="L295" s="9" t="str">
        <f t="shared" si="1"/>
        <v>Y</v>
      </c>
    </row>
    <row r="296" spans="1:12">
      <c r="A296" s="9">
        <v>397</v>
      </c>
      <c r="B296" s="9">
        <v>113</v>
      </c>
      <c r="C296" s="9" t="s">
        <v>1516</v>
      </c>
      <c r="D296" s="9" t="s">
        <v>1517</v>
      </c>
      <c r="E296" s="9">
        <v>164</v>
      </c>
      <c r="F296" s="9" t="s">
        <v>1513</v>
      </c>
      <c r="G296" s="9">
        <v>0</v>
      </c>
      <c r="H296" s="9" t="s">
        <v>904</v>
      </c>
      <c r="I296" s="9" t="s">
        <v>905</v>
      </c>
      <c r="J296" s="9">
        <v>0</v>
      </c>
      <c r="K296" s="9" t="s">
        <v>906</v>
      </c>
      <c r="L296" s="9" t="str">
        <f t="shared" si="1"/>
        <v>Y</v>
      </c>
    </row>
    <row r="297" spans="1:12">
      <c r="A297" s="9">
        <v>398</v>
      </c>
      <c r="B297" s="9">
        <v>110</v>
      </c>
      <c r="C297" s="9" t="s">
        <v>1518</v>
      </c>
      <c r="D297" s="9" t="s">
        <v>1519</v>
      </c>
      <c r="E297" s="9">
        <v>142</v>
      </c>
      <c r="F297" s="9" t="s">
        <v>346</v>
      </c>
      <c r="G297" s="9">
        <v>0</v>
      </c>
      <c r="H297" s="9" t="s">
        <v>1520</v>
      </c>
      <c r="I297" s="9" t="s">
        <v>1521</v>
      </c>
      <c r="J297" s="9">
        <v>0</v>
      </c>
      <c r="K297" s="9" t="s">
        <v>783</v>
      </c>
      <c r="L297" s="9" t="str">
        <f t="shared" si="1"/>
        <v>Y</v>
      </c>
    </row>
    <row r="298" spans="1:12">
      <c r="A298" s="9">
        <v>399</v>
      </c>
      <c r="B298" s="9">
        <v>112</v>
      </c>
      <c r="C298" s="9" t="s">
        <v>1522</v>
      </c>
      <c r="D298" s="9" t="s">
        <v>20</v>
      </c>
      <c r="E298" s="9">
        <v>156</v>
      </c>
      <c r="F298" s="9" t="s">
        <v>1523</v>
      </c>
      <c r="G298" s="9">
        <v>0</v>
      </c>
      <c r="H298" s="9"/>
      <c r="I298" s="9"/>
      <c r="J298" s="9">
        <v>0</v>
      </c>
      <c r="K298" s="9" t="s">
        <v>699</v>
      </c>
      <c r="L298" s="9" t="str">
        <f t="shared" si="1"/>
        <v>N</v>
      </c>
    </row>
    <row r="299" spans="1:12">
      <c r="A299" s="9">
        <v>400</v>
      </c>
      <c r="B299" s="9">
        <v>112</v>
      </c>
      <c r="C299" s="9" t="s">
        <v>1524</v>
      </c>
      <c r="D299" s="9" t="s">
        <v>1525</v>
      </c>
      <c r="E299" s="9">
        <v>155</v>
      </c>
      <c r="F299" s="9" t="s">
        <v>1526</v>
      </c>
      <c r="G299" s="9">
        <v>0</v>
      </c>
      <c r="H299" s="9" t="s">
        <v>1514</v>
      </c>
      <c r="I299" s="9" t="s">
        <v>1515</v>
      </c>
      <c r="J299" s="9">
        <v>0</v>
      </c>
      <c r="K299" s="9" t="s">
        <v>1312</v>
      </c>
      <c r="L299" s="9" t="str">
        <f t="shared" si="1"/>
        <v>Y</v>
      </c>
    </row>
    <row r="300" spans="1:12">
      <c r="A300" s="9">
        <v>401</v>
      </c>
      <c r="B300" s="9">
        <v>110</v>
      </c>
      <c r="C300" s="9" t="s">
        <v>1527</v>
      </c>
      <c r="D300" s="9" t="s">
        <v>1528</v>
      </c>
      <c r="E300" s="9">
        <v>146</v>
      </c>
      <c r="F300" s="9" t="s">
        <v>1529</v>
      </c>
      <c r="G300" s="9">
        <v>1</v>
      </c>
      <c r="H300" s="9" t="s">
        <v>1530</v>
      </c>
      <c r="I300" s="9" t="s">
        <v>1531</v>
      </c>
      <c r="J300" s="9">
        <v>1</v>
      </c>
      <c r="K300" s="9" t="s">
        <v>1532</v>
      </c>
      <c r="L300" s="9" t="str">
        <f t="shared" si="1"/>
        <v>Y</v>
      </c>
    </row>
    <row r="301" spans="1:12">
      <c r="A301" s="9">
        <v>402</v>
      </c>
      <c r="B301" s="9">
        <v>113</v>
      </c>
      <c r="C301" s="9" t="s">
        <v>1533</v>
      </c>
      <c r="D301" s="9" t="s">
        <v>20</v>
      </c>
      <c r="E301" s="9">
        <v>164</v>
      </c>
      <c r="F301" s="9" t="s">
        <v>1534</v>
      </c>
      <c r="G301" s="9">
        <v>0</v>
      </c>
      <c r="J301" s="9">
        <v>0</v>
      </c>
      <c r="K301" s="9" t="s">
        <v>699</v>
      </c>
      <c r="L301" s="9" t="str">
        <f t="shared" si="1"/>
        <v>N</v>
      </c>
    </row>
    <row r="302" spans="1:12">
      <c r="A302" s="9">
        <v>403</v>
      </c>
      <c r="B302" s="9">
        <v>109</v>
      </c>
      <c r="C302" s="9" t="s">
        <v>1535</v>
      </c>
      <c r="D302" s="9" t="s">
        <v>20</v>
      </c>
      <c r="E302" s="9">
        <v>137</v>
      </c>
      <c r="F302" s="9" t="s">
        <v>368</v>
      </c>
      <c r="G302" s="9">
        <v>0</v>
      </c>
      <c r="J302" s="9">
        <v>0</v>
      </c>
      <c r="K302" s="9" t="s">
        <v>699</v>
      </c>
      <c r="L302" s="9" t="str">
        <f t="shared" si="1"/>
        <v>N</v>
      </c>
    </row>
    <row r="303" spans="1:12">
      <c r="A303" s="9">
        <v>404</v>
      </c>
      <c r="B303" s="9">
        <v>110</v>
      </c>
      <c r="C303" s="9" t="s">
        <v>1536</v>
      </c>
      <c r="D303" s="9" t="s">
        <v>1537</v>
      </c>
      <c r="E303" s="9">
        <v>142</v>
      </c>
      <c r="F303" s="9" t="s">
        <v>1538</v>
      </c>
      <c r="G303" s="9">
        <v>0</v>
      </c>
      <c r="H303" s="9" t="s">
        <v>1520</v>
      </c>
      <c r="I303" s="9" t="s">
        <v>1521</v>
      </c>
      <c r="J303" s="9">
        <v>0</v>
      </c>
      <c r="K303" s="9" t="s">
        <v>783</v>
      </c>
      <c r="L303" s="9" t="str">
        <f t="shared" si="1"/>
        <v>Y</v>
      </c>
    </row>
    <row r="304" spans="1:12">
      <c r="A304" s="9">
        <v>405</v>
      </c>
      <c r="B304" s="9">
        <v>110</v>
      </c>
      <c r="C304" s="9" t="s">
        <v>1539</v>
      </c>
      <c r="D304" s="9" t="s">
        <v>1540</v>
      </c>
      <c r="E304" s="9">
        <v>143</v>
      </c>
      <c r="F304" s="9" t="s">
        <v>1538</v>
      </c>
      <c r="G304" s="9">
        <v>0</v>
      </c>
      <c r="H304" s="9" t="s">
        <v>1541</v>
      </c>
      <c r="I304" s="9" t="s">
        <v>1542</v>
      </c>
      <c r="J304" s="9">
        <v>0</v>
      </c>
      <c r="K304" s="9" t="s">
        <v>1543</v>
      </c>
      <c r="L304" s="9" t="str">
        <f t="shared" si="1"/>
        <v>Y</v>
      </c>
    </row>
    <row r="305" spans="1:12">
      <c r="A305" s="9">
        <v>406</v>
      </c>
      <c r="B305" s="9">
        <v>111</v>
      </c>
      <c r="C305" s="9" t="s">
        <v>1544</v>
      </c>
      <c r="D305" s="9" t="s">
        <v>1545</v>
      </c>
      <c r="E305" s="9">
        <v>151</v>
      </c>
      <c r="F305" s="9" t="s">
        <v>1546</v>
      </c>
      <c r="G305" s="9">
        <v>1</v>
      </c>
      <c r="H305" s="9" t="s">
        <v>1097</v>
      </c>
      <c r="I305" s="9" t="s">
        <v>1098</v>
      </c>
      <c r="J305" s="9">
        <v>2</v>
      </c>
      <c r="K305" s="9" t="s">
        <v>1099</v>
      </c>
      <c r="L305" s="9" t="str">
        <f t="shared" si="1"/>
        <v>Y</v>
      </c>
    </row>
    <row r="306" spans="1:12">
      <c r="A306" s="9">
        <v>407</v>
      </c>
      <c r="B306" s="9">
        <v>117</v>
      </c>
      <c r="C306" s="9" t="s">
        <v>1547</v>
      </c>
      <c r="D306" s="9" t="s">
        <v>1548</v>
      </c>
      <c r="E306" s="9">
        <v>188</v>
      </c>
      <c r="F306" s="9" t="s">
        <v>1549</v>
      </c>
      <c r="G306" s="9">
        <v>0</v>
      </c>
      <c r="H306" s="9" t="s">
        <v>1033</v>
      </c>
      <c r="I306" s="9" t="s">
        <v>1034</v>
      </c>
      <c r="J306" s="9">
        <v>0</v>
      </c>
      <c r="K306" s="9" t="s">
        <v>1035</v>
      </c>
      <c r="L306" s="9" t="str">
        <f t="shared" si="1"/>
        <v>Y</v>
      </c>
    </row>
    <row r="307" spans="1:12">
      <c r="A307" s="9">
        <v>408</v>
      </c>
      <c r="B307" s="9">
        <v>109</v>
      </c>
      <c r="C307" s="9" t="s">
        <v>1550</v>
      </c>
      <c r="D307" s="9" t="s">
        <v>1551</v>
      </c>
      <c r="E307" s="9">
        <v>137</v>
      </c>
      <c r="F307" s="9" t="s">
        <v>1552</v>
      </c>
      <c r="G307" s="9">
        <v>0</v>
      </c>
      <c r="I307" s="9" t="s">
        <v>1025</v>
      </c>
      <c r="J307" s="9">
        <v>0</v>
      </c>
      <c r="K307" s="9" t="s">
        <v>699</v>
      </c>
      <c r="L307" s="9" t="str">
        <f t="shared" si="1"/>
        <v>Y</v>
      </c>
    </row>
    <row r="308" spans="1:12">
      <c r="A308" s="9">
        <v>409</v>
      </c>
      <c r="B308" s="9">
        <v>111</v>
      </c>
      <c r="C308" s="9" t="s">
        <v>1553</v>
      </c>
      <c r="D308" s="9" t="s">
        <v>1554</v>
      </c>
      <c r="E308" s="9">
        <v>152</v>
      </c>
      <c r="F308" s="9" t="s">
        <v>1555</v>
      </c>
      <c r="G308" s="9">
        <v>0</v>
      </c>
      <c r="H308" s="9" t="s">
        <v>1556</v>
      </c>
      <c r="I308" s="9" t="s">
        <v>1557</v>
      </c>
      <c r="J308" s="9">
        <v>0</v>
      </c>
      <c r="K308" s="9" t="s">
        <v>906</v>
      </c>
      <c r="L308" s="9" t="str">
        <f t="shared" si="1"/>
        <v>Y</v>
      </c>
    </row>
    <row r="309" spans="1:12">
      <c r="A309" s="9">
        <v>410</v>
      </c>
      <c r="B309" s="9">
        <v>109</v>
      </c>
      <c r="C309" s="9" t="s">
        <v>1558</v>
      </c>
      <c r="D309" s="9" t="s">
        <v>1559</v>
      </c>
      <c r="E309" s="9">
        <v>136</v>
      </c>
      <c r="F309" s="9" t="s">
        <v>1555</v>
      </c>
      <c r="G309" s="9">
        <v>0</v>
      </c>
      <c r="H309" s="9" t="s">
        <v>1004</v>
      </c>
      <c r="I309" s="9" t="s">
        <v>1005</v>
      </c>
      <c r="J309" s="9">
        <v>0</v>
      </c>
      <c r="K309" s="9" t="s">
        <v>783</v>
      </c>
      <c r="L309" s="9" t="str">
        <f t="shared" si="1"/>
        <v>Y</v>
      </c>
    </row>
    <row r="310" spans="1:12">
      <c r="A310" s="9">
        <v>411</v>
      </c>
      <c r="B310" s="9">
        <v>113</v>
      </c>
      <c r="C310" s="9" t="s">
        <v>1560</v>
      </c>
      <c r="D310" s="9" t="s">
        <v>1561</v>
      </c>
      <c r="E310" s="9">
        <v>164</v>
      </c>
      <c r="F310" s="9" t="s">
        <v>1562</v>
      </c>
      <c r="G310" s="9">
        <v>0</v>
      </c>
      <c r="H310" s="9" t="s">
        <v>904</v>
      </c>
      <c r="I310" s="9" t="s">
        <v>905</v>
      </c>
      <c r="J310" s="9">
        <v>0</v>
      </c>
      <c r="K310" s="9" t="s">
        <v>906</v>
      </c>
      <c r="L310" s="9" t="str">
        <f t="shared" si="1"/>
        <v>Y</v>
      </c>
    </row>
    <row r="311" spans="1:12">
      <c r="A311" s="9">
        <v>412</v>
      </c>
      <c r="B311" s="9">
        <v>112</v>
      </c>
      <c r="C311" s="9" t="s">
        <v>1563</v>
      </c>
      <c r="D311" s="9" t="s">
        <v>1564</v>
      </c>
      <c r="E311" s="9">
        <v>156</v>
      </c>
      <c r="F311" s="9" t="s">
        <v>1562</v>
      </c>
      <c r="G311" s="9">
        <v>1</v>
      </c>
      <c r="H311" s="9" t="s">
        <v>1565</v>
      </c>
      <c r="I311" s="9" t="s">
        <v>1566</v>
      </c>
      <c r="J311" s="9">
        <v>1</v>
      </c>
      <c r="K311" s="9" t="s">
        <v>1063</v>
      </c>
      <c r="L311" s="9" t="str">
        <f t="shared" si="1"/>
        <v>Y</v>
      </c>
    </row>
    <row r="312" spans="1:12">
      <c r="A312" s="9">
        <v>413</v>
      </c>
      <c r="B312" s="9">
        <v>112</v>
      </c>
      <c r="C312" s="9" t="s">
        <v>1567</v>
      </c>
      <c r="D312" s="9" t="s">
        <v>1568</v>
      </c>
      <c r="E312" s="9">
        <v>155</v>
      </c>
      <c r="F312" s="9" t="s">
        <v>1569</v>
      </c>
      <c r="G312" s="9">
        <v>0</v>
      </c>
      <c r="H312" s="9" t="s">
        <v>1254</v>
      </c>
      <c r="I312" s="9" t="s">
        <v>1255</v>
      </c>
      <c r="J312" s="9">
        <v>0</v>
      </c>
      <c r="K312" s="9" t="s">
        <v>1001</v>
      </c>
      <c r="L312" s="9" t="str">
        <f t="shared" si="1"/>
        <v>Y</v>
      </c>
    </row>
    <row r="313" spans="1:12">
      <c r="A313" s="9">
        <v>414</v>
      </c>
      <c r="B313" s="9">
        <v>113</v>
      </c>
      <c r="C313" s="9" t="s">
        <v>1570</v>
      </c>
      <c r="D313" s="9" t="s">
        <v>20</v>
      </c>
      <c r="E313" s="9">
        <v>162</v>
      </c>
      <c r="F313" s="9" t="s">
        <v>1571</v>
      </c>
      <c r="G313" s="9">
        <v>0</v>
      </c>
      <c r="J313" s="9">
        <v>0</v>
      </c>
      <c r="K313" s="9" t="s">
        <v>699</v>
      </c>
      <c r="L313" s="9" t="str">
        <f t="shared" si="1"/>
        <v>N</v>
      </c>
    </row>
    <row r="314" spans="1:12">
      <c r="A314" s="9">
        <v>415</v>
      </c>
      <c r="B314" s="9">
        <v>109</v>
      </c>
      <c r="C314" s="9" t="s">
        <v>1572</v>
      </c>
      <c r="D314" s="9" t="s">
        <v>20</v>
      </c>
      <c r="E314" s="9">
        <v>138</v>
      </c>
      <c r="F314" s="9" t="s">
        <v>1573</v>
      </c>
      <c r="G314" s="9">
        <v>0</v>
      </c>
      <c r="J314" s="9">
        <v>0</v>
      </c>
      <c r="K314" s="9" t="s">
        <v>699</v>
      </c>
      <c r="L314" s="9" t="str">
        <f t="shared" si="1"/>
        <v>N</v>
      </c>
    </row>
    <row r="315" spans="1:12">
      <c r="A315" s="9">
        <v>416</v>
      </c>
      <c r="B315" s="9">
        <v>110</v>
      </c>
      <c r="C315" s="9" t="s">
        <v>1574</v>
      </c>
      <c r="D315" s="9" t="s">
        <v>1575</v>
      </c>
      <c r="E315" s="9">
        <v>145</v>
      </c>
      <c r="F315" s="9" t="s">
        <v>1576</v>
      </c>
      <c r="G315" s="9">
        <v>0</v>
      </c>
      <c r="H315" s="9" t="s">
        <v>1577</v>
      </c>
      <c r="I315" s="9" t="s">
        <v>1578</v>
      </c>
      <c r="J315" s="9">
        <v>0</v>
      </c>
      <c r="K315" s="9" t="s">
        <v>1099</v>
      </c>
      <c r="L315" s="9" t="str">
        <f t="shared" si="1"/>
        <v>Y</v>
      </c>
    </row>
    <row r="316" spans="1:12">
      <c r="A316" s="9">
        <v>417</v>
      </c>
      <c r="B316" s="9">
        <v>115</v>
      </c>
      <c r="C316" s="9" t="s">
        <v>1579</v>
      </c>
      <c r="D316" s="9" t="s">
        <v>1580</v>
      </c>
      <c r="E316" s="9">
        <v>176</v>
      </c>
      <c r="F316" s="9" t="s">
        <v>1581</v>
      </c>
      <c r="G316" s="9">
        <v>1</v>
      </c>
      <c r="H316" s="9" t="s">
        <v>1582</v>
      </c>
      <c r="I316" s="9" t="s">
        <v>1583</v>
      </c>
      <c r="J316" s="9">
        <v>2</v>
      </c>
      <c r="K316" s="9" t="s">
        <v>1417</v>
      </c>
      <c r="L316" s="9" t="str">
        <f t="shared" si="1"/>
        <v>Y</v>
      </c>
    </row>
    <row r="317" spans="1:12">
      <c r="A317" s="9">
        <v>418</v>
      </c>
      <c r="B317" s="9">
        <v>109</v>
      </c>
      <c r="C317" s="9" t="s">
        <v>1584</v>
      </c>
      <c r="D317" s="9" t="s">
        <v>1585</v>
      </c>
      <c r="E317" s="9">
        <v>137</v>
      </c>
      <c r="F317" s="9" t="s">
        <v>1586</v>
      </c>
      <c r="G317" s="9">
        <v>0</v>
      </c>
      <c r="H317" s="9"/>
      <c r="I317" s="9" t="s">
        <v>1025</v>
      </c>
      <c r="J317" s="9">
        <v>0</v>
      </c>
      <c r="K317" s="9" t="s">
        <v>699</v>
      </c>
      <c r="L317" s="9" t="str">
        <f t="shared" si="1"/>
        <v>Y</v>
      </c>
    </row>
    <row r="318" spans="1:12">
      <c r="A318" s="9">
        <v>419</v>
      </c>
      <c r="B318" s="9">
        <v>117</v>
      </c>
      <c r="C318" s="9" t="s">
        <v>1587</v>
      </c>
      <c r="D318" s="9" t="s">
        <v>20</v>
      </c>
      <c r="E318" s="9">
        <v>186</v>
      </c>
      <c r="F318" s="9" t="s">
        <v>1588</v>
      </c>
      <c r="G318" s="9">
        <v>0</v>
      </c>
      <c r="H318" s="9"/>
      <c r="I318" s="9"/>
      <c r="J318" s="9">
        <v>0</v>
      </c>
      <c r="K318" s="9" t="s">
        <v>699</v>
      </c>
      <c r="L318" s="9" t="str">
        <f t="shared" si="1"/>
        <v>N</v>
      </c>
    </row>
    <row r="319" spans="1:12">
      <c r="A319" s="9">
        <v>420</v>
      </c>
      <c r="B319" s="9">
        <v>111</v>
      </c>
      <c r="C319" s="9" t="s">
        <v>1589</v>
      </c>
      <c r="D319" s="9" t="s">
        <v>1590</v>
      </c>
      <c r="E319" s="9">
        <v>152</v>
      </c>
      <c r="F319" s="9" t="s">
        <v>1591</v>
      </c>
      <c r="G319" s="9">
        <v>0</v>
      </c>
      <c r="H319" s="9" t="s">
        <v>1556</v>
      </c>
      <c r="I319" s="9" t="s">
        <v>1557</v>
      </c>
      <c r="J319" s="9">
        <v>0</v>
      </c>
      <c r="K319" s="9" t="s">
        <v>906</v>
      </c>
      <c r="L319" s="9" t="str">
        <f t="shared" si="1"/>
        <v>Y</v>
      </c>
    </row>
    <row r="320" spans="1:12">
      <c r="A320" s="9">
        <v>421</v>
      </c>
      <c r="B320" s="9">
        <v>112</v>
      </c>
      <c r="C320" s="9" t="s">
        <v>1592</v>
      </c>
      <c r="D320" s="9" t="s">
        <v>1593</v>
      </c>
      <c r="E320" s="9">
        <v>156</v>
      </c>
      <c r="F320" s="9" t="s">
        <v>1594</v>
      </c>
      <c r="G320" s="9">
        <v>1</v>
      </c>
      <c r="H320" s="9" t="s">
        <v>1595</v>
      </c>
      <c r="I320" s="9" t="s">
        <v>1596</v>
      </c>
      <c r="J320" s="9">
        <v>3</v>
      </c>
      <c r="K320" s="9" t="s">
        <v>1099</v>
      </c>
      <c r="L320" s="9" t="str">
        <f t="shared" si="1"/>
        <v>Y</v>
      </c>
    </row>
    <row r="321" spans="1:12">
      <c r="A321" s="9">
        <v>422</v>
      </c>
      <c r="B321" s="9">
        <v>113</v>
      </c>
      <c r="C321" s="9" t="s">
        <v>1597</v>
      </c>
      <c r="D321" s="9" t="s">
        <v>1598</v>
      </c>
      <c r="E321" s="9">
        <v>162</v>
      </c>
      <c r="F321" s="9" t="s">
        <v>1599</v>
      </c>
      <c r="G321" s="9">
        <v>0</v>
      </c>
      <c r="H321" s="9" t="s">
        <v>1600</v>
      </c>
      <c r="I321" s="9" t="s">
        <v>1601</v>
      </c>
      <c r="J321" s="9">
        <v>0</v>
      </c>
      <c r="K321" s="9" t="s">
        <v>783</v>
      </c>
      <c r="L321" s="9" t="str">
        <f t="shared" si="1"/>
        <v>Y</v>
      </c>
    </row>
    <row r="322" spans="1:12">
      <c r="A322" s="9">
        <v>423</v>
      </c>
      <c r="B322" s="9">
        <v>117</v>
      </c>
      <c r="C322" s="9" t="s">
        <v>1602</v>
      </c>
      <c r="D322" s="9" t="s">
        <v>20</v>
      </c>
      <c r="E322" s="9">
        <v>186</v>
      </c>
      <c r="F322" s="9" t="s">
        <v>1603</v>
      </c>
      <c r="G322" s="9">
        <v>0</v>
      </c>
      <c r="H322" s="9"/>
      <c r="I322" s="9"/>
      <c r="J322" s="9">
        <v>0</v>
      </c>
      <c r="K322" s="9" t="s">
        <v>699</v>
      </c>
      <c r="L322" s="9" t="str">
        <f t="shared" si="1"/>
        <v>N</v>
      </c>
    </row>
    <row r="323" spans="1:12">
      <c r="A323" s="9">
        <v>424</v>
      </c>
      <c r="B323" s="9">
        <v>114</v>
      </c>
      <c r="C323" s="9" t="s">
        <v>1604</v>
      </c>
      <c r="D323" s="9" t="s">
        <v>20</v>
      </c>
      <c r="E323" s="9">
        <v>167</v>
      </c>
      <c r="F323" s="9" t="s">
        <v>1605</v>
      </c>
      <c r="G323" s="9">
        <v>0</v>
      </c>
      <c r="H323" s="9"/>
      <c r="I323" s="9"/>
      <c r="J323" s="9">
        <v>0</v>
      </c>
      <c r="K323" s="9" t="s">
        <v>699</v>
      </c>
      <c r="L323" s="9" t="str">
        <f t="shared" si="1"/>
        <v>N</v>
      </c>
    </row>
    <row r="324" spans="1:12">
      <c r="A324" s="9">
        <v>425</v>
      </c>
      <c r="B324" s="9">
        <v>110</v>
      </c>
      <c r="C324" s="9" t="s">
        <v>1606</v>
      </c>
      <c r="D324" s="9" t="s">
        <v>1607</v>
      </c>
      <c r="E324" s="9">
        <v>143</v>
      </c>
      <c r="F324" s="9" t="s">
        <v>1608</v>
      </c>
      <c r="G324" s="9">
        <v>0</v>
      </c>
      <c r="H324" s="9" t="s">
        <v>1541</v>
      </c>
      <c r="I324" s="9" t="s">
        <v>1542</v>
      </c>
      <c r="J324" s="9">
        <v>0</v>
      </c>
      <c r="K324" s="9" t="s">
        <v>1543</v>
      </c>
      <c r="L324" s="9" t="str">
        <f t="shared" si="1"/>
        <v>Y</v>
      </c>
    </row>
    <row r="325" spans="1:12">
      <c r="A325" s="9">
        <v>426</v>
      </c>
      <c r="B325" s="9">
        <v>117</v>
      </c>
      <c r="C325" s="9" t="s">
        <v>1609</v>
      </c>
      <c r="D325" s="9" t="s">
        <v>1610</v>
      </c>
      <c r="E325" s="9">
        <v>188</v>
      </c>
      <c r="F325" s="9" t="s">
        <v>1611</v>
      </c>
      <c r="G325" s="9">
        <v>0</v>
      </c>
      <c r="H325" s="9" t="s">
        <v>1164</v>
      </c>
      <c r="I325" s="9" t="s">
        <v>1165</v>
      </c>
      <c r="J325" s="9">
        <v>0</v>
      </c>
      <c r="K325" s="9" t="s">
        <v>1166</v>
      </c>
      <c r="L325" s="9" t="str">
        <f t="shared" si="1"/>
        <v>Y</v>
      </c>
    </row>
    <row r="326" spans="1:12">
      <c r="A326" s="9">
        <v>427</v>
      </c>
      <c r="B326" s="9">
        <v>111</v>
      </c>
      <c r="C326" s="9" t="s">
        <v>1612</v>
      </c>
      <c r="D326" s="9" t="s">
        <v>1613</v>
      </c>
      <c r="E326" s="9">
        <v>152</v>
      </c>
      <c r="F326" s="9" t="s">
        <v>1611</v>
      </c>
      <c r="G326" s="9">
        <v>0</v>
      </c>
      <c r="H326" s="9" t="s">
        <v>1556</v>
      </c>
      <c r="I326" s="9" t="s">
        <v>1557</v>
      </c>
      <c r="J326" s="9">
        <v>0</v>
      </c>
      <c r="K326" s="9" t="s">
        <v>906</v>
      </c>
      <c r="L326" s="9" t="str">
        <f t="shared" si="1"/>
        <v>Y</v>
      </c>
    </row>
    <row r="327" spans="1:12">
      <c r="A327" s="9">
        <v>428</v>
      </c>
      <c r="B327" s="9">
        <v>117</v>
      </c>
      <c r="C327" s="9" t="s">
        <v>1614</v>
      </c>
      <c r="D327" s="9" t="s">
        <v>1615</v>
      </c>
      <c r="E327" s="9">
        <v>185</v>
      </c>
      <c r="F327" s="9" t="s">
        <v>1616</v>
      </c>
      <c r="G327" s="9">
        <v>0</v>
      </c>
      <c r="H327" s="9" t="s">
        <v>971</v>
      </c>
      <c r="I327" s="9" t="s">
        <v>972</v>
      </c>
      <c r="J327" s="9">
        <v>0</v>
      </c>
      <c r="K327" s="9" t="s">
        <v>973</v>
      </c>
      <c r="L327" s="9" t="str">
        <f t="shared" si="1"/>
        <v>Y</v>
      </c>
    </row>
    <row r="328" spans="1:12">
      <c r="A328" s="9">
        <v>429</v>
      </c>
      <c r="B328" s="9">
        <v>114</v>
      </c>
      <c r="C328" s="9" t="s">
        <v>1617</v>
      </c>
      <c r="D328" s="9" t="s">
        <v>1618</v>
      </c>
      <c r="E328" s="9">
        <v>170</v>
      </c>
      <c r="F328" s="9" t="s">
        <v>1619</v>
      </c>
      <c r="G328" s="9">
        <v>2</v>
      </c>
      <c r="H328" s="9" t="s">
        <v>1620</v>
      </c>
      <c r="I328" s="9" t="s">
        <v>1621</v>
      </c>
      <c r="J328" s="9">
        <v>5</v>
      </c>
      <c r="K328" s="9" t="s">
        <v>1622</v>
      </c>
      <c r="L328" s="9" t="str">
        <f t="shared" si="1"/>
        <v>Y</v>
      </c>
    </row>
    <row r="329" spans="1:12">
      <c r="A329" s="9">
        <v>430</v>
      </c>
      <c r="B329" s="9">
        <v>113</v>
      </c>
      <c r="C329" s="9" t="s">
        <v>1623</v>
      </c>
      <c r="D329" s="9" t="s">
        <v>1624</v>
      </c>
      <c r="E329" s="9">
        <v>162</v>
      </c>
      <c r="F329" s="9" t="s">
        <v>1625</v>
      </c>
      <c r="G329" s="9">
        <v>1</v>
      </c>
      <c r="H329" s="9" t="s">
        <v>1600</v>
      </c>
      <c r="I329" s="9" t="s">
        <v>1601</v>
      </c>
      <c r="J329" s="9">
        <v>4</v>
      </c>
      <c r="K329" s="9" t="s">
        <v>783</v>
      </c>
      <c r="L329" s="9" t="str">
        <f t="shared" si="1"/>
        <v>Y</v>
      </c>
    </row>
    <row r="330" spans="1:12">
      <c r="A330" s="9">
        <v>431</v>
      </c>
      <c r="B330" s="9">
        <v>112</v>
      </c>
      <c r="C330" s="9" t="s">
        <v>1626</v>
      </c>
      <c r="D330" s="9" t="s">
        <v>1627</v>
      </c>
      <c r="E330" s="9">
        <v>156</v>
      </c>
      <c r="F330" s="9" t="s">
        <v>1628</v>
      </c>
      <c r="G330" s="9">
        <v>0</v>
      </c>
      <c r="H330" s="9" t="s">
        <v>1629</v>
      </c>
      <c r="I330" s="9" t="s">
        <v>1630</v>
      </c>
      <c r="J330" s="9">
        <v>0</v>
      </c>
      <c r="K330" s="9" t="s">
        <v>1063</v>
      </c>
      <c r="L330" s="9" t="str">
        <f t="shared" si="1"/>
        <v>Y</v>
      </c>
    </row>
    <row r="331" spans="1:12">
      <c r="A331" s="9">
        <v>432</v>
      </c>
      <c r="B331" s="9">
        <v>116</v>
      </c>
      <c r="C331" s="9" t="s">
        <v>1631</v>
      </c>
      <c r="D331" s="9" t="s">
        <v>20</v>
      </c>
      <c r="E331" s="9">
        <v>179</v>
      </c>
      <c r="F331" s="9" t="s">
        <v>1632</v>
      </c>
      <c r="G331" s="9">
        <v>0</v>
      </c>
      <c r="J331" s="9">
        <v>0</v>
      </c>
      <c r="K331" s="9" t="s">
        <v>699</v>
      </c>
      <c r="L331" s="9" t="str">
        <f t="shared" si="1"/>
        <v>N</v>
      </c>
    </row>
    <row r="332" spans="1:12">
      <c r="A332" s="9">
        <v>433</v>
      </c>
      <c r="B332" s="9">
        <v>110</v>
      </c>
      <c r="C332" s="9" t="s">
        <v>1633</v>
      </c>
      <c r="D332" s="9" t="s">
        <v>1634</v>
      </c>
      <c r="E332" s="9">
        <v>143</v>
      </c>
      <c r="F332" s="9" t="s">
        <v>1635</v>
      </c>
      <c r="G332" s="9">
        <v>0</v>
      </c>
      <c r="H332" s="9" t="s">
        <v>1541</v>
      </c>
      <c r="I332" s="9" t="s">
        <v>1542</v>
      </c>
      <c r="J332" s="9">
        <v>0</v>
      </c>
      <c r="K332" s="9" t="s">
        <v>1543</v>
      </c>
      <c r="L332" s="9" t="str">
        <f t="shared" si="1"/>
        <v>Y</v>
      </c>
    </row>
    <row r="333" spans="1:12">
      <c r="A333" s="9">
        <v>434</v>
      </c>
      <c r="B333" s="9">
        <v>111</v>
      </c>
      <c r="C333" s="9" t="s">
        <v>1636</v>
      </c>
      <c r="D333" s="9" t="s">
        <v>1637</v>
      </c>
      <c r="E333" s="9">
        <v>152</v>
      </c>
      <c r="F333" s="9" t="s">
        <v>1638</v>
      </c>
      <c r="G333" s="9">
        <v>0</v>
      </c>
      <c r="H333" s="9" t="s">
        <v>1556</v>
      </c>
      <c r="I333" s="9" t="s">
        <v>1557</v>
      </c>
      <c r="J333" s="9">
        <v>0</v>
      </c>
      <c r="K333" s="9" t="s">
        <v>906</v>
      </c>
      <c r="L333" s="9" t="str">
        <f t="shared" si="1"/>
        <v>Y</v>
      </c>
    </row>
    <row r="334" spans="1:12">
      <c r="A334" s="9">
        <v>435</v>
      </c>
      <c r="B334" s="9">
        <v>113</v>
      </c>
      <c r="C334" s="9" t="s">
        <v>1639</v>
      </c>
      <c r="D334" s="9" t="s">
        <v>1640</v>
      </c>
      <c r="E334" s="9">
        <v>162</v>
      </c>
      <c r="F334" s="9" t="s">
        <v>1641</v>
      </c>
      <c r="G334" s="9">
        <v>1</v>
      </c>
      <c r="H334" s="9" t="s">
        <v>1642</v>
      </c>
      <c r="I334" s="9" t="s">
        <v>1643</v>
      </c>
      <c r="J334" s="9">
        <v>8</v>
      </c>
      <c r="K334" s="9" t="s">
        <v>783</v>
      </c>
      <c r="L334" s="9" t="str">
        <f t="shared" si="1"/>
        <v>Y</v>
      </c>
    </row>
    <row r="335" spans="1:12">
      <c r="A335" s="9">
        <v>436</v>
      </c>
      <c r="B335" s="9">
        <v>109</v>
      </c>
      <c r="C335" s="9" t="s">
        <v>1644</v>
      </c>
      <c r="D335" s="9" t="s">
        <v>20</v>
      </c>
      <c r="E335" s="9">
        <v>136</v>
      </c>
      <c r="F335" s="9" t="s">
        <v>1645</v>
      </c>
      <c r="G335" s="9">
        <v>0</v>
      </c>
      <c r="H335" s="9"/>
      <c r="I335" s="9"/>
      <c r="J335" s="9">
        <v>0</v>
      </c>
      <c r="K335" s="9" t="s">
        <v>699</v>
      </c>
      <c r="L335" s="9" t="str">
        <f t="shared" si="1"/>
        <v>N</v>
      </c>
    </row>
    <row r="336" spans="1:12">
      <c r="A336" s="9">
        <v>437</v>
      </c>
      <c r="B336" s="9">
        <v>117</v>
      </c>
      <c r="C336" s="9" t="s">
        <v>1646</v>
      </c>
      <c r="D336" s="9" t="s">
        <v>20</v>
      </c>
      <c r="E336" s="9">
        <v>186</v>
      </c>
      <c r="F336" s="9" t="s">
        <v>1647</v>
      </c>
      <c r="G336" s="9">
        <v>0</v>
      </c>
      <c r="J336" s="9">
        <v>0</v>
      </c>
      <c r="K336" s="9" t="s">
        <v>699</v>
      </c>
      <c r="L336" s="9" t="str">
        <f t="shared" si="1"/>
        <v>N</v>
      </c>
    </row>
    <row r="337" spans="1:12">
      <c r="A337" s="9">
        <v>438</v>
      </c>
      <c r="B337" s="9">
        <v>111</v>
      </c>
      <c r="C337" s="9" t="s">
        <v>1648</v>
      </c>
      <c r="D337" s="9" t="s">
        <v>1649</v>
      </c>
      <c r="E337" s="9">
        <v>149</v>
      </c>
      <c r="F337" s="9" t="s">
        <v>1647</v>
      </c>
      <c r="G337" s="9">
        <v>0</v>
      </c>
      <c r="H337" s="9" t="s">
        <v>898</v>
      </c>
      <c r="I337" s="9" t="s">
        <v>899</v>
      </c>
      <c r="J337" s="9">
        <v>0</v>
      </c>
      <c r="K337" s="9" t="s">
        <v>900</v>
      </c>
      <c r="L337" s="9" t="str">
        <f t="shared" si="1"/>
        <v>Y</v>
      </c>
    </row>
    <row r="338" spans="1:12">
      <c r="A338" s="9">
        <v>439</v>
      </c>
      <c r="B338" s="9">
        <v>114</v>
      </c>
      <c r="C338" s="9" t="s">
        <v>1650</v>
      </c>
      <c r="D338" s="9" t="s">
        <v>20</v>
      </c>
      <c r="E338" s="9">
        <v>167</v>
      </c>
      <c r="F338" s="9" t="s">
        <v>1651</v>
      </c>
      <c r="G338" s="9">
        <v>0</v>
      </c>
      <c r="H338" s="9"/>
      <c r="I338" s="9"/>
      <c r="J338" s="9">
        <v>0</v>
      </c>
      <c r="K338" s="9" t="s">
        <v>699</v>
      </c>
      <c r="L338" s="9" t="str">
        <f t="shared" si="1"/>
        <v>N</v>
      </c>
    </row>
    <row r="339" spans="1:12">
      <c r="A339" s="9">
        <v>440</v>
      </c>
      <c r="B339" s="9">
        <v>116</v>
      </c>
      <c r="C339" s="9" t="s">
        <v>1652</v>
      </c>
      <c r="D339" s="9" t="s">
        <v>1653</v>
      </c>
      <c r="E339" s="9">
        <v>179</v>
      </c>
      <c r="F339" s="9" t="s">
        <v>1654</v>
      </c>
      <c r="G339" s="9">
        <v>0</v>
      </c>
      <c r="H339" s="9" t="s">
        <v>971</v>
      </c>
      <c r="I339" s="9" t="s">
        <v>972</v>
      </c>
      <c r="J339" s="9">
        <v>0</v>
      </c>
      <c r="K339" s="9" t="s">
        <v>973</v>
      </c>
      <c r="L339" s="9" t="str">
        <f t="shared" si="1"/>
        <v>Y</v>
      </c>
    </row>
    <row r="340" spans="1:12">
      <c r="A340" s="9">
        <v>441</v>
      </c>
      <c r="B340" s="9">
        <v>115</v>
      </c>
      <c r="C340" s="9" t="s">
        <v>1655</v>
      </c>
      <c r="D340" s="9" t="s">
        <v>1656</v>
      </c>
      <c r="E340" s="9">
        <v>174</v>
      </c>
      <c r="F340" s="9" t="s">
        <v>1657</v>
      </c>
      <c r="G340" s="9">
        <v>0</v>
      </c>
      <c r="H340" s="9" t="s">
        <v>1378</v>
      </c>
      <c r="I340" s="9" t="s">
        <v>1379</v>
      </c>
      <c r="J340" s="9">
        <v>0</v>
      </c>
      <c r="K340" s="9" t="s">
        <v>948</v>
      </c>
      <c r="L340" s="9" t="str">
        <f t="shared" si="1"/>
        <v>Y</v>
      </c>
    </row>
    <row r="341" spans="1:12">
      <c r="A341" s="9">
        <v>442</v>
      </c>
      <c r="B341" s="9">
        <v>117</v>
      </c>
      <c r="C341" s="9" t="s">
        <v>1658</v>
      </c>
      <c r="D341" s="9" t="s">
        <v>1659</v>
      </c>
      <c r="E341" s="9">
        <v>185</v>
      </c>
      <c r="F341" s="9" t="s">
        <v>1657</v>
      </c>
      <c r="G341" s="9">
        <v>0</v>
      </c>
      <c r="H341" s="9" t="s">
        <v>971</v>
      </c>
      <c r="I341" s="9" t="s">
        <v>972</v>
      </c>
      <c r="J341" s="9">
        <v>0</v>
      </c>
      <c r="K341" s="9" t="s">
        <v>973</v>
      </c>
      <c r="L341" s="9" t="str">
        <f t="shared" si="1"/>
        <v>Y</v>
      </c>
    </row>
    <row r="342" spans="1:12">
      <c r="A342" s="9">
        <v>443</v>
      </c>
      <c r="B342" s="9">
        <v>111</v>
      </c>
      <c r="C342" s="9" t="s">
        <v>1660</v>
      </c>
      <c r="D342" s="9" t="s">
        <v>1661</v>
      </c>
      <c r="E342" s="9">
        <v>152</v>
      </c>
      <c r="F342" s="9" t="s">
        <v>1662</v>
      </c>
      <c r="G342" s="9">
        <v>0</v>
      </c>
      <c r="H342" s="9" t="s">
        <v>1556</v>
      </c>
      <c r="I342" s="9" t="s">
        <v>1557</v>
      </c>
      <c r="J342" s="9">
        <v>0</v>
      </c>
      <c r="K342" s="9" t="s">
        <v>906</v>
      </c>
      <c r="L342" s="9" t="str">
        <f t="shared" si="1"/>
        <v>Y</v>
      </c>
    </row>
    <row r="343" spans="1:12">
      <c r="A343" s="9">
        <v>444</v>
      </c>
      <c r="B343" s="9">
        <v>110</v>
      </c>
      <c r="C343" s="9" t="s">
        <v>1663</v>
      </c>
      <c r="D343" s="9" t="s">
        <v>1664</v>
      </c>
      <c r="E343" s="9">
        <v>142</v>
      </c>
      <c r="F343" s="9" t="s">
        <v>1665</v>
      </c>
      <c r="G343" s="9">
        <v>0</v>
      </c>
      <c r="H343" s="9" t="s">
        <v>904</v>
      </c>
      <c r="I343" s="9" t="s">
        <v>905</v>
      </c>
      <c r="J343" s="9">
        <v>0</v>
      </c>
      <c r="K343" s="9" t="s">
        <v>906</v>
      </c>
      <c r="L343" s="9" t="str">
        <f t="shared" si="1"/>
        <v>Y</v>
      </c>
    </row>
    <row r="344" spans="1:12">
      <c r="A344" s="9">
        <v>445</v>
      </c>
      <c r="B344" s="9">
        <v>110</v>
      </c>
      <c r="C344" s="9" t="s">
        <v>1666</v>
      </c>
      <c r="D344" s="9" t="s">
        <v>1667</v>
      </c>
      <c r="E344" s="9">
        <v>143</v>
      </c>
      <c r="F344" s="9" t="s">
        <v>1668</v>
      </c>
      <c r="G344" s="9">
        <v>2</v>
      </c>
      <c r="H344" s="9" t="s">
        <v>1541</v>
      </c>
      <c r="I344" s="9" t="s">
        <v>1542</v>
      </c>
      <c r="J344" s="9">
        <v>6</v>
      </c>
      <c r="K344" s="9" t="s">
        <v>1543</v>
      </c>
      <c r="L344" s="9" t="str">
        <f t="shared" si="1"/>
        <v>Y</v>
      </c>
    </row>
    <row r="345" spans="1:12">
      <c r="A345" s="9">
        <v>446</v>
      </c>
      <c r="B345" s="9">
        <v>113</v>
      </c>
      <c r="C345" s="9" t="s">
        <v>1669</v>
      </c>
      <c r="D345" s="9" t="s">
        <v>20</v>
      </c>
      <c r="E345" s="9">
        <v>164</v>
      </c>
      <c r="F345" s="9" t="s">
        <v>1670</v>
      </c>
      <c r="G345" s="9">
        <v>0</v>
      </c>
      <c r="I345" s="9"/>
      <c r="J345" s="9">
        <v>0</v>
      </c>
      <c r="K345" s="9" t="s">
        <v>699</v>
      </c>
      <c r="L345" s="9" t="str">
        <f t="shared" si="1"/>
        <v>N</v>
      </c>
    </row>
    <row r="346" spans="1:12">
      <c r="A346" s="9">
        <v>447</v>
      </c>
      <c r="B346" s="9">
        <v>109</v>
      </c>
      <c r="C346" s="9" t="s">
        <v>1671</v>
      </c>
      <c r="D346" s="9" t="s">
        <v>1672</v>
      </c>
      <c r="E346" s="9">
        <v>137</v>
      </c>
      <c r="F346" s="9" t="s">
        <v>1673</v>
      </c>
      <c r="G346" s="9">
        <v>0</v>
      </c>
      <c r="H346" s="9" t="s">
        <v>1674</v>
      </c>
      <c r="I346" s="9" t="s">
        <v>1675</v>
      </c>
      <c r="J346" s="9">
        <v>0</v>
      </c>
      <c r="K346" s="9" t="s">
        <v>948</v>
      </c>
      <c r="L346" s="9" t="str">
        <f t="shared" si="1"/>
        <v>Y</v>
      </c>
    </row>
    <row r="347" spans="1:12">
      <c r="A347" s="9">
        <v>448</v>
      </c>
      <c r="B347" s="9">
        <v>113</v>
      </c>
      <c r="C347" s="9" t="s">
        <v>1676</v>
      </c>
      <c r="D347" s="9" t="s">
        <v>1677</v>
      </c>
      <c r="E347" s="9">
        <v>164</v>
      </c>
      <c r="F347" s="9" t="s">
        <v>1678</v>
      </c>
      <c r="G347" s="9">
        <v>1</v>
      </c>
      <c r="H347" s="9" t="s">
        <v>904</v>
      </c>
      <c r="I347" s="9" t="s">
        <v>905</v>
      </c>
      <c r="J347" s="9">
        <v>1</v>
      </c>
      <c r="K347" s="9" t="s">
        <v>906</v>
      </c>
      <c r="L347" s="9" t="str">
        <f t="shared" si="1"/>
        <v>Y</v>
      </c>
    </row>
    <row r="348" spans="1:12">
      <c r="A348" s="9">
        <v>449</v>
      </c>
      <c r="B348" s="9">
        <v>113</v>
      </c>
      <c r="C348" s="9" t="s">
        <v>1679</v>
      </c>
      <c r="D348" s="9" t="s">
        <v>1680</v>
      </c>
      <c r="E348" s="9">
        <v>162</v>
      </c>
      <c r="F348" s="9" t="s">
        <v>1681</v>
      </c>
      <c r="G348" s="9">
        <v>0</v>
      </c>
      <c r="H348" s="9" t="s">
        <v>1682</v>
      </c>
      <c r="I348" s="9" t="s">
        <v>1683</v>
      </c>
      <c r="J348" s="9">
        <v>0</v>
      </c>
      <c r="K348" s="9" t="s">
        <v>783</v>
      </c>
      <c r="L348" s="9" t="str">
        <f t="shared" si="1"/>
        <v>Y</v>
      </c>
    </row>
    <row r="349" spans="1:12">
      <c r="A349" s="9">
        <v>450</v>
      </c>
      <c r="B349" s="9">
        <v>114</v>
      </c>
      <c r="C349" s="9" t="s">
        <v>1684</v>
      </c>
      <c r="D349" s="9" t="s">
        <v>1685</v>
      </c>
      <c r="E349" s="9">
        <v>170</v>
      </c>
      <c r="F349" s="9" t="s">
        <v>1686</v>
      </c>
      <c r="G349" s="9">
        <v>3</v>
      </c>
      <c r="H349" s="9" t="s">
        <v>1687</v>
      </c>
      <c r="I349" s="9" t="s">
        <v>1688</v>
      </c>
      <c r="J349" s="9">
        <v>8</v>
      </c>
      <c r="K349" s="9" t="s">
        <v>783</v>
      </c>
      <c r="L349" s="9" t="str">
        <f t="shared" si="1"/>
        <v>Y</v>
      </c>
    </row>
    <row r="350" spans="1:12">
      <c r="A350" s="9">
        <v>451</v>
      </c>
      <c r="B350" s="9">
        <v>110</v>
      </c>
      <c r="C350" s="9" t="s">
        <v>1689</v>
      </c>
      <c r="D350" s="9" t="s">
        <v>1690</v>
      </c>
      <c r="E350" s="9">
        <v>142</v>
      </c>
      <c r="F350" s="9" t="s">
        <v>1691</v>
      </c>
      <c r="G350" s="9">
        <v>0</v>
      </c>
      <c r="H350" s="9" t="s">
        <v>904</v>
      </c>
      <c r="I350" s="9" t="s">
        <v>905</v>
      </c>
      <c r="J350" s="9">
        <v>0</v>
      </c>
      <c r="K350" s="9" t="s">
        <v>906</v>
      </c>
      <c r="L350" s="9" t="str">
        <f t="shared" si="1"/>
        <v>Y</v>
      </c>
    </row>
    <row r="351" spans="1:12">
      <c r="A351" s="9">
        <v>452</v>
      </c>
      <c r="B351" s="9">
        <v>117</v>
      </c>
      <c r="C351" s="9" t="s">
        <v>1692</v>
      </c>
      <c r="D351" s="9" t="s">
        <v>20</v>
      </c>
      <c r="E351" s="9">
        <v>185</v>
      </c>
      <c r="F351" s="9" t="s">
        <v>1693</v>
      </c>
      <c r="G351" s="9">
        <v>0</v>
      </c>
      <c r="H351" s="9"/>
      <c r="I351" s="9"/>
      <c r="J351" s="9">
        <v>0</v>
      </c>
      <c r="K351" s="9" t="s">
        <v>699</v>
      </c>
      <c r="L351" s="9" t="str">
        <f t="shared" si="1"/>
        <v>N</v>
      </c>
    </row>
    <row r="352" spans="1:12">
      <c r="A352" s="9">
        <v>453</v>
      </c>
      <c r="B352" s="9">
        <v>110</v>
      </c>
      <c r="C352" s="9" t="s">
        <v>1694</v>
      </c>
      <c r="D352" s="9" t="s">
        <v>1695</v>
      </c>
      <c r="E352" s="9">
        <v>145</v>
      </c>
      <c r="F352" s="9" t="s">
        <v>1696</v>
      </c>
      <c r="G352" s="9">
        <v>0</v>
      </c>
      <c r="H352" s="9" t="s">
        <v>1577</v>
      </c>
      <c r="I352" s="9" t="s">
        <v>1578</v>
      </c>
      <c r="J352" s="9">
        <v>0</v>
      </c>
      <c r="K352" s="9" t="s">
        <v>1099</v>
      </c>
      <c r="L352" s="9" t="str">
        <f t="shared" si="1"/>
        <v>Y</v>
      </c>
    </row>
    <row r="353" spans="1:12">
      <c r="A353" s="9">
        <v>454</v>
      </c>
      <c r="B353" s="9">
        <v>109</v>
      </c>
      <c r="C353" s="9" t="s">
        <v>1697</v>
      </c>
      <c r="D353" s="9" t="s">
        <v>20</v>
      </c>
      <c r="E353" s="9">
        <v>139</v>
      </c>
      <c r="F353" s="9" t="s">
        <v>1698</v>
      </c>
      <c r="G353" s="9">
        <v>0</v>
      </c>
      <c r="J353" s="9">
        <v>0</v>
      </c>
      <c r="K353" s="9" t="s">
        <v>699</v>
      </c>
      <c r="L353" s="9" t="str">
        <f t="shared" si="1"/>
        <v>N</v>
      </c>
    </row>
    <row r="354" spans="1:12">
      <c r="A354" s="9">
        <v>455</v>
      </c>
      <c r="B354" s="9">
        <v>110</v>
      </c>
      <c r="C354" s="9" t="s">
        <v>1699</v>
      </c>
      <c r="D354" s="9" t="s">
        <v>1700</v>
      </c>
      <c r="E354" s="9">
        <v>142</v>
      </c>
      <c r="F354" s="9" t="s">
        <v>1701</v>
      </c>
      <c r="G354" s="9">
        <v>0</v>
      </c>
      <c r="H354" s="9" t="s">
        <v>904</v>
      </c>
      <c r="I354" s="9" t="s">
        <v>905</v>
      </c>
      <c r="J354" s="9">
        <v>0</v>
      </c>
      <c r="K354" s="9" t="s">
        <v>906</v>
      </c>
      <c r="L354" s="9" t="str">
        <f t="shared" si="1"/>
        <v>Y</v>
      </c>
    </row>
    <row r="355" spans="1:12">
      <c r="A355" s="9">
        <v>456</v>
      </c>
      <c r="B355" s="9">
        <v>117</v>
      </c>
      <c r="C355" s="9" t="s">
        <v>1702</v>
      </c>
      <c r="D355" s="9" t="s">
        <v>1703</v>
      </c>
      <c r="E355" s="9">
        <v>185</v>
      </c>
      <c r="F355" s="9" t="s">
        <v>1704</v>
      </c>
      <c r="G355" s="9">
        <v>0</v>
      </c>
      <c r="H355" s="9" t="s">
        <v>1033</v>
      </c>
      <c r="I355" s="9" t="s">
        <v>1034</v>
      </c>
      <c r="J355" s="9">
        <v>0</v>
      </c>
      <c r="K355" s="9" t="s">
        <v>1035</v>
      </c>
      <c r="L355" s="9" t="str">
        <f t="shared" si="1"/>
        <v>Y</v>
      </c>
    </row>
    <row r="356" spans="1:12">
      <c r="A356" s="9">
        <v>457</v>
      </c>
      <c r="B356" s="9">
        <v>113</v>
      </c>
      <c r="C356" s="9" t="s">
        <v>1705</v>
      </c>
      <c r="D356" s="9" t="s">
        <v>1706</v>
      </c>
      <c r="E356" s="9">
        <v>163</v>
      </c>
      <c r="F356" s="9" t="s">
        <v>349</v>
      </c>
      <c r="G356" s="9">
        <v>0</v>
      </c>
      <c r="H356" s="9" t="s">
        <v>904</v>
      </c>
      <c r="I356" s="9" t="s">
        <v>905</v>
      </c>
      <c r="J356" s="9">
        <v>0</v>
      </c>
      <c r="K356" s="9" t="s">
        <v>906</v>
      </c>
      <c r="L356" s="9" t="str">
        <f t="shared" si="1"/>
        <v>Y</v>
      </c>
    </row>
    <row r="357" spans="1:12">
      <c r="A357" s="9">
        <v>458</v>
      </c>
      <c r="B357" s="9">
        <v>113</v>
      </c>
      <c r="C357" s="9" t="s">
        <v>1707</v>
      </c>
      <c r="D357" s="9" t="s">
        <v>20</v>
      </c>
      <c r="E357" s="9">
        <v>161</v>
      </c>
      <c r="F357" s="9" t="s">
        <v>1708</v>
      </c>
      <c r="G357" s="9">
        <v>0</v>
      </c>
      <c r="H357" s="9"/>
      <c r="I357" s="9"/>
      <c r="J357" s="9">
        <v>0</v>
      </c>
      <c r="K357" s="9" t="s">
        <v>699</v>
      </c>
      <c r="L357" s="9" t="str">
        <f t="shared" si="1"/>
        <v>N</v>
      </c>
    </row>
    <row r="358" spans="1:12">
      <c r="A358" s="9">
        <v>459</v>
      </c>
      <c r="B358" s="9">
        <v>114</v>
      </c>
      <c r="C358" s="9" t="s">
        <v>1709</v>
      </c>
      <c r="D358" s="9" t="s">
        <v>1710</v>
      </c>
      <c r="E358" s="9">
        <v>167</v>
      </c>
      <c r="F358" s="9" t="s">
        <v>1711</v>
      </c>
      <c r="G358" s="9">
        <v>0</v>
      </c>
      <c r="H358" s="9" t="s">
        <v>1434</v>
      </c>
      <c r="I358" s="9" t="s">
        <v>1435</v>
      </c>
      <c r="J358" s="9">
        <v>0</v>
      </c>
      <c r="K358" s="9" t="s">
        <v>699</v>
      </c>
      <c r="L358" s="9" t="str">
        <f t="shared" si="1"/>
        <v>Y</v>
      </c>
    </row>
    <row r="359" spans="1:12">
      <c r="A359" s="9">
        <v>460</v>
      </c>
      <c r="B359" s="9">
        <v>113</v>
      </c>
      <c r="C359" s="9" t="s">
        <v>1712</v>
      </c>
      <c r="D359" s="9" t="s">
        <v>1713</v>
      </c>
      <c r="E359" s="9">
        <v>164</v>
      </c>
      <c r="F359" s="9" t="s">
        <v>238</v>
      </c>
      <c r="G359" s="9">
        <v>0</v>
      </c>
      <c r="H359" s="9" t="s">
        <v>904</v>
      </c>
      <c r="I359" s="9" t="s">
        <v>905</v>
      </c>
      <c r="J359" s="9">
        <v>0</v>
      </c>
      <c r="K359" s="9" t="s">
        <v>906</v>
      </c>
      <c r="L359" s="9" t="str">
        <f t="shared" si="1"/>
        <v>Y</v>
      </c>
    </row>
    <row r="360" spans="1:12">
      <c r="A360" s="9">
        <v>461</v>
      </c>
      <c r="B360" s="9">
        <v>114</v>
      </c>
      <c r="C360" s="9" t="s">
        <v>1714</v>
      </c>
      <c r="D360" s="9" t="s">
        <v>1715</v>
      </c>
      <c r="E360" s="9">
        <v>170</v>
      </c>
      <c r="F360" s="9" t="s">
        <v>1716</v>
      </c>
      <c r="G360" s="9">
        <v>1</v>
      </c>
      <c r="H360" s="9" t="s">
        <v>1448</v>
      </c>
      <c r="I360" s="9" t="s">
        <v>1449</v>
      </c>
      <c r="J360" s="9">
        <v>1</v>
      </c>
      <c r="K360" s="9" t="s">
        <v>1063</v>
      </c>
      <c r="L360" s="9" t="str">
        <f t="shared" si="1"/>
        <v>Y</v>
      </c>
    </row>
    <row r="361" spans="1:12">
      <c r="A361" s="9">
        <v>462</v>
      </c>
      <c r="B361" s="9">
        <v>113</v>
      </c>
      <c r="C361" s="9" t="s">
        <v>1717</v>
      </c>
      <c r="D361" s="9" t="s">
        <v>1718</v>
      </c>
      <c r="E361" s="9">
        <v>161</v>
      </c>
      <c r="F361" s="9" t="s">
        <v>352</v>
      </c>
      <c r="G361" s="9">
        <v>0</v>
      </c>
      <c r="H361" s="9"/>
      <c r="I361" s="9" t="s">
        <v>1025</v>
      </c>
      <c r="J361" s="9">
        <v>0</v>
      </c>
      <c r="K361" s="9" t="s">
        <v>699</v>
      </c>
      <c r="L361" s="9" t="str">
        <f t="shared" si="1"/>
        <v>Y</v>
      </c>
    </row>
    <row r="362" spans="1:12">
      <c r="A362" s="9">
        <v>463</v>
      </c>
      <c r="B362" s="9">
        <v>116</v>
      </c>
      <c r="C362" s="9" t="s">
        <v>1719</v>
      </c>
      <c r="D362" s="9" t="s">
        <v>1720</v>
      </c>
      <c r="E362" s="9">
        <v>182</v>
      </c>
      <c r="F362" s="9" t="s">
        <v>1721</v>
      </c>
      <c r="G362" s="9">
        <v>3</v>
      </c>
      <c r="H362" s="9" t="s">
        <v>1164</v>
      </c>
      <c r="I362" s="9" t="s">
        <v>1165</v>
      </c>
      <c r="J362" s="9">
        <v>3</v>
      </c>
      <c r="K362" s="9" t="s">
        <v>1166</v>
      </c>
      <c r="L362" s="9" t="str">
        <f t="shared" si="1"/>
        <v>Y</v>
      </c>
    </row>
    <row r="363" spans="1:12">
      <c r="A363" s="9">
        <v>464</v>
      </c>
      <c r="B363" s="9">
        <v>113</v>
      </c>
      <c r="C363" s="9" t="s">
        <v>1722</v>
      </c>
      <c r="D363" s="9" t="s">
        <v>1723</v>
      </c>
      <c r="E363" s="9">
        <v>164</v>
      </c>
      <c r="F363" s="9" t="s">
        <v>1724</v>
      </c>
      <c r="G363" s="9">
        <v>0</v>
      </c>
      <c r="H363" s="9" t="s">
        <v>904</v>
      </c>
      <c r="I363" s="9" t="s">
        <v>905</v>
      </c>
      <c r="J363" s="9">
        <v>0</v>
      </c>
      <c r="K363" s="9" t="s">
        <v>906</v>
      </c>
      <c r="L363" s="9" t="str">
        <f t="shared" si="1"/>
        <v>Y</v>
      </c>
    </row>
    <row r="364" spans="1:12">
      <c r="A364" s="9">
        <v>465</v>
      </c>
      <c r="B364" s="9">
        <v>110</v>
      </c>
      <c r="C364" s="9" t="s">
        <v>1725</v>
      </c>
      <c r="D364" s="9" t="s">
        <v>1726</v>
      </c>
      <c r="E364" s="9">
        <v>145</v>
      </c>
      <c r="F364" s="9" t="s">
        <v>1724</v>
      </c>
      <c r="G364" s="9">
        <v>0</v>
      </c>
      <c r="H364" s="9" t="s">
        <v>1577</v>
      </c>
      <c r="I364" s="9" t="s">
        <v>1578</v>
      </c>
      <c r="J364" s="9">
        <v>0</v>
      </c>
      <c r="K364" s="9" t="s">
        <v>1099</v>
      </c>
      <c r="L364" s="9" t="str">
        <f t="shared" si="1"/>
        <v>Y</v>
      </c>
    </row>
    <row r="365" spans="1:12">
      <c r="A365" s="9">
        <v>466</v>
      </c>
      <c r="B365" s="9">
        <v>117</v>
      </c>
      <c r="C365" s="9" t="s">
        <v>1727</v>
      </c>
      <c r="D365" s="9" t="s">
        <v>1728</v>
      </c>
      <c r="E365" s="9">
        <v>188</v>
      </c>
      <c r="F365" s="9" t="s">
        <v>1729</v>
      </c>
      <c r="G365" s="9">
        <v>0</v>
      </c>
      <c r="H365" s="9" t="s">
        <v>898</v>
      </c>
      <c r="I365" s="9" t="s">
        <v>899</v>
      </c>
      <c r="J365" s="9">
        <v>0</v>
      </c>
      <c r="K365" s="9" t="s">
        <v>900</v>
      </c>
      <c r="L365" s="9" t="str">
        <f t="shared" si="1"/>
        <v>Y</v>
      </c>
    </row>
    <row r="366" spans="1:12">
      <c r="A366" s="9">
        <v>467</v>
      </c>
      <c r="B366" s="9">
        <v>111</v>
      </c>
      <c r="C366" s="9" t="s">
        <v>1730</v>
      </c>
      <c r="D366" s="9" t="s">
        <v>1731</v>
      </c>
      <c r="E366" s="9">
        <v>151</v>
      </c>
      <c r="F366" s="9" t="s">
        <v>1732</v>
      </c>
      <c r="G366" s="9">
        <v>1</v>
      </c>
      <c r="H366" s="9" t="s">
        <v>1733</v>
      </c>
      <c r="I366" s="9" t="s">
        <v>1734</v>
      </c>
      <c r="J366" s="9">
        <v>1</v>
      </c>
      <c r="K366" s="9" t="s">
        <v>1221</v>
      </c>
      <c r="L366" s="9" t="str">
        <f t="shared" si="1"/>
        <v>Y</v>
      </c>
    </row>
    <row r="367" spans="1:12">
      <c r="A367" s="9">
        <v>468</v>
      </c>
      <c r="B367" s="9">
        <v>115</v>
      </c>
      <c r="C367" s="9" t="s">
        <v>1735</v>
      </c>
      <c r="D367" s="9" t="s">
        <v>20</v>
      </c>
      <c r="E367" s="9">
        <v>173</v>
      </c>
      <c r="F367" s="9" t="s">
        <v>1736</v>
      </c>
      <c r="G367" s="9">
        <v>0</v>
      </c>
      <c r="H367" s="9"/>
      <c r="I367" s="9"/>
      <c r="J367" s="9">
        <v>0</v>
      </c>
      <c r="K367" s="9" t="s">
        <v>699</v>
      </c>
      <c r="L367" s="9" t="str">
        <f t="shared" si="1"/>
        <v>N</v>
      </c>
    </row>
    <row r="368" spans="1:12">
      <c r="A368" s="9">
        <v>469</v>
      </c>
      <c r="B368" s="9">
        <v>117</v>
      </c>
      <c r="C368" s="9" t="s">
        <v>1737</v>
      </c>
      <c r="D368" s="9" t="s">
        <v>20</v>
      </c>
      <c r="E368" s="9">
        <v>185</v>
      </c>
      <c r="F368" s="9" t="s">
        <v>1738</v>
      </c>
      <c r="G368" s="9">
        <v>0</v>
      </c>
      <c r="H368" s="9"/>
      <c r="I368" s="9"/>
      <c r="J368" s="9">
        <v>0</v>
      </c>
      <c r="K368" s="9" t="s">
        <v>699</v>
      </c>
      <c r="L368" s="9" t="str">
        <f t="shared" si="1"/>
        <v>N</v>
      </c>
    </row>
    <row r="369" spans="1:12">
      <c r="A369" s="9">
        <v>470</v>
      </c>
      <c r="B369" s="9">
        <v>112</v>
      </c>
      <c r="C369" s="9" t="s">
        <v>1739</v>
      </c>
      <c r="D369" s="9" t="s">
        <v>1740</v>
      </c>
      <c r="E369" s="9">
        <v>155</v>
      </c>
      <c r="F369" s="9" t="s">
        <v>1741</v>
      </c>
      <c r="G369" s="9">
        <v>0</v>
      </c>
      <c r="H369" s="9" t="s">
        <v>1089</v>
      </c>
      <c r="I369" s="9" t="s">
        <v>1090</v>
      </c>
      <c r="J369" s="9">
        <v>0</v>
      </c>
      <c r="K369" s="9" t="s">
        <v>1091</v>
      </c>
      <c r="L369" s="9" t="str">
        <f t="shared" si="1"/>
        <v>Y</v>
      </c>
    </row>
    <row r="370" spans="1:12">
      <c r="A370" s="9">
        <v>471</v>
      </c>
      <c r="B370" s="9">
        <v>110</v>
      </c>
      <c r="C370" s="9" t="s">
        <v>1742</v>
      </c>
      <c r="D370" s="9" t="s">
        <v>20</v>
      </c>
      <c r="E370" s="9">
        <v>146</v>
      </c>
      <c r="F370" s="9" t="s">
        <v>1741</v>
      </c>
      <c r="G370" s="9">
        <v>0</v>
      </c>
      <c r="J370" s="9">
        <v>0</v>
      </c>
      <c r="K370" s="9" t="s">
        <v>699</v>
      </c>
      <c r="L370" s="9" t="str">
        <f t="shared" si="1"/>
        <v>N</v>
      </c>
    </row>
    <row r="371" spans="1:12">
      <c r="A371" s="9">
        <v>472</v>
      </c>
      <c r="B371" s="9">
        <v>113</v>
      </c>
      <c r="C371" s="9" t="s">
        <v>1743</v>
      </c>
      <c r="D371" s="9" t="s">
        <v>1744</v>
      </c>
      <c r="E371" s="9">
        <v>162</v>
      </c>
      <c r="F371" s="9" t="s">
        <v>1745</v>
      </c>
      <c r="G371" s="9">
        <v>0</v>
      </c>
      <c r="H371" s="9" t="s">
        <v>1746</v>
      </c>
      <c r="I371" s="9" t="s">
        <v>1747</v>
      </c>
      <c r="J371" s="9">
        <v>0</v>
      </c>
      <c r="K371" s="9" t="s">
        <v>1221</v>
      </c>
      <c r="L371" s="9" t="str">
        <f t="shared" si="1"/>
        <v>Y</v>
      </c>
    </row>
    <row r="372" spans="1:12">
      <c r="A372" s="9">
        <v>473</v>
      </c>
      <c r="B372" s="9">
        <v>114</v>
      </c>
      <c r="C372" s="9" t="s">
        <v>1748</v>
      </c>
      <c r="D372" s="9" t="s">
        <v>20</v>
      </c>
      <c r="E372" s="9">
        <v>170</v>
      </c>
      <c r="F372" s="9" t="s">
        <v>1749</v>
      </c>
      <c r="G372" s="9">
        <v>0</v>
      </c>
      <c r="H372" s="9"/>
      <c r="I372" s="9"/>
      <c r="J372" s="9">
        <v>0</v>
      </c>
      <c r="K372" s="9" t="s">
        <v>699</v>
      </c>
      <c r="L372" s="9" t="str">
        <f t="shared" si="1"/>
        <v>N</v>
      </c>
    </row>
    <row r="373" spans="1:12">
      <c r="A373" s="9">
        <v>474</v>
      </c>
      <c r="B373" s="9">
        <v>124</v>
      </c>
      <c r="C373" s="9" t="s">
        <v>1750</v>
      </c>
      <c r="D373" s="9" t="s">
        <v>1751</v>
      </c>
      <c r="E373" s="9">
        <v>235</v>
      </c>
      <c r="F373" s="9" t="s">
        <v>1752</v>
      </c>
      <c r="G373" s="9">
        <v>0</v>
      </c>
      <c r="H373" s="9" t="s">
        <v>1753</v>
      </c>
      <c r="I373" s="9" t="s">
        <v>1754</v>
      </c>
      <c r="J373" s="9">
        <v>0</v>
      </c>
      <c r="K373" s="9" t="s">
        <v>752</v>
      </c>
      <c r="L373" s="9" t="str">
        <f t="shared" si="1"/>
        <v>Y</v>
      </c>
    </row>
    <row r="374" spans="1:12">
      <c r="A374" s="9">
        <v>475</v>
      </c>
      <c r="B374" s="9">
        <v>123</v>
      </c>
      <c r="C374" s="9" t="s">
        <v>1755</v>
      </c>
      <c r="D374" s="9" t="s">
        <v>20</v>
      </c>
      <c r="E374" s="9">
        <v>228</v>
      </c>
      <c r="F374" s="9" t="s">
        <v>1756</v>
      </c>
      <c r="G374" s="9">
        <v>0</v>
      </c>
      <c r="H374" s="9"/>
      <c r="I374" s="9"/>
      <c r="J374" s="9">
        <v>0</v>
      </c>
      <c r="K374" s="9" t="s">
        <v>699</v>
      </c>
      <c r="L374" s="9" t="str">
        <f t="shared" si="1"/>
        <v>N</v>
      </c>
    </row>
    <row r="375" spans="1:12">
      <c r="A375" s="9">
        <v>476</v>
      </c>
      <c r="B375" s="9">
        <v>124</v>
      </c>
      <c r="C375" s="9" t="s">
        <v>1757</v>
      </c>
      <c r="D375" s="9" t="s">
        <v>20</v>
      </c>
      <c r="E375" s="9">
        <v>232</v>
      </c>
      <c r="F375" s="9" t="s">
        <v>585</v>
      </c>
      <c r="G375" s="9">
        <v>0</v>
      </c>
      <c r="H375" s="9"/>
      <c r="I375" s="9"/>
      <c r="J375" s="9">
        <v>0</v>
      </c>
      <c r="K375" s="9" t="s">
        <v>699</v>
      </c>
      <c r="L375" s="9" t="str">
        <f t="shared" si="1"/>
        <v>N</v>
      </c>
    </row>
    <row r="376" spans="1:12">
      <c r="A376" s="9">
        <v>477</v>
      </c>
      <c r="B376" s="9">
        <v>123</v>
      </c>
      <c r="C376" s="9" t="s">
        <v>1758</v>
      </c>
      <c r="D376" s="9" t="s">
        <v>1759</v>
      </c>
      <c r="E376" s="9">
        <v>228</v>
      </c>
      <c r="F376" s="9" t="s">
        <v>1760</v>
      </c>
      <c r="G376" s="9">
        <v>0</v>
      </c>
      <c r="H376" s="9" t="s">
        <v>1761</v>
      </c>
      <c r="I376" s="9" t="s">
        <v>1762</v>
      </c>
      <c r="J376" s="9">
        <v>0</v>
      </c>
      <c r="K376" s="9" t="s">
        <v>1763</v>
      </c>
      <c r="L376" s="9" t="str">
        <f t="shared" si="1"/>
        <v>Y</v>
      </c>
    </row>
    <row r="377" spans="1:12">
      <c r="A377" s="9">
        <v>478</v>
      </c>
      <c r="B377" s="9">
        <v>124</v>
      </c>
      <c r="C377" s="9" t="s">
        <v>1764</v>
      </c>
      <c r="D377" s="9" t="s">
        <v>1765</v>
      </c>
      <c r="E377" s="9">
        <v>235</v>
      </c>
      <c r="F377" s="9" t="s">
        <v>1766</v>
      </c>
      <c r="G377" s="9">
        <v>0</v>
      </c>
      <c r="H377" s="9" t="s">
        <v>1753</v>
      </c>
      <c r="I377" s="9" t="s">
        <v>1754</v>
      </c>
      <c r="J377" s="9">
        <v>0</v>
      </c>
      <c r="K377" s="9" t="s">
        <v>752</v>
      </c>
      <c r="L377" s="9" t="str">
        <f t="shared" si="1"/>
        <v>Y</v>
      </c>
    </row>
    <row r="378" spans="1:12">
      <c r="A378" s="9">
        <v>479</v>
      </c>
      <c r="B378" s="9">
        <v>119</v>
      </c>
      <c r="C378" s="9" t="s">
        <v>1767</v>
      </c>
      <c r="D378" s="9" t="s">
        <v>1768</v>
      </c>
      <c r="E378" s="9">
        <v>202</v>
      </c>
      <c r="F378" s="9" t="s">
        <v>1769</v>
      </c>
      <c r="G378" s="9">
        <v>3</v>
      </c>
      <c r="H378" s="9" t="s">
        <v>1753</v>
      </c>
      <c r="I378" s="9" t="s">
        <v>1754</v>
      </c>
      <c r="J378" s="9">
        <v>3</v>
      </c>
      <c r="K378" s="9" t="s">
        <v>752</v>
      </c>
      <c r="L378" s="9" t="str">
        <f t="shared" si="1"/>
        <v>Y</v>
      </c>
    </row>
    <row r="379" spans="1:12">
      <c r="A379" s="9">
        <v>480</v>
      </c>
      <c r="B379" s="9">
        <v>119</v>
      </c>
      <c r="C379" s="9" t="s">
        <v>1770</v>
      </c>
      <c r="D379" s="9" t="s">
        <v>1771</v>
      </c>
      <c r="E379" s="9">
        <v>203</v>
      </c>
      <c r="F379" s="9" t="s">
        <v>1769</v>
      </c>
      <c r="G379" s="9">
        <v>0</v>
      </c>
      <c r="H379" s="9" t="s">
        <v>1772</v>
      </c>
      <c r="I379" s="9" t="s">
        <v>1773</v>
      </c>
      <c r="J379" s="9">
        <v>0</v>
      </c>
      <c r="K379" s="9" t="s">
        <v>699</v>
      </c>
      <c r="L379" s="9" t="str">
        <f t="shared" si="1"/>
        <v>Y</v>
      </c>
    </row>
    <row r="380" spans="1:12">
      <c r="A380" s="9">
        <v>481</v>
      </c>
      <c r="B380" s="9">
        <v>123</v>
      </c>
      <c r="C380" s="9" t="s">
        <v>1774</v>
      </c>
      <c r="D380" s="9" t="s">
        <v>1775</v>
      </c>
      <c r="E380" s="9">
        <v>228</v>
      </c>
      <c r="F380" s="9" t="s">
        <v>1776</v>
      </c>
      <c r="G380" s="9">
        <v>0</v>
      </c>
      <c r="H380" s="9" t="s">
        <v>1777</v>
      </c>
      <c r="I380" s="9" t="s">
        <v>1778</v>
      </c>
      <c r="J380" s="9">
        <v>0</v>
      </c>
      <c r="K380" s="9" t="s">
        <v>1779</v>
      </c>
      <c r="L380" s="9" t="str">
        <f t="shared" si="1"/>
        <v>Y</v>
      </c>
    </row>
    <row r="381" spans="1:12">
      <c r="A381" s="9">
        <v>482</v>
      </c>
      <c r="B381" s="9">
        <v>119</v>
      </c>
      <c r="C381" s="9" t="s">
        <v>1780</v>
      </c>
      <c r="D381" s="9" t="s">
        <v>1781</v>
      </c>
      <c r="E381" s="9">
        <v>201</v>
      </c>
      <c r="F381" s="9" t="s">
        <v>1782</v>
      </c>
      <c r="G381" s="9">
        <v>0</v>
      </c>
      <c r="H381" s="9" t="s">
        <v>1753</v>
      </c>
      <c r="I381" s="9" t="s">
        <v>1754</v>
      </c>
      <c r="J381" s="9">
        <v>0</v>
      </c>
      <c r="K381" s="9" t="s">
        <v>752</v>
      </c>
      <c r="L381" s="9" t="str">
        <f t="shared" si="1"/>
        <v>Y</v>
      </c>
    </row>
    <row r="382" spans="1:12">
      <c r="A382" s="9">
        <v>483</v>
      </c>
      <c r="B382" s="9">
        <v>125</v>
      </c>
      <c r="C382" s="9" t="s">
        <v>1783</v>
      </c>
      <c r="D382" s="9" t="s">
        <v>20</v>
      </c>
      <c r="E382" s="9">
        <v>239</v>
      </c>
      <c r="F382" s="9" t="s">
        <v>1784</v>
      </c>
      <c r="G382" s="9">
        <v>0</v>
      </c>
      <c r="H382" s="9"/>
      <c r="I382" s="9"/>
      <c r="J382" s="9">
        <v>0</v>
      </c>
      <c r="K382" s="9" t="s">
        <v>699</v>
      </c>
      <c r="L382" s="9" t="str">
        <f t="shared" si="1"/>
        <v>N</v>
      </c>
    </row>
    <row r="383" spans="1:12">
      <c r="A383" s="9">
        <v>484</v>
      </c>
      <c r="B383" s="9">
        <v>119</v>
      </c>
      <c r="C383" s="9" t="s">
        <v>1785</v>
      </c>
      <c r="D383" s="9" t="s">
        <v>1786</v>
      </c>
      <c r="E383" s="9">
        <v>203</v>
      </c>
      <c r="F383" s="9" t="s">
        <v>1787</v>
      </c>
      <c r="G383" s="9">
        <v>0</v>
      </c>
      <c r="H383" s="9" t="s">
        <v>1753</v>
      </c>
      <c r="I383" s="9" t="s">
        <v>1754</v>
      </c>
      <c r="J383" s="9">
        <v>0</v>
      </c>
      <c r="K383" s="9" t="s">
        <v>752</v>
      </c>
      <c r="L383" s="9" t="str">
        <f t="shared" si="1"/>
        <v>Y</v>
      </c>
    </row>
    <row r="384" spans="1:12">
      <c r="A384" s="9">
        <v>485</v>
      </c>
      <c r="B384" s="9">
        <v>123</v>
      </c>
      <c r="C384" s="9" t="s">
        <v>1788</v>
      </c>
      <c r="D384" s="9" t="s">
        <v>1789</v>
      </c>
      <c r="E384" s="9">
        <v>228</v>
      </c>
      <c r="F384" s="9" t="s">
        <v>1790</v>
      </c>
      <c r="G384" s="9">
        <v>0</v>
      </c>
      <c r="H384" s="9" t="s">
        <v>1791</v>
      </c>
      <c r="I384" s="9" t="s">
        <v>1792</v>
      </c>
      <c r="J384" s="9">
        <v>0</v>
      </c>
      <c r="K384" s="9" t="s">
        <v>1793</v>
      </c>
      <c r="L384" s="9" t="str">
        <f t="shared" si="1"/>
        <v>Y</v>
      </c>
    </row>
    <row r="385" spans="1:12">
      <c r="A385" s="9">
        <v>486</v>
      </c>
      <c r="B385" s="9">
        <v>123</v>
      </c>
      <c r="C385" s="9" t="s">
        <v>1794</v>
      </c>
      <c r="D385" s="9" t="s">
        <v>1795</v>
      </c>
      <c r="E385" s="9">
        <v>226</v>
      </c>
      <c r="F385" s="9" t="s">
        <v>1796</v>
      </c>
      <c r="G385" s="9">
        <v>0</v>
      </c>
      <c r="H385" s="9" t="s">
        <v>1753</v>
      </c>
      <c r="I385" s="9" t="s">
        <v>1754</v>
      </c>
      <c r="J385" s="9">
        <v>0</v>
      </c>
      <c r="K385" s="9" t="s">
        <v>752</v>
      </c>
      <c r="L385" s="9" t="str">
        <f t="shared" si="1"/>
        <v>Y</v>
      </c>
    </row>
    <row r="386" spans="1:12">
      <c r="A386" s="9">
        <v>487</v>
      </c>
      <c r="B386" s="9">
        <v>119</v>
      </c>
      <c r="C386" s="9" t="s">
        <v>1797</v>
      </c>
      <c r="D386" s="9" t="s">
        <v>1798</v>
      </c>
      <c r="E386" s="9">
        <v>202</v>
      </c>
      <c r="F386" s="9" t="s">
        <v>1799</v>
      </c>
      <c r="G386" s="9">
        <v>0</v>
      </c>
      <c r="H386" s="9" t="s">
        <v>1800</v>
      </c>
      <c r="I386" s="9" t="s">
        <v>1801</v>
      </c>
      <c r="J386" s="9">
        <v>0</v>
      </c>
      <c r="K386" s="9" t="s">
        <v>1802</v>
      </c>
      <c r="L386" s="9" t="str">
        <f t="shared" si="1"/>
        <v>Y</v>
      </c>
    </row>
    <row r="387" spans="1:12">
      <c r="A387" s="9">
        <v>488</v>
      </c>
      <c r="B387" s="9">
        <v>123</v>
      </c>
      <c r="C387" s="9" t="s">
        <v>1803</v>
      </c>
      <c r="D387" s="9" t="s">
        <v>1804</v>
      </c>
      <c r="E387" s="9">
        <v>226</v>
      </c>
      <c r="F387" s="9" t="s">
        <v>558</v>
      </c>
      <c r="G387" s="9">
        <v>1</v>
      </c>
      <c r="H387" s="9" t="s">
        <v>1753</v>
      </c>
      <c r="I387" s="9" t="s">
        <v>1754</v>
      </c>
      <c r="J387" s="9">
        <v>1</v>
      </c>
      <c r="K387" s="9" t="s">
        <v>752</v>
      </c>
      <c r="L387" s="9" t="str">
        <f t="shared" si="1"/>
        <v>Y</v>
      </c>
    </row>
    <row r="388" spans="1:12">
      <c r="A388" s="9">
        <v>489</v>
      </c>
      <c r="B388" s="9">
        <v>123</v>
      </c>
      <c r="C388" s="9" t="s">
        <v>1805</v>
      </c>
      <c r="D388" s="9" t="s">
        <v>20</v>
      </c>
      <c r="E388" s="9">
        <v>228</v>
      </c>
      <c r="F388" s="9" t="s">
        <v>1806</v>
      </c>
      <c r="G388" s="9">
        <v>0</v>
      </c>
      <c r="J388" s="9">
        <v>0</v>
      </c>
      <c r="K388" s="9" t="s">
        <v>699</v>
      </c>
      <c r="L388" s="9" t="str">
        <f t="shared" si="1"/>
        <v>N</v>
      </c>
    </row>
    <row r="389" spans="1:12">
      <c r="A389" s="9">
        <v>490</v>
      </c>
      <c r="B389" s="9">
        <v>125</v>
      </c>
      <c r="C389" s="9" t="s">
        <v>1807</v>
      </c>
      <c r="D389" s="9" t="s">
        <v>20</v>
      </c>
      <c r="E389" s="9">
        <v>238</v>
      </c>
      <c r="F389" s="9" t="s">
        <v>1808</v>
      </c>
      <c r="G389" s="9">
        <v>0</v>
      </c>
      <c r="H389" s="9"/>
      <c r="I389" s="9"/>
      <c r="J389" s="9">
        <v>0</v>
      </c>
      <c r="K389" s="9" t="s">
        <v>699</v>
      </c>
      <c r="L389" s="9" t="str">
        <f t="shared" si="1"/>
        <v>N</v>
      </c>
    </row>
    <row r="390" spans="1:12">
      <c r="A390" s="9">
        <v>491</v>
      </c>
      <c r="B390" s="9">
        <v>125</v>
      </c>
      <c r="C390" s="9" t="s">
        <v>1809</v>
      </c>
      <c r="D390" s="9" t="s">
        <v>20</v>
      </c>
      <c r="E390" s="9">
        <v>239</v>
      </c>
      <c r="F390" s="9" t="s">
        <v>1810</v>
      </c>
      <c r="G390" s="9">
        <v>0</v>
      </c>
      <c r="J390" s="9">
        <v>0</v>
      </c>
      <c r="K390" s="9" t="s">
        <v>699</v>
      </c>
      <c r="L390" s="9" t="str">
        <f t="shared" si="1"/>
        <v>N</v>
      </c>
    </row>
    <row r="391" spans="1:12">
      <c r="A391" s="9">
        <v>492</v>
      </c>
      <c r="B391" s="9">
        <v>122</v>
      </c>
      <c r="C391" s="9" t="s">
        <v>1811</v>
      </c>
      <c r="D391" s="9" t="s">
        <v>20</v>
      </c>
      <c r="E391" s="9">
        <v>220</v>
      </c>
      <c r="F391" s="9" t="s">
        <v>1812</v>
      </c>
      <c r="G391" s="9">
        <v>0</v>
      </c>
      <c r="H391" s="9"/>
      <c r="I391" s="9"/>
      <c r="J391" s="9">
        <v>0</v>
      </c>
      <c r="K391" s="9" t="s">
        <v>699</v>
      </c>
      <c r="L391" s="9" t="str">
        <f t="shared" si="1"/>
        <v>N</v>
      </c>
    </row>
    <row r="392" spans="1:12">
      <c r="A392" s="9">
        <v>493</v>
      </c>
      <c r="B392" s="9">
        <v>123</v>
      </c>
      <c r="C392" s="9" t="s">
        <v>1813</v>
      </c>
      <c r="D392" s="9" t="s">
        <v>20</v>
      </c>
      <c r="E392" s="9">
        <v>228</v>
      </c>
      <c r="F392" s="9" t="s">
        <v>1814</v>
      </c>
      <c r="G392" s="9">
        <v>0</v>
      </c>
      <c r="J392" s="9">
        <v>0</v>
      </c>
      <c r="K392" s="9" t="s">
        <v>699</v>
      </c>
      <c r="L392" s="9" t="str">
        <f t="shared" si="1"/>
        <v>N</v>
      </c>
    </row>
    <row r="393" spans="1:12">
      <c r="A393" s="9">
        <v>494</v>
      </c>
      <c r="B393" s="9">
        <v>121</v>
      </c>
      <c r="C393" s="9" t="s">
        <v>1815</v>
      </c>
      <c r="D393" s="9" t="s">
        <v>1816</v>
      </c>
      <c r="E393" s="9">
        <v>215</v>
      </c>
      <c r="F393" s="9" t="s">
        <v>1817</v>
      </c>
      <c r="G393" s="9">
        <v>3</v>
      </c>
      <c r="H393" s="9" t="s">
        <v>1818</v>
      </c>
      <c r="I393" s="9" t="s">
        <v>1819</v>
      </c>
      <c r="J393" s="9">
        <v>3</v>
      </c>
      <c r="K393" s="9" t="s">
        <v>1820</v>
      </c>
      <c r="L393" s="9" t="str">
        <f t="shared" si="1"/>
        <v>Y</v>
      </c>
    </row>
    <row r="394" spans="1:12">
      <c r="A394" s="9">
        <v>495</v>
      </c>
      <c r="B394" s="9">
        <v>123</v>
      </c>
      <c r="C394" s="9" t="s">
        <v>1821</v>
      </c>
      <c r="D394" s="9" t="s">
        <v>1822</v>
      </c>
      <c r="E394" s="9">
        <v>228</v>
      </c>
      <c r="F394" s="9" t="s">
        <v>1823</v>
      </c>
      <c r="G394" s="9">
        <v>0</v>
      </c>
      <c r="H394" s="9" t="s">
        <v>1824</v>
      </c>
      <c r="I394" s="9" t="s">
        <v>1825</v>
      </c>
      <c r="J394" s="9">
        <v>0</v>
      </c>
      <c r="K394" s="9" t="s">
        <v>1826</v>
      </c>
      <c r="L394" s="9" t="str">
        <f t="shared" si="1"/>
        <v>Y</v>
      </c>
    </row>
    <row r="395" spans="1:12">
      <c r="A395" s="9">
        <v>496</v>
      </c>
      <c r="B395" s="9">
        <v>125</v>
      </c>
      <c r="C395" s="9" t="s">
        <v>1827</v>
      </c>
      <c r="D395" s="9" t="s">
        <v>1828</v>
      </c>
      <c r="E395" s="9">
        <v>239</v>
      </c>
      <c r="F395" s="9" t="s">
        <v>1829</v>
      </c>
      <c r="G395" s="9">
        <v>0</v>
      </c>
      <c r="H395" s="9"/>
      <c r="I395" s="9" t="s">
        <v>1830</v>
      </c>
      <c r="J395" s="9">
        <v>0</v>
      </c>
      <c r="K395" s="9" t="s">
        <v>699</v>
      </c>
      <c r="L395" s="9" t="str">
        <f t="shared" si="1"/>
        <v>Y</v>
      </c>
    </row>
    <row r="396" spans="1:12">
      <c r="A396" s="9">
        <v>497</v>
      </c>
      <c r="B396" s="9">
        <v>123</v>
      </c>
      <c r="C396" s="9" t="s">
        <v>1831</v>
      </c>
      <c r="D396" s="9" t="s">
        <v>1832</v>
      </c>
      <c r="E396" s="9">
        <v>228</v>
      </c>
      <c r="F396" s="9" t="s">
        <v>1833</v>
      </c>
      <c r="G396" s="9">
        <v>0</v>
      </c>
      <c r="H396" s="9" t="s">
        <v>1753</v>
      </c>
      <c r="I396" s="9" t="s">
        <v>1754</v>
      </c>
      <c r="J396" s="9">
        <v>0</v>
      </c>
      <c r="K396" s="9" t="s">
        <v>752</v>
      </c>
      <c r="L396" s="9" t="str">
        <f t="shared" si="1"/>
        <v>Y</v>
      </c>
    </row>
    <row r="397" spans="1:12">
      <c r="A397" s="9">
        <v>498</v>
      </c>
      <c r="B397" s="9">
        <v>119</v>
      </c>
      <c r="C397" s="9" t="s">
        <v>1834</v>
      </c>
      <c r="D397" s="9" t="s">
        <v>1835</v>
      </c>
      <c r="E397" s="9">
        <v>203</v>
      </c>
      <c r="F397" s="9" t="s">
        <v>1836</v>
      </c>
      <c r="G397" s="9">
        <v>0</v>
      </c>
      <c r="H397" s="9" t="s">
        <v>1837</v>
      </c>
      <c r="I397" s="9" t="s">
        <v>1838</v>
      </c>
      <c r="J397" s="9">
        <v>0</v>
      </c>
      <c r="K397" s="9" t="s">
        <v>1839</v>
      </c>
      <c r="L397" s="9" t="str">
        <f t="shared" si="1"/>
        <v>Y</v>
      </c>
    </row>
    <row r="398" spans="1:12">
      <c r="A398" s="9">
        <v>499</v>
      </c>
      <c r="B398" s="9">
        <v>120</v>
      </c>
      <c r="C398" s="9" t="s">
        <v>1840</v>
      </c>
      <c r="D398" s="9" t="s">
        <v>20</v>
      </c>
      <c r="E398" s="9">
        <v>207</v>
      </c>
      <c r="F398" s="9" t="s">
        <v>1836</v>
      </c>
      <c r="G398" s="9">
        <v>0</v>
      </c>
      <c r="I398" s="9"/>
      <c r="J398" s="9">
        <v>0</v>
      </c>
      <c r="K398" s="9" t="s">
        <v>699</v>
      </c>
      <c r="L398" s="9" t="str">
        <f t="shared" si="1"/>
        <v>N</v>
      </c>
    </row>
    <row r="399" spans="1:12">
      <c r="A399" s="9">
        <v>500</v>
      </c>
      <c r="B399" s="9">
        <v>120</v>
      </c>
      <c r="C399" s="9" t="s">
        <v>1841</v>
      </c>
      <c r="D399" s="9" t="s">
        <v>20</v>
      </c>
      <c r="E399" s="9">
        <v>209</v>
      </c>
      <c r="F399" s="9" t="s">
        <v>1842</v>
      </c>
      <c r="G399" s="9">
        <v>0</v>
      </c>
      <c r="H399" s="9"/>
      <c r="I399" s="9"/>
      <c r="J399" s="9">
        <v>0</v>
      </c>
      <c r="K399" s="9" t="s">
        <v>699</v>
      </c>
      <c r="L399" s="9" t="str">
        <f t="shared" si="1"/>
        <v>N</v>
      </c>
    </row>
    <row r="400" spans="1:12">
      <c r="A400" s="9">
        <v>501</v>
      </c>
      <c r="B400" s="9">
        <v>119</v>
      </c>
      <c r="C400" s="9" t="s">
        <v>1843</v>
      </c>
      <c r="D400" s="9" t="s">
        <v>1844</v>
      </c>
      <c r="E400" s="9">
        <v>201</v>
      </c>
      <c r="F400" s="9" t="s">
        <v>1845</v>
      </c>
      <c r="G400" s="9">
        <v>0</v>
      </c>
      <c r="H400" s="9" t="s">
        <v>1837</v>
      </c>
      <c r="I400" s="9" t="s">
        <v>1838</v>
      </c>
      <c r="J400" s="9">
        <v>0</v>
      </c>
      <c r="K400" s="9" t="s">
        <v>1839</v>
      </c>
      <c r="L400" s="9" t="str">
        <f t="shared" si="1"/>
        <v>Y</v>
      </c>
    </row>
    <row r="401" spans="1:12">
      <c r="A401" s="9">
        <v>502</v>
      </c>
      <c r="B401" s="9">
        <v>123</v>
      </c>
      <c r="C401" s="9" t="s">
        <v>1846</v>
      </c>
      <c r="D401" s="9" t="s">
        <v>20</v>
      </c>
      <c r="E401" s="9">
        <v>227</v>
      </c>
      <c r="F401" s="9" t="s">
        <v>1847</v>
      </c>
      <c r="G401" s="9">
        <v>0</v>
      </c>
      <c r="J401" s="9">
        <v>0</v>
      </c>
      <c r="K401" s="9" t="s">
        <v>699</v>
      </c>
      <c r="L401" s="9" t="str">
        <f t="shared" si="1"/>
        <v>N</v>
      </c>
    </row>
    <row r="402" spans="1:12">
      <c r="A402" s="9">
        <v>503</v>
      </c>
      <c r="B402" s="9">
        <v>123</v>
      </c>
      <c r="C402" s="9" t="s">
        <v>1848</v>
      </c>
      <c r="D402" s="9" t="s">
        <v>1849</v>
      </c>
      <c r="E402" s="9">
        <v>228</v>
      </c>
      <c r="F402" s="9" t="s">
        <v>1850</v>
      </c>
      <c r="G402" s="9">
        <v>0</v>
      </c>
      <c r="H402" s="9" t="s">
        <v>1753</v>
      </c>
      <c r="I402" s="9" t="s">
        <v>1754</v>
      </c>
      <c r="J402" s="9">
        <v>0</v>
      </c>
      <c r="K402" s="9" t="s">
        <v>752</v>
      </c>
      <c r="L402" s="9" t="str">
        <f t="shared" si="1"/>
        <v>Y</v>
      </c>
    </row>
    <row r="403" spans="1:12">
      <c r="A403" s="9">
        <v>504</v>
      </c>
      <c r="B403" s="9">
        <v>120</v>
      </c>
      <c r="C403" s="9" t="s">
        <v>1851</v>
      </c>
      <c r="D403" s="9" t="s">
        <v>1852</v>
      </c>
      <c r="E403" s="9">
        <v>207</v>
      </c>
      <c r="F403" s="9" t="s">
        <v>1853</v>
      </c>
      <c r="G403" s="9">
        <v>0</v>
      </c>
      <c r="H403" s="9" t="s">
        <v>1854</v>
      </c>
      <c r="I403" s="9" t="s">
        <v>1855</v>
      </c>
      <c r="J403" s="9">
        <v>0</v>
      </c>
      <c r="K403" s="9" t="s">
        <v>1820</v>
      </c>
      <c r="L403" s="9" t="str">
        <f t="shared" si="1"/>
        <v>Y</v>
      </c>
    </row>
    <row r="404" spans="1:12">
      <c r="A404" s="9">
        <v>505</v>
      </c>
      <c r="B404" s="9">
        <v>123</v>
      </c>
      <c r="C404" s="9" t="s">
        <v>1856</v>
      </c>
      <c r="D404" s="9" t="s">
        <v>20</v>
      </c>
      <c r="E404" s="9">
        <v>226</v>
      </c>
      <c r="F404" s="9" t="s">
        <v>1857</v>
      </c>
      <c r="G404" s="9">
        <v>0</v>
      </c>
      <c r="H404" s="9"/>
      <c r="I404" s="9"/>
      <c r="J404" s="9">
        <v>0</v>
      </c>
      <c r="K404" s="9" t="s">
        <v>699</v>
      </c>
      <c r="L404" s="9" t="str">
        <f t="shared" si="1"/>
        <v>N</v>
      </c>
    </row>
    <row r="405" spans="1:12">
      <c r="A405" s="9">
        <v>506</v>
      </c>
      <c r="B405" s="9">
        <v>119</v>
      </c>
      <c r="C405" s="9" t="s">
        <v>1858</v>
      </c>
      <c r="D405" s="9" t="s">
        <v>1859</v>
      </c>
      <c r="E405" s="9">
        <v>201</v>
      </c>
      <c r="F405" s="9" t="s">
        <v>1860</v>
      </c>
      <c r="G405" s="9">
        <v>0</v>
      </c>
      <c r="H405" s="9" t="s">
        <v>1837</v>
      </c>
      <c r="I405" s="9" t="s">
        <v>1838</v>
      </c>
      <c r="J405" s="9">
        <v>0</v>
      </c>
      <c r="K405" s="9" t="s">
        <v>1839</v>
      </c>
      <c r="L405" s="9" t="str">
        <f t="shared" si="1"/>
        <v>Y</v>
      </c>
    </row>
    <row r="406" spans="1:12">
      <c r="A406" s="9">
        <v>507</v>
      </c>
      <c r="B406" s="9">
        <v>118</v>
      </c>
      <c r="C406" s="9" t="s">
        <v>1861</v>
      </c>
      <c r="D406" s="9" t="s">
        <v>1862</v>
      </c>
      <c r="E406" s="9">
        <v>193</v>
      </c>
      <c r="F406" s="9" t="s">
        <v>1863</v>
      </c>
      <c r="G406" s="9">
        <v>1</v>
      </c>
      <c r="H406" s="9" t="s">
        <v>1772</v>
      </c>
      <c r="I406" s="9" t="s">
        <v>1773</v>
      </c>
      <c r="J406" s="9">
        <v>1</v>
      </c>
      <c r="K406" s="9" t="s">
        <v>699</v>
      </c>
      <c r="L406" s="9" t="str">
        <f t="shared" si="1"/>
        <v>Y</v>
      </c>
    </row>
    <row r="407" spans="1:12">
      <c r="A407" s="9">
        <v>508</v>
      </c>
      <c r="B407" s="9">
        <v>120</v>
      </c>
      <c r="C407" s="9" t="s">
        <v>1864</v>
      </c>
      <c r="D407" s="9" t="s">
        <v>20</v>
      </c>
      <c r="E407" s="9">
        <v>209</v>
      </c>
      <c r="F407" s="9" t="s">
        <v>561</v>
      </c>
      <c r="G407" s="9">
        <v>0</v>
      </c>
      <c r="H407" s="9"/>
      <c r="I407" s="9"/>
      <c r="J407" s="9">
        <v>0</v>
      </c>
      <c r="K407" s="9" t="s">
        <v>699</v>
      </c>
      <c r="L407" s="9" t="str">
        <f t="shared" si="1"/>
        <v>N</v>
      </c>
    </row>
    <row r="408" spans="1:12">
      <c r="A408" s="9">
        <v>509</v>
      </c>
      <c r="B408" s="9">
        <v>126</v>
      </c>
      <c r="C408" s="9" t="s">
        <v>1865</v>
      </c>
      <c r="D408" s="9" t="s">
        <v>20</v>
      </c>
      <c r="E408" s="9">
        <v>244</v>
      </c>
      <c r="F408" s="9" t="s">
        <v>1866</v>
      </c>
      <c r="G408" s="9">
        <v>0</v>
      </c>
      <c r="H408" s="9"/>
      <c r="I408" s="9"/>
      <c r="J408" s="9">
        <v>0</v>
      </c>
      <c r="K408" s="9" t="s">
        <v>699</v>
      </c>
      <c r="L408" s="9" t="str">
        <f t="shared" si="1"/>
        <v>N</v>
      </c>
    </row>
    <row r="409" spans="1:12">
      <c r="A409" s="9">
        <v>510</v>
      </c>
      <c r="B409" s="9">
        <v>123</v>
      </c>
      <c r="C409" s="9" t="s">
        <v>1867</v>
      </c>
      <c r="D409" s="9" t="s">
        <v>20</v>
      </c>
      <c r="E409" s="9">
        <v>226</v>
      </c>
      <c r="F409" s="9" t="s">
        <v>1868</v>
      </c>
      <c r="G409" s="9">
        <v>0</v>
      </c>
      <c r="H409" s="9"/>
      <c r="I409" s="9"/>
      <c r="J409" s="9">
        <v>0</v>
      </c>
      <c r="K409" s="9" t="s">
        <v>699</v>
      </c>
      <c r="L409" s="9" t="str">
        <f t="shared" si="1"/>
        <v>N</v>
      </c>
    </row>
    <row r="410" spans="1:12">
      <c r="A410" s="9">
        <v>511</v>
      </c>
      <c r="B410" s="9">
        <v>121</v>
      </c>
      <c r="C410" s="9" t="s">
        <v>1869</v>
      </c>
      <c r="D410" s="9" t="s">
        <v>1870</v>
      </c>
      <c r="E410" s="9">
        <v>215</v>
      </c>
      <c r="F410" s="9" t="s">
        <v>1871</v>
      </c>
      <c r="G410" s="9">
        <v>3</v>
      </c>
      <c r="H410" s="9" t="s">
        <v>1872</v>
      </c>
      <c r="I410" s="9" t="s">
        <v>1873</v>
      </c>
      <c r="J410" s="9">
        <v>3</v>
      </c>
      <c r="K410" s="9" t="s">
        <v>1874</v>
      </c>
      <c r="L410" s="9" t="str">
        <f t="shared" si="1"/>
        <v>Y</v>
      </c>
    </row>
    <row r="411" spans="1:12">
      <c r="A411" s="9">
        <v>512</v>
      </c>
      <c r="B411" s="9">
        <v>119</v>
      </c>
      <c r="C411" s="9" t="s">
        <v>1875</v>
      </c>
      <c r="D411" s="9" t="s">
        <v>1876</v>
      </c>
      <c r="E411" s="9">
        <v>203</v>
      </c>
      <c r="F411" s="9" t="s">
        <v>1877</v>
      </c>
      <c r="G411" s="9">
        <v>0</v>
      </c>
      <c r="H411" s="9" t="s">
        <v>1837</v>
      </c>
      <c r="I411" s="9" t="s">
        <v>1838</v>
      </c>
      <c r="J411" s="9">
        <v>0</v>
      </c>
      <c r="K411" s="9" t="s">
        <v>1839</v>
      </c>
      <c r="L411" s="9" t="str">
        <f t="shared" si="1"/>
        <v>Y</v>
      </c>
    </row>
    <row r="412" spans="1:12">
      <c r="A412" s="9">
        <v>513</v>
      </c>
      <c r="B412" s="9">
        <v>126</v>
      </c>
      <c r="C412" s="9" t="s">
        <v>1878</v>
      </c>
      <c r="D412" s="9" t="s">
        <v>20</v>
      </c>
      <c r="E412" s="9">
        <v>245</v>
      </c>
      <c r="F412" s="9" t="s">
        <v>1879</v>
      </c>
      <c r="G412" s="9">
        <v>0</v>
      </c>
      <c r="J412" s="9">
        <v>0</v>
      </c>
      <c r="K412" s="9" t="s">
        <v>699</v>
      </c>
      <c r="L412" s="9" t="str">
        <f t="shared" si="1"/>
        <v>N</v>
      </c>
    </row>
    <row r="413" spans="1:12">
      <c r="A413" s="9">
        <v>514</v>
      </c>
      <c r="B413" s="9">
        <v>123</v>
      </c>
      <c r="C413" s="9" t="s">
        <v>1880</v>
      </c>
      <c r="D413" s="9" t="s">
        <v>1881</v>
      </c>
      <c r="E413" s="9">
        <v>228</v>
      </c>
      <c r="F413" s="9" t="s">
        <v>1882</v>
      </c>
      <c r="G413" s="9">
        <v>0</v>
      </c>
      <c r="H413" s="9" t="s">
        <v>1883</v>
      </c>
      <c r="I413" s="9" t="s">
        <v>1884</v>
      </c>
      <c r="J413" s="9">
        <v>0</v>
      </c>
      <c r="K413" s="9" t="s">
        <v>1885</v>
      </c>
      <c r="L413" s="9" t="str">
        <f t="shared" si="1"/>
        <v>Y</v>
      </c>
    </row>
    <row r="414" spans="1:12">
      <c r="A414" s="9">
        <v>515</v>
      </c>
      <c r="B414" s="9">
        <v>119</v>
      </c>
      <c r="C414" s="9" t="s">
        <v>1886</v>
      </c>
      <c r="D414" s="9" t="s">
        <v>1887</v>
      </c>
      <c r="E414" s="9">
        <v>203</v>
      </c>
      <c r="F414" s="9" t="s">
        <v>564</v>
      </c>
      <c r="G414" s="9">
        <v>0</v>
      </c>
      <c r="H414" s="9" t="s">
        <v>1837</v>
      </c>
      <c r="I414" s="9" t="s">
        <v>1838</v>
      </c>
      <c r="J414" s="9">
        <v>0</v>
      </c>
      <c r="K414" s="9" t="s">
        <v>1839</v>
      </c>
      <c r="L414" s="9" t="str">
        <f t="shared" si="1"/>
        <v>Y</v>
      </c>
    </row>
    <row r="415" spans="1:12">
      <c r="A415" s="9">
        <v>516</v>
      </c>
      <c r="B415" s="9">
        <v>122</v>
      </c>
      <c r="C415" s="9" t="s">
        <v>1888</v>
      </c>
      <c r="D415" s="9" t="s">
        <v>1889</v>
      </c>
      <c r="E415" s="9">
        <v>221</v>
      </c>
      <c r="F415" s="9" t="s">
        <v>1890</v>
      </c>
      <c r="G415" s="9">
        <v>0</v>
      </c>
      <c r="H415" s="9" t="s">
        <v>1891</v>
      </c>
      <c r="I415" s="9" t="s">
        <v>1892</v>
      </c>
      <c r="J415" s="9">
        <v>0</v>
      </c>
      <c r="K415" s="9" t="s">
        <v>1893</v>
      </c>
      <c r="L415" s="9" t="str">
        <f t="shared" si="1"/>
        <v>Y</v>
      </c>
    </row>
    <row r="416" spans="1:12">
      <c r="A416" s="9">
        <v>517</v>
      </c>
      <c r="B416" s="9">
        <v>123</v>
      </c>
      <c r="C416" s="9" t="s">
        <v>1894</v>
      </c>
      <c r="D416" s="9" t="s">
        <v>1895</v>
      </c>
      <c r="E416" s="9">
        <v>226</v>
      </c>
      <c r="F416" s="9" t="s">
        <v>1896</v>
      </c>
      <c r="G416" s="9">
        <v>0</v>
      </c>
      <c r="H416" s="9" t="s">
        <v>1777</v>
      </c>
      <c r="I416" s="9" t="s">
        <v>1778</v>
      </c>
      <c r="J416" s="9">
        <v>0</v>
      </c>
      <c r="K416" s="9" t="s">
        <v>1779</v>
      </c>
      <c r="L416" s="9" t="str">
        <f t="shared" si="1"/>
        <v>Y</v>
      </c>
    </row>
    <row r="417" spans="1:12">
      <c r="A417" s="9">
        <v>518</v>
      </c>
      <c r="B417" s="9">
        <v>121</v>
      </c>
      <c r="C417" s="9" t="s">
        <v>1897</v>
      </c>
      <c r="D417" s="9" t="s">
        <v>20</v>
      </c>
      <c r="E417" s="9">
        <v>216</v>
      </c>
      <c r="F417" s="9" t="s">
        <v>1898</v>
      </c>
      <c r="G417" s="9">
        <v>0</v>
      </c>
      <c r="H417" s="9"/>
      <c r="I417" s="9"/>
      <c r="J417" s="9">
        <v>0</v>
      </c>
      <c r="K417" s="9" t="s">
        <v>699</v>
      </c>
      <c r="L417" s="9" t="str">
        <f t="shared" si="1"/>
        <v>N</v>
      </c>
    </row>
    <row r="418" spans="1:12">
      <c r="A418" s="9">
        <v>519</v>
      </c>
      <c r="B418" s="9">
        <v>123</v>
      </c>
      <c r="C418" s="9" t="s">
        <v>1899</v>
      </c>
      <c r="D418" s="9" t="s">
        <v>1900</v>
      </c>
      <c r="E418" s="9">
        <v>228</v>
      </c>
      <c r="F418" s="9" t="s">
        <v>1901</v>
      </c>
      <c r="G418" s="9">
        <v>0</v>
      </c>
      <c r="H418" s="9" t="s">
        <v>1883</v>
      </c>
      <c r="I418" s="9" t="s">
        <v>1884</v>
      </c>
      <c r="J418" s="9">
        <v>0</v>
      </c>
      <c r="K418" s="9" t="s">
        <v>1885</v>
      </c>
      <c r="L418" s="9" t="str">
        <f t="shared" si="1"/>
        <v>Y</v>
      </c>
    </row>
    <row r="419" spans="1:12">
      <c r="A419" s="9">
        <v>520</v>
      </c>
      <c r="B419" s="9">
        <v>119</v>
      </c>
      <c r="C419" s="9" t="s">
        <v>1902</v>
      </c>
      <c r="D419" s="9" t="s">
        <v>20</v>
      </c>
      <c r="E419" s="9">
        <v>201</v>
      </c>
      <c r="F419" s="9" t="s">
        <v>1903</v>
      </c>
      <c r="G419" s="9">
        <v>0</v>
      </c>
      <c r="J419" s="9">
        <v>0</v>
      </c>
      <c r="K419" s="9" t="s">
        <v>699</v>
      </c>
      <c r="L419" s="9" t="str">
        <f t="shared" si="1"/>
        <v>N</v>
      </c>
    </row>
    <row r="420" spans="1:12">
      <c r="A420" s="9">
        <v>521</v>
      </c>
      <c r="B420" s="9">
        <v>121</v>
      </c>
      <c r="C420" s="9" t="s">
        <v>1904</v>
      </c>
      <c r="D420" s="9" t="s">
        <v>20</v>
      </c>
      <c r="E420" s="9">
        <v>216</v>
      </c>
      <c r="F420" s="9" t="s">
        <v>1905</v>
      </c>
      <c r="G420" s="9">
        <v>0</v>
      </c>
      <c r="H420" s="9"/>
      <c r="I420" s="9"/>
      <c r="J420" s="9">
        <v>0</v>
      </c>
      <c r="K420" s="9" t="s">
        <v>699</v>
      </c>
      <c r="L420" s="9" t="str">
        <f t="shared" si="1"/>
        <v>N</v>
      </c>
    </row>
    <row r="421" spans="1:12">
      <c r="A421" s="9">
        <v>522</v>
      </c>
      <c r="B421" s="9">
        <v>120</v>
      </c>
      <c r="C421" s="9" t="s">
        <v>1906</v>
      </c>
      <c r="D421" s="9" t="s">
        <v>1907</v>
      </c>
      <c r="E421" s="9">
        <v>211</v>
      </c>
      <c r="F421" s="9" t="s">
        <v>1908</v>
      </c>
      <c r="G421" s="9">
        <v>1</v>
      </c>
      <c r="H421" s="9" t="s">
        <v>1909</v>
      </c>
      <c r="I421" s="9" t="s">
        <v>1910</v>
      </c>
      <c r="J421" s="9">
        <v>1</v>
      </c>
      <c r="K421" s="9" t="s">
        <v>1911</v>
      </c>
      <c r="L421" s="9" t="str">
        <f t="shared" si="1"/>
        <v>Y</v>
      </c>
    </row>
    <row r="422" spans="1:12">
      <c r="A422" s="9">
        <v>523</v>
      </c>
      <c r="B422" s="9">
        <v>122</v>
      </c>
      <c r="C422" s="9" t="s">
        <v>1912</v>
      </c>
      <c r="D422" s="9" t="s">
        <v>1913</v>
      </c>
      <c r="E422" s="9">
        <v>221</v>
      </c>
      <c r="F422" s="9" t="s">
        <v>1914</v>
      </c>
      <c r="G422" s="9">
        <v>0</v>
      </c>
      <c r="H422" s="9" t="s">
        <v>1891</v>
      </c>
      <c r="I422" s="9" t="s">
        <v>1892</v>
      </c>
      <c r="J422" s="9">
        <v>0</v>
      </c>
      <c r="K422" s="9" t="s">
        <v>1893</v>
      </c>
      <c r="L422" s="9" t="str">
        <f t="shared" si="1"/>
        <v>Y</v>
      </c>
    </row>
    <row r="423" spans="1:12">
      <c r="A423" s="9">
        <v>524</v>
      </c>
      <c r="B423" s="9">
        <v>120</v>
      </c>
      <c r="C423" s="9" t="s">
        <v>1915</v>
      </c>
      <c r="D423" s="9" t="s">
        <v>1916</v>
      </c>
      <c r="E423" s="9">
        <v>207</v>
      </c>
      <c r="F423" s="9" t="s">
        <v>1914</v>
      </c>
      <c r="G423" s="9">
        <v>1</v>
      </c>
      <c r="H423" s="9" t="s">
        <v>1917</v>
      </c>
      <c r="I423" s="9" t="s">
        <v>1918</v>
      </c>
      <c r="J423" s="9">
        <v>1</v>
      </c>
      <c r="K423" s="9" t="s">
        <v>1919</v>
      </c>
      <c r="L423" s="9" t="str">
        <f t="shared" si="1"/>
        <v>Y</v>
      </c>
    </row>
    <row r="424" spans="1:12">
      <c r="A424" s="9">
        <v>525</v>
      </c>
      <c r="B424" s="9">
        <v>119</v>
      </c>
      <c r="C424" s="9" t="s">
        <v>1920</v>
      </c>
      <c r="D424" s="9" t="s">
        <v>1921</v>
      </c>
      <c r="E424" s="9">
        <v>203</v>
      </c>
      <c r="F424" s="9" t="s">
        <v>1922</v>
      </c>
      <c r="G424" s="9">
        <v>2</v>
      </c>
      <c r="H424" s="9" t="s">
        <v>1923</v>
      </c>
      <c r="I424" s="9" t="s">
        <v>1924</v>
      </c>
      <c r="J424" s="9">
        <v>2</v>
      </c>
      <c r="K424" s="9" t="s">
        <v>1839</v>
      </c>
      <c r="L424" s="9" t="str">
        <f t="shared" si="1"/>
        <v>Y</v>
      </c>
    </row>
    <row r="425" spans="1:12">
      <c r="A425" s="9">
        <v>526</v>
      </c>
      <c r="B425" s="9">
        <v>123</v>
      </c>
      <c r="C425" s="9" t="s">
        <v>1925</v>
      </c>
      <c r="D425" s="9" t="s">
        <v>20</v>
      </c>
      <c r="E425" s="9">
        <v>228</v>
      </c>
      <c r="F425" s="9" t="s">
        <v>1926</v>
      </c>
      <c r="G425" s="9">
        <v>0</v>
      </c>
      <c r="H425" s="9"/>
      <c r="I425" s="9"/>
      <c r="J425" s="9">
        <v>0</v>
      </c>
      <c r="K425" s="9" t="s">
        <v>699</v>
      </c>
      <c r="L425" s="9" t="str">
        <f t="shared" si="1"/>
        <v>N</v>
      </c>
    </row>
    <row r="426" spans="1:12">
      <c r="A426" s="9">
        <v>527</v>
      </c>
      <c r="B426" s="9">
        <v>119</v>
      </c>
      <c r="C426" s="9" t="s">
        <v>1927</v>
      </c>
      <c r="D426" s="9" t="s">
        <v>20</v>
      </c>
      <c r="E426" s="9">
        <v>201</v>
      </c>
      <c r="F426" s="9" t="s">
        <v>1928</v>
      </c>
      <c r="G426" s="9">
        <v>0</v>
      </c>
      <c r="H426" s="9"/>
      <c r="I426" s="9"/>
      <c r="J426" s="9">
        <v>0</v>
      </c>
      <c r="K426" s="9" t="s">
        <v>699</v>
      </c>
      <c r="L426" s="9" t="str">
        <f t="shared" si="1"/>
        <v>N</v>
      </c>
    </row>
    <row r="427" spans="1:12">
      <c r="A427" s="9">
        <v>528</v>
      </c>
      <c r="B427" s="9">
        <v>118</v>
      </c>
      <c r="C427" s="9" t="s">
        <v>1929</v>
      </c>
      <c r="D427" s="9" t="s">
        <v>1930</v>
      </c>
      <c r="E427" s="9">
        <v>193</v>
      </c>
      <c r="F427" s="9" t="s">
        <v>1931</v>
      </c>
      <c r="G427" s="9">
        <v>0</v>
      </c>
      <c r="H427" s="9" t="s">
        <v>1932</v>
      </c>
      <c r="I427" s="9" t="s">
        <v>1933</v>
      </c>
      <c r="J427" s="9">
        <v>0</v>
      </c>
      <c r="K427" s="9" t="s">
        <v>1934</v>
      </c>
      <c r="L427" s="9" t="str">
        <f t="shared" si="1"/>
        <v>Y</v>
      </c>
    </row>
    <row r="428" spans="1:12">
      <c r="A428" s="9">
        <v>529</v>
      </c>
      <c r="B428" s="9">
        <v>126</v>
      </c>
      <c r="C428" s="9" t="s">
        <v>1935</v>
      </c>
      <c r="D428" s="9" t="s">
        <v>20</v>
      </c>
      <c r="E428" s="9">
        <v>247</v>
      </c>
      <c r="F428" s="9" t="s">
        <v>1936</v>
      </c>
      <c r="G428" s="9">
        <v>0</v>
      </c>
      <c r="J428" s="9">
        <v>0</v>
      </c>
      <c r="K428" s="9" t="s">
        <v>699</v>
      </c>
      <c r="L428" s="9" t="str">
        <f t="shared" si="1"/>
        <v>N</v>
      </c>
    </row>
    <row r="429" spans="1:12">
      <c r="A429" s="9">
        <v>530</v>
      </c>
      <c r="B429" s="9">
        <v>119</v>
      </c>
      <c r="C429" s="9" t="s">
        <v>1937</v>
      </c>
      <c r="D429" s="9" t="s">
        <v>1938</v>
      </c>
      <c r="E429" s="9">
        <v>201</v>
      </c>
      <c r="F429" s="9" t="s">
        <v>1939</v>
      </c>
      <c r="G429" s="9">
        <v>2</v>
      </c>
      <c r="H429" s="9" t="s">
        <v>1940</v>
      </c>
      <c r="I429" s="9" t="s">
        <v>1941</v>
      </c>
      <c r="J429" s="9">
        <v>2</v>
      </c>
      <c r="K429" s="9" t="s">
        <v>1942</v>
      </c>
      <c r="L429" s="9" t="str">
        <f t="shared" si="1"/>
        <v>Y</v>
      </c>
    </row>
    <row r="430" spans="1:12">
      <c r="A430" s="9">
        <v>531</v>
      </c>
      <c r="B430" s="9">
        <v>121</v>
      </c>
      <c r="C430" s="9" t="s">
        <v>1943</v>
      </c>
      <c r="D430" s="9" t="s">
        <v>1944</v>
      </c>
      <c r="E430" s="9">
        <v>216</v>
      </c>
      <c r="F430" s="9" t="s">
        <v>1945</v>
      </c>
      <c r="G430" s="9">
        <v>0</v>
      </c>
      <c r="H430" s="9" t="s">
        <v>1753</v>
      </c>
      <c r="I430" s="9" t="s">
        <v>1754</v>
      </c>
      <c r="J430" s="9">
        <v>0</v>
      </c>
      <c r="K430" s="9" t="s">
        <v>752</v>
      </c>
      <c r="L430" s="9" t="str">
        <f t="shared" si="1"/>
        <v>Y</v>
      </c>
    </row>
    <row r="431" spans="1:12">
      <c r="A431" s="9">
        <v>532</v>
      </c>
      <c r="B431" s="9">
        <v>118</v>
      </c>
      <c r="C431" s="9" t="s">
        <v>1946</v>
      </c>
      <c r="D431" s="9" t="s">
        <v>20</v>
      </c>
      <c r="E431" s="9">
        <v>196</v>
      </c>
      <c r="F431" s="9" t="s">
        <v>384</v>
      </c>
      <c r="G431" s="9">
        <v>0</v>
      </c>
      <c r="H431" s="9"/>
      <c r="I431" s="9"/>
      <c r="J431" s="9">
        <v>0</v>
      </c>
      <c r="K431" s="9" t="s">
        <v>699</v>
      </c>
      <c r="L431" s="9" t="str">
        <f t="shared" si="1"/>
        <v>N</v>
      </c>
    </row>
    <row r="432" spans="1:12">
      <c r="A432" s="9">
        <v>533</v>
      </c>
      <c r="B432" s="9">
        <v>122</v>
      </c>
      <c r="C432" s="9" t="s">
        <v>1947</v>
      </c>
      <c r="D432" s="9" t="s">
        <v>20</v>
      </c>
      <c r="E432" s="9">
        <v>221</v>
      </c>
      <c r="F432" s="9" t="s">
        <v>1948</v>
      </c>
      <c r="G432" s="9">
        <v>0</v>
      </c>
      <c r="H432" s="9"/>
      <c r="I432" s="9"/>
      <c r="J432" s="9">
        <v>0</v>
      </c>
      <c r="K432" s="9" t="s">
        <v>699</v>
      </c>
      <c r="L432" s="9" t="str">
        <f t="shared" si="1"/>
        <v>N</v>
      </c>
    </row>
    <row r="433" spans="1:12">
      <c r="A433" s="9">
        <v>534</v>
      </c>
      <c r="B433" s="9">
        <v>122</v>
      </c>
      <c r="C433" s="9" t="s">
        <v>1949</v>
      </c>
      <c r="D433" s="9" t="s">
        <v>1950</v>
      </c>
      <c r="E433" s="9">
        <v>221</v>
      </c>
      <c r="F433" s="9" t="s">
        <v>626</v>
      </c>
      <c r="G433" s="9">
        <v>0</v>
      </c>
      <c r="H433" s="9" t="s">
        <v>1891</v>
      </c>
      <c r="I433" s="9" t="s">
        <v>1892</v>
      </c>
      <c r="J433" s="9">
        <v>0</v>
      </c>
      <c r="K433" s="9" t="s">
        <v>1893</v>
      </c>
      <c r="L433" s="9" t="str">
        <f t="shared" si="1"/>
        <v>Y</v>
      </c>
    </row>
    <row r="434" spans="1:12">
      <c r="A434" s="9">
        <v>535</v>
      </c>
      <c r="B434" s="9">
        <v>125</v>
      </c>
      <c r="C434" s="9" t="s">
        <v>1951</v>
      </c>
      <c r="D434" s="9" t="s">
        <v>20</v>
      </c>
      <c r="E434" s="9">
        <v>239</v>
      </c>
      <c r="F434" s="9" t="s">
        <v>1952</v>
      </c>
      <c r="G434" s="9">
        <v>0</v>
      </c>
      <c r="H434" s="9"/>
      <c r="I434" s="9"/>
      <c r="J434" s="9">
        <v>0</v>
      </c>
      <c r="K434" s="9" t="s">
        <v>699</v>
      </c>
      <c r="L434" s="9" t="str">
        <f t="shared" si="1"/>
        <v>N</v>
      </c>
    </row>
    <row r="435" spans="1:12">
      <c r="A435" s="9">
        <v>536</v>
      </c>
      <c r="B435" s="9">
        <v>121</v>
      </c>
      <c r="C435" s="9" t="s">
        <v>1953</v>
      </c>
      <c r="D435" s="9" t="s">
        <v>1954</v>
      </c>
      <c r="E435" s="9">
        <v>215</v>
      </c>
      <c r="F435" s="9" t="s">
        <v>1955</v>
      </c>
      <c r="G435" s="9">
        <v>0</v>
      </c>
      <c r="H435" s="9" t="s">
        <v>1956</v>
      </c>
      <c r="I435" s="9" t="s">
        <v>1957</v>
      </c>
      <c r="J435" s="9">
        <v>0</v>
      </c>
      <c r="K435" s="9" t="s">
        <v>1958</v>
      </c>
      <c r="L435" s="9" t="str">
        <f t="shared" si="1"/>
        <v>Y</v>
      </c>
    </row>
    <row r="436" spans="1:12">
      <c r="A436" s="9">
        <v>537</v>
      </c>
      <c r="B436" s="9">
        <v>120</v>
      </c>
      <c r="C436" s="9" t="s">
        <v>1959</v>
      </c>
      <c r="D436" s="9" t="s">
        <v>1960</v>
      </c>
      <c r="E436" s="9">
        <v>207</v>
      </c>
      <c r="F436" s="9" t="s">
        <v>1955</v>
      </c>
      <c r="G436" s="9">
        <v>0</v>
      </c>
      <c r="H436" s="9" t="s">
        <v>1772</v>
      </c>
      <c r="I436" s="9" t="s">
        <v>1773</v>
      </c>
      <c r="J436" s="9">
        <v>0</v>
      </c>
      <c r="K436" s="9" t="s">
        <v>699</v>
      </c>
      <c r="L436" s="9" t="str">
        <f t="shared" si="1"/>
        <v>Y</v>
      </c>
    </row>
    <row r="437" spans="1:12">
      <c r="A437" s="9">
        <v>538</v>
      </c>
      <c r="B437" s="9">
        <v>125</v>
      </c>
      <c r="C437" s="9" t="s">
        <v>1961</v>
      </c>
      <c r="D437" s="9" t="s">
        <v>20</v>
      </c>
      <c r="E437" s="9">
        <v>239</v>
      </c>
      <c r="F437" s="9" t="s">
        <v>1962</v>
      </c>
      <c r="G437" s="9">
        <v>0</v>
      </c>
      <c r="J437" s="9">
        <v>0</v>
      </c>
      <c r="K437" s="9" t="s">
        <v>699</v>
      </c>
      <c r="L437" s="9" t="str">
        <f t="shared" si="1"/>
        <v>N</v>
      </c>
    </row>
    <row r="438" spans="1:12">
      <c r="A438" s="9">
        <v>539</v>
      </c>
      <c r="B438" s="9">
        <v>126</v>
      </c>
      <c r="C438" s="9" t="s">
        <v>1963</v>
      </c>
      <c r="D438" s="9" t="s">
        <v>20</v>
      </c>
      <c r="E438" s="9">
        <v>247</v>
      </c>
      <c r="F438" s="9" t="s">
        <v>1962</v>
      </c>
      <c r="G438" s="9">
        <v>0</v>
      </c>
      <c r="J438" s="9">
        <v>0</v>
      </c>
      <c r="K438" s="9" t="s">
        <v>699</v>
      </c>
      <c r="L438" s="9" t="str">
        <f t="shared" si="1"/>
        <v>N</v>
      </c>
    </row>
    <row r="439" spans="1:12">
      <c r="A439" s="9">
        <v>540</v>
      </c>
      <c r="B439" s="9">
        <v>123</v>
      </c>
      <c r="C439" s="9" t="s">
        <v>1964</v>
      </c>
      <c r="D439" s="9" t="s">
        <v>20</v>
      </c>
      <c r="E439" s="9">
        <v>228</v>
      </c>
      <c r="F439" s="9" t="s">
        <v>1965</v>
      </c>
      <c r="G439" s="9">
        <v>0</v>
      </c>
      <c r="H439" s="9"/>
      <c r="I439" s="9"/>
      <c r="J439" s="9">
        <v>0</v>
      </c>
      <c r="K439" s="9" t="s">
        <v>699</v>
      </c>
      <c r="L439" s="9" t="str">
        <f t="shared" si="1"/>
        <v>N</v>
      </c>
    </row>
    <row r="440" spans="1:12">
      <c r="A440" s="9">
        <v>541</v>
      </c>
      <c r="B440" s="9">
        <v>124</v>
      </c>
      <c r="C440" s="9" t="s">
        <v>1966</v>
      </c>
      <c r="D440" s="9" t="s">
        <v>20</v>
      </c>
      <c r="E440" s="9">
        <v>235</v>
      </c>
      <c r="F440" s="9" t="s">
        <v>1967</v>
      </c>
      <c r="G440" s="9">
        <v>0</v>
      </c>
      <c r="H440" s="9"/>
      <c r="I440" s="9"/>
      <c r="J440" s="9">
        <v>0</v>
      </c>
      <c r="K440" s="9" t="s">
        <v>699</v>
      </c>
      <c r="L440" s="9" t="str">
        <f t="shared" si="1"/>
        <v>N</v>
      </c>
    </row>
    <row r="441" spans="1:12">
      <c r="A441" s="9">
        <v>542</v>
      </c>
      <c r="B441" s="9">
        <v>118</v>
      </c>
      <c r="C441" s="9" t="s">
        <v>1968</v>
      </c>
      <c r="D441" s="9" t="s">
        <v>1969</v>
      </c>
      <c r="E441" s="9">
        <v>196</v>
      </c>
      <c r="F441" s="9" t="s">
        <v>1970</v>
      </c>
      <c r="G441" s="9">
        <v>0</v>
      </c>
      <c r="H441" s="9" t="s">
        <v>1971</v>
      </c>
      <c r="I441" s="9" t="s">
        <v>1972</v>
      </c>
      <c r="J441" s="9">
        <v>0</v>
      </c>
      <c r="K441" s="9" t="s">
        <v>1973</v>
      </c>
      <c r="L441" s="9" t="str">
        <f t="shared" si="1"/>
        <v>Y</v>
      </c>
    </row>
    <row r="442" spans="1:12">
      <c r="A442" s="9">
        <v>543</v>
      </c>
      <c r="B442" s="9">
        <v>123</v>
      </c>
      <c r="C442" s="9" t="s">
        <v>1974</v>
      </c>
      <c r="D442" s="9" t="s">
        <v>20</v>
      </c>
      <c r="E442" s="9">
        <v>228</v>
      </c>
      <c r="F442" s="9" t="s">
        <v>1975</v>
      </c>
      <c r="G442" s="9">
        <v>0</v>
      </c>
      <c r="H442" s="9"/>
      <c r="I442" s="9"/>
      <c r="J442" s="9">
        <v>0</v>
      </c>
      <c r="K442" s="9" t="s">
        <v>699</v>
      </c>
      <c r="L442" s="9" t="str">
        <f t="shared" si="1"/>
        <v>N</v>
      </c>
    </row>
    <row r="443" spans="1:12">
      <c r="A443" s="9">
        <v>544</v>
      </c>
      <c r="B443" s="9">
        <v>119</v>
      </c>
      <c r="C443" s="9" t="s">
        <v>1976</v>
      </c>
      <c r="D443" s="9" t="s">
        <v>20</v>
      </c>
      <c r="E443" s="9">
        <v>201</v>
      </c>
      <c r="F443" s="9" t="s">
        <v>1977</v>
      </c>
      <c r="G443" s="9">
        <v>0</v>
      </c>
      <c r="J443" s="9">
        <v>0</v>
      </c>
      <c r="K443" s="9" t="s">
        <v>699</v>
      </c>
      <c r="L443" s="9" t="str">
        <f t="shared" si="1"/>
        <v>N</v>
      </c>
    </row>
    <row r="444" spans="1:12">
      <c r="A444" s="9">
        <v>545</v>
      </c>
      <c r="B444" s="9">
        <v>122</v>
      </c>
      <c r="C444" s="9" t="s">
        <v>1978</v>
      </c>
      <c r="D444" s="9" t="s">
        <v>1979</v>
      </c>
      <c r="E444" s="9">
        <v>221</v>
      </c>
      <c r="F444" s="9" t="s">
        <v>1980</v>
      </c>
      <c r="G444" s="9">
        <v>0</v>
      </c>
      <c r="H444" s="9" t="s">
        <v>1891</v>
      </c>
      <c r="I444" s="9" t="s">
        <v>1892</v>
      </c>
      <c r="J444" s="9">
        <v>0</v>
      </c>
      <c r="K444" s="9" t="s">
        <v>1893</v>
      </c>
      <c r="L444" s="9" t="str">
        <f t="shared" si="1"/>
        <v>Y</v>
      </c>
    </row>
    <row r="445" spans="1:12">
      <c r="A445" s="9">
        <v>546</v>
      </c>
      <c r="B445" s="9">
        <v>124</v>
      </c>
      <c r="C445" s="9" t="s">
        <v>1981</v>
      </c>
      <c r="D445" s="9" t="s">
        <v>20</v>
      </c>
      <c r="E445" s="9">
        <v>234</v>
      </c>
      <c r="F445" s="9" t="s">
        <v>1982</v>
      </c>
      <c r="G445" s="9">
        <v>0</v>
      </c>
      <c r="J445" s="9">
        <v>0</v>
      </c>
      <c r="K445" s="9" t="s">
        <v>699</v>
      </c>
      <c r="L445" s="9" t="str">
        <f t="shared" si="1"/>
        <v>N</v>
      </c>
    </row>
    <row r="446" spans="1:12">
      <c r="A446" s="9">
        <v>547</v>
      </c>
      <c r="B446" s="9">
        <v>118</v>
      </c>
      <c r="C446" s="9" t="s">
        <v>1983</v>
      </c>
      <c r="D446" s="9" t="s">
        <v>1984</v>
      </c>
      <c r="E446" s="9">
        <v>196</v>
      </c>
      <c r="F446" s="9" t="s">
        <v>1985</v>
      </c>
      <c r="G446" s="9">
        <v>0</v>
      </c>
      <c r="H446" s="9" t="s">
        <v>1971</v>
      </c>
      <c r="I446" s="9" t="s">
        <v>1972</v>
      </c>
      <c r="J446" s="9">
        <v>0</v>
      </c>
      <c r="K446" s="9" t="s">
        <v>1973</v>
      </c>
      <c r="L446" s="9" t="str">
        <f t="shared" si="1"/>
        <v>Y</v>
      </c>
    </row>
    <row r="447" spans="1:12">
      <c r="A447" s="9">
        <v>548</v>
      </c>
      <c r="B447" s="9">
        <v>120</v>
      </c>
      <c r="C447" s="9" t="s">
        <v>1986</v>
      </c>
      <c r="D447" s="9" t="s">
        <v>1987</v>
      </c>
      <c r="E447" s="9">
        <v>209</v>
      </c>
      <c r="F447" s="9" t="s">
        <v>1988</v>
      </c>
      <c r="G447" s="9">
        <v>0</v>
      </c>
      <c r="H447" s="9" t="s">
        <v>1989</v>
      </c>
      <c r="I447" s="9" t="s">
        <v>1990</v>
      </c>
      <c r="J447" s="9">
        <v>0</v>
      </c>
      <c r="K447" s="9" t="s">
        <v>1973</v>
      </c>
      <c r="L447" s="9" t="str">
        <f t="shared" si="1"/>
        <v>Y</v>
      </c>
    </row>
    <row r="448" spans="1:12">
      <c r="A448" s="9">
        <v>549</v>
      </c>
      <c r="B448" s="9">
        <v>120</v>
      </c>
      <c r="C448" s="9" t="s">
        <v>1991</v>
      </c>
      <c r="D448" s="9" t="s">
        <v>1992</v>
      </c>
      <c r="E448" s="9">
        <v>207</v>
      </c>
      <c r="F448" s="9" t="s">
        <v>1993</v>
      </c>
      <c r="G448" s="9">
        <v>0</v>
      </c>
      <c r="H448" s="9" t="s">
        <v>1777</v>
      </c>
      <c r="I448" s="9" t="s">
        <v>1778</v>
      </c>
      <c r="J448" s="9">
        <v>0</v>
      </c>
      <c r="K448" s="9" t="s">
        <v>1779</v>
      </c>
      <c r="L448" s="9" t="str">
        <f t="shared" si="1"/>
        <v>Y</v>
      </c>
    </row>
    <row r="449" spans="1:12">
      <c r="A449" s="9">
        <v>550</v>
      </c>
      <c r="B449" s="9">
        <v>124</v>
      </c>
      <c r="C449" s="9" t="s">
        <v>1994</v>
      </c>
      <c r="D449" s="9" t="s">
        <v>20</v>
      </c>
      <c r="E449" s="9">
        <v>234</v>
      </c>
      <c r="F449" s="9" t="s">
        <v>548</v>
      </c>
      <c r="G449" s="9">
        <v>0</v>
      </c>
      <c r="H449" s="9"/>
      <c r="I449" s="9"/>
      <c r="J449" s="9">
        <v>0</v>
      </c>
      <c r="K449" s="9" t="s">
        <v>699</v>
      </c>
      <c r="L449" s="9" t="str">
        <f t="shared" si="1"/>
        <v>N</v>
      </c>
    </row>
    <row r="450" spans="1:12">
      <c r="A450" s="9">
        <v>551</v>
      </c>
      <c r="B450" s="9">
        <v>124</v>
      </c>
      <c r="C450" s="9" t="s">
        <v>1995</v>
      </c>
      <c r="D450" s="9" t="s">
        <v>1996</v>
      </c>
      <c r="E450" s="9">
        <v>235</v>
      </c>
      <c r="F450" s="9" t="s">
        <v>1997</v>
      </c>
      <c r="G450" s="9">
        <v>0</v>
      </c>
      <c r="H450" s="9" t="s">
        <v>1837</v>
      </c>
      <c r="I450" s="9" t="s">
        <v>1838</v>
      </c>
      <c r="J450" s="9">
        <v>0</v>
      </c>
      <c r="K450" s="9" t="s">
        <v>1839</v>
      </c>
      <c r="L450" s="9" t="str">
        <f t="shared" si="1"/>
        <v>Y</v>
      </c>
    </row>
    <row r="451" spans="1:12">
      <c r="A451" s="9">
        <v>552</v>
      </c>
      <c r="B451" s="9">
        <v>122</v>
      </c>
      <c r="C451" s="9" t="s">
        <v>1998</v>
      </c>
      <c r="D451" s="9" t="s">
        <v>1999</v>
      </c>
      <c r="E451" s="9">
        <v>221</v>
      </c>
      <c r="F451" s="9" t="s">
        <v>2000</v>
      </c>
      <c r="G451" s="9">
        <v>0</v>
      </c>
      <c r="H451" s="9" t="s">
        <v>1891</v>
      </c>
      <c r="I451" s="9" t="s">
        <v>1892</v>
      </c>
      <c r="J451" s="9">
        <v>0</v>
      </c>
      <c r="K451" s="9" t="s">
        <v>1893</v>
      </c>
      <c r="L451" s="9" t="str">
        <f t="shared" si="1"/>
        <v>Y</v>
      </c>
    </row>
    <row r="452" spans="1:12">
      <c r="A452" s="9">
        <v>553</v>
      </c>
      <c r="B452" s="9">
        <v>118</v>
      </c>
      <c r="C452" s="9" t="s">
        <v>2001</v>
      </c>
      <c r="D452" s="9" t="s">
        <v>20</v>
      </c>
      <c r="E452" s="9">
        <v>196</v>
      </c>
      <c r="F452" s="9" t="s">
        <v>2002</v>
      </c>
      <c r="G452" s="9">
        <v>0</v>
      </c>
      <c r="H452" s="9"/>
      <c r="I452" s="9"/>
      <c r="J452" s="9">
        <v>0</v>
      </c>
      <c r="K452" s="9" t="s">
        <v>699</v>
      </c>
      <c r="L452" s="9" t="str">
        <f t="shared" si="1"/>
        <v>N</v>
      </c>
    </row>
    <row r="453" spans="1:12">
      <c r="A453" s="9">
        <v>554</v>
      </c>
      <c r="B453" s="9">
        <v>122</v>
      </c>
      <c r="C453" s="9" t="s">
        <v>2003</v>
      </c>
      <c r="D453" s="9" t="s">
        <v>20</v>
      </c>
      <c r="E453" s="9">
        <v>222</v>
      </c>
      <c r="F453" s="9" t="s">
        <v>2004</v>
      </c>
      <c r="G453" s="9">
        <v>0</v>
      </c>
      <c r="J453" s="9">
        <v>0</v>
      </c>
      <c r="K453" s="9" t="s">
        <v>699</v>
      </c>
      <c r="L453" s="9" t="str">
        <f t="shared" si="1"/>
        <v>N</v>
      </c>
    </row>
    <row r="454" spans="1:12">
      <c r="A454" s="9">
        <v>555</v>
      </c>
      <c r="B454" s="9">
        <v>118</v>
      </c>
      <c r="C454" s="9" t="s">
        <v>2005</v>
      </c>
      <c r="D454" s="9" t="s">
        <v>20</v>
      </c>
      <c r="E454" s="9">
        <v>194</v>
      </c>
      <c r="F454" s="9" t="s">
        <v>2006</v>
      </c>
      <c r="G454" s="9">
        <v>0</v>
      </c>
      <c r="J454" s="9">
        <v>0</v>
      </c>
      <c r="K454" s="9" t="s">
        <v>699</v>
      </c>
      <c r="L454" s="9" t="str">
        <f t="shared" si="1"/>
        <v>N</v>
      </c>
    </row>
    <row r="455" spans="1:12">
      <c r="A455" s="9">
        <v>556</v>
      </c>
      <c r="B455" s="9">
        <v>120</v>
      </c>
      <c r="C455" s="9" t="s">
        <v>2007</v>
      </c>
      <c r="D455" s="9" t="s">
        <v>2008</v>
      </c>
      <c r="E455" s="9">
        <v>211</v>
      </c>
      <c r="F455" s="9" t="s">
        <v>2006</v>
      </c>
      <c r="G455" s="9">
        <v>1</v>
      </c>
      <c r="H455" s="9" t="s">
        <v>2009</v>
      </c>
      <c r="I455" s="9" t="s">
        <v>2010</v>
      </c>
      <c r="J455" s="9">
        <v>2</v>
      </c>
      <c r="K455" s="9" t="s">
        <v>1911</v>
      </c>
      <c r="L455" s="9" t="str">
        <f t="shared" si="1"/>
        <v>Y</v>
      </c>
    </row>
    <row r="456" spans="1:12">
      <c r="A456" s="9">
        <v>557</v>
      </c>
      <c r="B456" s="9">
        <v>119</v>
      </c>
      <c r="C456" s="9" t="s">
        <v>2011</v>
      </c>
      <c r="D456" s="9" t="s">
        <v>2012</v>
      </c>
      <c r="E456" s="9">
        <v>201</v>
      </c>
      <c r="F456" s="9" t="s">
        <v>2013</v>
      </c>
      <c r="G456" s="9">
        <v>1</v>
      </c>
      <c r="H456" s="9" t="s">
        <v>2014</v>
      </c>
      <c r="I456" s="9" t="s">
        <v>2015</v>
      </c>
      <c r="J456" s="9">
        <v>1</v>
      </c>
      <c r="K456" s="9" t="s">
        <v>2016</v>
      </c>
      <c r="L456" s="9" t="str">
        <f t="shared" si="1"/>
        <v>Y</v>
      </c>
    </row>
    <row r="457" spans="1:12">
      <c r="A457" s="9">
        <v>558</v>
      </c>
      <c r="B457" s="9">
        <v>120</v>
      </c>
      <c r="C457" s="9" t="s">
        <v>2017</v>
      </c>
      <c r="D457" s="9" t="s">
        <v>2018</v>
      </c>
      <c r="E457" s="9">
        <v>209</v>
      </c>
      <c r="F457" s="9" t="s">
        <v>2019</v>
      </c>
      <c r="G457" s="9">
        <v>0</v>
      </c>
      <c r="H457" s="9" t="s">
        <v>1989</v>
      </c>
      <c r="I457" s="9" t="s">
        <v>1990</v>
      </c>
      <c r="J457" s="9">
        <v>0</v>
      </c>
      <c r="K457" s="9" t="s">
        <v>1973</v>
      </c>
      <c r="L457" s="9" t="str">
        <f t="shared" si="1"/>
        <v>Y</v>
      </c>
    </row>
    <row r="458" spans="1:12">
      <c r="A458" s="9">
        <v>559</v>
      </c>
      <c r="B458" s="9">
        <v>121</v>
      </c>
      <c r="C458" s="9" t="s">
        <v>2020</v>
      </c>
      <c r="D458" s="9" t="s">
        <v>2021</v>
      </c>
      <c r="E458" s="9">
        <v>215</v>
      </c>
      <c r="F458" s="9" t="s">
        <v>2022</v>
      </c>
      <c r="G458" s="9">
        <v>0</v>
      </c>
      <c r="H458" s="9" t="s">
        <v>1883</v>
      </c>
      <c r="I458" s="9" t="s">
        <v>1884</v>
      </c>
      <c r="J458" s="9">
        <v>0</v>
      </c>
      <c r="K458" s="9" t="s">
        <v>1885</v>
      </c>
      <c r="L458" s="9" t="str">
        <f t="shared" si="1"/>
        <v>Y</v>
      </c>
    </row>
    <row r="459" spans="1:12">
      <c r="A459" s="9">
        <v>560</v>
      </c>
      <c r="B459" s="9">
        <v>118</v>
      </c>
      <c r="C459" s="9" t="s">
        <v>2023</v>
      </c>
      <c r="D459" s="9" t="s">
        <v>2024</v>
      </c>
      <c r="E459" s="9">
        <v>193</v>
      </c>
      <c r="F459" s="9" t="s">
        <v>2025</v>
      </c>
      <c r="G459" s="9">
        <v>0</v>
      </c>
      <c r="H459" s="9" t="s">
        <v>1932</v>
      </c>
      <c r="I459" s="9" t="s">
        <v>1933</v>
      </c>
      <c r="J459" s="9">
        <v>0</v>
      </c>
      <c r="K459" s="9" t="s">
        <v>1934</v>
      </c>
      <c r="L459" s="9" t="str">
        <f t="shared" si="1"/>
        <v>Y</v>
      </c>
    </row>
    <row r="460" spans="1:12">
      <c r="A460" s="9">
        <v>561</v>
      </c>
      <c r="B460" s="9">
        <v>123</v>
      </c>
      <c r="C460" s="9" t="s">
        <v>2026</v>
      </c>
      <c r="D460" s="9" t="s">
        <v>20</v>
      </c>
      <c r="E460" s="9">
        <v>226</v>
      </c>
      <c r="F460" s="9" t="s">
        <v>2027</v>
      </c>
      <c r="G460" s="9">
        <v>0</v>
      </c>
      <c r="J460" s="9">
        <v>0</v>
      </c>
      <c r="K460" s="9" t="s">
        <v>699</v>
      </c>
      <c r="L460" s="9" t="str">
        <f t="shared" si="1"/>
        <v>N</v>
      </c>
    </row>
    <row r="461" spans="1:12">
      <c r="A461" s="9">
        <v>562</v>
      </c>
      <c r="B461" s="9">
        <v>122</v>
      </c>
      <c r="C461" s="9" t="s">
        <v>2028</v>
      </c>
      <c r="D461" s="9" t="s">
        <v>2029</v>
      </c>
      <c r="E461" s="9">
        <v>221</v>
      </c>
      <c r="F461" s="9" t="s">
        <v>2030</v>
      </c>
      <c r="G461" s="9">
        <v>0</v>
      </c>
      <c r="H461" s="9" t="s">
        <v>1891</v>
      </c>
      <c r="I461" s="9" t="s">
        <v>1892</v>
      </c>
      <c r="J461" s="9">
        <v>0</v>
      </c>
      <c r="K461" s="9" t="s">
        <v>1893</v>
      </c>
      <c r="L461" s="9" t="str">
        <f t="shared" si="1"/>
        <v>Y</v>
      </c>
    </row>
    <row r="462" spans="1:12">
      <c r="A462" s="9">
        <v>563</v>
      </c>
      <c r="B462" s="9">
        <v>119</v>
      </c>
      <c r="C462" s="9" t="s">
        <v>2031</v>
      </c>
      <c r="D462" s="9" t="s">
        <v>2032</v>
      </c>
      <c r="E462" s="9">
        <v>203</v>
      </c>
      <c r="F462" s="9" t="s">
        <v>2033</v>
      </c>
      <c r="G462" s="9">
        <v>1</v>
      </c>
      <c r="H462" s="9" t="s">
        <v>2034</v>
      </c>
      <c r="I462" s="9" t="s">
        <v>2035</v>
      </c>
      <c r="J462" s="9">
        <v>1</v>
      </c>
      <c r="K462" s="9" t="s">
        <v>2036</v>
      </c>
      <c r="L462" s="9" t="str">
        <f t="shared" si="1"/>
        <v>Y</v>
      </c>
    </row>
    <row r="463" spans="1:12">
      <c r="A463" s="9">
        <v>564</v>
      </c>
      <c r="B463" s="9">
        <v>125</v>
      </c>
      <c r="C463" s="9" t="s">
        <v>2037</v>
      </c>
      <c r="D463" s="9" t="s">
        <v>20</v>
      </c>
      <c r="E463" s="9">
        <v>239</v>
      </c>
      <c r="F463" s="9" t="s">
        <v>2038</v>
      </c>
      <c r="G463" s="9">
        <v>0</v>
      </c>
      <c r="H463" s="9"/>
      <c r="I463" s="9"/>
      <c r="J463" s="9">
        <v>0</v>
      </c>
      <c r="K463" s="9" t="s">
        <v>699</v>
      </c>
      <c r="L463" s="9" t="str">
        <f t="shared" si="1"/>
        <v>N</v>
      </c>
    </row>
    <row r="464" spans="1:12">
      <c r="A464" s="9">
        <v>565</v>
      </c>
      <c r="B464" s="9">
        <v>120</v>
      </c>
      <c r="C464" s="9" t="s">
        <v>2039</v>
      </c>
      <c r="D464" s="9" t="s">
        <v>2040</v>
      </c>
      <c r="E464" s="9">
        <v>209</v>
      </c>
      <c r="F464" s="9" t="s">
        <v>2041</v>
      </c>
      <c r="G464" s="9">
        <v>0</v>
      </c>
      <c r="H464" s="9" t="s">
        <v>1989</v>
      </c>
      <c r="I464" s="9" t="s">
        <v>1990</v>
      </c>
      <c r="J464" s="9">
        <v>0</v>
      </c>
      <c r="K464" s="9" t="s">
        <v>1973</v>
      </c>
      <c r="L464" s="9" t="str">
        <f t="shared" si="1"/>
        <v>Y</v>
      </c>
    </row>
    <row r="465" spans="1:12">
      <c r="A465" s="9">
        <v>566</v>
      </c>
      <c r="B465" s="9">
        <v>125</v>
      </c>
      <c r="C465" s="9" t="s">
        <v>2042</v>
      </c>
      <c r="D465" s="9" t="s">
        <v>20</v>
      </c>
      <c r="E465" s="9">
        <v>240</v>
      </c>
      <c r="F465" s="9" t="s">
        <v>2043</v>
      </c>
      <c r="G465" s="9">
        <v>0</v>
      </c>
      <c r="J465" s="9">
        <v>0</v>
      </c>
      <c r="K465" s="9" t="s">
        <v>699</v>
      </c>
      <c r="L465" s="9" t="str">
        <f t="shared" si="1"/>
        <v>N</v>
      </c>
    </row>
    <row r="466" spans="1:12">
      <c r="A466" s="9">
        <v>567</v>
      </c>
      <c r="B466" s="9">
        <v>118</v>
      </c>
      <c r="C466" s="9" t="s">
        <v>2044</v>
      </c>
      <c r="D466" s="9" t="s">
        <v>2045</v>
      </c>
      <c r="E466" s="9">
        <v>194</v>
      </c>
      <c r="F466" s="9" t="s">
        <v>2046</v>
      </c>
      <c r="G466" s="9">
        <v>0</v>
      </c>
      <c r="I466" s="9" t="s">
        <v>1830</v>
      </c>
      <c r="J466" s="9">
        <v>0</v>
      </c>
      <c r="K466" s="9" t="s">
        <v>699</v>
      </c>
      <c r="L466" s="9" t="str">
        <f t="shared" si="1"/>
        <v>Y</v>
      </c>
    </row>
    <row r="467" spans="1:12">
      <c r="A467" s="9">
        <v>568</v>
      </c>
      <c r="B467" s="9">
        <v>124</v>
      </c>
      <c r="C467" s="9" t="s">
        <v>2047</v>
      </c>
      <c r="D467" s="9" t="s">
        <v>2048</v>
      </c>
      <c r="E467" s="9">
        <v>234</v>
      </c>
      <c r="F467" s="9" t="s">
        <v>2049</v>
      </c>
      <c r="G467" s="9">
        <v>0</v>
      </c>
      <c r="H467" s="9" t="s">
        <v>2050</v>
      </c>
      <c r="I467" s="9" t="s">
        <v>2051</v>
      </c>
      <c r="J467" s="9">
        <v>0</v>
      </c>
      <c r="K467" s="9" t="s">
        <v>2052</v>
      </c>
      <c r="L467" s="9" t="str">
        <f t="shared" si="1"/>
        <v>Y</v>
      </c>
    </row>
    <row r="468" spans="1:12">
      <c r="A468" s="9">
        <v>569</v>
      </c>
      <c r="B468" s="9">
        <v>125</v>
      </c>
      <c r="C468" s="9" t="s">
        <v>2053</v>
      </c>
      <c r="D468" s="9" t="s">
        <v>2054</v>
      </c>
      <c r="E468" s="9">
        <v>239</v>
      </c>
      <c r="F468" s="9" t="s">
        <v>2055</v>
      </c>
      <c r="G468" s="9">
        <v>0</v>
      </c>
      <c r="H468" s="9"/>
      <c r="I468" s="9" t="s">
        <v>1830</v>
      </c>
      <c r="J468" s="9">
        <v>0</v>
      </c>
      <c r="K468" s="9" t="s">
        <v>699</v>
      </c>
      <c r="L468" s="9" t="str">
        <f t="shared" si="1"/>
        <v>Y</v>
      </c>
    </row>
    <row r="469" spans="1:12">
      <c r="A469" s="9">
        <v>570</v>
      </c>
      <c r="B469" s="9">
        <v>125</v>
      </c>
      <c r="C469" s="9" t="s">
        <v>2056</v>
      </c>
      <c r="D469" s="9" t="s">
        <v>2057</v>
      </c>
      <c r="E469" s="9">
        <v>241</v>
      </c>
      <c r="F469" s="9" t="s">
        <v>2058</v>
      </c>
      <c r="G469" s="9">
        <v>2</v>
      </c>
      <c r="H469" s="9" t="s">
        <v>2059</v>
      </c>
      <c r="I469" s="9" t="s">
        <v>2060</v>
      </c>
      <c r="J469" s="9">
        <v>2</v>
      </c>
      <c r="K469" s="9" t="s">
        <v>2061</v>
      </c>
      <c r="L469" s="9" t="str">
        <f t="shared" si="1"/>
        <v>Y</v>
      </c>
    </row>
    <row r="470" spans="1:12">
      <c r="A470" s="9">
        <v>571</v>
      </c>
      <c r="B470" s="9">
        <v>118</v>
      </c>
      <c r="C470" s="9" t="s">
        <v>2062</v>
      </c>
      <c r="D470" s="9" t="s">
        <v>20</v>
      </c>
      <c r="E470" s="9">
        <v>196</v>
      </c>
      <c r="F470" s="9" t="s">
        <v>2058</v>
      </c>
      <c r="G470" s="9">
        <v>0</v>
      </c>
      <c r="J470" s="9">
        <v>0</v>
      </c>
      <c r="K470" s="9" t="s">
        <v>699</v>
      </c>
      <c r="L470" s="9" t="str">
        <f t="shared" si="1"/>
        <v>N</v>
      </c>
    </row>
    <row r="471" spans="1:12">
      <c r="A471" s="9">
        <v>572</v>
      </c>
      <c r="B471" s="9">
        <v>124</v>
      </c>
      <c r="C471" s="9" t="s">
        <v>2063</v>
      </c>
      <c r="D471" s="9" t="s">
        <v>20</v>
      </c>
      <c r="E471" s="9">
        <v>235</v>
      </c>
      <c r="F471" s="9" t="s">
        <v>2064</v>
      </c>
      <c r="G471" s="9">
        <v>0</v>
      </c>
      <c r="H471" s="9"/>
      <c r="I471" s="9"/>
      <c r="J471" s="9">
        <v>0</v>
      </c>
      <c r="K471" s="9" t="s">
        <v>699</v>
      </c>
      <c r="L471" s="9" t="str">
        <f t="shared" si="1"/>
        <v>N</v>
      </c>
    </row>
    <row r="472" spans="1:12">
      <c r="A472" s="9">
        <v>573</v>
      </c>
      <c r="B472" s="9">
        <v>118</v>
      </c>
      <c r="C472" s="9" t="s">
        <v>2065</v>
      </c>
      <c r="D472" s="9" t="s">
        <v>2066</v>
      </c>
      <c r="E472" s="9">
        <v>194</v>
      </c>
      <c r="F472" s="9" t="s">
        <v>2067</v>
      </c>
      <c r="G472" s="9">
        <v>5</v>
      </c>
      <c r="H472" s="9" t="s">
        <v>1753</v>
      </c>
      <c r="I472" s="9" t="s">
        <v>1754</v>
      </c>
      <c r="J472" s="9">
        <v>5</v>
      </c>
      <c r="K472" s="9" t="s">
        <v>752</v>
      </c>
      <c r="L472" s="9" t="str">
        <f t="shared" si="1"/>
        <v>Y</v>
      </c>
    </row>
    <row r="473" spans="1:12">
      <c r="A473" s="9">
        <v>574</v>
      </c>
      <c r="B473" s="9">
        <v>125</v>
      </c>
      <c r="C473" s="9" t="s">
        <v>2068</v>
      </c>
      <c r="D473" s="9" t="s">
        <v>20</v>
      </c>
      <c r="E473" s="9">
        <v>240</v>
      </c>
      <c r="F473" s="9" t="s">
        <v>2069</v>
      </c>
      <c r="G473" s="9">
        <v>0</v>
      </c>
      <c r="H473" s="9"/>
      <c r="I473" s="9"/>
      <c r="J473" s="9">
        <v>0</v>
      </c>
      <c r="K473" s="9" t="s">
        <v>699</v>
      </c>
      <c r="L473" s="9" t="str">
        <f t="shared" si="1"/>
        <v>N</v>
      </c>
    </row>
    <row r="474" spans="1:12">
      <c r="A474" s="9">
        <v>575</v>
      </c>
      <c r="B474" s="9">
        <v>120</v>
      </c>
      <c r="C474" s="9" t="s">
        <v>2070</v>
      </c>
      <c r="D474" s="9" t="s">
        <v>20</v>
      </c>
      <c r="E474" s="9">
        <v>207</v>
      </c>
      <c r="F474" s="9" t="s">
        <v>2071</v>
      </c>
      <c r="G474" s="9">
        <v>0</v>
      </c>
      <c r="H474" s="9"/>
      <c r="I474" s="9"/>
      <c r="J474" s="9">
        <v>0</v>
      </c>
      <c r="K474" s="9" t="s">
        <v>699</v>
      </c>
      <c r="L474" s="9" t="str">
        <f t="shared" si="1"/>
        <v>N</v>
      </c>
    </row>
    <row r="475" spans="1:12">
      <c r="A475" s="9">
        <v>576</v>
      </c>
      <c r="B475" s="9">
        <v>118</v>
      </c>
      <c r="C475" s="9" t="s">
        <v>2072</v>
      </c>
      <c r="D475" s="9" t="s">
        <v>2073</v>
      </c>
      <c r="E475" s="9">
        <v>193</v>
      </c>
      <c r="F475" s="9" t="s">
        <v>2074</v>
      </c>
      <c r="G475" s="9">
        <v>0</v>
      </c>
      <c r="H475" s="9" t="s">
        <v>1932</v>
      </c>
      <c r="I475" s="9" t="s">
        <v>1933</v>
      </c>
      <c r="J475" s="9">
        <v>0</v>
      </c>
      <c r="K475" s="9" t="s">
        <v>1934</v>
      </c>
      <c r="L475" s="9" t="str">
        <f t="shared" si="1"/>
        <v>Y</v>
      </c>
    </row>
    <row r="476" spans="1:12">
      <c r="A476" s="9">
        <v>577</v>
      </c>
      <c r="B476" s="9">
        <v>118</v>
      </c>
      <c r="C476" s="9" t="s">
        <v>2075</v>
      </c>
      <c r="D476" s="9" t="s">
        <v>2076</v>
      </c>
      <c r="E476" s="9">
        <v>196</v>
      </c>
      <c r="F476" s="9" t="s">
        <v>2077</v>
      </c>
      <c r="G476" s="9">
        <v>0</v>
      </c>
      <c r="H476" s="9" t="s">
        <v>1971</v>
      </c>
      <c r="I476" s="9" t="s">
        <v>1972</v>
      </c>
      <c r="J476" s="9">
        <v>0</v>
      </c>
      <c r="K476" s="9" t="s">
        <v>1973</v>
      </c>
      <c r="L476" s="9" t="str">
        <f t="shared" si="1"/>
        <v>Y</v>
      </c>
    </row>
    <row r="477" spans="1:12">
      <c r="A477" s="9">
        <v>578</v>
      </c>
      <c r="B477" s="9">
        <v>124</v>
      </c>
      <c r="C477" s="9" t="s">
        <v>2078</v>
      </c>
      <c r="D477" s="9" t="s">
        <v>2079</v>
      </c>
      <c r="E477" s="9">
        <v>234</v>
      </c>
      <c r="F477" s="9" t="s">
        <v>2077</v>
      </c>
      <c r="G477" s="9">
        <v>1</v>
      </c>
      <c r="H477" s="9" t="s">
        <v>2080</v>
      </c>
      <c r="I477" s="9" t="s">
        <v>2081</v>
      </c>
      <c r="J477" s="9">
        <v>1</v>
      </c>
      <c r="K477" s="9" t="s">
        <v>2082</v>
      </c>
      <c r="L477" s="9" t="str">
        <f t="shared" si="1"/>
        <v>Y</v>
      </c>
    </row>
    <row r="478" spans="1:12">
      <c r="A478" s="9">
        <v>579</v>
      </c>
      <c r="B478" s="9">
        <v>123</v>
      </c>
      <c r="C478" s="9" t="s">
        <v>2083</v>
      </c>
      <c r="D478" s="9" t="s">
        <v>20</v>
      </c>
      <c r="E478" s="9">
        <v>226</v>
      </c>
      <c r="F478" s="9" t="s">
        <v>2084</v>
      </c>
      <c r="G478" s="9">
        <v>0</v>
      </c>
      <c r="H478" s="9"/>
      <c r="I478" s="9"/>
      <c r="J478" s="9">
        <v>0</v>
      </c>
      <c r="K478" s="9" t="s">
        <v>699</v>
      </c>
      <c r="L478" s="9" t="str">
        <f t="shared" si="1"/>
        <v>N</v>
      </c>
    </row>
    <row r="479" spans="1:12">
      <c r="A479" s="9">
        <v>580</v>
      </c>
      <c r="B479" s="9">
        <v>121</v>
      </c>
      <c r="C479" s="9" t="s">
        <v>2085</v>
      </c>
      <c r="D479" s="9" t="s">
        <v>2086</v>
      </c>
      <c r="E479" s="9">
        <v>215</v>
      </c>
      <c r="F479" s="9" t="s">
        <v>2087</v>
      </c>
      <c r="G479" s="9">
        <v>1</v>
      </c>
      <c r="H479" s="9" t="s">
        <v>2088</v>
      </c>
      <c r="I479" s="9" t="s">
        <v>2089</v>
      </c>
      <c r="J479" s="9">
        <v>1</v>
      </c>
      <c r="K479" s="9" t="s">
        <v>2090</v>
      </c>
      <c r="L479" s="9" t="str">
        <f t="shared" si="1"/>
        <v>Y</v>
      </c>
    </row>
    <row r="480" spans="1:12">
      <c r="A480" s="9">
        <v>581</v>
      </c>
      <c r="B480" s="9">
        <v>119</v>
      </c>
      <c r="C480" s="9" t="s">
        <v>2091</v>
      </c>
      <c r="D480" s="9" t="s">
        <v>2092</v>
      </c>
      <c r="E480" s="9">
        <v>201</v>
      </c>
      <c r="F480" s="9" t="s">
        <v>668</v>
      </c>
      <c r="G480" s="9">
        <v>0</v>
      </c>
      <c r="H480" s="9" t="s">
        <v>1989</v>
      </c>
      <c r="I480" s="9" t="s">
        <v>1990</v>
      </c>
      <c r="J480" s="9">
        <v>0</v>
      </c>
      <c r="K480" s="9" t="s">
        <v>1973</v>
      </c>
      <c r="L480" s="9" t="str">
        <f t="shared" si="1"/>
        <v>Y</v>
      </c>
    </row>
    <row r="481" spans="1:12">
      <c r="A481" s="9">
        <v>582</v>
      </c>
      <c r="B481" s="9">
        <v>125</v>
      </c>
      <c r="C481" s="9" t="s">
        <v>2093</v>
      </c>
      <c r="D481" s="9" t="s">
        <v>20</v>
      </c>
      <c r="E481" s="9">
        <v>239</v>
      </c>
      <c r="F481" s="9" t="s">
        <v>2094</v>
      </c>
      <c r="G481" s="9">
        <v>0</v>
      </c>
      <c r="H481" s="9"/>
      <c r="I481" s="9"/>
      <c r="J481" s="9">
        <v>0</v>
      </c>
      <c r="K481" s="9" t="s">
        <v>699</v>
      </c>
      <c r="L481" s="9" t="str">
        <f t="shared" si="1"/>
        <v>N</v>
      </c>
    </row>
    <row r="482" spans="1:12">
      <c r="A482" s="9">
        <v>583</v>
      </c>
      <c r="B482" s="9">
        <v>123</v>
      </c>
      <c r="C482" s="9" t="s">
        <v>2095</v>
      </c>
      <c r="D482" s="9" t="s">
        <v>2096</v>
      </c>
      <c r="E482" s="9">
        <v>229</v>
      </c>
      <c r="F482" s="9" t="s">
        <v>2097</v>
      </c>
      <c r="G482" s="9">
        <v>1</v>
      </c>
      <c r="H482" s="9" t="s">
        <v>1923</v>
      </c>
      <c r="I482" s="9" t="s">
        <v>1924</v>
      </c>
      <c r="J482" s="9">
        <v>1</v>
      </c>
      <c r="K482" s="9" t="s">
        <v>1839</v>
      </c>
      <c r="L482" s="9" t="str">
        <f t="shared" si="1"/>
        <v>Y</v>
      </c>
    </row>
    <row r="483" spans="1:12">
      <c r="A483" s="9">
        <v>584</v>
      </c>
      <c r="B483" s="9">
        <v>118</v>
      </c>
      <c r="C483" s="9" t="s">
        <v>2098</v>
      </c>
      <c r="D483" s="9" t="s">
        <v>2099</v>
      </c>
      <c r="E483" s="9">
        <v>193</v>
      </c>
      <c r="F483" s="9" t="s">
        <v>2097</v>
      </c>
      <c r="G483" s="9">
        <v>0</v>
      </c>
      <c r="H483" s="9" t="s">
        <v>1932</v>
      </c>
      <c r="I483" s="9" t="s">
        <v>1933</v>
      </c>
      <c r="J483" s="9">
        <v>0</v>
      </c>
      <c r="K483" s="9" t="s">
        <v>1934</v>
      </c>
      <c r="L483" s="9" t="str">
        <f t="shared" si="1"/>
        <v>Y</v>
      </c>
    </row>
    <row r="484" spans="1:12">
      <c r="A484" s="9">
        <v>585</v>
      </c>
      <c r="B484" s="9">
        <v>121</v>
      </c>
      <c r="C484" s="9" t="s">
        <v>2100</v>
      </c>
      <c r="D484" s="9" t="s">
        <v>2101</v>
      </c>
      <c r="E484" s="9">
        <v>214</v>
      </c>
      <c r="F484" s="9" t="s">
        <v>2102</v>
      </c>
      <c r="G484" s="9">
        <v>1</v>
      </c>
      <c r="H484" s="9" t="s">
        <v>1917</v>
      </c>
      <c r="I484" s="9" t="s">
        <v>1918</v>
      </c>
      <c r="J484" s="9">
        <v>1</v>
      </c>
      <c r="K484" s="9" t="s">
        <v>1919</v>
      </c>
      <c r="L484" s="9" t="str">
        <f t="shared" si="1"/>
        <v>Y</v>
      </c>
    </row>
    <row r="485" spans="1:12">
      <c r="A485" s="9">
        <v>586</v>
      </c>
      <c r="B485" s="9">
        <v>120</v>
      </c>
      <c r="C485" s="9" t="s">
        <v>2103</v>
      </c>
      <c r="D485" s="9" t="s">
        <v>20</v>
      </c>
      <c r="E485" s="9">
        <v>207</v>
      </c>
      <c r="F485" s="9" t="s">
        <v>2104</v>
      </c>
      <c r="G485" s="9">
        <v>0</v>
      </c>
      <c r="I485" s="9"/>
      <c r="J485" s="9">
        <v>0</v>
      </c>
      <c r="K485" s="9" t="s">
        <v>699</v>
      </c>
      <c r="L485" s="9" t="str">
        <f t="shared" si="1"/>
        <v>N</v>
      </c>
    </row>
    <row r="486" spans="1:12">
      <c r="A486" s="9">
        <v>587</v>
      </c>
      <c r="B486" s="9">
        <v>119</v>
      </c>
      <c r="C486" s="9" t="s">
        <v>2105</v>
      </c>
      <c r="D486" s="9" t="s">
        <v>2106</v>
      </c>
      <c r="E486" s="9">
        <v>201</v>
      </c>
      <c r="F486" s="9" t="s">
        <v>2107</v>
      </c>
      <c r="G486" s="9">
        <v>0</v>
      </c>
      <c r="H486" s="9" t="s">
        <v>1989</v>
      </c>
      <c r="I486" s="9" t="s">
        <v>1990</v>
      </c>
      <c r="J486" s="9">
        <v>0</v>
      </c>
      <c r="K486" s="9" t="s">
        <v>1973</v>
      </c>
      <c r="L486" s="9" t="str">
        <f t="shared" si="1"/>
        <v>Y</v>
      </c>
    </row>
    <row r="487" spans="1:12">
      <c r="A487" s="9">
        <v>588</v>
      </c>
      <c r="B487" s="9">
        <v>120</v>
      </c>
      <c r="C487" s="9" t="s">
        <v>2108</v>
      </c>
      <c r="D487" s="9" t="s">
        <v>2109</v>
      </c>
      <c r="E487" s="9">
        <v>207</v>
      </c>
      <c r="F487" s="9" t="s">
        <v>496</v>
      </c>
      <c r="G487" s="9">
        <v>3</v>
      </c>
      <c r="H487" s="9" t="s">
        <v>2050</v>
      </c>
      <c r="I487" s="9" t="s">
        <v>2051</v>
      </c>
      <c r="J487" s="9">
        <v>3</v>
      </c>
      <c r="K487" s="9" t="s">
        <v>2052</v>
      </c>
      <c r="L487" s="9" t="str">
        <f t="shared" si="1"/>
        <v>Y</v>
      </c>
    </row>
    <row r="488" spans="1:12">
      <c r="A488" s="9">
        <v>589</v>
      </c>
      <c r="B488" s="9">
        <v>118</v>
      </c>
      <c r="C488" s="9" t="s">
        <v>2110</v>
      </c>
      <c r="D488" s="9" t="s">
        <v>2111</v>
      </c>
      <c r="E488" s="9">
        <v>196</v>
      </c>
      <c r="F488" s="9" t="s">
        <v>2112</v>
      </c>
      <c r="G488" s="9">
        <v>0</v>
      </c>
      <c r="H488" s="9" t="s">
        <v>1971</v>
      </c>
      <c r="I488" s="9" t="s">
        <v>1972</v>
      </c>
      <c r="J488" s="9">
        <v>0</v>
      </c>
      <c r="K488" s="9" t="s">
        <v>1973</v>
      </c>
      <c r="L488" s="9" t="str">
        <f t="shared" si="1"/>
        <v>Y</v>
      </c>
    </row>
    <row r="489" spans="1:12">
      <c r="A489" s="9">
        <v>590</v>
      </c>
      <c r="B489" s="9">
        <v>118</v>
      </c>
      <c r="C489" s="9" t="s">
        <v>2113</v>
      </c>
      <c r="D489" s="9" t="s">
        <v>2114</v>
      </c>
      <c r="E489" s="9">
        <v>193</v>
      </c>
      <c r="F489" s="9" t="s">
        <v>2115</v>
      </c>
      <c r="G489" s="9">
        <v>0</v>
      </c>
      <c r="H489" s="9" t="s">
        <v>1932</v>
      </c>
      <c r="I489" s="9" t="s">
        <v>1933</v>
      </c>
      <c r="J489" s="9">
        <v>0</v>
      </c>
      <c r="K489" s="9" t="s">
        <v>1934</v>
      </c>
      <c r="L489" s="9" t="str">
        <f t="shared" si="1"/>
        <v>Y</v>
      </c>
    </row>
    <row r="490" spans="1:12">
      <c r="A490" s="9">
        <v>591</v>
      </c>
      <c r="B490" s="9">
        <v>125</v>
      </c>
      <c r="C490" s="9" t="s">
        <v>2116</v>
      </c>
      <c r="D490" s="9" t="s">
        <v>2117</v>
      </c>
      <c r="E490" s="9">
        <v>241</v>
      </c>
      <c r="F490" s="9" t="s">
        <v>523</v>
      </c>
      <c r="G490" s="9">
        <v>1</v>
      </c>
      <c r="H490" s="9" t="s">
        <v>2118</v>
      </c>
      <c r="I490" s="9" t="s">
        <v>2119</v>
      </c>
      <c r="J490" s="9">
        <v>1</v>
      </c>
      <c r="K490" s="9" t="s">
        <v>2120</v>
      </c>
      <c r="L490" s="9" t="str">
        <f t="shared" si="1"/>
        <v>Y</v>
      </c>
    </row>
    <row r="491" spans="1:12">
      <c r="A491" s="9">
        <v>592</v>
      </c>
      <c r="B491" s="9">
        <v>124</v>
      </c>
      <c r="C491" s="9" t="s">
        <v>2121</v>
      </c>
      <c r="D491" s="9" t="s">
        <v>2122</v>
      </c>
      <c r="E491" s="9">
        <v>235</v>
      </c>
      <c r="F491" s="9" t="s">
        <v>2123</v>
      </c>
      <c r="G491" s="9">
        <v>0</v>
      </c>
      <c r="H491" s="9" t="s">
        <v>1837</v>
      </c>
      <c r="I491" s="9" t="s">
        <v>1838</v>
      </c>
      <c r="J491" s="9">
        <v>0</v>
      </c>
      <c r="K491" s="9" t="s">
        <v>1839</v>
      </c>
      <c r="L491" s="9" t="str">
        <f t="shared" si="1"/>
        <v>Y</v>
      </c>
    </row>
    <row r="492" spans="1:12">
      <c r="A492" s="9">
        <v>593</v>
      </c>
      <c r="B492" s="9">
        <v>119</v>
      </c>
      <c r="C492" s="9" t="s">
        <v>2124</v>
      </c>
      <c r="D492" s="9" t="s">
        <v>20</v>
      </c>
      <c r="E492" s="9">
        <v>200</v>
      </c>
      <c r="F492" s="9" t="s">
        <v>2125</v>
      </c>
      <c r="G492" s="9">
        <v>0</v>
      </c>
      <c r="J492" s="9">
        <v>0</v>
      </c>
      <c r="K492" s="9" t="s">
        <v>699</v>
      </c>
      <c r="L492" s="9" t="str">
        <f t="shared" si="1"/>
        <v>N</v>
      </c>
    </row>
    <row r="493" spans="1:12">
      <c r="A493" s="9">
        <v>594</v>
      </c>
      <c r="B493" s="9">
        <v>120</v>
      </c>
      <c r="C493" s="9" t="s">
        <v>2126</v>
      </c>
      <c r="D493" s="9" t="s">
        <v>2127</v>
      </c>
      <c r="E493" s="9">
        <v>211</v>
      </c>
      <c r="F493" s="9" t="s">
        <v>2128</v>
      </c>
      <c r="G493" s="9">
        <v>3</v>
      </c>
      <c r="H493" s="9" t="s">
        <v>1883</v>
      </c>
      <c r="I493" s="9" t="s">
        <v>1884</v>
      </c>
      <c r="J493" s="9">
        <v>10</v>
      </c>
      <c r="K493" s="9" t="s">
        <v>1885</v>
      </c>
      <c r="L493" s="9" t="str">
        <f t="shared" si="1"/>
        <v>Y</v>
      </c>
    </row>
    <row r="494" spans="1:12">
      <c r="A494" s="9">
        <v>595</v>
      </c>
      <c r="B494" s="9">
        <v>119</v>
      </c>
      <c r="C494" s="9" t="s">
        <v>2129</v>
      </c>
      <c r="D494" s="9" t="s">
        <v>20</v>
      </c>
      <c r="E494" s="9">
        <v>204</v>
      </c>
      <c r="F494" s="9" t="s">
        <v>2128</v>
      </c>
      <c r="G494" s="9">
        <v>0</v>
      </c>
      <c r="H494" s="9"/>
      <c r="I494" s="9"/>
      <c r="J494" s="9">
        <v>0</v>
      </c>
      <c r="K494" s="9" t="s">
        <v>699</v>
      </c>
      <c r="L494" s="9" t="str">
        <f t="shared" si="1"/>
        <v>N</v>
      </c>
    </row>
    <row r="495" spans="1:12">
      <c r="A495" s="9">
        <v>596</v>
      </c>
      <c r="B495" s="9">
        <v>125</v>
      </c>
      <c r="C495" s="9" t="s">
        <v>2130</v>
      </c>
      <c r="D495" s="9" t="s">
        <v>20</v>
      </c>
      <c r="E495" s="9">
        <v>240</v>
      </c>
      <c r="F495" s="9" t="s">
        <v>2131</v>
      </c>
      <c r="G495" s="9">
        <v>0</v>
      </c>
      <c r="H495" s="9"/>
      <c r="I495" s="9"/>
      <c r="J495" s="9">
        <v>0</v>
      </c>
      <c r="K495" s="9" t="s">
        <v>699</v>
      </c>
      <c r="L495" s="9" t="str">
        <f t="shared" si="1"/>
        <v>N</v>
      </c>
    </row>
    <row r="496" spans="1:12">
      <c r="A496" s="9">
        <v>597</v>
      </c>
      <c r="B496" s="9">
        <v>124</v>
      </c>
      <c r="C496" s="9" t="s">
        <v>2132</v>
      </c>
      <c r="D496" s="9" t="s">
        <v>2133</v>
      </c>
      <c r="E496" s="9">
        <v>235</v>
      </c>
      <c r="F496" s="9" t="s">
        <v>2131</v>
      </c>
      <c r="G496" s="9">
        <v>3</v>
      </c>
      <c r="H496" s="9" t="s">
        <v>1837</v>
      </c>
      <c r="I496" s="9" t="s">
        <v>1838</v>
      </c>
      <c r="J496" s="9">
        <v>4</v>
      </c>
      <c r="K496" s="9" t="s">
        <v>1839</v>
      </c>
      <c r="L496" s="9" t="str">
        <f t="shared" si="1"/>
        <v>Y</v>
      </c>
    </row>
    <row r="497" spans="1:12">
      <c r="A497" s="9">
        <v>598</v>
      </c>
      <c r="B497" s="9">
        <v>123</v>
      </c>
      <c r="C497" s="9" t="s">
        <v>2134</v>
      </c>
      <c r="D497" s="9" t="s">
        <v>20</v>
      </c>
      <c r="E497" s="9">
        <v>228</v>
      </c>
      <c r="F497" s="9" t="s">
        <v>2131</v>
      </c>
      <c r="G497" s="9">
        <v>0</v>
      </c>
      <c r="H497" s="9"/>
      <c r="I497" s="9"/>
      <c r="J497" s="9">
        <v>0</v>
      </c>
      <c r="K497" s="9" t="s">
        <v>699</v>
      </c>
      <c r="L497" s="9" t="str">
        <f t="shared" si="1"/>
        <v>N</v>
      </c>
    </row>
    <row r="498" spans="1:12">
      <c r="A498" s="9">
        <v>599</v>
      </c>
      <c r="B498" s="9">
        <v>120</v>
      </c>
      <c r="C498" s="9" t="s">
        <v>2135</v>
      </c>
      <c r="D498" s="9" t="s">
        <v>2136</v>
      </c>
      <c r="E498" s="9">
        <v>207</v>
      </c>
      <c r="F498" s="9" t="s">
        <v>2137</v>
      </c>
      <c r="G498" s="9">
        <v>0</v>
      </c>
      <c r="H498" s="9" t="s">
        <v>2138</v>
      </c>
      <c r="I498" s="9" t="s">
        <v>2139</v>
      </c>
      <c r="J498" s="9">
        <v>0</v>
      </c>
      <c r="K498" s="9" t="s">
        <v>2082</v>
      </c>
      <c r="L498" s="9" t="str">
        <f t="shared" si="1"/>
        <v>Y</v>
      </c>
    </row>
    <row r="499" spans="1:12">
      <c r="A499" s="9">
        <v>600</v>
      </c>
      <c r="B499" s="9">
        <v>118</v>
      </c>
      <c r="C499" s="9" t="s">
        <v>2140</v>
      </c>
      <c r="D499" s="9" t="s">
        <v>2141</v>
      </c>
      <c r="E499" s="9">
        <v>193</v>
      </c>
      <c r="F499" s="9" t="s">
        <v>2142</v>
      </c>
      <c r="G499" s="9">
        <v>0</v>
      </c>
      <c r="H499" s="9" t="s">
        <v>2143</v>
      </c>
      <c r="I499" s="9" t="s">
        <v>2144</v>
      </c>
      <c r="J499" s="9">
        <v>0</v>
      </c>
      <c r="K499" s="9" t="s">
        <v>2145</v>
      </c>
      <c r="L499" s="9" t="str">
        <f t="shared" si="1"/>
        <v>Y</v>
      </c>
    </row>
    <row r="500" spans="1:12">
      <c r="A500" s="9">
        <v>601</v>
      </c>
      <c r="B500" s="9">
        <v>126</v>
      </c>
      <c r="C500" s="9" t="s">
        <v>2146</v>
      </c>
      <c r="D500" s="9" t="s">
        <v>20</v>
      </c>
      <c r="E500" s="9">
        <v>247</v>
      </c>
      <c r="F500" s="9" t="s">
        <v>499</v>
      </c>
      <c r="G500" s="9">
        <v>0</v>
      </c>
      <c r="H500" s="9"/>
      <c r="I500" s="9"/>
      <c r="J500" s="9">
        <v>0</v>
      </c>
      <c r="K500" s="9" t="s">
        <v>699</v>
      </c>
      <c r="L500" s="9" t="str">
        <f t="shared" si="1"/>
        <v>N</v>
      </c>
    </row>
    <row r="501" spans="1:12">
      <c r="A501" s="9">
        <v>602</v>
      </c>
      <c r="B501" s="9">
        <v>119</v>
      </c>
      <c r="C501" s="9" t="s">
        <v>2147</v>
      </c>
      <c r="D501" s="9" t="s">
        <v>2148</v>
      </c>
      <c r="E501" s="9">
        <v>204</v>
      </c>
      <c r="F501" s="9" t="s">
        <v>2149</v>
      </c>
      <c r="G501" s="9">
        <v>0</v>
      </c>
      <c r="H501" s="9" t="s">
        <v>1753</v>
      </c>
      <c r="I501" s="9" t="s">
        <v>1754</v>
      </c>
      <c r="J501" s="9">
        <v>0</v>
      </c>
      <c r="K501" s="9" t="s">
        <v>752</v>
      </c>
      <c r="L501" s="9" t="str">
        <f t="shared" si="1"/>
        <v>Y</v>
      </c>
    </row>
    <row r="502" spans="1:12">
      <c r="A502" s="9">
        <v>603</v>
      </c>
      <c r="B502" s="9">
        <v>125</v>
      </c>
      <c r="C502" s="9" t="s">
        <v>2150</v>
      </c>
      <c r="D502" s="9" t="s">
        <v>20</v>
      </c>
      <c r="E502" s="9">
        <v>239</v>
      </c>
      <c r="F502" s="9" t="s">
        <v>2151</v>
      </c>
      <c r="G502" s="9">
        <v>0</v>
      </c>
      <c r="H502" s="9"/>
      <c r="I502" s="9"/>
      <c r="J502" s="9">
        <v>0</v>
      </c>
      <c r="K502" s="9" t="s">
        <v>699</v>
      </c>
      <c r="L502" s="9" t="str">
        <f t="shared" si="1"/>
        <v>N</v>
      </c>
    </row>
    <row r="503" spans="1:12">
      <c r="A503" s="9">
        <v>604</v>
      </c>
      <c r="B503" s="9">
        <v>125</v>
      </c>
      <c r="C503" s="9" t="s">
        <v>2152</v>
      </c>
      <c r="D503" s="9" t="s">
        <v>20</v>
      </c>
      <c r="E503" s="9">
        <v>240</v>
      </c>
      <c r="F503" s="9" t="s">
        <v>2153</v>
      </c>
      <c r="G503" s="9">
        <v>0</v>
      </c>
      <c r="H503" s="9"/>
      <c r="I503" s="9"/>
      <c r="J503" s="9">
        <v>0</v>
      </c>
      <c r="K503" s="9" t="s">
        <v>699</v>
      </c>
      <c r="L503" s="9" t="str">
        <f t="shared" si="1"/>
        <v>N</v>
      </c>
    </row>
    <row r="504" spans="1:12">
      <c r="A504" s="9">
        <v>605</v>
      </c>
      <c r="B504" s="9">
        <v>120</v>
      </c>
      <c r="C504" s="9" t="s">
        <v>2154</v>
      </c>
      <c r="D504" s="9" t="s">
        <v>2155</v>
      </c>
      <c r="E504" s="9">
        <v>209</v>
      </c>
      <c r="F504" s="9" t="s">
        <v>2153</v>
      </c>
      <c r="G504" s="9">
        <v>0</v>
      </c>
      <c r="H504" s="9" t="s">
        <v>1989</v>
      </c>
      <c r="I504" s="9" t="s">
        <v>1990</v>
      </c>
      <c r="J504" s="9">
        <v>0</v>
      </c>
      <c r="K504" s="9" t="s">
        <v>1973</v>
      </c>
      <c r="L504" s="9" t="str">
        <f t="shared" si="1"/>
        <v>Y</v>
      </c>
    </row>
    <row r="505" spans="1:12">
      <c r="A505" s="9">
        <v>606</v>
      </c>
      <c r="B505" s="9">
        <v>119</v>
      </c>
      <c r="C505" s="9" t="s">
        <v>2156</v>
      </c>
      <c r="D505" s="9" t="s">
        <v>2157</v>
      </c>
      <c r="E505" s="9">
        <v>201</v>
      </c>
      <c r="F505" s="9" t="s">
        <v>2158</v>
      </c>
      <c r="G505" s="9">
        <v>2</v>
      </c>
      <c r="H505" s="9" t="s">
        <v>1989</v>
      </c>
      <c r="I505" s="9" t="s">
        <v>1990</v>
      </c>
      <c r="J505" s="9">
        <v>2</v>
      </c>
      <c r="K505" s="9" t="s">
        <v>1973</v>
      </c>
      <c r="L505" s="9" t="str">
        <f t="shared" si="1"/>
        <v>Y</v>
      </c>
    </row>
    <row r="506" spans="1:12">
      <c r="A506" s="9">
        <v>607</v>
      </c>
      <c r="B506" s="9">
        <v>119</v>
      </c>
      <c r="C506" s="9" t="s">
        <v>2159</v>
      </c>
      <c r="D506" s="9" t="s">
        <v>2160</v>
      </c>
      <c r="E506" s="9">
        <v>204</v>
      </c>
      <c r="F506" s="9" t="s">
        <v>2161</v>
      </c>
      <c r="G506" s="9">
        <v>0</v>
      </c>
      <c r="H506" s="9" t="s">
        <v>1753</v>
      </c>
      <c r="I506" s="9" t="s">
        <v>1754</v>
      </c>
      <c r="J506" s="9">
        <v>0</v>
      </c>
      <c r="K506" s="9" t="s">
        <v>752</v>
      </c>
      <c r="L506" s="9" t="str">
        <f t="shared" si="1"/>
        <v>Y</v>
      </c>
    </row>
    <row r="507" spans="1:12">
      <c r="A507" s="9">
        <v>608</v>
      </c>
      <c r="B507" s="9">
        <v>125</v>
      </c>
      <c r="C507" s="9" t="s">
        <v>2162</v>
      </c>
      <c r="D507" s="9" t="s">
        <v>2163</v>
      </c>
      <c r="E507" s="9">
        <v>239</v>
      </c>
      <c r="F507" s="9" t="s">
        <v>2164</v>
      </c>
      <c r="G507" s="9">
        <v>0</v>
      </c>
      <c r="I507" s="9" t="s">
        <v>1830</v>
      </c>
      <c r="J507" s="9">
        <v>0</v>
      </c>
      <c r="K507" s="9" t="s">
        <v>699</v>
      </c>
      <c r="L507" s="9" t="str">
        <f t="shared" si="1"/>
        <v>Y</v>
      </c>
    </row>
    <row r="508" spans="1:12">
      <c r="A508" s="9">
        <v>609</v>
      </c>
      <c r="B508" s="9">
        <v>126</v>
      </c>
      <c r="C508" s="9" t="s">
        <v>2165</v>
      </c>
      <c r="D508" s="9" t="s">
        <v>20</v>
      </c>
      <c r="E508" s="9">
        <v>246</v>
      </c>
      <c r="F508" s="9" t="s">
        <v>2166</v>
      </c>
      <c r="G508" s="9">
        <v>0</v>
      </c>
      <c r="J508" s="9">
        <v>0</v>
      </c>
      <c r="K508" s="9" t="s">
        <v>699</v>
      </c>
      <c r="L508" s="9" t="str">
        <f t="shared" si="1"/>
        <v>N</v>
      </c>
    </row>
    <row r="509" spans="1:12">
      <c r="A509" s="9">
        <v>610</v>
      </c>
      <c r="B509" s="9">
        <v>123</v>
      </c>
      <c r="C509" s="9" t="s">
        <v>2167</v>
      </c>
      <c r="D509" s="9" t="s">
        <v>20</v>
      </c>
      <c r="E509" s="9">
        <v>228</v>
      </c>
      <c r="F509" s="9" t="s">
        <v>2168</v>
      </c>
      <c r="G509" s="9">
        <v>0</v>
      </c>
      <c r="H509" s="9"/>
      <c r="I509" s="9"/>
      <c r="J509" s="9">
        <v>0</v>
      </c>
      <c r="K509" s="9" t="s">
        <v>699</v>
      </c>
      <c r="L509" s="9" t="str">
        <f t="shared" si="1"/>
        <v>N</v>
      </c>
    </row>
    <row r="510" spans="1:12">
      <c r="A510" s="9">
        <v>611</v>
      </c>
      <c r="B510" s="9">
        <v>118</v>
      </c>
      <c r="C510" s="9" t="s">
        <v>2169</v>
      </c>
      <c r="D510" s="9" t="s">
        <v>2170</v>
      </c>
      <c r="E510" s="9">
        <v>196</v>
      </c>
      <c r="F510" s="9" t="s">
        <v>2171</v>
      </c>
      <c r="G510" s="9">
        <v>0</v>
      </c>
      <c r="H510" s="9" t="s">
        <v>1971</v>
      </c>
      <c r="I510" s="9" t="s">
        <v>1972</v>
      </c>
      <c r="J510" s="9">
        <v>0</v>
      </c>
      <c r="K510" s="9" t="s">
        <v>1973</v>
      </c>
      <c r="L510" s="9" t="str">
        <f t="shared" si="1"/>
        <v>Y</v>
      </c>
    </row>
    <row r="511" spans="1:12">
      <c r="A511" s="9">
        <v>612</v>
      </c>
      <c r="B511" s="9">
        <v>126</v>
      </c>
      <c r="C511" s="9" t="s">
        <v>2172</v>
      </c>
      <c r="D511" s="9" t="s">
        <v>20</v>
      </c>
      <c r="E511" s="9">
        <v>247</v>
      </c>
      <c r="F511" s="9" t="s">
        <v>2173</v>
      </c>
      <c r="G511" s="9">
        <v>0</v>
      </c>
      <c r="J511" s="9">
        <v>0</v>
      </c>
      <c r="K511" s="9" t="s">
        <v>699</v>
      </c>
      <c r="L511" s="9" t="str">
        <f t="shared" si="1"/>
        <v>N</v>
      </c>
    </row>
    <row r="512" spans="1:12">
      <c r="A512" s="9">
        <v>613</v>
      </c>
      <c r="B512" s="9">
        <v>120</v>
      </c>
      <c r="C512" s="9" t="s">
        <v>2174</v>
      </c>
      <c r="D512" s="9" t="s">
        <v>2175</v>
      </c>
      <c r="E512" s="9">
        <v>207</v>
      </c>
      <c r="F512" s="9" t="s">
        <v>2176</v>
      </c>
      <c r="G512" s="9">
        <v>3</v>
      </c>
      <c r="H512" s="9" t="s">
        <v>2080</v>
      </c>
      <c r="I512" s="9" t="s">
        <v>2081</v>
      </c>
      <c r="J512" s="9">
        <v>5</v>
      </c>
      <c r="K512" s="9" t="s">
        <v>2082</v>
      </c>
      <c r="L512" s="9" t="str">
        <f t="shared" ref="L512:L766" si="2">IF(D512="\N","N","Y")</f>
        <v>Y</v>
      </c>
    </row>
    <row r="513" spans="1:12">
      <c r="A513" s="9">
        <v>614</v>
      </c>
      <c r="B513" s="9">
        <v>125</v>
      </c>
      <c r="C513" s="9" t="s">
        <v>2177</v>
      </c>
      <c r="D513" s="9" t="s">
        <v>2178</v>
      </c>
      <c r="E513" s="9">
        <v>239</v>
      </c>
      <c r="F513" s="9" t="s">
        <v>2179</v>
      </c>
      <c r="G513" s="9">
        <v>0</v>
      </c>
      <c r="H513" s="9"/>
      <c r="I513" s="9" t="s">
        <v>1830</v>
      </c>
      <c r="J513" s="9">
        <v>0</v>
      </c>
      <c r="K513" s="9" t="s">
        <v>699</v>
      </c>
      <c r="L513" s="9" t="str">
        <f t="shared" si="2"/>
        <v>Y</v>
      </c>
    </row>
    <row r="514" spans="1:12">
      <c r="A514" s="9">
        <v>615</v>
      </c>
      <c r="B514" s="9">
        <v>119</v>
      </c>
      <c r="C514" s="9" t="s">
        <v>2180</v>
      </c>
      <c r="D514" s="9" t="s">
        <v>2181</v>
      </c>
      <c r="E514" s="9">
        <v>203</v>
      </c>
      <c r="F514" s="9" t="s">
        <v>2179</v>
      </c>
      <c r="G514" s="9">
        <v>0</v>
      </c>
      <c r="H514" s="9" t="s">
        <v>2009</v>
      </c>
      <c r="I514" s="9" t="s">
        <v>2010</v>
      </c>
      <c r="J514" s="9">
        <v>0</v>
      </c>
      <c r="K514" s="9" t="s">
        <v>1911</v>
      </c>
      <c r="L514" s="9" t="str">
        <f t="shared" si="2"/>
        <v>Y</v>
      </c>
    </row>
    <row r="515" spans="1:12">
      <c r="A515" s="9">
        <v>616</v>
      </c>
      <c r="B515" s="9">
        <v>120</v>
      </c>
      <c r="C515" s="9" t="s">
        <v>2182</v>
      </c>
      <c r="D515" s="9" t="s">
        <v>2183</v>
      </c>
      <c r="E515" s="9">
        <v>209</v>
      </c>
      <c r="F515" s="9" t="s">
        <v>2184</v>
      </c>
      <c r="G515" s="9">
        <v>0</v>
      </c>
      <c r="H515" s="9" t="s">
        <v>1989</v>
      </c>
      <c r="I515" s="9" t="s">
        <v>1990</v>
      </c>
      <c r="J515" s="9">
        <v>0</v>
      </c>
      <c r="K515" s="9" t="s">
        <v>1973</v>
      </c>
      <c r="L515" s="9" t="str">
        <f t="shared" si="2"/>
        <v>Y</v>
      </c>
    </row>
    <row r="516" spans="1:12">
      <c r="A516" s="9">
        <v>617</v>
      </c>
      <c r="B516" s="9">
        <v>123</v>
      </c>
      <c r="C516" s="9" t="s">
        <v>2185</v>
      </c>
      <c r="D516" s="9" t="s">
        <v>20</v>
      </c>
      <c r="E516" s="9">
        <v>227</v>
      </c>
      <c r="F516" s="9" t="s">
        <v>2186</v>
      </c>
      <c r="G516" s="9">
        <v>0</v>
      </c>
      <c r="H516" s="9"/>
      <c r="I516" s="9"/>
      <c r="J516" s="9">
        <v>0</v>
      </c>
      <c r="K516" s="9" t="s">
        <v>699</v>
      </c>
      <c r="L516" s="9" t="str">
        <f t="shared" si="2"/>
        <v>N</v>
      </c>
    </row>
    <row r="517" spans="1:12">
      <c r="A517" s="9">
        <v>618</v>
      </c>
      <c r="B517" s="9">
        <v>119</v>
      </c>
      <c r="C517" s="9" t="s">
        <v>2187</v>
      </c>
      <c r="D517" s="9" t="s">
        <v>2188</v>
      </c>
      <c r="E517" s="9">
        <v>201</v>
      </c>
      <c r="F517" s="9" t="s">
        <v>2189</v>
      </c>
      <c r="G517" s="9">
        <v>0</v>
      </c>
      <c r="H517" s="9" t="s">
        <v>1917</v>
      </c>
      <c r="I517" s="9" t="s">
        <v>1918</v>
      </c>
      <c r="J517" s="9">
        <v>0</v>
      </c>
      <c r="K517" s="9" t="s">
        <v>1919</v>
      </c>
      <c r="L517" s="9" t="str">
        <f t="shared" si="2"/>
        <v>Y</v>
      </c>
    </row>
    <row r="518" spans="1:12">
      <c r="A518" s="9">
        <v>619</v>
      </c>
      <c r="B518" s="9">
        <v>121</v>
      </c>
      <c r="C518" s="9" t="s">
        <v>2190</v>
      </c>
      <c r="D518" s="9" t="s">
        <v>2191</v>
      </c>
      <c r="E518" s="9">
        <v>216</v>
      </c>
      <c r="F518" s="9" t="s">
        <v>2192</v>
      </c>
      <c r="G518" s="9">
        <v>1</v>
      </c>
      <c r="H518" s="9" t="s">
        <v>1791</v>
      </c>
      <c r="I518" s="9" t="s">
        <v>1792</v>
      </c>
      <c r="J518" s="9">
        <v>1</v>
      </c>
      <c r="K518" s="9" t="s">
        <v>1793</v>
      </c>
      <c r="L518" s="9" t="str">
        <f t="shared" si="2"/>
        <v>Y</v>
      </c>
    </row>
    <row r="519" spans="1:12">
      <c r="A519" s="9">
        <v>620</v>
      </c>
      <c r="B519" s="9">
        <v>126</v>
      </c>
      <c r="C519" s="9" t="s">
        <v>2193</v>
      </c>
      <c r="D519" s="9" t="s">
        <v>20</v>
      </c>
      <c r="E519" s="9">
        <v>247</v>
      </c>
      <c r="F519" s="9" t="s">
        <v>2194</v>
      </c>
      <c r="G519" s="9">
        <v>0</v>
      </c>
      <c r="H519" s="9"/>
      <c r="I519" s="9"/>
      <c r="J519" s="9">
        <v>0</v>
      </c>
      <c r="K519" s="9" t="s">
        <v>699</v>
      </c>
      <c r="L519" s="9" t="str">
        <f t="shared" si="2"/>
        <v>N</v>
      </c>
    </row>
    <row r="520" spans="1:12">
      <c r="A520" s="9">
        <v>621</v>
      </c>
      <c r="B520" s="9">
        <v>124</v>
      </c>
      <c r="C520" s="9" t="s">
        <v>2195</v>
      </c>
      <c r="D520" s="9" t="s">
        <v>20</v>
      </c>
      <c r="E520" s="9">
        <v>234</v>
      </c>
      <c r="F520" s="9" t="s">
        <v>2196</v>
      </c>
      <c r="G520" s="9">
        <v>0</v>
      </c>
      <c r="H520" s="9"/>
      <c r="I520" s="9"/>
      <c r="J520" s="9">
        <v>0</v>
      </c>
      <c r="K520" s="9" t="s">
        <v>699</v>
      </c>
      <c r="L520" s="9" t="str">
        <f t="shared" si="2"/>
        <v>N</v>
      </c>
    </row>
    <row r="521" spans="1:12">
      <c r="A521" s="9">
        <v>622</v>
      </c>
      <c r="B521" s="9">
        <v>120</v>
      </c>
      <c r="C521" s="9" t="s">
        <v>2197</v>
      </c>
      <c r="D521" s="9" t="s">
        <v>2198</v>
      </c>
      <c r="E521" s="9">
        <v>209</v>
      </c>
      <c r="F521" s="9" t="s">
        <v>2199</v>
      </c>
      <c r="G521" s="9">
        <v>0</v>
      </c>
      <c r="H521" s="9" t="s">
        <v>1989</v>
      </c>
      <c r="I521" s="9" t="s">
        <v>1990</v>
      </c>
      <c r="J521" s="9">
        <v>0</v>
      </c>
      <c r="K521" s="9" t="s">
        <v>1973</v>
      </c>
      <c r="L521" s="9" t="str">
        <f t="shared" si="2"/>
        <v>Y</v>
      </c>
    </row>
    <row r="522" spans="1:12">
      <c r="A522" s="9">
        <v>623</v>
      </c>
      <c r="B522" s="9">
        <v>125</v>
      </c>
      <c r="C522" s="9" t="s">
        <v>2200</v>
      </c>
      <c r="D522" s="9" t="s">
        <v>2201</v>
      </c>
      <c r="E522" s="9">
        <v>239</v>
      </c>
      <c r="F522" s="9" t="s">
        <v>2202</v>
      </c>
      <c r="G522" s="9">
        <v>0</v>
      </c>
      <c r="I522" s="9" t="s">
        <v>1830</v>
      </c>
      <c r="J522" s="9">
        <v>0</v>
      </c>
      <c r="K522" s="9" t="s">
        <v>699</v>
      </c>
      <c r="L522" s="9" t="str">
        <f t="shared" si="2"/>
        <v>Y</v>
      </c>
    </row>
    <row r="523" spans="1:12">
      <c r="A523" s="9">
        <v>624</v>
      </c>
      <c r="B523" s="9">
        <v>126</v>
      </c>
      <c r="C523" s="9" t="s">
        <v>2203</v>
      </c>
      <c r="D523" s="9" t="s">
        <v>20</v>
      </c>
      <c r="E523" s="9">
        <v>247</v>
      </c>
      <c r="F523" s="9" t="s">
        <v>2204</v>
      </c>
      <c r="G523" s="9">
        <v>0</v>
      </c>
      <c r="H523" s="9"/>
      <c r="I523" s="9"/>
      <c r="J523" s="9">
        <v>0</v>
      </c>
      <c r="K523" s="9" t="s">
        <v>699</v>
      </c>
      <c r="L523" s="9" t="str">
        <f t="shared" si="2"/>
        <v>N</v>
      </c>
    </row>
    <row r="524" spans="1:12">
      <c r="A524" s="9">
        <v>625</v>
      </c>
      <c r="B524" s="9">
        <v>125</v>
      </c>
      <c r="C524" s="9" t="s">
        <v>2205</v>
      </c>
      <c r="D524" s="9" t="s">
        <v>2206</v>
      </c>
      <c r="E524" s="9">
        <v>241</v>
      </c>
      <c r="F524" s="9" t="s">
        <v>2207</v>
      </c>
      <c r="G524" s="9">
        <v>1</v>
      </c>
      <c r="H524" s="9" t="s">
        <v>1917</v>
      </c>
      <c r="I524" s="9" t="s">
        <v>1918</v>
      </c>
      <c r="J524" s="9">
        <v>1</v>
      </c>
      <c r="K524" s="9" t="s">
        <v>1919</v>
      </c>
      <c r="L524" s="9" t="str">
        <f t="shared" si="2"/>
        <v>Y</v>
      </c>
    </row>
    <row r="525" spans="1:12">
      <c r="A525" s="9">
        <v>626</v>
      </c>
      <c r="B525" s="9">
        <v>122</v>
      </c>
      <c r="C525" s="9" t="s">
        <v>2208</v>
      </c>
      <c r="D525" s="9" t="s">
        <v>2209</v>
      </c>
      <c r="E525" s="9">
        <v>221</v>
      </c>
      <c r="F525" s="9" t="s">
        <v>2207</v>
      </c>
      <c r="G525" s="9">
        <v>0</v>
      </c>
      <c r="H525" s="9" t="s">
        <v>1777</v>
      </c>
      <c r="I525" s="9" t="s">
        <v>1778</v>
      </c>
      <c r="J525" s="9">
        <v>0</v>
      </c>
      <c r="K525" s="9" t="s">
        <v>1779</v>
      </c>
      <c r="L525" s="9" t="str">
        <f t="shared" si="2"/>
        <v>Y</v>
      </c>
    </row>
    <row r="526" spans="1:12">
      <c r="A526" s="9">
        <v>627</v>
      </c>
      <c r="B526" s="9">
        <v>119</v>
      </c>
      <c r="C526" s="9" t="s">
        <v>2210</v>
      </c>
      <c r="D526" s="9" t="s">
        <v>2211</v>
      </c>
      <c r="E526" s="9">
        <v>201</v>
      </c>
      <c r="F526" s="9" t="s">
        <v>2207</v>
      </c>
      <c r="G526" s="9">
        <v>0</v>
      </c>
      <c r="H526" s="9" t="s">
        <v>1917</v>
      </c>
      <c r="I526" s="9" t="s">
        <v>1918</v>
      </c>
      <c r="J526" s="9">
        <v>0</v>
      </c>
      <c r="K526" s="9" t="s">
        <v>1919</v>
      </c>
      <c r="L526" s="9" t="str">
        <f t="shared" si="2"/>
        <v>Y</v>
      </c>
    </row>
    <row r="527" spans="1:12">
      <c r="A527" s="9">
        <v>628</v>
      </c>
      <c r="B527" s="9">
        <v>120</v>
      </c>
      <c r="C527" s="9" t="s">
        <v>2212</v>
      </c>
      <c r="D527" s="9" t="s">
        <v>2213</v>
      </c>
      <c r="E527" s="9">
        <v>207</v>
      </c>
      <c r="F527" s="9" t="s">
        <v>2214</v>
      </c>
      <c r="G527" s="9">
        <v>1</v>
      </c>
      <c r="H527" s="9" t="s">
        <v>2215</v>
      </c>
      <c r="I527" s="9" t="s">
        <v>2216</v>
      </c>
      <c r="J527" s="9">
        <v>1</v>
      </c>
      <c r="K527" s="9" t="s">
        <v>2217</v>
      </c>
      <c r="L527" s="9" t="str">
        <f t="shared" si="2"/>
        <v>Y</v>
      </c>
    </row>
    <row r="528" spans="1:12">
      <c r="A528" s="9">
        <v>629</v>
      </c>
      <c r="B528" s="9">
        <v>124</v>
      </c>
      <c r="C528" s="9" t="s">
        <v>2218</v>
      </c>
      <c r="D528" s="9" t="s">
        <v>2219</v>
      </c>
      <c r="E528" s="9">
        <v>235</v>
      </c>
      <c r="F528" s="9" t="s">
        <v>2220</v>
      </c>
      <c r="G528" s="9">
        <v>0</v>
      </c>
      <c r="H528" s="9" t="s">
        <v>2221</v>
      </c>
      <c r="I528" s="9" t="s">
        <v>2222</v>
      </c>
      <c r="J528" s="9">
        <v>0</v>
      </c>
      <c r="K528" s="9" t="s">
        <v>2223</v>
      </c>
      <c r="L528" s="9" t="str">
        <f t="shared" si="2"/>
        <v>Y</v>
      </c>
    </row>
    <row r="529" spans="1:12">
      <c r="A529" s="9">
        <v>630</v>
      </c>
      <c r="B529" s="9">
        <v>118</v>
      </c>
      <c r="C529" s="9" t="s">
        <v>2224</v>
      </c>
      <c r="D529" s="9" t="s">
        <v>2225</v>
      </c>
      <c r="E529" s="9">
        <v>196</v>
      </c>
      <c r="F529" s="9" t="s">
        <v>2226</v>
      </c>
      <c r="G529" s="9">
        <v>0</v>
      </c>
      <c r="H529" s="9" t="s">
        <v>1956</v>
      </c>
      <c r="I529" s="9" t="s">
        <v>1957</v>
      </c>
      <c r="J529" s="9">
        <v>0</v>
      </c>
      <c r="K529" s="9" t="s">
        <v>1958</v>
      </c>
      <c r="L529" s="9" t="str">
        <f t="shared" si="2"/>
        <v>Y</v>
      </c>
    </row>
    <row r="530" spans="1:12">
      <c r="A530" s="9">
        <v>631</v>
      </c>
      <c r="B530" s="9">
        <v>118</v>
      </c>
      <c r="C530" s="9" t="s">
        <v>2227</v>
      </c>
      <c r="D530" s="9" t="s">
        <v>2228</v>
      </c>
      <c r="E530" s="9">
        <v>194</v>
      </c>
      <c r="F530" s="9" t="s">
        <v>2229</v>
      </c>
      <c r="G530" s="9">
        <v>0</v>
      </c>
      <c r="H530" s="9"/>
      <c r="I530" s="9" t="s">
        <v>1830</v>
      </c>
      <c r="J530" s="9">
        <v>0</v>
      </c>
      <c r="K530" s="9" t="s">
        <v>699</v>
      </c>
      <c r="L530" s="9" t="str">
        <f t="shared" si="2"/>
        <v>Y</v>
      </c>
    </row>
    <row r="531" spans="1:12">
      <c r="A531" s="9">
        <v>632</v>
      </c>
      <c r="B531" s="9">
        <v>126</v>
      </c>
      <c r="C531" s="9" t="s">
        <v>2230</v>
      </c>
      <c r="D531" s="9" t="s">
        <v>20</v>
      </c>
      <c r="E531" s="9">
        <v>244</v>
      </c>
      <c r="F531" s="9" t="s">
        <v>2231</v>
      </c>
      <c r="G531" s="9">
        <v>0</v>
      </c>
      <c r="H531" s="9"/>
      <c r="I531" s="9"/>
      <c r="J531" s="9">
        <v>0</v>
      </c>
      <c r="K531" s="9" t="s">
        <v>699</v>
      </c>
      <c r="L531" s="9" t="str">
        <f t="shared" si="2"/>
        <v>N</v>
      </c>
    </row>
    <row r="532" spans="1:12">
      <c r="A532" s="9">
        <v>633</v>
      </c>
      <c r="B532" s="9">
        <v>125</v>
      </c>
      <c r="C532" s="9" t="s">
        <v>2232</v>
      </c>
      <c r="D532" s="9" t="s">
        <v>2233</v>
      </c>
      <c r="E532" s="9">
        <v>241</v>
      </c>
      <c r="F532" s="9" t="s">
        <v>2234</v>
      </c>
      <c r="G532" s="9">
        <v>1</v>
      </c>
      <c r="H532" s="9" t="s">
        <v>2235</v>
      </c>
      <c r="I532" s="9" t="s">
        <v>2236</v>
      </c>
      <c r="J532" s="9">
        <v>2</v>
      </c>
      <c r="K532" s="9" t="s">
        <v>2237</v>
      </c>
      <c r="L532" s="9" t="str">
        <f t="shared" si="2"/>
        <v>Y</v>
      </c>
    </row>
    <row r="533" spans="1:12">
      <c r="A533" s="9">
        <v>634</v>
      </c>
      <c r="B533" s="9">
        <v>126</v>
      </c>
      <c r="C533" s="9" t="s">
        <v>2238</v>
      </c>
      <c r="D533" s="9" t="s">
        <v>2239</v>
      </c>
      <c r="E533" s="9">
        <v>247</v>
      </c>
      <c r="F533" s="9" t="s">
        <v>2240</v>
      </c>
      <c r="G533" s="9">
        <v>0</v>
      </c>
      <c r="H533" s="9" t="s">
        <v>2241</v>
      </c>
      <c r="I533" s="9" t="s">
        <v>2242</v>
      </c>
      <c r="J533" s="9">
        <v>0</v>
      </c>
      <c r="K533" s="9" t="s">
        <v>1919</v>
      </c>
      <c r="L533" s="9" t="str">
        <f t="shared" si="2"/>
        <v>Y</v>
      </c>
    </row>
    <row r="534" spans="1:12">
      <c r="A534" s="9">
        <v>635</v>
      </c>
      <c r="B534" s="9">
        <v>125</v>
      </c>
      <c r="C534" s="9" t="s">
        <v>2243</v>
      </c>
      <c r="D534" s="9" t="s">
        <v>2244</v>
      </c>
      <c r="E534" s="9">
        <v>240</v>
      </c>
      <c r="F534" s="9" t="s">
        <v>2245</v>
      </c>
      <c r="G534" s="9">
        <v>0</v>
      </c>
      <c r="H534" s="9" t="s">
        <v>2059</v>
      </c>
      <c r="I534" s="9" t="s">
        <v>2060</v>
      </c>
      <c r="J534" s="9">
        <v>0</v>
      </c>
      <c r="K534" s="9" t="s">
        <v>2061</v>
      </c>
      <c r="L534" s="9" t="str">
        <f t="shared" si="2"/>
        <v>Y</v>
      </c>
    </row>
    <row r="535" spans="1:12">
      <c r="A535" s="9">
        <v>636</v>
      </c>
      <c r="B535" s="9">
        <v>126</v>
      </c>
      <c r="C535" s="9" t="s">
        <v>2246</v>
      </c>
      <c r="D535" s="9" t="s">
        <v>20</v>
      </c>
      <c r="E535" s="9">
        <v>244</v>
      </c>
      <c r="F535" s="9" t="s">
        <v>2247</v>
      </c>
      <c r="G535" s="9">
        <v>0</v>
      </c>
      <c r="H535" s="9"/>
      <c r="I535" s="9"/>
      <c r="J535" s="9">
        <v>0</v>
      </c>
      <c r="K535" s="9" t="s">
        <v>699</v>
      </c>
      <c r="L535" s="9" t="str">
        <f t="shared" si="2"/>
        <v>N</v>
      </c>
    </row>
    <row r="536" spans="1:12">
      <c r="A536" s="9">
        <v>637</v>
      </c>
      <c r="B536" s="9">
        <v>126</v>
      </c>
      <c r="C536" s="9" t="s">
        <v>2248</v>
      </c>
      <c r="D536" s="9" t="s">
        <v>20</v>
      </c>
      <c r="E536" s="9">
        <v>246</v>
      </c>
      <c r="F536" s="9" t="s">
        <v>2247</v>
      </c>
      <c r="G536" s="9">
        <v>0</v>
      </c>
      <c r="H536" s="9"/>
      <c r="I536" s="9"/>
      <c r="J536" s="9">
        <v>0</v>
      </c>
      <c r="K536" s="9" t="s">
        <v>699</v>
      </c>
      <c r="L536" s="9" t="str">
        <f t="shared" si="2"/>
        <v>N</v>
      </c>
    </row>
    <row r="537" spans="1:12">
      <c r="A537" s="9">
        <v>638</v>
      </c>
      <c r="B537" s="9">
        <v>119</v>
      </c>
      <c r="C537" s="9" t="s">
        <v>2249</v>
      </c>
      <c r="D537" s="9" t="s">
        <v>2250</v>
      </c>
      <c r="E537" s="9">
        <v>202</v>
      </c>
      <c r="F537" s="9" t="s">
        <v>2251</v>
      </c>
      <c r="G537" s="9">
        <v>1</v>
      </c>
      <c r="H537" s="9" t="s">
        <v>2221</v>
      </c>
      <c r="I537" s="9" t="s">
        <v>2222</v>
      </c>
      <c r="J537" s="9">
        <v>1</v>
      </c>
      <c r="K537" s="9" t="s">
        <v>2223</v>
      </c>
      <c r="L537" s="9" t="str">
        <f t="shared" si="2"/>
        <v>Y</v>
      </c>
    </row>
    <row r="538" spans="1:12">
      <c r="A538" s="9">
        <v>639</v>
      </c>
      <c r="B538" s="9">
        <v>120</v>
      </c>
      <c r="C538" s="9" t="s">
        <v>2252</v>
      </c>
      <c r="D538" s="9" t="s">
        <v>2253</v>
      </c>
      <c r="E538" s="9">
        <v>211</v>
      </c>
      <c r="F538" s="9" t="s">
        <v>2254</v>
      </c>
      <c r="G538" s="9">
        <v>1</v>
      </c>
      <c r="H538" s="9" t="s">
        <v>1872</v>
      </c>
      <c r="I538" s="9" t="s">
        <v>1873</v>
      </c>
      <c r="J538" s="9">
        <v>2</v>
      </c>
      <c r="K538" s="9" t="s">
        <v>1874</v>
      </c>
      <c r="L538" s="9" t="str">
        <f t="shared" si="2"/>
        <v>Y</v>
      </c>
    </row>
    <row r="539" spans="1:12">
      <c r="A539" s="9">
        <v>640</v>
      </c>
      <c r="B539" s="9">
        <v>118</v>
      </c>
      <c r="C539" s="9" t="s">
        <v>2255</v>
      </c>
      <c r="D539" s="9" t="s">
        <v>2256</v>
      </c>
      <c r="E539" s="9">
        <v>196</v>
      </c>
      <c r="F539" s="9" t="s">
        <v>2257</v>
      </c>
      <c r="G539" s="9">
        <v>0</v>
      </c>
      <c r="H539" s="9" t="s">
        <v>1971</v>
      </c>
      <c r="I539" s="9" t="s">
        <v>1972</v>
      </c>
      <c r="J539" s="9">
        <v>0</v>
      </c>
      <c r="K539" s="9" t="s">
        <v>1973</v>
      </c>
      <c r="L539" s="9" t="str">
        <f t="shared" si="2"/>
        <v>Y</v>
      </c>
    </row>
    <row r="540" spans="1:12">
      <c r="A540" s="9">
        <v>641</v>
      </c>
      <c r="B540" s="9">
        <v>126</v>
      </c>
      <c r="C540" s="9" t="s">
        <v>2258</v>
      </c>
      <c r="D540" s="9" t="s">
        <v>2259</v>
      </c>
      <c r="E540" s="9">
        <v>244</v>
      </c>
      <c r="F540" s="9" t="s">
        <v>2260</v>
      </c>
      <c r="G540" s="9">
        <v>0</v>
      </c>
      <c r="H540" s="9" t="s">
        <v>2143</v>
      </c>
      <c r="I540" s="9" t="s">
        <v>2144</v>
      </c>
      <c r="J540" s="9">
        <v>0</v>
      </c>
      <c r="K540" s="9" t="s">
        <v>2145</v>
      </c>
      <c r="L540" s="9" t="str">
        <f t="shared" si="2"/>
        <v>Y</v>
      </c>
    </row>
    <row r="541" spans="1:12">
      <c r="A541" s="9">
        <v>642</v>
      </c>
      <c r="B541" s="9">
        <v>126</v>
      </c>
      <c r="C541" s="9" t="s">
        <v>2261</v>
      </c>
      <c r="D541" s="9" t="s">
        <v>20</v>
      </c>
      <c r="E541" s="9">
        <v>247</v>
      </c>
      <c r="F541" s="9" t="s">
        <v>2262</v>
      </c>
      <c r="G541" s="9">
        <v>0</v>
      </c>
      <c r="H541" s="9"/>
      <c r="I541" s="9"/>
      <c r="J541" s="9">
        <v>0</v>
      </c>
      <c r="K541" s="9" t="s">
        <v>699</v>
      </c>
      <c r="L541" s="9" t="str">
        <f t="shared" si="2"/>
        <v>N</v>
      </c>
    </row>
    <row r="542" spans="1:12">
      <c r="A542" s="9">
        <v>643</v>
      </c>
      <c r="B542" s="9">
        <v>121</v>
      </c>
      <c r="C542" s="9" t="s">
        <v>2263</v>
      </c>
      <c r="D542" s="9" t="s">
        <v>2264</v>
      </c>
      <c r="E542" s="9">
        <v>214</v>
      </c>
      <c r="F542" s="9" t="s">
        <v>2265</v>
      </c>
      <c r="G542" s="9">
        <v>1</v>
      </c>
      <c r="H542" s="9" t="s">
        <v>2266</v>
      </c>
      <c r="I542" s="9" t="s">
        <v>2267</v>
      </c>
      <c r="J542" s="9">
        <v>2</v>
      </c>
      <c r="K542" s="9" t="s">
        <v>2237</v>
      </c>
      <c r="L542" s="9" t="str">
        <f t="shared" si="2"/>
        <v>Y</v>
      </c>
    </row>
    <row r="543" spans="1:12">
      <c r="A543" s="9">
        <v>644</v>
      </c>
      <c r="B543" s="9">
        <v>122</v>
      </c>
      <c r="C543" s="9" t="s">
        <v>2268</v>
      </c>
      <c r="D543" s="9" t="s">
        <v>20</v>
      </c>
      <c r="E543" s="9">
        <v>222</v>
      </c>
      <c r="F543" s="9" t="s">
        <v>2269</v>
      </c>
      <c r="G543" s="9">
        <v>0</v>
      </c>
      <c r="J543" s="9">
        <v>0</v>
      </c>
      <c r="K543" s="9" t="s">
        <v>699</v>
      </c>
      <c r="L543" s="9" t="str">
        <f t="shared" si="2"/>
        <v>N</v>
      </c>
    </row>
    <row r="544" spans="1:12">
      <c r="A544" s="9">
        <v>645</v>
      </c>
      <c r="B544" s="9">
        <v>125</v>
      </c>
      <c r="C544" s="9" t="s">
        <v>2270</v>
      </c>
      <c r="D544" s="9" t="s">
        <v>2271</v>
      </c>
      <c r="E544" s="9">
        <v>241</v>
      </c>
      <c r="F544" s="9" t="s">
        <v>2272</v>
      </c>
      <c r="G544" s="9">
        <v>0</v>
      </c>
      <c r="H544" s="9" t="s">
        <v>1837</v>
      </c>
      <c r="I544" s="9" t="s">
        <v>1838</v>
      </c>
      <c r="J544" s="9">
        <v>0</v>
      </c>
      <c r="K544" s="9" t="s">
        <v>1839</v>
      </c>
      <c r="L544" s="9" t="str">
        <f t="shared" si="2"/>
        <v>Y</v>
      </c>
    </row>
    <row r="545" spans="1:12">
      <c r="A545" s="9">
        <v>646</v>
      </c>
      <c r="B545" s="9">
        <v>123</v>
      </c>
      <c r="C545" s="9" t="s">
        <v>2273</v>
      </c>
      <c r="D545" s="9" t="s">
        <v>20</v>
      </c>
      <c r="E545" s="9">
        <v>227</v>
      </c>
      <c r="F545" s="9" t="s">
        <v>2274</v>
      </c>
      <c r="G545" s="9">
        <v>0</v>
      </c>
      <c r="H545" s="9"/>
      <c r="I545" s="9"/>
      <c r="J545" s="9">
        <v>0</v>
      </c>
      <c r="K545" s="9" t="s">
        <v>699</v>
      </c>
      <c r="L545" s="9" t="str">
        <f t="shared" si="2"/>
        <v>N</v>
      </c>
    </row>
    <row r="546" spans="1:12">
      <c r="A546" s="9">
        <v>647</v>
      </c>
      <c r="B546" s="9">
        <v>126</v>
      </c>
      <c r="C546" s="9" t="s">
        <v>2275</v>
      </c>
      <c r="D546" s="9" t="s">
        <v>20</v>
      </c>
      <c r="E546" s="9">
        <v>246</v>
      </c>
      <c r="F546" s="9" t="s">
        <v>2276</v>
      </c>
      <c r="G546" s="9">
        <v>0</v>
      </c>
      <c r="H546" s="9"/>
      <c r="I546" s="9"/>
      <c r="J546" s="9">
        <v>0</v>
      </c>
      <c r="K546" s="9" t="s">
        <v>699</v>
      </c>
      <c r="L546" s="9" t="str">
        <f t="shared" si="2"/>
        <v>N</v>
      </c>
    </row>
    <row r="547" spans="1:12">
      <c r="A547" s="9">
        <v>648</v>
      </c>
      <c r="B547" s="9">
        <v>123</v>
      </c>
      <c r="C547" s="9" t="s">
        <v>2277</v>
      </c>
      <c r="D547" s="9" t="s">
        <v>20</v>
      </c>
      <c r="E547" s="9">
        <v>226</v>
      </c>
      <c r="F547" s="9" t="s">
        <v>2278</v>
      </c>
      <c r="G547" s="9">
        <v>0</v>
      </c>
      <c r="H547" s="9"/>
      <c r="I547" s="9"/>
      <c r="J547" s="9">
        <v>0</v>
      </c>
      <c r="K547" s="9" t="s">
        <v>699</v>
      </c>
      <c r="L547" s="9" t="str">
        <f t="shared" si="2"/>
        <v>N</v>
      </c>
    </row>
    <row r="548" spans="1:12">
      <c r="A548" s="9">
        <v>649</v>
      </c>
      <c r="B548" s="9">
        <v>118</v>
      </c>
      <c r="C548" s="9" t="s">
        <v>2279</v>
      </c>
      <c r="D548" s="9" t="s">
        <v>2280</v>
      </c>
      <c r="E548" s="9">
        <v>194</v>
      </c>
      <c r="F548" s="9" t="s">
        <v>2281</v>
      </c>
      <c r="G548" s="9">
        <v>3</v>
      </c>
      <c r="H548" s="9" t="s">
        <v>2034</v>
      </c>
      <c r="I548" s="9" t="s">
        <v>2035</v>
      </c>
      <c r="J548" s="9">
        <v>5</v>
      </c>
      <c r="K548" s="9" t="s">
        <v>2036</v>
      </c>
      <c r="L548" s="9" t="str">
        <f t="shared" si="2"/>
        <v>Y</v>
      </c>
    </row>
    <row r="549" spans="1:12">
      <c r="A549" s="9">
        <v>650</v>
      </c>
      <c r="B549" s="9">
        <v>126</v>
      </c>
      <c r="C549" s="9" t="s">
        <v>2282</v>
      </c>
      <c r="D549" s="9" t="s">
        <v>2283</v>
      </c>
      <c r="E549" s="9">
        <v>247</v>
      </c>
      <c r="F549" s="9" t="s">
        <v>2284</v>
      </c>
      <c r="G549" s="9">
        <v>0</v>
      </c>
      <c r="H549" s="9" t="s">
        <v>1956</v>
      </c>
      <c r="I549" s="9" t="s">
        <v>1957</v>
      </c>
      <c r="J549" s="9">
        <v>0</v>
      </c>
      <c r="K549" s="9" t="s">
        <v>1958</v>
      </c>
      <c r="L549" s="9" t="str">
        <f t="shared" si="2"/>
        <v>Y</v>
      </c>
    </row>
    <row r="550" spans="1:12">
      <c r="A550" s="9">
        <v>651</v>
      </c>
      <c r="B550" s="9">
        <v>121</v>
      </c>
      <c r="C550" s="9" t="s">
        <v>2285</v>
      </c>
      <c r="D550" s="9" t="s">
        <v>2286</v>
      </c>
      <c r="E550" s="9">
        <v>215</v>
      </c>
      <c r="F550" s="9" t="s">
        <v>2287</v>
      </c>
      <c r="G550" s="9">
        <v>0</v>
      </c>
      <c r="H550" s="9" t="s">
        <v>2009</v>
      </c>
      <c r="I550" s="9" t="s">
        <v>2010</v>
      </c>
      <c r="J550" s="9">
        <v>0</v>
      </c>
      <c r="K550" s="9" t="s">
        <v>1911</v>
      </c>
      <c r="L550" s="9" t="str">
        <f t="shared" si="2"/>
        <v>Y</v>
      </c>
    </row>
    <row r="551" spans="1:12">
      <c r="A551" s="9">
        <v>652</v>
      </c>
      <c r="B551" s="9">
        <v>121</v>
      </c>
      <c r="C551" s="9" t="s">
        <v>2288</v>
      </c>
      <c r="D551" s="9" t="s">
        <v>2289</v>
      </c>
      <c r="E551" s="9">
        <v>216</v>
      </c>
      <c r="F551" s="9" t="s">
        <v>2287</v>
      </c>
      <c r="G551" s="9">
        <v>0</v>
      </c>
      <c r="H551" s="9" t="s">
        <v>2290</v>
      </c>
      <c r="I551" s="9" t="s">
        <v>2291</v>
      </c>
      <c r="J551" s="9">
        <v>0</v>
      </c>
      <c r="K551" s="9" t="s">
        <v>2292</v>
      </c>
      <c r="L551" s="9" t="str">
        <f t="shared" si="2"/>
        <v>Y</v>
      </c>
    </row>
    <row r="552" spans="1:12">
      <c r="A552" s="9">
        <v>653</v>
      </c>
      <c r="B552" s="9">
        <v>125</v>
      </c>
      <c r="C552" s="9" t="s">
        <v>2293</v>
      </c>
      <c r="D552" s="9" t="s">
        <v>20</v>
      </c>
      <c r="E552" s="9">
        <v>240</v>
      </c>
      <c r="F552" s="9" t="s">
        <v>2294</v>
      </c>
      <c r="G552" s="9">
        <v>0</v>
      </c>
      <c r="H552" s="9"/>
      <c r="I552" s="9"/>
      <c r="J552" s="9">
        <v>0</v>
      </c>
      <c r="K552" s="9" t="s">
        <v>699</v>
      </c>
      <c r="L552" s="9" t="str">
        <f t="shared" si="2"/>
        <v>N</v>
      </c>
    </row>
    <row r="553" spans="1:12">
      <c r="A553" s="9">
        <v>654</v>
      </c>
      <c r="B553" s="9">
        <v>123</v>
      </c>
      <c r="C553" s="9" t="s">
        <v>2295</v>
      </c>
      <c r="D553" s="9" t="s">
        <v>20</v>
      </c>
      <c r="E553" s="9">
        <v>226</v>
      </c>
      <c r="F553" s="9" t="s">
        <v>2296</v>
      </c>
      <c r="G553" s="9">
        <v>0</v>
      </c>
      <c r="H553" s="9"/>
      <c r="I553" s="9"/>
      <c r="J553" s="9">
        <v>0</v>
      </c>
      <c r="K553" s="9" t="s">
        <v>699</v>
      </c>
      <c r="L553" s="9" t="str">
        <f t="shared" si="2"/>
        <v>N</v>
      </c>
    </row>
    <row r="554" spans="1:12">
      <c r="A554" s="9">
        <v>655</v>
      </c>
      <c r="B554" s="9">
        <v>119</v>
      </c>
      <c r="C554" s="9" t="s">
        <v>2297</v>
      </c>
      <c r="D554" s="9" t="s">
        <v>20</v>
      </c>
      <c r="E554" s="9">
        <v>204</v>
      </c>
      <c r="F554" s="9" t="s">
        <v>2296</v>
      </c>
      <c r="G554" s="9">
        <v>0</v>
      </c>
      <c r="J554" s="9">
        <v>0</v>
      </c>
      <c r="K554" s="9" t="s">
        <v>699</v>
      </c>
      <c r="L554" s="9" t="str">
        <f t="shared" si="2"/>
        <v>N</v>
      </c>
    </row>
    <row r="555" spans="1:12">
      <c r="A555" s="9">
        <v>656</v>
      </c>
      <c r="B555" s="9">
        <v>119</v>
      </c>
      <c r="C555" s="9" t="s">
        <v>2298</v>
      </c>
      <c r="D555" s="9" t="s">
        <v>2299</v>
      </c>
      <c r="E555" s="9">
        <v>200</v>
      </c>
      <c r="F555" s="9" t="s">
        <v>2300</v>
      </c>
      <c r="G555" s="9">
        <v>0</v>
      </c>
      <c r="H555" s="9" t="s">
        <v>1772</v>
      </c>
      <c r="I555" s="9" t="s">
        <v>1773</v>
      </c>
      <c r="J555" s="9">
        <v>0</v>
      </c>
      <c r="K555" s="9" t="s">
        <v>699</v>
      </c>
      <c r="L555" s="9" t="str">
        <f t="shared" si="2"/>
        <v>Y</v>
      </c>
    </row>
    <row r="556" spans="1:12">
      <c r="A556" s="9">
        <v>657</v>
      </c>
      <c r="B556" s="9">
        <v>125</v>
      </c>
      <c r="C556" s="9" t="s">
        <v>2301</v>
      </c>
      <c r="D556" s="9" t="s">
        <v>2302</v>
      </c>
      <c r="E556" s="9">
        <v>239</v>
      </c>
      <c r="F556" s="9" t="s">
        <v>2303</v>
      </c>
      <c r="G556" s="9">
        <v>0</v>
      </c>
      <c r="I556" s="9" t="s">
        <v>1830</v>
      </c>
      <c r="J556" s="9">
        <v>0</v>
      </c>
      <c r="K556" s="9" t="s">
        <v>699</v>
      </c>
      <c r="L556" s="9" t="str">
        <f t="shared" si="2"/>
        <v>Y</v>
      </c>
    </row>
    <row r="557" spans="1:12">
      <c r="A557" s="9">
        <v>658</v>
      </c>
      <c r="B557" s="9">
        <v>119</v>
      </c>
      <c r="C557" s="9" t="s">
        <v>2304</v>
      </c>
      <c r="D557" s="9" t="s">
        <v>2305</v>
      </c>
      <c r="E557" s="9">
        <v>201</v>
      </c>
      <c r="F557" s="9" t="s">
        <v>2306</v>
      </c>
      <c r="G557" s="9">
        <v>0</v>
      </c>
      <c r="H557" s="9" t="s">
        <v>2050</v>
      </c>
      <c r="I557" s="9" t="s">
        <v>2051</v>
      </c>
      <c r="J557" s="9">
        <v>0</v>
      </c>
      <c r="K557" s="9" t="s">
        <v>2052</v>
      </c>
      <c r="L557" s="9" t="str">
        <f t="shared" si="2"/>
        <v>Y</v>
      </c>
    </row>
    <row r="558" spans="1:12">
      <c r="A558" s="9">
        <v>659</v>
      </c>
      <c r="B558" s="9">
        <v>125</v>
      </c>
      <c r="C558" s="9" t="s">
        <v>2307</v>
      </c>
      <c r="D558" s="9" t="s">
        <v>2308</v>
      </c>
      <c r="E558" s="9">
        <v>240</v>
      </c>
      <c r="F558" s="9" t="s">
        <v>2309</v>
      </c>
      <c r="G558" s="9">
        <v>1</v>
      </c>
      <c r="H558" s="9" t="s">
        <v>2310</v>
      </c>
      <c r="I558" s="9" t="s">
        <v>2311</v>
      </c>
      <c r="J558" s="9">
        <v>1</v>
      </c>
      <c r="K558" s="9" t="s">
        <v>2312</v>
      </c>
      <c r="L558" s="9" t="str">
        <f t="shared" si="2"/>
        <v>Y</v>
      </c>
    </row>
    <row r="559" spans="1:12">
      <c r="A559" s="9">
        <v>660</v>
      </c>
      <c r="B559" s="9">
        <v>119</v>
      </c>
      <c r="C559" s="9" t="s">
        <v>2313</v>
      </c>
      <c r="D559" s="9" t="s">
        <v>20</v>
      </c>
      <c r="E559" s="9">
        <v>204</v>
      </c>
      <c r="F559" s="9" t="s">
        <v>2314</v>
      </c>
      <c r="G559" s="9">
        <v>0</v>
      </c>
      <c r="H559" s="9"/>
      <c r="I559" s="9"/>
      <c r="J559" s="9">
        <v>0</v>
      </c>
      <c r="K559" s="9" t="s">
        <v>699</v>
      </c>
      <c r="L559" s="9" t="str">
        <f t="shared" si="2"/>
        <v>N</v>
      </c>
    </row>
    <row r="560" spans="1:12">
      <c r="A560" s="9">
        <v>661</v>
      </c>
      <c r="B560" s="9">
        <v>124</v>
      </c>
      <c r="C560" s="9" t="s">
        <v>2315</v>
      </c>
      <c r="D560" s="9" t="s">
        <v>20</v>
      </c>
      <c r="E560" s="9">
        <v>234</v>
      </c>
      <c r="F560" s="9" t="s">
        <v>2316</v>
      </c>
      <c r="G560" s="9">
        <v>0</v>
      </c>
      <c r="J560" s="9">
        <v>0</v>
      </c>
      <c r="K560" s="9" t="s">
        <v>699</v>
      </c>
      <c r="L560" s="9" t="str">
        <f t="shared" si="2"/>
        <v>N</v>
      </c>
    </row>
    <row r="561" spans="1:12">
      <c r="A561" s="9">
        <v>662</v>
      </c>
      <c r="B561" s="9">
        <v>122</v>
      </c>
      <c r="C561" s="9" t="s">
        <v>2317</v>
      </c>
      <c r="D561" s="9" t="s">
        <v>20</v>
      </c>
      <c r="E561" s="9">
        <v>220</v>
      </c>
      <c r="F561" s="9" t="s">
        <v>2318</v>
      </c>
      <c r="G561" s="9">
        <v>0</v>
      </c>
      <c r="H561" s="9"/>
      <c r="I561" s="9"/>
      <c r="J561" s="9">
        <v>0</v>
      </c>
      <c r="K561" s="9" t="s">
        <v>699</v>
      </c>
      <c r="L561" s="9" t="str">
        <f t="shared" si="2"/>
        <v>N</v>
      </c>
    </row>
    <row r="562" spans="1:12">
      <c r="A562" s="9">
        <v>663</v>
      </c>
      <c r="B562" s="9">
        <v>125</v>
      </c>
      <c r="C562" s="9" t="s">
        <v>2319</v>
      </c>
      <c r="D562" s="9" t="s">
        <v>2320</v>
      </c>
      <c r="E562" s="9">
        <v>241</v>
      </c>
      <c r="F562" s="9" t="s">
        <v>2321</v>
      </c>
      <c r="G562" s="9">
        <v>0</v>
      </c>
      <c r="H562" s="9" t="s">
        <v>1837</v>
      </c>
      <c r="I562" s="9" t="s">
        <v>1838</v>
      </c>
      <c r="J562" s="9">
        <v>0</v>
      </c>
      <c r="K562" s="9" t="s">
        <v>1839</v>
      </c>
      <c r="L562" s="9" t="str">
        <f t="shared" si="2"/>
        <v>Y</v>
      </c>
    </row>
    <row r="563" spans="1:12">
      <c r="A563" s="9">
        <v>664</v>
      </c>
      <c r="B563" s="9">
        <v>119</v>
      </c>
      <c r="C563" s="9" t="s">
        <v>2322</v>
      </c>
      <c r="D563" s="9" t="s">
        <v>20</v>
      </c>
      <c r="E563" s="9">
        <v>204</v>
      </c>
      <c r="F563" s="9" t="s">
        <v>2323</v>
      </c>
      <c r="G563" s="9">
        <v>0</v>
      </c>
      <c r="J563" s="9">
        <v>0</v>
      </c>
      <c r="K563" s="9" t="s">
        <v>699</v>
      </c>
      <c r="L563" s="9" t="str">
        <f t="shared" si="2"/>
        <v>N</v>
      </c>
    </row>
    <row r="564" spans="1:12">
      <c r="A564" s="9">
        <v>665</v>
      </c>
      <c r="B564" s="9">
        <v>124</v>
      </c>
      <c r="C564" s="9" t="s">
        <v>2324</v>
      </c>
      <c r="D564" s="9" t="s">
        <v>2325</v>
      </c>
      <c r="E564" s="9">
        <v>234</v>
      </c>
      <c r="F564" s="9" t="s">
        <v>453</v>
      </c>
      <c r="G564" s="9">
        <v>0</v>
      </c>
      <c r="H564" s="9" t="s">
        <v>2326</v>
      </c>
      <c r="I564" s="9" t="s">
        <v>2327</v>
      </c>
      <c r="J564" s="9">
        <v>0</v>
      </c>
      <c r="K564" s="9" t="s">
        <v>1934</v>
      </c>
      <c r="L564" s="9" t="str">
        <f t="shared" si="2"/>
        <v>Y</v>
      </c>
    </row>
    <row r="565" spans="1:12">
      <c r="A565" s="9">
        <v>666</v>
      </c>
      <c r="B565" s="9">
        <v>123</v>
      </c>
      <c r="C565" s="9" t="s">
        <v>2328</v>
      </c>
      <c r="D565" s="9" t="s">
        <v>20</v>
      </c>
      <c r="E565" s="9">
        <v>227</v>
      </c>
      <c r="F565" s="9" t="s">
        <v>2329</v>
      </c>
      <c r="G565" s="9">
        <v>0</v>
      </c>
      <c r="H565" s="9"/>
      <c r="I565" s="9"/>
      <c r="J565" s="9">
        <v>0</v>
      </c>
      <c r="K565" s="9" t="s">
        <v>699</v>
      </c>
      <c r="L565" s="9" t="str">
        <f t="shared" si="2"/>
        <v>N</v>
      </c>
    </row>
    <row r="566" spans="1:12">
      <c r="A566" s="9">
        <v>667</v>
      </c>
      <c r="B566" s="9">
        <v>125</v>
      </c>
      <c r="C566" s="9" t="s">
        <v>2330</v>
      </c>
      <c r="D566" s="9" t="s">
        <v>20</v>
      </c>
      <c r="E566" s="9">
        <v>241</v>
      </c>
      <c r="F566" s="9" t="s">
        <v>2331</v>
      </c>
      <c r="G566" s="9">
        <v>0</v>
      </c>
      <c r="H566" s="9"/>
      <c r="I566" s="9"/>
      <c r="J566" s="9">
        <v>0</v>
      </c>
      <c r="K566" s="9" t="s">
        <v>699</v>
      </c>
      <c r="L566" s="9" t="str">
        <f t="shared" si="2"/>
        <v>N</v>
      </c>
    </row>
    <row r="567" spans="1:12">
      <c r="A567" s="9">
        <v>668</v>
      </c>
      <c r="B567" s="9">
        <v>124</v>
      </c>
      <c r="C567" s="9" t="s">
        <v>2332</v>
      </c>
      <c r="D567" s="9" t="s">
        <v>20</v>
      </c>
      <c r="E567" s="9">
        <v>232</v>
      </c>
      <c r="F567" s="9" t="s">
        <v>2333</v>
      </c>
      <c r="G567" s="9">
        <v>0</v>
      </c>
      <c r="J567" s="9">
        <v>0</v>
      </c>
      <c r="K567" s="9" t="s">
        <v>699</v>
      </c>
      <c r="L567" s="9" t="str">
        <f t="shared" si="2"/>
        <v>N</v>
      </c>
    </row>
    <row r="568" spans="1:12">
      <c r="A568" s="9">
        <v>669</v>
      </c>
      <c r="B568" s="9">
        <v>119</v>
      </c>
      <c r="C568" s="9" t="s">
        <v>2334</v>
      </c>
      <c r="D568" s="9" t="s">
        <v>2335</v>
      </c>
      <c r="E568" s="9">
        <v>201</v>
      </c>
      <c r="F568" s="9" t="s">
        <v>2336</v>
      </c>
      <c r="G568" s="9">
        <v>0</v>
      </c>
      <c r="H568" s="9" t="s">
        <v>2337</v>
      </c>
      <c r="I568" s="9" t="s">
        <v>2338</v>
      </c>
      <c r="J568" s="9">
        <v>0</v>
      </c>
      <c r="K568" s="9" t="s">
        <v>1874</v>
      </c>
      <c r="L568" s="9" t="str">
        <f t="shared" si="2"/>
        <v>Y</v>
      </c>
    </row>
    <row r="569" spans="1:12">
      <c r="A569" s="9">
        <v>670</v>
      </c>
      <c r="B569" s="9">
        <v>120</v>
      </c>
      <c r="C569" s="9" t="s">
        <v>2339</v>
      </c>
      <c r="D569" s="9" t="s">
        <v>20</v>
      </c>
      <c r="E569" s="9">
        <v>208</v>
      </c>
      <c r="F569" s="9" t="s">
        <v>2340</v>
      </c>
      <c r="G569" s="9">
        <v>0</v>
      </c>
      <c r="H569" s="9"/>
      <c r="I569" s="9"/>
      <c r="J569" s="9">
        <v>0</v>
      </c>
      <c r="K569" s="9" t="s">
        <v>699</v>
      </c>
      <c r="L569" s="9" t="str">
        <f t="shared" si="2"/>
        <v>N</v>
      </c>
    </row>
    <row r="570" spans="1:12">
      <c r="A570" s="9">
        <v>671</v>
      </c>
      <c r="B570" s="9">
        <v>126</v>
      </c>
      <c r="C570" s="9" t="s">
        <v>2341</v>
      </c>
      <c r="D570" s="9" t="s">
        <v>20</v>
      </c>
      <c r="E570" s="9">
        <v>246</v>
      </c>
      <c r="F570" s="9" t="s">
        <v>2342</v>
      </c>
      <c r="G570" s="9">
        <v>0</v>
      </c>
      <c r="H570" s="9"/>
      <c r="I570" s="9"/>
      <c r="J570" s="9">
        <v>0</v>
      </c>
      <c r="K570" s="9" t="s">
        <v>699</v>
      </c>
      <c r="L570" s="9" t="str">
        <f t="shared" si="2"/>
        <v>N</v>
      </c>
    </row>
    <row r="571" spans="1:12">
      <c r="A571" s="9">
        <v>672</v>
      </c>
      <c r="B571" s="9">
        <v>119</v>
      </c>
      <c r="C571" s="9" t="s">
        <v>2343</v>
      </c>
      <c r="D571" s="9" t="s">
        <v>2344</v>
      </c>
      <c r="E571" s="9">
        <v>200</v>
      </c>
      <c r="F571" s="9" t="s">
        <v>2345</v>
      </c>
      <c r="G571" s="9">
        <v>0</v>
      </c>
      <c r="H571" s="9" t="s">
        <v>1772</v>
      </c>
      <c r="I571" s="9" t="s">
        <v>1773</v>
      </c>
      <c r="J571" s="9">
        <v>0</v>
      </c>
      <c r="K571" s="9" t="s">
        <v>699</v>
      </c>
      <c r="L571" s="9" t="str">
        <f t="shared" si="2"/>
        <v>Y</v>
      </c>
    </row>
    <row r="572" spans="1:12">
      <c r="A572" s="9">
        <v>673</v>
      </c>
      <c r="B572" s="9">
        <v>125</v>
      </c>
      <c r="C572" s="9" t="s">
        <v>2346</v>
      </c>
      <c r="D572" s="9" t="s">
        <v>2347</v>
      </c>
      <c r="E572" s="9">
        <v>241</v>
      </c>
      <c r="F572" s="9" t="s">
        <v>2348</v>
      </c>
      <c r="G572" s="9">
        <v>0</v>
      </c>
      <c r="H572" s="9" t="s">
        <v>1837</v>
      </c>
      <c r="I572" s="9" t="s">
        <v>1838</v>
      </c>
      <c r="J572" s="9">
        <v>0</v>
      </c>
      <c r="K572" s="9" t="s">
        <v>1839</v>
      </c>
      <c r="L572" s="9" t="str">
        <f t="shared" si="2"/>
        <v>Y</v>
      </c>
    </row>
    <row r="573" spans="1:12">
      <c r="A573" s="9">
        <v>674</v>
      </c>
      <c r="B573" s="9">
        <v>120</v>
      </c>
      <c r="C573" s="9" t="s">
        <v>2349</v>
      </c>
      <c r="D573" s="9" t="s">
        <v>2350</v>
      </c>
      <c r="E573" s="9">
        <v>207</v>
      </c>
      <c r="F573" s="9" t="s">
        <v>2351</v>
      </c>
      <c r="G573" s="9">
        <v>3</v>
      </c>
      <c r="H573" s="9" t="s">
        <v>2014</v>
      </c>
      <c r="I573" s="9" t="s">
        <v>2015</v>
      </c>
      <c r="J573" s="9">
        <v>3</v>
      </c>
      <c r="K573" s="9" t="s">
        <v>2016</v>
      </c>
      <c r="L573" s="9" t="str">
        <f t="shared" si="2"/>
        <v>Y</v>
      </c>
    </row>
    <row r="574" spans="1:12">
      <c r="A574" s="9">
        <v>675</v>
      </c>
      <c r="B574" s="9">
        <v>126</v>
      </c>
      <c r="C574" s="9" t="s">
        <v>2352</v>
      </c>
      <c r="D574" s="9" t="s">
        <v>20</v>
      </c>
      <c r="E574" s="9">
        <v>246</v>
      </c>
      <c r="F574" s="9" t="s">
        <v>2353</v>
      </c>
      <c r="G574" s="9">
        <v>0</v>
      </c>
      <c r="J574" s="9">
        <v>0</v>
      </c>
      <c r="K574" s="9" t="s">
        <v>699</v>
      </c>
      <c r="L574" s="9" t="str">
        <f t="shared" si="2"/>
        <v>N</v>
      </c>
    </row>
    <row r="575" spans="1:12">
      <c r="A575" s="9">
        <v>676</v>
      </c>
      <c r="B575" s="9">
        <v>123</v>
      </c>
      <c r="C575" s="9" t="s">
        <v>2354</v>
      </c>
      <c r="D575" s="9" t="s">
        <v>20</v>
      </c>
      <c r="E575" s="9">
        <v>227</v>
      </c>
      <c r="F575" s="9" t="s">
        <v>2355</v>
      </c>
      <c r="G575" s="9">
        <v>0</v>
      </c>
      <c r="H575" s="9"/>
      <c r="I575" s="9"/>
      <c r="J575" s="9">
        <v>0</v>
      </c>
      <c r="K575" s="9" t="s">
        <v>699</v>
      </c>
      <c r="L575" s="9" t="str">
        <f t="shared" si="2"/>
        <v>N</v>
      </c>
    </row>
    <row r="576" spans="1:12">
      <c r="A576" s="9">
        <v>677</v>
      </c>
      <c r="B576" s="9">
        <v>119</v>
      </c>
      <c r="C576" s="9" t="s">
        <v>2356</v>
      </c>
      <c r="D576" s="9" t="s">
        <v>20</v>
      </c>
      <c r="E576" s="9">
        <v>204</v>
      </c>
      <c r="F576" s="9" t="s">
        <v>2357</v>
      </c>
      <c r="G576" s="9">
        <v>0</v>
      </c>
      <c r="J576" s="9">
        <v>0</v>
      </c>
      <c r="K576" s="9" t="s">
        <v>699</v>
      </c>
      <c r="L576" s="9" t="str">
        <f t="shared" si="2"/>
        <v>N</v>
      </c>
    </row>
    <row r="577" spans="1:12">
      <c r="A577" s="9">
        <v>678</v>
      </c>
      <c r="B577" s="9">
        <v>120</v>
      </c>
      <c r="C577" s="9" t="s">
        <v>2358</v>
      </c>
      <c r="D577" s="9" t="s">
        <v>20</v>
      </c>
      <c r="E577" s="9">
        <v>208</v>
      </c>
      <c r="F577" s="9" t="s">
        <v>2359</v>
      </c>
      <c r="G577" s="9">
        <v>0</v>
      </c>
      <c r="H577" s="9"/>
      <c r="I577" s="9"/>
      <c r="J577" s="9">
        <v>0</v>
      </c>
      <c r="K577" s="9" t="s">
        <v>699</v>
      </c>
      <c r="L577" s="9" t="str">
        <f t="shared" si="2"/>
        <v>N</v>
      </c>
    </row>
    <row r="578" spans="1:12">
      <c r="A578" s="9">
        <v>679</v>
      </c>
      <c r="B578" s="9">
        <v>124</v>
      </c>
      <c r="C578" s="9" t="s">
        <v>2360</v>
      </c>
      <c r="D578" s="9" t="s">
        <v>20</v>
      </c>
      <c r="E578" s="9">
        <v>234</v>
      </c>
      <c r="F578" s="9" t="s">
        <v>2359</v>
      </c>
      <c r="G578" s="9">
        <v>0</v>
      </c>
      <c r="J578" s="9">
        <v>0</v>
      </c>
      <c r="K578" s="9" t="s">
        <v>699</v>
      </c>
      <c r="L578" s="9" t="str">
        <f t="shared" si="2"/>
        <v>N</v>
      </c>
    </row>
    <row r="579" spans="1:12">
      <c r="A579" s="9">
        <v>680</v>
      </c>
      <c r="B579" s="9">
        <v>118</v>
      </c>
      <c r="C579" s="9" t="s">
        <v>2361</v>
      </c>
      <c r="D579" s="9" t="s">
        <v>2362</v>
      </c>
      <c r="E579" s="9">
        <v>196</v>
      </c>
      <c r="F579" s="9" t="s">
        <v>456</v>
      </c>
      <c r="G579" s="9">
        <v>0</v>
      </c>
      <c r="H579" s="9" t="s">
        <v>1971</v>
      </c>
      <c r="I579" s="9" t="s">
        <v>1972</v>
      </c>
      <c r="J579" s="9">
        <v>0</v>
      </c>
      <c r="K579" s="9" t="s">
        <v>1973</v>
      </c>
      <c r="L579" s="9" t="str">
        <f t="shared" si="2"/>
        <v>Y</v>
      </c>
    </row>
    <row r="580" spans="1:12">
      <c r="A580" s="9">
        <v>681</v>
      </c>
      <c r="B580" s="9">
        <v>126</v>
      </c>
      <c r="C580" s="9" t="s">
        <v>2363</v>
      </c>
      <c r="D580" s="9" t="s">
        <v>2364</v>
      </c>
      <c r="E580" s="9">
        <v>244</v>
      </c>
      <c r="F580" s="9" t="s">
        <v>2365</v>
      </c>
      <c r="G580" s="9">
        <v>0</v>
      </c>
      <c r="H580" s="9" t="s">
        <v>2143</v>
      </c>
      <c r="I580" s="9" t="s">
        <v>2144</v>
      </c>
      <c r="J580" s="9">
        <v>0</v>
      </c>
      <c r="K580" s="9" t="s">
        <v>2145</v>
      </c>
      <c r="L580" s="9" t="str">
        <f t="shared" si="2"/>
        <v>Y</v>
      </c>
    </row>
    <row r="581" spans="1:12">
      <c r="A581" s="9">
        <v>682</v>
      </c>
      <c r="B581" s="9">
        <v>119</v>
      </c>
      <c r="C581" s="9" t="s">
        <v>2366</v>
      </c>
      <c r="D581" s="9" t="s">
        <v>2367</v>
      </c>
      <c r="E581" s="9">
        <v>204</v>
      </c>
      <c r="F581" s="9" t="s">
        <v>2368</v>
      </c>
      <c r="G581" s="9">
        <v>0</v>
      </c>
      <c r="H581" s="9" t="s">
        <v>1824</v>
      </c>
      <c r="I581" s="9" t="s">
        <v>1825</v>
      </c>
      <c r="J581" s="9">
        <v>0</v>
      </c>
      <c r="K581" s="9" t="s">
        <v>1826</v>
      </c>
      <c r="L581" s="9" t="str">
        <f t="shared" si="2"/>
        <v>Y</v>
      </c>
    </row>
    <row r="582" spans="1:12">
      <c r="A582" s="9">
        <v>683</v>
      </c>
      <c r="B582" s="9">
        <v>125</v>
      </c>
      <c r="C582" s="9" t="s">
        <v>2369</v>
      </c>
      <c r="D582" s="9" t="s">
        <v>2370</v>
      </c>
      <c r="E582" s="9">
        <v>241</v>
      </c>
      <c r="F582" s="9" t="s">
        <v>2371</v>
      </c>
      <c r="G582" s="9">
        <v>0</v>
      </c>
      <c r="H582" s="9" t="s">
        <v>1837</v>
      </c>
      <c r="I582" s="9" t="s">
        <v>1838</v>
      </c>
      <c r="J582" s="9">
        <v>0</v>
      </c>
      <c r="K582" s="9" t="s">
        <v>1839</v>
      </c>
      <c r="L582" s="9" t="str">
        <f t="shared" si="2"/>
        <v>Y</v>
      </c>
    </row>
    <row r="583" spans="1:12">
      <c r="A583" s="9">
        <v>684</v>
      </c>
      <c r="B583" s="9">
        <v>125</v>
      </c>
      <c r="C583" s="9" t="s">
        <v>2372</v>
      </c>
      <c r="D583" s="9" t="s">
        <v>20</v>
      </c>
      <c r="E583" s="9">
        <v>238</v>
      </c>
      <c r="F583" s="9" t="s">
        <v>2373</v>
      </c>
      <c r="G583" s="9">
        <v>0</v>
      </c>
      <c r="H583" s="9"/>
      <c r="I583" s="9"/>
      <c r="J583" s="9">
        <v>0</v>
      </c>
      <c r="K583" s="9" t="s">
        <v>699</v>
      </c>
      <c r="L583" s="9" t="str">
        <f t="shared" si="2"/>
        <v>N</v>
      </c>
    </row>
    <row r="584" spans="1:12">
      <c r="A584" s="9">
        <v>685</v>
      </c>
      <c r="B584" s="9">
        <v>119</v>
      </c>
      <c r="C584" s="9" t="s">
        <v>2374</v>
      </c>
      <c r="D584" s="9" t="s">
        <v>2375</v>
      </c>
      <c r="E584" s="9">
        <v>200</v>
      </c>
      <c r="F584" s="9" t="s">
        <v>2376</v>
      </c>
      <c r="G584" s="9">
        <v>0</v>
      </c>
      <c r="H584" s="9" t="s">
        <v>1772</v>
      </c>
      <c r="I584" s="9" t="s">
        <v>1773</v>
      </c>
      <c r="J584" s="9">
        <v>0</v>
      </c>
      <c r="K584" s="9" t="s">
        <v>699</v>
      </c>
      <c r="L584" s="9" t="str">
        <f t="shared" si="2"/>
        <v>Y</v>
      </c>
    </row>
    <row r="585" spans="1:12">
      <c r="A585" s="9">
        <v>686</v>
      </c>
      <c r="B585" s="9">
        <v>122</v>
      </c>
      <c r="C585" s="9" t="s">
        <v>2377</v>
      </c>
      <c r="D585" s="9" t="s">
        <v>20</v>
      </c>
      <c r="E585" s="9">
        <v>222</v>
      </c>
      <c r="F585" s="9" t="s">
        <v>2378</v>
      </c>
      <c r="G585" s="9">
        <v>0</v>
      </c>
      <c r="J585" s="9">
        <v>0</v>
      </c>
      <c r="K585" s="9" t="s">
        <v>699</v>
      </c>
      <c r="L585" s="9" t="str">
        <f t="shared" si="2"/>
        <v>N</v>
      </c>
    </row>
    <row r="586" spans="1:12">
      <c r="A586" s="9">
        <v>687</v>
      </c>
      <c r="B586" s="9">
        <v>119</v>
      </c>
      <c r="C586" s="9" t="s">
        <v>2379</v>
      </c>
      <c r="D586" s="9" t="s">
        <v>2380</v>
      </c>
      <c r="E586" s="9">
        <v>201</v>
      </c>
      <c r="F586" s="9" t="s">
        <v>2381</v>
      </c>
      <c r="G586" s="9">
        <v>0</v>
      </c>
      <c r="H586" s="9" t="s">
        <v>2221</v>
      </c>
      <c r="I586" s="9" t="s">
        <v>2222</v>
      </c>
      <c r="J586" s="9">
        <v>0</v>
      </c>
      <c r="K586" s="9" t="s">
        <v>2223</v>
      </c>
      <c r="L586" s="9" t="str">
        <f t="shared" si="2"/>
        <v>Y</v>
      </c>
    </row>
    <row r="587" spans="1:12">
      <c r="A587" s="9">
        <v>688</v>
      </c>
      <c r="B587" s="9">
        <v>126</v>
      </c>
      <c r="C587" s="9" t="s">
        <v>2382</v>
      </c>
      <c r="D587" s="9" t="s">
        <v>2383</v>
      </c>
      <c r="E587" s="9">
        <v>244</v>
      </c>
      <c r="F587" s="9" t="s">
        <v>2384</v>
      </c>
      <c r="G587" s="9">
        <v>2</v>
      </c>
      <c r="H587" s="9" t="s">
        <v>1917</v>
      </c>
      <c r="I587" s="9" t="s">
        <v>1918</v>
      </c>
      <c r="J587" s="9">
        <v>3</v>
      </c>
      <c r="K587" s="9" t="s">
        <v>1919</v>
      </c>
      <c r="L587" s="9" t="str">
        <f t="shared" si="2"/>
        <v>Y</v>
      </c>
    </row>
    <row r="588" spans="1:12">
      <c r="A588" s="9">
        <v>689</v>
      </c>
      <c r="B588" s="9">
        <v>121</v>
      </c>
      <c r="C588" s="9" t="s">
        <v>2385</v>
      </c>
      <c r="D588" s="9" t="s">
        <v>2386</v>
      </c>
      <c r="E588" s="9">
        <v>215</v>
      </c>
      <c r="F588" s="9" t="s">
        <v>2387</v>
      </c>
      <c r="G588" s="9">
        <v>3</v>
      </c>
      <c r="H588" s="9" t="s">
        <v>1971</v>
      </c>
      <c r="I588" s="9" t="s">
        <v>1972</v>
      </c>
      <c r="J588" s="9">
        <v>3</v>
      </c>
      <c r="K588" s="9" t="s">
        <v>1973</v>
      </c>
      <c r="L588" s="9" t="str">
        <f t="shared" si="2"/>
        <v>Y</v>
      </c>
    </row>
    <row r="589" spans="1:12">
      <c r="A589" s="9">
        <v>690</v>
      </c>
      <c r="B589" s="9">
        <v>125</v>
      </c>
      <c r="C589" s="9" t="s">
        <v>2388</v>
      </c>
      <c r="D589" s="9" t="s">
        <v>2389</v>
      </c>
      <c r="E589" s="9">
        <v>239</v>
      </c>
      <c r="F589" s="9" t="s">
        <v>2390</v>
      </c>
      <c r="G589" s="9">
        <v>0</v>
      </c>
      <c r="H589" s="9"/>
      <c r="I589" s="9" t="s">
        <v>1830</v>
      </c>
      <c r="J589" s="9">
        <v>0</v>
      </c>
      <c r="K589" s="9" t="s">
        <v>699</v>
      </c>
      <c r="L589" s="9" t="str">
        <f t="shared" si="2"/>
        <v>Y</v>
      </c>
    </row>
    <row r="590" spans="1:12">
      <c r="A590" s="9">
        <v>691</v>
      </c>
      <c r="B590" s="9">
        <v>124</v>
      </c>
      <c r="C590" s="9" t="s">
        <v>2391</v>
      </c>
      <c r="D590" s="9" t="s">
        <v>20</v>
      </c>
      <c r="E590" s="9">
        <v>235</v>
      </c>
      <c r="F590" s="9" t="s">
        <v>2392</v>
      </c>
      <c r="G590" s="9">
        <v>0</v>
      </c>
      <c r="J590" s="9">
        <v>0</v>
      </c>
      <c r="K590" s="9" t="s">
        <v>699</v>
      </c>
      <c r="L590" s="9" t="str">
        <f t="shared" si="2"/>
        <v>N</v>
      </c>
    </row>
    <row r="591" spans="1:12">
      <c r="A591" s="9">
        <v>692</v>
      </c>
      <c r="B591" s="9">
        <v>120</v>
      </c>
      <c r="C591" s="9" t="s">
        <v>2393</v>
      </c>
      <c r="D591" s="9" t="s">
        <v>2394</v>
      </c>
      <c r="E591" s="9">
        <v>211</v>
      </c>
      <c r="F591" s="9" t="s">
        <v>2395</v>
      </c>
      <c r="G591" s="9">
        <v>0</v>
      </c>
      <c r="H591" s="9" t="s">
        <v>2088</v>
      </c>
      <c r="I591" s="9" t="s">
        <v>2089</v>
      </c>
      <c r="J591" s="9">
        <v>0</v>
      </c>
      <c r="K591" s="9" t="s">
        <v>2090</v>
      </c>
      <c r="L591" s="9" t="str">
        <f t="shared" si="2"/>
        <v>Y</v>
      </c>
    </row>
    <row r="592" spans="1:12">
      <c r="A592" s="9">
        <v>693</v>
      </c>
      <c r="B592" s="9">
        <v>120</v>
      </c>
      <c r="C592" s="9" t="s">
        <v>2396</v>
      </c>
      <c r="D592" s="9" t="s">
        <v>20</v>
      </c>
      <c r="E592" s="9">
        <v>208</v>
      </c>
      <c r="F592" s="9" t="s">
        <v>2397</v>
      </c>
      <c r="G592" s="9">
        <v>0</v>
      </c>
      <c r="I592" s="9"/>
      <c r="J592" s="9">
        <v>0</v>
      </c>
      <c r="K592" s="9" t="s">
        <v>699</v>
      </c>
      <c r="L592" s="9" t="str">
        <f t="shared" si="2"/>
        <v>N</v>
      </c>
    </row>
    <row r="593" spans="1:12">
      <c r="A593" s="9">
        <v>694</v>
      </c>
      <c r="B593" s="9">
        <v>120</v>
      </c>
      <c r="C593" s="9" t="s">
        <v>2398</v>
      </c>
      <c r="D593" s="9" t="s">
        <v>2399</v>
      </c>
      <c r="E593" s="9">
        <v>207</v>
      </c>
      <c r="F593" s="9" t="s">
        <v>2400</v>
      </c>
      <c r="G593" s="9">
        <v>4</v>
      </c>
      <c r="H593" s="9" t="s">
        <v>1923</v>
      </c>
      <c r="I593" s="9" t="s">
        <v>1924</v>
      </c>
      <c r="J593" s="9">
        <v>8</v>
      </c>
      <c r="K593" s="9" t="s">
        <v>1839</v>
      </c>
      <c r="L593" s="9" t="str">
        <f t="shared" si="2"/>
        <v>Y</v>
      </c>
    </row>
    <row r="594" spans="1:12">
      <c r="A594" s="9">
        <v>695</v>
      </c>
      <c r="B594" s="9">
        <v>122</v>
      </c>
      <c r="C594" s="9" t="s">
        <v>2401</v>
      </c>
      <c r="D594" s="9" t="s">
        <v>2402</v>
      </c>
      <c r="E594" s="9">
        <v>222</v>
      </c>
      <c r="F594" s="9" t="s">
        <v>2400</v>
      </c>
      <c r="G594" s="9">
        <v>2</v>
      </c>
      <c r="H594" s="9" t="s">
        <v>2034</v>
      </c>
      <c r="I594" s="9" t="s">
        <v>2035</v>
      </c>
      <c r="J594" s="9">
        <v>2</v>
      </c>
      <c r="K594" s="9" t="s">
        <v>2036</v>
      </c>
      <c r="L594" s="9" t="str">
        <f t="shared" si="2"/>
        <v>Y</v>
      </c>
    </row>
    <row r="595" spans="1:12">
      <c r="A595" s="9">
        <v>696</v>
      </c>
      <c r="B595" s="9">
        <v>123</v>
      </c>
      <c r="C595" s="9" t="s">
        <v>2403</v>
      </c>
      <c r="D595" s="9" t="s">
        <v>20</v>
      </c>
      <c r="E595" s="9">
        <v>226</v>
      </c>
      <c r="F595" s="9" t="s">
        <v>502</v>
      </c>
      <c r="G595" s="9">
        <v>0</v>
      </c>
      <c r="J595" s="9">
        <v>0</v>
      </c>
      <c r="K595" s="9" t="s">
        <v>699</v>
      </c>
      <c r="L595" s="9" t="str">
        <f t="shared" si="2"/>
        <v>N</v>
      </c>
    </row>
    <row r="596" spans="1:12">
      <c r="A596" s="9">
        <v>697</v>
      </c>
      <c r="B596" s="9">
        <v>125</v>
      </c>
      <c r="C596" s="9" t="s">
        <v>2404</v>
      </c>
      <c r="D596" s="9" t="s">
        <v>20</v>
      </c>
      <c r="E596" s="9">
        <v>241</v>
      </c>
      <c r="F596" s="9" t="s">
        <v>535</v>
      </c>
      <c r="G596" s="9">
        <v>0</v>
      </c>
      <c r="H596" s="9"/>
      <c r="I596" s="9"/>
      <c r="J596" s="9">
        <v>0</v>
      </c>
      <c r="K596" s="9" t="s">
        <v>699</v>
      </c>
      <c r="L596" s="9" t="str">
        <f t="shared" si="2"/>
        <v>N</v>
      </c>
    </row>
    <row r="597" spans="1:12">
      <c r="A597" s="9">
        <v>698</v>
      </c>
      <c r="B597" s="9">
        <v>124</v>
      </c>
      <c r="C597" s="9" t="s">
        <v>2405</v>
      </c>
      <c r="D597" s="9" t="s">
        <v>2406</v>
      </c>
      <c r="E597" s="9">
        <v>234</v>
      </c>
      <c r="F597" s="9" t="s">
        <v>2407</v>
      </c>
      <c r="G597" s="9">
        <v>0</v>
      </c>
      <c r="H597" s="9" t="s">
        <v>2326</v>
      </c>
      <c r="I597" s="9" t="s">
        <v>2327</v>
      </c>
      <c r="J597" s="9">
        <v>0</v>
      </c>
      <c r="K597" s="9" t="s">
        <v>1934</v>
      </c>
      <c r="L597" s="9" t="str">
        <f t="shared" si="2"/>
        <v>Y</v>
      </c>
    </row>
    <row r="598" spans="1:12">
      <c r="A598" s="9">
        <v>699</v>
      </c>
      <c r="B598" s="9">
        <v>125</v>
      </c>
      <c r="C598" s="9" t="s">
        <v>2408</v>
      </c>
      <c r="D598" s="9" t="s">
        <v>2409</v>
      </c>
      <c r="E598" s="9">
        <v>241</v>
      </c>
      <c r="F598" s="9" t="s">
        <v>2410</v>
      </c>
      <c r="G598" s="9">
        <v>0</v>
      </c>
      <c r="H598" s="9" t="s">
        <v>1837</v>
      </c>
      <c r="I598" s="9" t="s">
        <v>1838</v>
      </c>
      <c r="J598" s="9">
        <v>0</v>
      </c>
      <c r="K598" s="9" t="s">
        <v>1839</v>
      </c>
      <c r="L598" s="9" t="str">
        <f t="shared" si="2"/>
        <v>Y</v>
      </c>
    </row>
    <row r="599" spans="1:12">
      <c r="A599" s="9">
        <v>700</v>
      </c>
      <c r="B599" s="9">
        <v>124</v>
      </c>
      <c r="C599" s="9" t="s">
        <v>2411</v>
      </c>
      <c r="D599" s="9" t="s">
        <v>2412</v>
      </c>
      <c r="E599" s="9">
        <v>232</v>
      </c>
      <c r="F599" s="9" t="s">
        <v>658</v>
      </c>
      <c r="G599" s="9">
        <v>0</v>
      </c>
      <c r="H599" s="9" t="s">
        <v>1956</v>
      </c>
      <c r="I599" s="9" t="s">
        <v>1957</v>
      </c>
      <c r="J599" s="9">
        <v>0</v>
      </c>
      <c r="K599" s="9" t="s">
        <v>1958</v>
      </c>
      <c r="L599" s="9" t="str">
        <f t="shared" si="2"/>
        <v>Y</v>
      </c>
    </row>
    <row r="600" spans="1:12">
      <c r="A600" s="9">
        <v>701</v>
      </c>
      <c r="B600" s="9">
        <v>126</v>
      </c>
      <c r="C600" s="9" t="s">
        <v>2413</v>
      </c>
      <c r="D600" s="9" t="s">
        <v>2414</v>
      </c>
      <c r="E600" s="9">
        <v>247</v>
      </c>
      <c r="F600" s="9" t="s">
        <v>2415</v>
      </c>
      <c r="G600" s="9">
        <v>0</v>
      </c>
      <c r="H600" s="9" t="s">
        <v>2143</v>
      </c>
      <c r="I600" s="9" t="s">
        <v>2144</v>
      </c>
      <c r="J600" s="9">
        <v>0</v>
      </c>
      <c r="K600" s="9" t="s">
        <v>2145</v>
      </c>
      <c r="L600" s="9" t="str">
        <f t="shared" si="2"/>
        <v>Y</v>
      </c>
    </row>
    <row r="601" spans="1:12">
      <c r="A601" s="9">
        <v>702</v>
      </c>
      <c r="B601" s="9">
        <v>121</v>
      </c>
      <c r="C601" s="9" t="s">
        <v>2416</v>
      </c>
      <c r="D601" s="9" t="s">
        <v>2417</v>
      </c>
      <c r="E601" s="9">
        <v>215</v>
      </c>
      <c r="F601" s="9" t="s">
        <v>459</v>
      </c>
      <c r="G601" s="9">
        <v>0</v>
      </c>
      <c r="H601" s="9" t="s">
        <v>1824</v>
      </c>
      <c r="I601" s="9" t="s">
        <v>1825</v>
      </c>
      <c r="J601" s="9">
        <v>0</v>
      </c>
      <c r="K601" s="9" t="s">
        <v>1826</v>
      </c>
      <c r="L601" s="9" t="str">
        <f t="shared" si="2"/>
        <v>Y</v>
      </c>
    </row>
    <row r="602" spans="1:12">
      <c r="A602" s="9">
        <v>703</v>
      </c>
      <c r="B602" s="9">
        <v>120</v>
      </c>
      <c r="C602" s="9" t="s">
        <v>2418</v>
      </c>
      <c r="D602" s="9" t="s">
        <v>20</v>
      </c>
      <c r="E602" s="9">
        <v>209</v>
      </c>
      <c r="F602" s="9" t="s">
        <v>2419</v>
      </c>
      <c r="G602" s="9">
        <v>0</v>
      </c>
      <c r="J602" s="9">
        <v>0</v>
      </c>
      <c r="K602" s="9" t="s">
        <v>699</v>
      </c>
      <c r="L602" s="9" t="str">
        <f t="shared" si="2"/>
        <v>N</v>
      </c>
    </row>
    <row r="603" spans="1:12">
      <c r="A603" s="9">
        <v>704</v>
      </c>
      <c r="B603" s="9">
        <v>120</v>
      </c>
      <c r="C603" s="9" t="s">
        <v>2420</v>
      </c>
      <c r="D603" s="9" t="s">
        <v>2421</v>
      </c>
      <c r="E603" s="9">
        <v>208</v>
      </c>
      <c r="F603" s="9" t="s">
        <v>677</v>
      </c>
      <c r="G603" s="9">
        <v>0</v>
      </c>
      <c r="H603" s="9" t="s">
        <v>1917</v>
      </c>
      <c r="I603" s="9" t="s">
        <v>1918</v>
      </c>
      <c r="J603" s="9">
        <v>0</v>
      </c>
      <c r="K603" s="9" t="s">
        <v>1919</v>
      </c>
      <c r="L603" s="9" t="str">
        <f t="shared" si="2"/>
        <v>Y</v>
      </c>
    </row>
    <row r="604" spans="1:12">
      <c r="A604" s="9">
        <v>705</v>
      </c>
      <c r="B604" s="9">
        <v>124</v>
      </c>
      <c r="C604" s="9" t="s">
        <v>2422</v>
      </c>
      <c r="D604" s="9" t="s">
        <v>2423</v>
      </c>
      <c r="E604" s="9">
        <v>235</v>
      </c>
      <c r="F604" s="9" t="s">
        <v>2424</v>
      </c>
      <c r="G604" s="9">
        <v>0</v>
      </c>
      <c r="H604" s="9" t="s">
        <v>1872</v>
      </c>
      <c r="I604" s="9" t="s">
        <v>1873</v>
      </c>
      <c r="J604" s="9">
        <v>0</v>
      </c>
      <c r="K604" s="9" t="s">
        <v>1874</v>
      </c>
      <c r="L604" s="9" t="str">
        <f t="shared" si="2"/>
        <v>Y</v>
      </c>
    </row>
    <row r="605" spans="1:12">
      <c r="A605" s="9">
        <v>706</v>
      </c>
      <c r="B605" s="9">
        <v>125</v>
      </c>
      <c r="C605" s="9" t="s">
        <v>2425</v>
      </c>
      <c r="D605" s="9" t="s">
        <v>2426</v>
      </c>
      <c r="E605" s="9">
        <v>241</v>
      </c>
      <c r="F605" s="9" t="s">
        <v>2427</v>
      </c>
      <c r="G605" s="9">
        <v>1</v>
      </c>
      <c r="H605" s="9" t="s">
        <v>1837</v>
      </c>
      <c r="I605" s="9" t="s">
        <v>1838</v>
      </c>
      <c r="J605" s="9">
        <v>1</v>
      </c>
      <c r="K605" s="9" t="s">
        <v>1839</v>
      </c>
      <c r="L605" s="9" t="str">
        <f t="shared" si="2"/>
        <v>Y</v>
      </c>
    </row>
    <row r="606" spans="1:12">
      <c r="A606" s="9">
        <v>707</v>
      </c>
      <c r="B606" s="9">
        <v>120</v>
      </c>
      <c r="C606" s="9" t="s">
        <v>2428</v>
      </c>
      <c r="D606" s="9" t="s">
        <v>20</v>
      </c>
      <c r="E606" s="9">
        <v>209</v>
      </c>
      <c r="F606" s="9" t="s">
        <v>2427</v>
      </c>
      <c r="G606" s="9">
        <v>0</v>
      </c>
      <c r="J606" s="9">
        <v>0</v>
      </c>
      <c r="K606" s="9" t="s">
        <v>699</v>
      </c>
      <c r="L606" s="9" t="str">
        <f t="shared" si="2"/>
        <v>N</v>
      </c>
    </row>
    <row r="607" spans="1:12">
      <c r="A607" s="9">
        <v>708</v>
      </c>
      <c r="B607" s="9">
        <v>123</v>
      </c>
      <c r="C607" s="9" t="s">
        <v>2429</v>
      </c>
      <c r="D607" s="9" t="s">
        <v>20</v>
      </c>
      <c r="E607" s="9">
        <v>227</v>
      </c>
      <c r="F607" s="9" t="s">
        <v>2430</v>
      </c>
      <c r="G607" s="9">
        <v>0</v>
      </c>
      <c r="J607" s="9">
        <v>0</v>
      </c>
      <c r="K607" s="9" t="s">
        <v>699</v>
      </c>
      <c r="L607" s="9" t="str">
        <f t="shared" si="2"/>
        <v>N</v>
      </c>
    </row>
    <row r="608" spans="1:12">
      <c r="A608" s="9">
        <v>709</v>
      </c>
      <c r="B608" s="9">
        <v>119</v>
      </c>
      <c r="C608" s="9" t="s">
        <v>2431</v>
      </c>
      <c r="D608" s="9" t="s">
        <v>20</v>
      </c>
      <c r="E608" s="9">
        <v>203</v>
      </c>
      <c r="F608" s="9" t="s">
        <v>2430</v>
      </c>
      <c r="G608" s="9">
        <v>0</v>
      </c>
      <c r="H608" s="9"/>
      <c r="I608" s="9"/>
      <c r="J608" s="9">
        <v>0</v>
      </c>
      <c r="K608" s="9" t="s">
        <v>699</v>
      </c>
      <c r="L608" s="9" t="str">
        <f t="shared" si="2"/>
        <v>N</v>
      </c>
    </row>
    <row r="609" spans="1:12">
      <c r="A609" s="9">
        <v>710</v>
      </c>
      <c r="B609" s="9">
        <v>125</v>
      </c>
      <c r="C609" s="9" t="s">
        <v>2432</v>
      </c>
      <c r="D609" s="9" t="s">
        <v>20</v>
      </c>
      <c r="E609" s="9">
        <v>238</v>
      </c>
      <c r="F609" s="9" t="s">
        <v>2433</v>
      </c>
      <c r="G609" s="9">
        <v>0</v>
      </c>
      <c r="H609" s="9"/>
      <c r="I609" s="9"/>
      <c r="J609" s="9">
        <v>0</v>
      </c>
      <c r="K609" s="9" t="s">
        <v>699</v>
      </c>
      <c r="L609" s="9" t="str">
        <f t="shared" si="2"/>
        <v>N</v>
      </c>
    </row>
    <row r="610" spans="1:12">
      <c r="A610" s="9">
        <v>711</v>
      </c>
      <c r="B610" s="9">
        <v>123</v>
      </c>
      <c r="C610" s="9" t="s">
        <v>2434</v>
      </c>
      <c r="D610" s="9" t="s">
        <v>20</v>
      </c>
      <c r="E610" s="9">
        <v>229</v>
      </c>
      <c r="F610" s="9" t="s">
        <v>2435</v>
      </c>
      <c r="G610" s="9">
        <v>0</v>
      </c>
      <c r="J610" s="9">
        <v>0</v>
      </c>
      <c r="K610" s="9" t="s">
        <v>699</v>
      </c>
      <c r="L610" s="9" t="str">
        <f t="shared" si="2"/>
        <v>N</v>
      </c>
    </row>
    <row r="611" spans="1:12">
      <c r="A611" s="9">
        <v>712</v>
      </c>
      <c r="B611" s="9">
        <v>121</v>
      </c>
      <c r="C611" s="9" t="s">
        <v>2436</v>
      </c>
      <c r="D611" s="9" t="s">
        <v>2437</v>
      </c>
      <c r="E611" s="9">
        <v>215</v>
      </c>
      <c r="F611" s="9" t="s">
        <v>2438</v>
      </c>
      <c r="G611" s="9">
        <v>0</v>
      </c>
      <c r="H611" s="9" t="s">
        <v>1824</v>
      </c>
      <c r="I611" s="9" t="s">
        <v>1825</v>
      </c>
      <c r="J611" s="9">
        <v>0</v>
      </c>
      <c r="K611" s="9" t="s">
        <v>1826</v>
      </c>
      <c r="L611" s="9" t="str">
        <f t="shared" si="2"/>
        <v>Y</v>
      </c>
    </row>
    <row r="612" spans="1:12">
      <c r="A612" s="9">
        <v>713</v>
      </c>
      <c r="B612" s="9">
        <v>124</v>
      </c>
      <c r="C612" s="9" t="s">
        <v>2439</v>
      </c>
      <c r="D612" s="9" t="s">
        <v>2440</v>
      </c>
      <c r="E612" s="9">
        <v>235</v>
      </c>
      <c r="F612" s="9" t="s">
        <v>2441</v>
      </c>
      <c r="G612" s="9">
        <v>0</v>
      </c>
      <c r="H612" s="9" t="s">
        <v>1872</v>
      </c>
      <c r="I612" s="9" t="s">
        <v>1873</v>
      </c>
      <c r="J612" s="9">
        <v>0</v>
      </c>
      <c r="K612" s="9" t="s">
        <v>1874</v>
      </c>
      <c r="L612" s="9" t="str">
        <f t="shared" si="2"/>
        <v>Y</v>
      </c>
    </row>
    <row r="613" spans="1:12">
      <c r="A613" s="9">
        <v>714</v>
      </c>
      <c r="B613" s="9">
        <v>119</v>
      </c>
      <c r="C613" s="9" t="s">
        <v>2442</v>
      </c>
      <c r="D613" s="9" t="s">
        <v>2443</v>
      </c>
      <c r="E613" s="9">
        <v>203</v>
      </c>
      <c r="F613" s="9" t="s">
        <v>2441</v>
      </c>
      <c r="G613" s="9">
        <v>1</v>
      </c>
      <c r="H613" s="9" t="s">
        <v>1883</v>
      </c>
      <c r="I613" s="9" t="s">
        <v>1884</v>
      </c>
      <c r="J613" s="9">
        <v>0</v>
      </c>
      <c r="K613" s="9" t="s">
        <v>1885</v>
      </c>
      <c r="L613" s="9" t="str">
        <f t="shared" si="2"/>
        <v>Y</v>
      </c>
    </row>
    <row r="614" spans="1:12">
      <c r="A614" s="9">
        <v>715</v>
      </c>
      <c r="B614" s="9">
        <v>119</v>
      </c>
      <c r="C614" s="9" t="s">
        <v>2444</v>
      </c>
      <c r="D614" s="9" t="s">
        <v>2445</v>
      </c>
      <c r="E614" s="9">
        <v>200</v>
      </c>
      <c r="F614" s="9" t="s">
        <v>2446</v>
      </c>
      <c r="G614" s="9">
        <v>0</v>
      </c>
      <c r="H614" s="9" t="s">
        <v>1772</v>
      </c>
      <c r="I614" s="9" t="s">
        <v>1773</v>
      </c>
      <c r="J614" s="9">
        <v>0</v>
      </c>
      <c r="K614" s="9" t="s">
        <v>699</v>
      </c>
      <c r="L614" s="9" t="str">
        <f t="shared" si="2"/>
        <v>Y</v>
      </c>
    </row>
    <row r="615" spans="1:12">
      <c r="A615" s="9">
        <v>716</v>
      </c>
      <c r="B615" s="9">
        <v>120</v>
      </c>
      <c r="C615" s="9" t="s">
        <v>2447</v>
      </c>
      <c r="D615" s="9" t="s">
        <v>2448</v>
      </c>
      <c r="E615" s="9">
        <v>207</v>
      </c>
      <c r="F615" s="9" t="s">
        <v>425</v>
      </c>
      <c r="G615" s="9">
        <v>2</v>
      </c>
      <c r="H615" s="9" t="s">
        <v>2449</v>
      </c>
      <c r="I615" s="9" t="s">
        <v>2450</v>
      </c>
      <c r="J615" s="9">
        <v>2</v>
      </c>
      <c r="K615" s="9" t="s">
        <v>2451</v>
      </c>
      <c r="L615" s="9" t="str">
        <f t="shared" si="2"/>
        <v>Y</v>
      </c>
    </row>
    <row r="616" spans="1:12">
      <c r="A616" s="9">
        <v>717</v>
      </c>
      <c r="B616" s="9">
        <v>124</v>
      </c>
      <c r="C616" s="9" t="s">
        <v>2452</v>
      </c>
      <c r="D616" s="9" t="s">
        <v>2453</v>
      </c>
      <c r="E616" s="9">
        <v>234</v>
      </c>
      <c r="F616" s="9" t="s">
        <v>2454</v>
      </c>
      <c r="G616" s="9">
        <v>0</v>
      </c>
      <c r="H616" s="9" t="s">
        <v>2138</v>
      </c>
      <c r="I616" s="9" t="s">
        <v>2139</v>
      </c>
      <c r="J616" s="9">
        <v>0</v>
      </c>
      <c r="K616" s="9" t="s">
        <v>2082</v>
      </c>
      <c r="L616" s="9" t="str">
        <f t="shared" si="2"/>
        <v>Y</v>
      </c>
    </row>
    <row r="617" spans="1:12">
      <c r="A617" s="9">
        <v>718</v>
      </c>
      <c r="B617" s="9">
        <v>118</v>
      </c>
      <c r="C617" s="9" t="s">
        <v>2455</v>
      </c>
      <c r="D617" s="9" t="s">
        <v>2456</v>
      </c>
      <c r="E617" s="9">
        <v>194</v>
      </c>
      <c r="F617" s="9" t="s">
        <v>2457</v>
      </c>
      <c r="G617" s="9">
        <v>2</v>
      </c>
      <c r="H617" s="9" t="s">
        <v>2215</v>
      </c>
      <c r="I617" s="9" t="s">
        <v>2216</v>
      </c>
      <c r="J617" s="9">
        <v>2</v>
      </c>
      <c r="K617" s="9" t="s">
        <v>2217</v>
      </c>
      <c r="L617" s="9" t="str">
        <f t="shared" si="2"/>
        <v>Y</v>
      </c>
    </row>
    <row r="618" spans="1:12">
      <c r="A618" s="9">
        <v>719</v>
      </c>
      <c r="B618" s="9">
        <v>125</v>
      </c>
      <c r="C618" s="9" t="s">
        <v>2458</v>
      </c>
      <c r="D618" s="9" t="s">
        <v>2459</v>
      </c>
      <c r="E618" s="9">
        <v>238</v>
      </c>
      <c r="F618" s="9" t="s">
        <v>2460</v>
      </c>
      <c r="G618" s="9">
        <v>0</v>
      </c>
      <c r="H618" s="9" t="s">
        <v>1956</v>
      </c>
      <c r="I618" s="9" t="s">
        <v>1957</v>
      </c>
      <c r="J618" s="9">
        <v>0</v>
      </c>
      <c r="K618" s="9" t="s">
        <v>1958</v>
      </c>
      <c r="L618" s="9" t="str">
        <f t="shared" si="2"/>
        <v>Y</v>
      </c>
    </row>
    <row r="619" spans="1:12">
      <c r="A619" s="9">
        <v>720</v>
      </c>
      <c r="B619" s="9">
        <v>119</v>
      </c>
      <c r="C619" s="9" t="s">
        <v>2461</v>
      </c>
      <c r="D619" s="9" t="s">
        <v>2462</v>
      </c>
      <c r="E619" s="9">
        <v>200</v>
      </c>
      <c r="F619" s="9" t="s">
        <v>2463</v>
      </c>
      <c r="G619" s="9">
        <v>0</v>
      </c>
      <c r="H619" s="9" t="s">
        <v>1772</v>
      </c>
      <c r="I619" s="9" t="s">
        <v>1773</v>
      </c>
      <c r="J619" s="9">
        <v>0</v>
      </c>
      <c r="K619" s="9" t="s">
        <v>699</v>
      </c>
      <c r="L619" s="9" t="str">
        <f t="shared" si="2"/>
        <v>Y</v>
      </c>
    </row>
    <row r="620" spans="1:12">
      <c r="A620" s="9">
        <v>721</v>
      </c>
      <c r="B620" s="9">
        <v>123</v>
      </c>
      <c r="C620" s="9" t="s">
        <v>2464</v>
      </c>
      <c r="D620" s="9" t="s">
        <v>2465</v>
      </c>
      <c r="E620" s="9">
        <v>229</v>
      </c>
      <c r="F620" s="9" t="s">
        <v>2466</v>
      </c>
      <c r="G620" s="9">
        <v>2</v>
      </c>
      <c r="H620" s="9" t="s">
        <v>1818</v>
      </c>
      <c r="I620" s="9" t="s">
        <v>1819</v>
      </c>
      <c r="J620" s="9">
        <v>2</v>
      </c>
      <c r="K620" s="9" t="s">
        <v>1820</v>
      </c>
      <c r="L620" s="9" t="str">
        <f t="shared" si="2"/>
        <v>Y</v>
      </c>
    </row>
    <row r="621" spans="1:12">
      <c r="A621" s="9">
        <v>722</v>
      </c>
      <c r="B621" s="9">
        <v>126</v>
      </c>
      <c r="C621" s="9" t="s">
        <v>2467</v>
      </c>
      <c r="D621" s="9" t="s">
        <v>2468</v>
      </c>
      <c r="E621" s="9">
        <v>247</v>
      </c>
      <c r="F621" s="9" t="s">
        <v>2469</v>
      </c>
      <c r="G621" s="9">
        <v>1</v>
      </c>
      <c r="H621" s="9" t="s">
        <v>2470</v>
      </c>
      <c r="I621" s="9" t="s">
        <v>2471</v>
      </c>
      <c r="J621" s="9">
        <v>1</v>
      </c>
      <c r="K621" s="9" t="s">
        <v>2472</v>
      </c>
      <c r="L621" s="9" t="str">
        <f t="shared" si="2"/>
        <v>Y</v>
      </c>
    </row>
    <row r="622" spans="1:12">
      <c r="A622" s="9">
        <v>723</v>
      </c>
      <c r="B622" s="9">
        <v>123</v>
      </c>
      <c r="C622" s="9" t="s">
        <v>2473</v>
      </c>
      <c r="D622" s="9" t="s">
        <v>20</v>
      </c>
      <c r="E622" s="9">
        <v>227</v>
      </c>
      <c r="F622" s="9" t="s">
        <v>2474</v>
      </c>
      <c r="G622" s="9">
        <v>0</v>
      </c>
      <c r="J622" s="9">
        <v>0</v>
      </c>
      <c r="K622" s="9" t="s">
        <v>699</v>
      </c>
      <c r="L622" s="9" t="str">
        <f t="shared" si="2"/>
        <v>N</v>
      </c>
    </row>
    <row r="623" spans="1:12">
      <c r="A623" s="9">
        <v>724</v>
      </c>
      <c r="B623" s="9">
        <v>125</v>
      </c>
      <c r="C623" s="9" t="s">
        <v>2475</v>
      </c>
      <c r="D623" s="9" t="s">
        <v>20</v>
      </c>
      <c r="E623" s="9">
        <v>241</v>
      </c>
      <c r="F623" s="9" t="s">
        <v>2476</v>
      </c>
      <c r="G623" s="9">
        <v>0</v>
      </c>
      <c r="J623" s="9">
        <v>0</v>
      </c>
      <c r="K623" s="9" t="s">
        <v>699</v>
      </c>
      <c r="L623" s="9" t="str">
        <f t="shared" si="2"/>
        <v>N</v>
      </c>
    </row>
    <row r="624" spans="1:12">
      <c r="A624" s="9">
        <v>725</v>
      </c>
      <c r="B624" s="9">
        <v>123</v>
      </c>
      <c r="C624" s="9" t="s">
        <v>2477</v>
      </c>
      <c r="D624" s="9" t="s">
        <v>20</v>
      </c>
      <c r="E624" s="9">
        <v>228</v>
      </c>
      <c r="F624" s="9" t="s">
        <v>2478</v>
      </c>
      <c r="G624" s="9">
        <v>0</v>
      </c>
      <c r="J624" s="9">
        <v>0</v>
      </c>
      <c r="K624" s="9" t="s">
        <v>699</v>
      </c>
      <c r="L624" s="9" t="str">
        <f t="shared" si="2"/>
        <v>N</v>
      </c>
    </row>
    <row r="625" spans="1:12">
      <c r="A625" s="9">
        <v>726</v>
      </c>
      <c r="B625" s="9">
        <v>120</v>
      </c>
      <c r="C625" s="9" t="s">
        <v>2479</v>
      </c>
      <c r="D625" s="9" t="s">
        <v>2480</v>
      </c>
      <c r="E625" s="9">
        <v>207</v>
      </c>
      <c r="F625" s="9" t="s">
        <v>2481</v>
      </c>
      <c r="G625" s="9">
        <v>1</v>
      </c>
      <c r="H625" s="9" t="s">
        <v>2482</v>
      </c>
      <c r="I625" s="9" t="s">
        <v>2483</v>
      </c>
      <c r="J625" s="9">
        <v>1</v>
      </c>
      <c r="K625" s="9" t="s">
        <v>2451</v>
      </c>
      <c r="L625" s="9" t="str">
        <f t="shared" si="2"/>
        <v>Y</v>
      </c>
    </row>
    <row r="626" spans="1:12">
      <c r="A626" s="9">
        <v>727</v>
      </c>
      <c r="B626" s="9">
        <v>125</v>
      </c>
      <c r="C626" s="9" t="s">
        <v>2484</v>
      </c>
      <c r="D626" s="9" t="s">
        <v>2485</v>
      </c>
      <c r="E626" s="9">
        <v>241</v>
      </c>
      <c r="F626" s="9" t="s">
        <v>2486</v>
      </c>
      <c r="G626" s="9">
        <v>1</v>
      </c>
      <c r="H626" s="9" t="s">
        <v>2034</v>
      </c>
      <c r="I626" s="9" t="s">
        <v>2035</v>
      </c>
      <c r="J626" s="9">
        <v>1</v>
      </c>
      <c r="K626" s="9" t="s">
        <v>2036</v>
      </c>
      <c r="L626" s="9" t="str">
        <f t="shared" si="2"/>
        <v>Y</v>
      </c>
    </row>
    <row r="627" spans="1:12">
      <c r="A627" s="9">
        <v>728</v>
      </c>
      <c r="B627" s="9">
        <v>124</v>
      </c>
      <c r="C627" s="9" t="s">
        <v>2487</v>
      </c>
      <c r="D627" s="9" t="s">
        <v>2488</v>
      </c>
      <c r="E627" s="9">
        <v>234</v>
      </c>
      <c r="F627" s="9" t="s">
        <v>2489</v>
      </c>
      <c r="G627" s="9">
        <v>1</v>
      </c>
      <c r="H627" s="9" t="s">
        <v>2490</v>
      </c>
      <c r="I627" s="9" t="s">
        <v>2491</v>
      </c>
      <c r="J627" s="9">
        <v>1</v>
      </c>
      <c r="K627" s="9" t="s">
        <v>2217</v>
      </c>
      <c r="L627" s="9" t="str">
        <f t="shared" si="2"/>
        <v>Y</v>
      </c>
    </row>
    <row r="628" spans="1:12">
      <c r="A628" s="9">
        <v>729</v>
      </c>
      <c r="B628" s="9">
        <v>120</v>
      </c>
      <c r="C628" s="9" t="s">
        <v>2492</v>
      </c>
      <c r="D628" s="9" t="s">
        <v>2493</v>
      </c>
      <c r="E628" s="9">
        <v>211</v>
      </c>
      <c r="F628" s="9" t="s">
        <v>2494</v>
      </c>
      <c r="G628" s="9">
        <v>0</v>
      </c>
      <c r="H628" s="9" t="s">
        <v>1818</v>
      </c>
      <c r="I628" s="9" t="s">
        <v>1819</v>
      </c>
      <c r="J628" s="9">
        <v>0</v>
      </c>
      <c r="K628" s="9" t="s">
        <v>1820</v>
      </c>
      <c r="L628" s="9" t="str">
        <f t="shared" si="2"/>
        <v>Y</v>
      </c>
    </row>
    <row r="629" spans="1:12">
      <c r="A629" s="9">
        <v>730</v>
      </c>
      <c r="B629" s="9">
        <v>121</v>
      </c>
      <c r="C629" s="9" t="s">
        <v>2495</v>
      </c>
      <c r="D629" s="9" t="s">
        <v>2496</v>
      </c>
      <c r="E629" s="9">
        <v>215</v>
      </c>
      <c r="F629" s="9" t="s">
        <v>2494</v>
      </c>
      <c r="G629" s="9">
        <v>2</v>
      </c>
      <c r="H629" s="9" t="s">
        <v>2497</v>
      </c>
      <c r="I629" s="9" t="s">
        <v>2498</v>
      </c>
      <c r="J629" s="9">
        <v>3</v>
      </c>
      <c r="K629" s="9" t="s">
        <v>1973</v>
      </c>
      <c r="L629" s="9" t="str">
        <f t="shared" si="2"/>
        <v>Y</v>
      </c>
    </row>
    <row r="630" spans="1:12">
      <c r="A630" s="9">
        <v>731</v>
      </c>
      <c r="B630" s="9">
        <v>120</v>
      </c>
      <c r="C630" s="9" t="s">
        <v>2499</v>
      </c>
      <c r="D630" s="9" t="s">
        <v>20</v>
      </c>
      <c r="E630" s="9">
        <v>209</v>
      </c>
      <c r="F630" s="9" t="s">
        <v>2500</v>
      </c>
      <c r="G630" s="9">
        <v>0</v>
      </c>
      <c r="J630" s="9">
        <v>0</v>
      </c>
      <c r="K630" s="9" t="s">
        <v>699</v>
      </c>
      <c r="L630" s="9" t="str">
        <f t="shared" si="2"/>
        <v>N</v>
      </c>
    </row>
    <row r="631" spans="1:12">
      <c r="A631" s="9">
        <v>732</v>
      </c>
      <c r="B631" s="9">
        <v>120</v>
      </c>
      <c r="C631" s="9" t="s">
        <v>2501</v>
      </c>
      <c r="D631" s="9" t="s">
        <v>20</v>
      </c>
      <c r="E631" s="9">
        <v>209</v>
      </c>
      <c r="F631" s="9" t="s">
        <v>2502</v>
      </c>
      <c r="G631" s="9">
        <v>0</v>
      </c>
      <c r="H631" s="9"/>
      <c r="I631" s="9"/>
      <c r="J631" s="9">
        <v>0</v>
      </c>
      <c r="K631" s="9" t="s">
        <v>699</v>
      </c>
      <c r="L631" s="9" t="str">
        <f t="shared" si="2"/>
        <v>N</v>
      </c>
    </row>
    <row r="632" spans="1:12">
      <c r="A632" s="9">
        <v>733</v>
      </c>
      <c r="B632" s="9">
        <v>121</v>
      </c>
      <c r="C632" s="9" t="s">
        <v>2503</v>
      </c>
      <c r="D632" s="9" t="s">
        <v>20</v>
      </c>
      <c r="E632" s="9">
        <v>216</v>
      </c>
      <c r="F632" s="9" t="s">
        <v>2504</v>
      </c>
      <c r="G632" s="9">
        <v>0</v>
      </c>
      <c r="H632" s="9"/>
      <c r="I632" s="9"/>
      <c r="J632" s="9">
        <v>0</v>
      </c>
      <c r="K632" s="9" t="s">
        <v>699</v>
      </c>
      <c r="L632" s="9" t="str">
        <f t="shared" si="2"/>
        <v>N</v>
      </c>
    </row>
    <row r="633" spans="1:12">
      <c r="A633" s="9">
        <v>734</v>
      </c>
      <c r="B633" s="9">
        <v>123</v>
      </c>
      <c r="C633" s="9" t="s">
        <v>2505</v>
      </c>
      <c r="D633" s="9" t="s">
        <v>20</v>
      </c>
      <c r="E633" s="9">
        <v>228</v>
      </c>
      <c r="F633" s="9" t="s">
        <v>2506</v>
      </c>
      <c r="G633" s="9">
        <v>0</v>
      </c>
      <c r="J633" s="9">
        <v>0</v>
      </c>
      <c r="K633" s="9" t="s">
        <v>699</v>
      </c>
      <c r="L633" s="9" t="str">
        <f t="shared" si="2"/>
        <v>N</v>
      </c>
    </row>
    <row r="634" spans="1:12">
      <c r="A634" s="9">
        <v>735</v>
      </c>
      <c r="B634" s="9">
        <v>121</v>
      </c>
      <c r="C634" s="9" t="s">
        <v>2507</v>
      </c>
      <c r="D634" s="9" t="s">
        <v>20</v>
      </c>
      <c r="E634" s="9">
        <v>216</v>
      </c>
      <c r="F634" s="9" t="s">
        <v>2508</v>
      </c>
      <c r="G634" s="9">
        <v>0</v>
      </c>
      <c r="H634" s="9"/>
      <c r="I634" s="9"/>
      <c r="J634" s="9">
        <v>0</v>
      </c>
      <c r="K634" s="9" t="s">
        <v>699</v>
      </c>
      <c r="L634" s="9" t="str">
        <f t="shared" si="2"/>
        <v>N</v>
      </c>
    </row>
    <row r="635" spans="1:12">
      <c r="A635" s="9">
        <v>736</v>
      </c>
      <c r="B635" s="9">
        <v>125</v>
      </c>
      <c r="C635" s="9" t="s">
        <v>2509</v>
      </c>
      <c r="D635" s="9" t="s">
        <v>20</v>
      </c>
      <c r="E635" s="9">
        <v>239</v>
      </c>
      <c r="F635" s="9" t="s">
        <v>2508</v>
      </c>
      <c r="G635" s="9">
        <v>0</v>
      </c>
      <c r="H635" s="9"/>
      <c r="I635" s="9"/>
      <c r="J635" s="9">
        <v>0</v>
      </c>
      <c r="K635" s="9" t="s">
        <v>699</v>
      </c>
      <c r="L635" s="9" t="str">
        <f t="shared" si="2"/>
        <v>N</v>
      </c>
    </row>
    <row r="636" spans="1:12">
      <c r="A636" s="9">
        <v>737</v>
      </c>
      <c r="B636" s="9">
        <v>126</v>
      </c>
      <c r="C636" s="9" t="s">
        <v>2510</v>
      </c>
      <c r="D636" s="9" t="s">
        <v>2511</v>
      </c>
      <c r="E636" s="9">
        <v>244</v>
      </c>
      <c r="F636" s="9" t="s">
        <v>2512</v>
      </c>
      <c r="G636" s="9">
        <v>5</v>
      </c>
      <c r="H636" s="9" t="s">
        <v>2513</v>
      </c>
      <c r="I636" s="9" t="s">
        <v>2514</v>
      </c>
      <c r="J636" s="9">
        <v>5</v>
      </c>
      <c r="K636" s="9" t="s">
        <v>2515</v>
      </c>
      <c r="L636" s="9" t="str">
        <f t="shared" si="2"/>
        <v>Y</v>
      </c>
    </row>
    <row r="637" spans="1:12">
      <c r="A637" s="9">
        <v>738</v>
      </c>
      <c r="B637" s="9">
        <v>119</v>
      </c>
      <c r="C637" s="9" t="s">
        <v>2516</v>
      </c>
      <c r="D637" s="9" t="s">
        <v>2517</v>
      </c>
      <c r="E637" s="9">
        <v>202</v>
      </c>
      <c r="F637" s="9" t="s">
        <v>2518</v>
      </c>
      <c r="G637" s="9">
        <v>0</v>
      </c>
      <c r="H637" s="9" t="s">
        <v>2513</v>
      </c>
      <c r="I637" s="9" t="s">
        <v>2514</v>
      </c>
      <c r="J637" s="9">
        <v>0</v>
      </c>
      <c r="K637" s="9" t="s">
        <v>2515</v>
      </c>
      <c r="L637" s="9" t="str">
        <f t="shared" si="2"/>
        <v>Y</v>
      </c>
    </row>
    <row r="638" spans="1:12">
      <c r="A638" s="9">
        <v>739</v>
      </c>
      <c r="B638" s="9">
        <v>123</v>
      </c>
      <c r="C638" s="9" t="s">
        <v>2519</v>
      </c>
      <c r="D638" s="9" t="s">
        <v>20</v>
      </c>
      <c r="E638" s="9">
        <v>228</v>
      </c>
      <c r="F638" s="9" t="s">
        <v>2520</v>
      </c>
      <c r="G638" s="9">
        <v>0</v>
      </c>
      <c r="H638" s="9"/>
      <c r="I638" s="9"/>
      <c r="J638" s="9">
        <v>0</v>
      </c>
      <c r="K638" s="9" t="s">
        <v>699</v>
      </c>
      <c r="L638" s="9" t="str">
        <f t="shared" si="2"/>
        <v>N</v>
      </c>
    </row>
    <row r="639" spans="1:12">
      <c r="A639" s="9">
        <v>740</v>
      </c>
      <c r="B639" s="9">
        <v>122</v>
      </c>
      <c r="C639" s="9" t="s">
        <v>2521</v>
      </c>
      <c r="D639" s="9" t="s">
        <v>20</v>
      </c>
      <c r="E639" s="9">
        <v>220</v>
      </c>
      <c r="F639" s="9" t="s">
        <v>2522</v>
      </c>
      <c r="G639" s="9">
        <v>0</v>
      </c>
      <c r="H639" s="9"/>
      <c r="I639" s="9"/>
      <c r="J639" s="9">
        <v>0</v>
      </c>
      <c r="K639" s="9" t="s">
        <v>699</v>
      </c>
      <c r="L639" s="9" t="str">
        <f t="shared" si="2"/>
        <v>N</v>
      </c>
    </row>
    <row r="640" spans="1:12">
      <c r="A640" s="9">
        <v>741</v>
      </c>
      <c r="B640" s="9">
        <v>120</v>
      </c>
      <c r="C640" s="9" t="s">
        <v>2523</v>
      </c>
      <c r="D640" s="9" t="s">
        <v>20</v>
      </c>
      <c r="E640" s="9">
        <v>209</v>
      </c>
      <c r="F640" s="9" t="s">
        <v>2524</v>
      </c>
      <c r="G640" s="9">
        <v>0</v>
      </c>
      <c r="H640" s="9"/>
      <c r="I640" s="9"/>
      <c r="J640" s="9">
        <v>0</v>
      </c>
      <c r="K640" s="9" t="s">
        <v>699</v>
      </c>
      <c r="L640" s="9" t="str">
        <f t="shared" si="2"/>
        <v>N</v>
      </c>
    </row>
    <row r="641" spans="1:12">
      <c r="A641" s="9">
        <v>742</v>
      </c>
      <c r="B641" s="9">
        <v>124</v>
      </c>
      <c r="C641" s="9" t="s">
        <v>2525</v>
      </c>
      <c r="D641" s="9" t="s">
        <v>2526</v>
      </c>
      <c r="E641" s="9">
        <v>234</v>
      </c>
      <c r="F641" s="9" t="s">
        <v>2524</v>
      </c>
      <c r="G641" s="9">
        <v>0</v>
      </c>
      <c r="H641" s="9" t="s">
        <v>2527</v>
      </c>
      <c r="I641" s="9" t="s">
        <v>2528</v>
      </c>
      <c r="J641" s="9">
        <v>0</v>
      </c>
      <c r="K641" s="9" t="s">
        <v>2082</v>
      </c>
      <c r="L641" s="9" t="str">
        <f t="shared" si="2"/>
        <v>Y</v>
      </c>
    </row>
    <row r="642" spans="1:12">
      <c r="A642" s="9">
        <v>743</v>
      </c>
      <c r="B642" s="9">
        <v>122</v>
      </c>
      <c r="C642" s="9" t="s">
        <v>2529</v>
      </c>
      <c r="D642" s="9" t="s">
        <v>2530</v>
      </c>
      <c r="E642" s="9">
        <v>220</v>
      </c>
      <c r="F642" s="9" t="s">
        <v>2531</v>
      </c>
      <c r="G642" s="9">
        <v>1</v>
      </c>
      <c r="H642" s="9" t="s">
        <v>1753</v>
      </c>
      <c r="I642" s="9" t="s">
        <v>1754</v>
      </c>
      <c r="J642" s="9">
        <v>1</v>
      </c>
      <c r="K642" s="9" t="s">
        <v>752</v>
      </c>
      <c r="L642" s="9" t="str">
        <f t="shared" si="2"/>
        <v>Y</v>
      </c>
    </row>
    <row r="643" spans="1:12">
      <c r="A643" s="9">
        <v>744</v>
      </c>
      <c r="B643" s="9">
        <v>120</v>
      </c>
      <c r="C643" s="9" t="s">
        <v>2532</v>
      </c>
      <c r="D643" s="9" t="s">
        <v>20</v>
      </c>
      <c r="E643" s="9">
        <v>209</v>
      </c>
      <c r="F643" s="9" t="s">
        <v>2533</v>
      </c>
      <c r="G643" s="9">
        <v>0</v>
      </c>
      <c r="H643" s="9"/>
      <c r="I643" s="9"/>
      <c r="J643" s="9">
        <v>0</v>
      </c>
      <c r="K643" s="9" t="s">
        <v>699</v>
      </c>
      <c r="L643" s="9" t="str">
        <f t="shared" si="2"/>
        <v>N</v>
      </c>
    </row>
    <row r="644" spans="1:12">
      <c r="A644" s="9">
        <v>745</v>
      </c>
      <c r="B644" s="9">
        <v>119</v>
      </c>
      <c r="C644" s="9" t="s">
        <v>2534</v>
      </c>
      <c r="D644" s="9" t="s">
        <v>20</v>
      </c>
      <c r="E644" s="9">
        <v>200</v>
      </c>
      <c r="F644" s="9" t="s">
        <v>2535</v>
      </c>
      <c r="G644" s="9">
        <v>0</v>
      </c>
      <c r="J644" s="9">
        <v>0</v>
      </c>
      <c r="K644" s="9" t="s">
        <v>699</v>
      </c>
      <c r="L644" s="9" t="str">
        <f t="shared" si="2"/>
        <v>N</v>
      </c>
    </row>
    <row r="645" spans="1:12">
      <c r="A645" s="9">
        <v>746</v>
      </c>
      <c r="B645" s="9">
        <v>126</v>
      </c>
      <c r="C645" s="9" t="s">
        <v>2536</v>
      </c>
      <c r="D645" s="9" t="s">
        <v>2537</v>
      </c>
      <c r="E645" s="9">
        <v>247</v>
      </c>
      <c r="F645" s="9" t="s">
        <v>2535</v>
      </c>
      <c r="G645" s="9">
        <v>1</v>
      </c>
      <c r="H645" s="9" t="s">
        <v>1753</v>
      </c>
      <c r="I645" s="9" t="s">
        <v>1754</v>
      </c>
      <c r="J645" s="9">
        <v>1</v>
      </c>
      <c r="K645" s="9" t="s">
        <v>752</v>
      </c>
      <c r="L645" s="9" t="str">
        <f t="shared" si="2"/>
        <v>Y</v>
      </c>
    </row>
    <row r="646" spans="1:12">
      <c r="A646" s="9">
        <v>747</v>
      </c>
      <c r="B646" s="9">
        <v>125</v>
      </c>
      <c r="C646" s="9" t="s">
        <v>2538</v>
      </c>
      <c r="D646" s="9" t="s">
        <v>20</v>
      </c>
      <c r="E646" s="9">
        <v>239</v>
      </c>
      <c r="F646" s="9" t="s">
        <v>2539</v>
      </c>
      <c r="G646" s="9">
        <v>0</v>
      </c>
      <c r="H646" s="9"/>
      <c r="I646" s="9"/>
      <c r="J646" s="9">
        <v>0</v>
      </c>
      <c r="K646" s="9" t="s">
        <v>699</v>
      </c>
      <c r="L646" s="9" t="str">
        <f t="shared" si="2"/>
        <v>N</v>
      </c>
    </row>
    <row r="647" spans="1:12">
      <c r="A647" s="9">
        <v>748</v>
      </c>
      <c r="B647" s="9">
        <v>123</v>
      </c>
      <c r="C647" s="9" t="s">
        <v>2540</v>
      </c>
      <c r="D647" s="9" t="s">
        <v>20</v>
      </c>
      <c r="E647" s="9">
        <v>228</v>
      </c>
      <c r="F647" s="9" t="s">
        <v>538</v>
      </c>
      <c r="G647" s="9">
        <v>0</v>
      </c>
      <c r="H647" s="9"/>
      <c r="I647" s="9"/>
      <c r="J647" s="9">
        <v>0</v>
      </c>
      <c r="K647" s="9" t="s">
        <v>699</v>
      </c>
      <c r="L647" s="9" t="str">
        <f t="shared" si="2"/>
        <v>N</v>
      </c>
    </row>
    <row r="648" spans="1:12">
      <c r="A648" s="9">
        <v>749</v>
      </c>
      <c r="B648" s="9">
        <v>125</v>
      </c>
      <c r="C648" s="9" t="s">
        <v>2541</v>
      </c>
      <c r="D648" s="9" t="s">
        <v>20</v>
      </c>
      <c r="E648" s="9">
        <v>238</v>
      </c>
      <c r="F648" s="9" t="s">
        <v>2542</v>
      </c>
      <c r="G648" s="9">
        <v>0</v>
      </c>
      <c r="H648" s="9"/>
      <c r="I648" s="9"/>
      <c r="J648" s="9">
        <v>0</v>
      </c>
      <c r="K648" s="9" t="s">
        <v>699</v>
      </c>
      <c r="L648" s="9" t="str">
        <f t="shared" si="2"/>
        <v>N</v>
      </c>
    </row>
    <row r="649" spans="1:12">
      <c r="A649" s="9">
        <v>750</v>
      </c>
      <c r="B649" s="9">
        <v>123</v>
      </c>
      <c r="C649" s="9" t="s">
        <v>2543</v>
      </c>
      <c r="D649" s="9" t="s">
        <v>20</v>
      </c>
      <c r="E649" s="9">
        <v>228</v>
      </c>
      <c r="F649" s="9" t="s">
        <v>2544</v>
      </c>
      <c r="G649" s="9">
        <v>0</v>
      </c>
      <c r="J649" s="9">
        <v>0</v>
      </c>
      <c r="K649" s="9" t="s">
        <v>699</v>
      </c>
      <c r="L649" s="9" t="str">
        <f t="shared" si="2"/>
        <v>N</v>
      </c>
    </row>
    <row r="650" spans="1:12">
      <c r="A650" s="9">
        <v>751</v>
      </c>
      <c r="B650" s="9">
        <v>121</v>
      </c>
      <c r="C650" s="9" t="s">
        <v>2545</v>
      </c>
      <c r="D650" s="9" t="s">
        <v>2546</v>
      </c>
      <c r="E650" s="9">
        <v>215</v>
      </c>
      <c r="F650" s="9" t="s">
        <v>2547</v>
      </c>
      <c r="G650" s="9">
        <v>0</v>
      </c>
      <c r="H650" s="9" t="s">
        <v>1956</v>
      </c>
      <c r="I650" s="9" t="s">
        <v>1957</v>
      </c>
      <c r="J650" s="9">
        <v>0</v>
      </c>
      <c r="K650" s="9" t="s">
        <v>1958</v>
      </c>
      <c r="L650" s="9" t="str">
        <f t="shared" si="2"/>
        <v>Y</v>
      </c>
    </row>
    <row r="651" spans="1:12">
      <c r="A651" s="9">
        <v>752</v>
      </c>
      <c r="B651" s="9">
        <v>118</v>
      </c>
      <c r="C651" s="9" t="s">
        <v>2548</v>
      </c>
      <c r="D651" s="9" t="s">
        <v>2549</v>
      </c>
      <c r="E651" s="9">
        <v>194</v>
      </c>
      <c r="F651" s="9" t="s">
        <v>2550</v>
      </c>
      <c r="G651" s="9">
        <v>1</v>
      </c>
      <c r="H651" s="9" t="s">
        <v>1917</v>
      </c>
      <c r="I651" s="9" t="s">
        <v>1918</v>
      </c>
      <c r="J651" s="9">
        <v>1</v>
      </c>
      <c r="K651" s="9" t="s">
        <v>1919</v>
      </c>
      <c r="L651" s="9" t="str">
        <f t="shared" si="2"/>
        <v>Y</v>
      </c>
    </row>
    <row r="652" spans="1:12">
      <c r="A652" s="9">
        <v>753</v>
      </c>
      <c r="B652" s="9">
        <v>118</v>
      </c>
      <c r="C652" s="9" t="s">
        <v>2551</v>
      </c>
      <c r="D652" s="9" t="s">
        <v>2552</v>
      </c>
      <c r="E652" s="9">
        <v>196</v>
      </c>
      <c r="F652" s="9" t="s">
        <v>462</v>
      </c>
      <c r="G652" s="9">
        <v>0</v>
      </c>
      <c r="H652" s="9" t="s">
        <v>2553</v>
      </c>
      <c r="I652" s="9" t="s">
        <v>2554</v>
      </c>
      <c r="J652" s="9">
        <v>0</v>
      </c>
      <c r="K652" s="9" t="s">
        <v>2555</v>
      </c>
      <c r="L652" s="9" t="str">
        <f t="shared" si="2"/>
        <v>Y</v>
      </c>
    </row>
    <row r="653" spans="1:12">
      <c r="A653" s="9">
        <v>754</v>
      </c>
      <c r="B653" s="9">
        <v>120</v>
      </c>
      <c r="C653" s="9" t="s">
        <v>2556</v>
      </c>
      <c r="D653" s="9" t="s">
        <v>20</v>
      </c>
      <c r="E653" s="9">
        <v>209</v>
      </c>
      <c r="F653" s="9" t="s">
        <v>2557</v>
      </c>
      <c r="G653" s="9">
        <v>0</v>
      </c>
      <c r="H653" s="9"/>
      <c r="I653" s="9"/>
      <c r="J653" s="9">
        <v>0</v>
      </c>
      <c r="K653" s="9" t="s">
        <v>699</v>
      </c>
      <c r="L653" s="9" t="str">
        <f t="shared" si="2"/>
        <v>N</v>
      </c>
    </row>
    <row r="654" spans="1:12">
      <c r="A654" s="9">
        <v>755</v>
      </c>
      <c r="B654" s="9">
        <v>125</v>
      </c>
      <c r="C654" s="9" t="s">
        <v>2558</v>
      </c>
      <c r="D654" s="9" t="s">
        <v>2559</v>
      </c>
      <c r="E654" s="9">
        <v>238</v>
      </c>
      <c r="F654" s="9" t="s">
        <v>2557</v>
      </c>
      <c r="G654" s="9">
        <v>2</v>
      </c>
      <c r="H654" s="9" t="s">
        <v>2560</v>
      </c>
      <c r="I654" s="9" t="s">
        <v>2561</v>
      </c>
      <c r="J654" s="9">
        <v>2</v>
      </c>
      <c r="K654" s="9" t="s">
        <v>2237</v>
      </c>
      <c r="L654" s="9" t="str">
        <f t="shared" si="2"/>
        <v>Y</v>
      </c>
    </row>
    <row r="655" spans="1:12">
      <c r="A655" s="9">
        <v>756</v>
      </c>
      <c r="B655" s="9">
        <v>123</v>
      </c>
      <c r="C655" s="9" t="s">
        <v>2562</v>
      </c>
      <c r="D655" s="9" t="s">
        <v>2563</v>
      </c>
      <c r="E655" s="9">
        <v>228</v>
      </c>
      <c r="F655" s="9" t="s">
        <v>2564</v>
      </c>
      <c r="G655" s="9">
        <v>0</v>
      </c>
      <c r="H655" s="9" t="s">
        <v>2565</v>
      </c>
      <c r="I655" s="9" t="s">
        <v>2566</v>
      </c>
      <c r="J655" s="9">
        <v>0</v>
      </c>
      <c r="K655" s="9" t="s">
        <v>2567</v>
      </c>
      <c r="L655" s="9" t="str">
        <f t="shared" si="2"/>
        <v>Y</v>
      </c>
    </row>
    <row r="656" spans="1:12">
      <c r="A656" s="9">
        <v>757</v>
      </c>
      <c r="B656" s="9">
        <v>125</v>
      </c>
      <c r="C656" s="9" t="s">
        <v>2568</v>
      </c>
      <c r="D656" s="9" t="s">
        <v>2569</v>
      </c>
      <c r="E656" s="9">
        <v>239</v>
      </c>
      <c r="F656" s="9" t="s">
        <v>2564</v>
      </c>
      <c r="G656" s="9">
        <v>1</v>
      </c>
      <c r="H656" s="9" t="s">
        <v>1753</v>
      </c>
      <c r="I656" s="9" t="s">
        <v>1754</v>
      </c>
      <c r="J656" s="9">
        <v>2</v>
      </c>
      <c r="K656" s="9" t="s">
        <v>752</v>
      </c>
      <c r="L656" s="9" t="str">
        <f t="shared" si="2"/>
        <v>Y</v>
      </c>
    </row>
    <row r="657" spans="1:12">
      <c r="A657" s="9">
        <v>758</v>
      </c>
      <c r="B657" s="9">
        <v>119</v>
      </c>
      <c r="C657" s="9" t="s">
        <v>2570</v>
      </c>
      <c r="D657" s="9" t="s">
        <v>20</v>
      </c>
      <c r="E657" s="9">
        <v>201</v>
      </c>
      <c r="F657" s="9" t="s">
        <v>2571</v>
      </c>
      <c r="G657" s="9">
        <v>0</v>
      </c>
      <c r="J657" s="9">
        <v>0</v>
      </c>
      <c r="K657" s="9" t="s">
        <v>699</v>
      </c>
      <c r="L657" s="9" t="str">
        <f t="shared" si="2"/>
        <v>N</v>
      </c>
    </row>
    <row r="658" spans="1:12">
      <c r="A658" s="9">
        <v>759</v>
      </c>
      <c r="B658" s="9">
        <v>120</v>
      </c>
      <c r="C658" s="9" t="s">
        <v>2572</v>
      </c>
      <c r="D658" s="9" t="s">
        <v>2573</v>
      </c>
      <c r="E658" s="9">
        <v>209</v>
      </c>
      <c r="F658" s="9" t="s">
        <v>2574</v>
      </c>
      <c r="G658" s="9">
        <v>0</v>
      </c>
      <c r="H658" s="9" t="s">
        <v>2575</v>
      </c>
      <c r="I658" s="9" t="s">
        <v>2576</v>
      </c>
      <c r="J658" s="9">
        <v>0</v>
      </c>
      <c r="K658" s="9" t="s">
        <v>2217</v>
      </c>
      <c r="L658" s="9" t="str">
        <f t="shared" si="2"/>
        <v>Y</v>
      </c>
    </row>
    <row r="659" spans="1:12">
      <c r="A659" s="9">
        <v>760</v>
      </c>
      <c r="B659" s="9">
        <v>126</v>
      </c>
      <c r="C659" s="9" t="s">
        <v>2577</v>
      </c>
      <c r="D659" s="9" t="s">
        <v>2578</v>
      </c>
      <c r="E659" s="9">
        <v>247</v>
      </c>
      <c r="F659" s="9" t="s">
        <v>2579</v>
      </c>
      <c r="G659" s="9">
        <v>0</v>
      </c>
      <c r="H659" s="9" t="s">
        <v>1837</v>
      </c>
      <c r="I659" s="9" t="s">
        <v>1838</v>
      </c>
      <c r="J659" s="9">
        <v>0</v>
      </c>
      <c r="K659" s="9" t="s">
        <v>1839</v>
      </c>
      <c r="L659" s="9" t="str">
        <f t="shared" si="2"/>
        <v>Y</v>
      </c>
    </row>
    <row r="660" spans="1:12">
      <c r="A660" s="9">
        <v>761</v>
      </c>
      <c r="B660" s="9">
        <v>123</v>
      </c>
      <c r="C660" s="9" t="s">
        <v>2580</v>
      </c>
      <c r="D660" s="9" t="s">
        <v>20</v>
      </c>
      <c r="E660" s="9">
        <v>226</v>
      </c>
      <c r="F660" s="9" t="s">
        <v>2581</v>
      </c>
      <c r="G660" s="9">
        <v>0</v>
      </c>
      <c r="H660" s="9"/>
      <c r="I660" s="9"/>
      <c r="J660" s="9">
        <v>0</v>
      </c>
      <c r="K660" s="9" t="s">
        <v>699</v>
      </c>
      <c r="L660" s="9" t="str">
        <f t="shared" si="2"/>
        <v>N</v>
      </c>
    </row>
    <row r="661" spans="1:12">
      <c r="A661" s="9">
        <v>762</v>
      </c>
      <c r="B661" s="9">
        <v>119</v>
      </c>
      <c r="C661" s="9" t="s">
        <v>2582</v>
      </c>
      <c r="D661" s="9" t="s">
        <v>20</v>
      </c>
      <c r="E661" s="9">
        <v>204</v>
      </c>
      <c r="F661" s="9" t="s">
        <v>2583</v>
      </c>
      <c r="G661" s="9">
        <v>0</v>
      </c>
      <c r="J661" s="9">
        <v>0</v>
      </c>
      <c r="K661" s="9" t="s">
        <v>699</v>
      </c>
      <c r="L661" s="9" t="str">
        <f t="shared" si="2"/>
        <v>N</v>
      </c>
    </row>
    <row r="662" spans="1:12">
      <c r="A662" s="9">
        <v>763</v>
      </c>
      <c r="B662" s="9">
        <v>120</v>
      </c>
      <c r="C662" s="9" t="s">
        <v>2584</v>
      </c>
      <c r="D662" s="9" t="s">
        <v>2585</v>
      </c>
      <c r="E662" s="9">
        <v>209</v>
      </c>
      <c r="F662" s="9" t="s">
        <v>2586</v>
      </c>
      <c r="G662" s="9">
        <v>0</v>
      </c>
      <c r="H662" s="9" t="s">
        <v>2575</v>
      </c>
      <c r="I662" s="9" t="s">
        <v>2576</v>
      </c>
      <c r="J662" s="9">
        <v>0</v>
      </c>
      <c r="K662" s="9" t="s">
        <v>2217</v>
      </c>
      <c r="L662" s="9" t="str">
        <f t="shared" si="2"/>
        <v>Y</v>
      </c>
    </row>
    <row r="663" spans="1:12">
      <c r="A663" s="9">
        <v>764</v>
      </c>
      <c r="B663" s="9">
        <v>122</v>
      </c>
      <c r="C663" s="9" t="s">
        <v>2587</v>
      </c>
      <c r="D663" s="9" t="s">
        <v>2588</v>
      </c>
      <c r="E663" s="9">
        <v>223</v>
      </c>
      <c r="F663" s="9" t="s">
        <v>2589</v>
      </c>
      <c r="G663" s="9">
        <v>0</v>
      </c>
      <c r="H663" s="9" t="s">
        <v>1761</v>
      </c>
      <c r="I663" s="9" t="s">
        <v>1762</v>
      </c>
      <c r="J663" s="9">
        <v>0</v>
      </c>
      <c r="K663" s="9" t="s">
        <v>1763</v>
      </c>
      <c r="L663" s="9" t="str">
        <f t="shared" si="2"/>
        <v>Y</v>
      </c>
    </row>
    <row r="664" spans="1:12">
      <c r="A664" s="9">
        <v>765</v>
      </c>
      <c r="B664" s="9">
        <v>124</v>
      </c>
      <c r="C664" s="9" t="s">
        <v>2590</v>
      </c>
      <c r="D664" s="9" t="s">
        <v>2591</v>
      </c>
      <c r="E664" s="9">
        <v>235</v>
      </c>
      <c r="F664" s="9" t="s">
        <v>2592</v>
      </c>
      <c r="G664" s="9">
        <v>0</v>
      </c>
      <c r="H664" s="9" t="s">
        <v>1872</v>
      </c>
      <c r="I664" s="9" t="s">
        <v>1873</v>
      </c>
      <c r="J664" s="9">
        <v>0</v>
      </c>
      <c r="K664" s="9" t="s">
        <v>1874</v>
      </c>
      <c r="L664" s="9" t="str">
        <f t="shared" si="2"/>
        <v>Y</v>
      </c>
    </row>
    <row r="665" spans="1:12">
      <c r="A665" s="9">
        <v>766</v>
      </c>
      <c r="B665" s="9">
        <v>120</v>
      </c>
      <c r="C665" s="9" t="s">
        <v>2593</v>
      </c>
      <c r="D665" s="9" t="s">
        <v>2594</v>
      </c>
      <c r="E665" s="9">
        <v>207</v>
      </c>
      <c r="F665" s="9" t="s">
        <v>2595</v>
      </c>
      <c r="G665" s="9">
        <v>0</v>
      </c>
      <c r="H665" s="9" t="s">
        <v>2596</v>
      </c>
      <c r="I665" s="9" t="s">
        <v>2597</v>
      </c>
      <c r="J665" s="9">
        <v>0</v>
      </c>
      <c r="K665" s="9" t="s">
        <v>2598</v>
      </c>
      <c r="L665" s="9" t="str">
        <f t="shared" si="2"/>
        <v>Y</v>
      </c>
    </row>
    <row r="666" spans="1:12">
      <c r="A666" s="9">
        <v>767</v>
      </c>
      <c r="B666" s="9">
        <v>121</v>
      </c>
      <c r="C666" s="9" t="s">
        <v>2599</v>
      </c>
      <c r="D666" s="9" t="s">
        <v>20</v>
      </c>
      <c r="E666" s="9">
        <v>216</v>
      </c>
      <c r="F666" s="9" t="s">
        <v>2600</v>
      </c>
      <c r="G666" s="9">
        <v>0</v>
      </c>
      <c r="H666" s="9"/>
      <c r="I666" s="9"/>
      <c r="J666" s="9">
        <v>0</v>
      </c>
      <c r="K666" s="9" t="s">
        <v>699</v>
      </c>
      <c r="L666" s="9" t="str">
        <f t="shared" si="2"/>
        <v>N</v>
      </c>
    </row>
    <row r="667" spans="1:12">
      <c r="A667" s="9">
        <v>768</v>
      </c>
      <c r="B667" s="9">
        <v>121</v>
      </c>
      <c r="C667" s="9" t="s">
        <v>2601</v>
      </c>
      <c r="D667" s="9" t="s">
        <v>20</v>
      </c>
      <c r="E667" s="9">
        <v>216</v>
      </c>
      <c r="F667" s="9" t="s">
        <v>2602</v>
      </c>
      <c r="G667" s="9">
        <v>0</v>
      </c>
      <c r="J667" s="9">
        <v>0</v>
      </c>
      <c r="K667" s="9" t="s">
        <v>699</v>
      </c>
      <c r="L667" s="9" t="str">
        <f t="shared" si="2"/>
        <v>N</v>
      </c>
    </row>
    <row r="668" spans="1:12">
      <c r="A668" s="9">
        <v>769</v>
      </c>
      <c r="B668" s="9">
        <v>120</v>
      </c>
      <c r="C668" s="9" t="s">
        <v>2603</v>
      </c>
      <c r="D668" s="9" t="s">
        <v>2604</v>
      </c>
      <c r="E668" s="9">
        <v>211</v>
      </c>
      <c r="F668" s="9" t="s">
        <v>2605</v>
      </c>
      <c r="G668" s="9">
        <v>1</v>
      </c>
      <c r="H668" s="9" t="s">
        <v>2034</v>
      </c>
      <c r="I668" s="9" t="s">
        <v>2035</v>
      </c>
      <c r="J668" s="9">
        <v>1</v>
      </c>
      <c r="K668" s="9" t="s">
        <v>2036</v>
      </c>
      <c r="L668" s="9" t="str">
        <f t="shared" si="2"/>
        <v>Y</v>
      </c>
    </row>
    <row r="669" spans="1:12">
      <c r="A669" s="9">
        <v>770</v>
      </c>
      <c r="B669" s="9">
        <v>121</v>
      </c>
      <c r="C669" s="9" t="s">
        <v>2606</v>
      </c>
      <c r="D669" s="9" t="s">
        <v>2607</v>
      </c>
      <c r="E669" s="9">
        <v>215</v>
      </c>
      <c r="F669" s="9" t="s">
        <v>2608</v>
      </c>
      <c r="G669" s="9">
        <v>1</v>
      </c>
      <c r="H669" s="9" t="s">
        <v>2050</v>
      </c>
      <c r="I669" s="9" t="s">
        <v>2051</v>
      </c>
      <c r="J669" s="9">
        <v>1</v>
      </c>
      <c r="K669" s="9" t="s">
        <v>2052</v>
      </c>
      <c r="L669" s="9" t="str">
        <f t="shared" si="2"/>
        <v>Y</v>
      </c>
    </row>
    <row r="670" spans="1:12">
      <c r="A670" s="9">
        <v>771</v>
      </c>
      <c r="B670" s="9">
        <v>119</v>
      </c>
      <c r="C670" s="9" t="s">
        <v>2609</v>
      </c>
      <c r="D670" s="9" t="s">
        <v>20</v>
      </c>
      <c r="E670" s="9">
        <v>200</v>
      </c>
      <c r="F670" s="9" t="s">
        <v>2610</v>
      </c>
      <c r="G670" s="9">
        <v>0</v>
      </c>
      <c r="J670" s="9">
        <v>0</v>
      </c>
      <c r="K670" s="9" t="s">
        <v>699</v>
      </c>
      <c r="L670" s="9" t="str">
        <f t="shared" si="2"/>
        <v>N</v>
      </c>
    </row>
    <row r="671" spans="1:12">
      <c r="A671" s="9">
        <v>772</v>
      </c>
      <c r="B671" s="9">
        <v>121</v>
      </c>
      <c r="C671" s="9" t="s">
        <v>2611</v>
      </c>
      <c r="D671" s="9" t="s">
        <v>20</v>
      </c>
      <c r="E671" s="9">
        <v>216</v>
      </c>
      <c r="F671" s="9" t="s">
        <v>2610</v>
      </c>
      <c r="G671" s="9">
        <v>0</v>
      </c>
      <c r="J671" s="9">
        <v>0</v>
      </c>
      <c r="K671" s="9" t="s">
        <v>699</v>
      </c>
      <c r="L671" s="9" t="str">
        <f t="shared" si="2"/>
        <v>N</v>
      </c>
    </row>
    <row r="672" spans="1:12">
      <c r="A672" s="9">
        <v>773</v>
      </c>
      <c r="B672" s="9">
        <v>125</v>
      </c>
      <c r="C672" s="9" t="s">
        <v>2612</v>
      </c>
      <c r="D672" s="9" t="s">
        <v>20</v>
      </c>
      <c r="E672" s="9">
        <v>241</v>
      </c>
      <c r="F672" s="9" t="s">
        <v>2613</v>
      </c>
      <c r="G672" s="9">
        <v>0</v>
      </c>
      <c r="J672" s="9">
        <v>0</v>
      </c>
      <c r="K672" s="9" t="s">
        <v>699</v>
      </c>
      <c r="L672" s="9" t="str">
        <f t="shared" si="2"/>
        <v>N</v>
      </c>
    </row>
    <row r="673" spans="1:12">
      <c r="A673" s="9">
        <v>774</v>
      </c>
      <c r="B673" s="9">
        <v>119</v>
      </c>
      <c r="C673" s="9" t="s">
        <v>2614</v>
      </c>
      <c r="D673" s="9" t="s">
        <v>20</v>
      </c>
      <c r="E673" s="9">
        <v>203</v>
      </c>
      <c r="F673" s="9" t="s">
        <v>2615</v>
      </c>
      <c r="G673" s="9">
        <v>0</v>
      </c>
      <c r="J673" s="9">
        <v>0</v>
      </c>
      <c r="K673" s="9" t="s">
        <v>699</v>
      </c>
      <c r="L673" s="9" t="str">
        <f t="shared" si="2"/>
        <v>N</v>
      </c>
    </row>
    <row r="674" spans="1:12">
      <c r="A674" s="9">
        <v>775</v>
      </c>
      <c r="B674" s="9">
        <v>119</v>
      </c>
      <c r="C674" s="9" t="s">
        <v>2616</v>
      </c>
      <c r="D674" s="9" t="s">
        <v>20</v>
      </c>
      <c r="E674" s="9">
        <v>204</v>
      </c>
      <c r="F674" s="9" t="s">
        <v>2617</v>
      </c>
      <c r="G674" s="9">
        <v>0</v>
      </c>
      <c r="H674" s="9"/>
      <c r="I674" s="9"/>
      <c r="J674" s="9">
        <v>0</v>
      </c>
      <c r="K674" s="9" t="s">
        <v>699</v>
      </c>
      <c r="L674" s="9" t="str">
        <f t="shared" si="2"/>
        <v>N</v>
      </c>
    </row>
    <row r="675" spans="1:12">
      <c r="A675" s="9">
        <v>776</v>
      </c>
      <c r="B675" s="9">
        <v>120</v>
      </c>
      <c r="C675" s="9" t="s">
        <v>2618</v>
      </c>
      <c r="D675" s="9" t="s">
        <v>2619</v>
      </c>
      <c r="E675" s="9">
        <v>209</v>
      </c>
      <c r="F675" s="9" t="s">
        <v>2620</v>
      </c>
      <c r="G675" s="9">
        <v>0</v>
      </c>
      <c r="H675" s="9" t="s">
        <v>2138</v>
      </c>
      <c r="I675" s="9" t="s">
        <v>2139</v>
      </c>
      <c r="J675" s="9">
        <v>0</v>
      </c>
      <c r="K675" s="9" t="s">
        <v>2082</v>
      </c>
      <c r="L675" s="9" t="str">
        <f t="shared" si="2"/>
        <v>Y</v>
      </c>
    </row>
    <row r="676" spans="1:12">
      <c r="A676" s="9">
        <v>777</v>
      </c>
      <c r="B676" s="9">
        <v>125</v>
      </c>
      <c r="C676" s="9" t="s">
        <v>2621</v>
      </c>
      <c r="D676" s="9" t="s">
        <v>2622</v>
      </c>
      <c r="E676" s="9">
        <v>241</v>
      </c>
      <c r="F676" s="9" t="s">
        <v>2623</v>
      </c>
      <c r="G676" s="9">
        <v>1</v>
      </c>
      <c r="H676" s="9" t="s">
        <v>2009</v>
      </c>
      <c r="I676" s="9" t="s">
        <v>2010</v>
      </c>
      <c r="J676" s="9">
        <v>1</v>
      </c>
      <c r="K676" s="9" t="s">
        <v>1911</v>
      </c>
      <c r="L676" s="9" t="str">
        <f t="shared" si="2"/>
        <v>Y</v>
      </c>
    </row>
    <row r="677" spans="1:12">
      <c r="A677" s="9">
        <v>778</v>
      </c>
      <c r="B677" s="9">
        <v>123</v>
      </c>
      <c r="C677" s="9" t="s">
        <v>2624</v>
      </c>
      <c r="D677" s="9" t="s">
        <v>20</v>
      </c>
      <c r="E677" s="9">
        <v>229</v>
      </c>
      <c r="F677" s="9" t="s">
        <v>2623</v>
      </c>
      <c r="G677" s="9">
        <v>0</v>
      </c>
      <c r="J677" s="9">
        <v>0</v>
      </c>
      <c r="K677" s="9" t="s">
        <v>699</v>
      </c>
      <c r="L677" s="9" t="str">
        <f t="shared" si="2"/>
        <v>N</v>
      </c>
    </row>
    <row r="678" spans="1:12">
      <c r="A678" s="9">
        <v>779</v>
      </c>
      <c r="B678" s="9">
        <v>120</v>
      </c>
      <c r="C678" s="9" t="s">
        <v>2625</v>
      </c>
      <c r="D678" s="9" t="s">
        <v>2626</v>
      </c>
      <c r="E678" s="9">
        <v>209</v>
      </c>
      <c r="F678" s="9" t="s">
        <v>2627</v>
      </c>
      <c r="G678" s="9">
        <v>0</v>
      </c>
      <c r="H678" s="9" t="s">
        <v>2138</v>
      </c>
      <c r="I678" s="9" t="s">
        <v>2139</v>
      </c>
      <c r="J678" s="9">
        <v>0</v>
      </c>
      <c r="K678" s="9" t="s">
        <v>2082</v>
      </c>
      <c r="L678" s="9" t="str">
        <f t="shared" si="2"/>
        <v>Y</v>
      </c>
    </row>
    <row r="679" spans="1:12">
      <c r="A679" s="9">
        <v>780</v>
      </c>
      <c r="B679" s="9">
        <v>119</v>
      </c>
      <c r="C679" s="9" t="s">
        <v>2628</v>
      </c>
      <c r="D679" s="9" t="s">
        <v>2629</v>
      </c>
      <c r="E679" s="9">
        <v>203</v>
      </c>
      <c r="F679" s="9" t="s">
        <v>688</v>
      </c>
      <c r="G679" s="9">
        <v>0</v>
      </c>
      <c r="H679" s="9" t="s">
        <v>1824</v>
      </c>
      <c r="I679" s="9" t="s">
        <v>1825</v>
      </c>
      <c r="J679" s="9">
        <v>0</v>
      </c>
      <c r="K679" s="9" t="s">
        <v>1826</v>
      </c>
      <c r="L679" s="9" t="str">
        <f t="shared" si="2"/>
        <v>Y</v>
      </c>
    </row>
    <row r="680" spans="1:12">
      <c r="A680" s="9">
        <v>781</v>
      </c>
      <c r="B680" s="9">
        <v>120</v>
      </c>
      <c r="C680" s="9" t="s">
        <v>2630</v>
      </c>
      <c r="D680" s="9" t="s">
        <v>2631</v>
      </c>
      <c r="E680" s="9">
        <v>208</v>
      </c>
      <c r="F680" s="9" t="s">
        <v>2632</v>
      </c>
      <c r="G680" s="9">
        <v>0</v>
      </c>
      <c r="H680" s="9" t="s">
        <v>1917</v>
      </c>
      <c r="I680" s="9" t="s">
        <v>1918</v>
      </c>
      <c r="J680" s="9">
        <v>0</v>
      </c>
      <c r="K680" s="9" t="s">
        <v>1919</v>
      </c>
      <c r="L680" s="9" t="str">
        <f t="shared" si="2"/>
        <v>Y</v>
      </c>
    </row>
    <row r="681" spans="1:12">
      <c r="A681" s="9">
        <v>782</v>
      </c>
      <c r="B681" s="9">
        <v>119</v>
      </c>
      <c r="C681" s="9" t="s">
        <v>2633</v>
      </c>
      <c r="D681" s="9" t="s">
        <v>2634</v>
      </c>
      <c r="E681" s="9">
        <v>204</v>
      </c>
      <c r="F681" s="9" t="s">
        <v>2635</v>
      </c>
      <c r="G681" s="9">
        <v>0</v>
      </c>
      <c r="H681" s="9" t="s">
        <v>1971</v>
      </c>
      <c r="I681" s="9" t="s">
        <v>1972</v>
      </c>
      <c r="J681" s="9">
        <v>0</v>
      </c>
      <c r="K681" s="9" t="s">
        <v>1973</v>
      </c>
      <c r="L681" s="9" t="str">
        <f t="shared" si="2"/>
        <v>Y</v>
      </c>
    </row>
    <row r="682" spans="1:12">
      <c r="A682" s="9">
        <v>783</v>
      </c>
      <c r="B682" s="9">
        <v>125</v>
      </c>
      <c r="C682" s="9" t="s">
        <v>2636</v>
      </c>
      <c r="D682" s="9" t="s">
        <v>2637</v>
      </c>
      <c r="E682" s="9">
        <v>240</v>
      </c>
      <c r="F682" s="9" t="s">
        <v>638</v>
      </c>
      <c r="G682" s="9">
        <v>0</v>
      </c>
      <c r="H682" s="9" t="s">
        <v>1753</v>
      </c>
      <c r="I682" s="9" t="s">
        <v>1754</v>
      </c>
      <c r="J682" s="9">
        <v>0</v>
      </c>
      <c r="K682" s="9" t="s">
        <v>752</v>
      </c>
      <c r="L682" s="9" t="str">
        <f t="shared" si="2"/>
        <v>Y</v>
      </c>
    </row>
    <row r="683" spans="1:12">
      <c r="A683" s="9">
        <v>784</v>
      </c>
      <c r="B683" s="9">
        <v>121</v>
      </c>
      <c r="C683" s="9" t="s">
        <v>2638</v>
      </c>
      <c r="D683" s="9" t="s">
        <v>2639</v>
      </c>
      <c r="E683" s="9">
        <v>215</v>
      </c>
      <c r="F683" s="9" t="s">
        <v>2640</v>
      </c>
      <c r="G683" s="9">
        <v>1</v>
      </c>
      <c r="H683" s="9" t="s">
        <v>2641</v>
      </c>
      <c r="I683" s="9" t="s">
        <v>2642</v>
      </c>
      <c r="J683" s="9">
        <v>2</v>
      </c>
      <c r="K683" s="9" t="s">
        <v>2052</v>
      </c>
      <c r="L683" s="9" t="str">
        <f t="shared" si="2"/>
        <v>Y</v>
      </c>
    </row>
    <row r="684" spans="1:12">
      <c r="A684" s="9">
        <v>785</v>
      </c>
      <c r="B684" s="9">
        <v>119</v>
      </c>
      <c r="C684" s="9" t="s">
        <v>2643</v>
      </c>
      <c r="D684" s="9" t="s">
        <v>2644</v>
      </c>
      <c r="E684" s="9">
        <v>202</v>
      </c>
      <c r="F684" s="9" t="s">
        <v>2645</v>
      </c>
      <c r="G684" s="9">
        <v>0</v>
      </c>
      <c r="H684" s="9" t="s">
        <v>2646</v>
      </c>
      <c r="I684" s="9" t="s">
        <v>2647</v>
      </c>
      <c r="J684" s="9">
        <v>0</v>
      </c>
      <c r="K684" s="9" t="s">
        <v>1911</v>
      </c>
      <c r="L684" s="9" t="str">
        <f t="shared" si="2"/>
        <v>Y</v>
      </c>
    </row>
    <row r="685" spans="1:12">
      <c r="A685" s="9">
        <v>786</v>
      </c>
      <c r="B685" s="9">
        <v>126</v>
      </c>
      <c r="C685" s="9" t="s">
        <v>2648</v>
      </c>
      <c r="D685" s="9" t="s">
        <v>20</v>
      </c>
      <c r="E685" s="9">
        <v>245</v>
      </c>
      <c r="F685" s="9" t="s">
        <v>2649</v>
      </c>
      <c r="G685" s="9">
        <v>0</v>
      </c>
      <c r="H685" s="9"/>
      <c r="I685" s="9"/>
      <c r="J685" s="9">
        <v>0</v>
      </c>
      <c r="K685" s="9" t="s">
        <v>699</v>
      </c>
      <c r="L685" s="9" t="str">
        <f t="shared" si="2"/>
        <v>N</v>
      </c>
    </row>
    <row r="686" spans="1:12">
      <c r="A686" s="9">
        <v>787</v>
      </c>
      <c r="B686" s="9">
        <v>123</v>
      </c>
      <c r="C686" s="9" t="s">
        <v>2650</v>
      </c>
      <c r="D686" s="9" t="s">
        <v>20</v>
      </c>
      <c r="E686" s="9">
        <v>229</v>
      </c>
      <c r="F686" s="9" t="s">
        <v>2651</v>
      </c>
      <c r="G686" s="9">
        <v>0</v>
      </c>
      <c r="J686" s="9">
        <v>0</v>
      </c>
      <c r="K686" s="9" t="s">
        <v>699</v>
      </c>
      <c r="L686" s="9" t="str">
        <f t="shared" si="2"/>
        <v>N</v>
      </c>
    </row>
    <row r="687" spans="1:12">
      <c r="A687" s="9">
        <v>788</v>
      </c>
      <c r="B687" s="9">
        <v>125</v>
      </c>
      <c r="C687" s="9" t="s">
        <v>2652</v>
      </c>
      <c r="D687" s="9" t="s">
        <v>2653</v>
      </c>
      <c r="E687" s="9">
        <v>241</v>
      </c>
      <c r="F687" s="9" t="s">
        <v>2654</v>
      </c>
      <c r="G687" s="9">
        <v>1</v>
      </c>
      <c r="H687" s="9" t="s">
        <v>1971</v>
      </c>
      <c r="I687" s="9" t="s">
        <v>1972</v>
      </c>
      <c r="J687" s="9">
        <v>1</v>
      </c>
      <c r="K687" s="9" t="s">
        <v>1973</v>
      </c>
      <c r="L687" s="9" t="str">
        <f t="shared" si="2"/>
        <v>Y</v>
      </c>
    </row>
    <row r="688" spans="1:12">
      <c r="A688" s="9">
        <v>789</v>
      </c>
      <c r="B688" s="9">
        <v>125</v>
      </c>
      <c r="C688" s="9" t="s">
        <v>2655</v>
      </c>
      <c r="D688" s="9" t="s">
        <v>2656</v>
      </c>
      <c r="E688" s="9">
        <v>238</v>
      </c>
      <c r="F688" s="9" t="s">
        <v>2657</v>
      </c>
      <c r="G688" s="9">
        <v>0</v>
      </c>
      <c r="H688" s="9" t="s">
        <v>2034</v>
      </c>
      <c r="I688" s="9" t="s">
        <v>2035</v>
      </c>
      <c r="J688" s="9">
        <v>0</v>
      </c>
      <c r="K688" s="9" t="s">
        <v>2036</v>
      </c>
      <c r="L688" s="9" t="str">
        <f t="shared" si="2"/>
        <v>Y</v>
      </c>
    </row>
    <row r="689" spans="1:12">
      <c r="A689" s="9">
        <v>790</v>
      </c>
      <c r="B689" s="9">
        <v>121</v>
      </c>
      <c r="C689" s="9" t="s">
        <v>2658</v>
      </c>
      <c r="D689" s="9" t="s">
        <v>20</v>
      </c>
      <c r="E689" s="9">
        <v>216</v>
      </c>
      <c r="F689" s="9" t="s">
        <v>2659</v>
      </c>
      <c r="G689" s="9">
        <v>0</v>
      </c>
      <c r="J689" s="9">
        <v>0</v>
      </c>
      <c r="K689" s="9" t="s">
        <v>699</v>
      </c>
      <c r="L689" s="9" t="str">
        <f t="shared" si="2"/>
        <v>N</v>
      </c>
    </row>
    <row r="690" spans="1:12">
      <c r="A690" s="9">
        <v>791</v>
      </c>
      <c r="B690" s="9">
        <v>124</v>
      </c>
      <c r="C690" s="9" t="s">
        <v>2660</v>
      </c>
      <c r="D690" s="9" t="s">
        <v>2661</v>
      </c>
      <c r="E690" s="9">
        <v>235</v>
      </c>
      <c r="F690" s="9" t="s">
        <v>2662</v>
      </c>
      <c r="G690" s="9">
        <v>0</v>
      </c>
      <c r="H690" s="9" t="s">
        <v>1818</v>
      </c>
      <c r="I690" s="9" t="s">
        <v>1819</v>
      </c>
      <c r="J690" s="9">
        <v>0</v>
      </c>
      <c r="K690" s="9" t="s">
        <v>1820</v>
      </c>
      <c r="L690" s="9" t="str">
        <f t="shared" si="2"/>
        <v>Y</v>
      </c>
    </row>
    <row r="691" spans="1:12">
      <c r="A691" s="9">
        <v>792</v>
      </c>
      <c r="B691" s="9">
        <v>119</v>
      </c>
      <c r="C691" s="9" t="s">
        <v>2663</v>
      </c>
      <c r="D691" s="9" t="s">
        <v>20</v>
      </c>
      <c r="E691" s="9">
        <v>200</v>
      </c>
      <c r="F691" s="9" t="s">
        <v>2664</v>
      </c>
      <c r="G691" s="9">
        <v>0</v>
      </c>
      <c r="H691" s="9"/>
      <c r="I691" s="9"/>
      <c r="J691" s="9">
        <v>0</v>
      </c>
      <c r="K691" s="9" t="s">
        <v>699</v>
      </c>
      <c r="L691" s="9" t="str">
        <f t="shared" si="2"/>
        <v>N</v>
      </c>
    </row>
    <row r="692" spans="1:12">
      <c r="A692" s="9">
        <v>793</v>
      </c>
      <c r="B692" s="9">
        <v>122</v>
      </c>
      <c r="C692" s="9" t="s">
        <v>2665</v>
      </c>
      <c r="D692" s="9" t="s">
        <v>20</v>
      </c>
      <c r="E692" s="9">
        <v>223</v>
      </c>
      <c r="F692" s="9" t="s">
        <v>2664</v>
      </c>
      <c r="G692" s="9">
        <v>0</v>
      </c>
      <c r="J692" s="9">
        <v>0</v>
      </c>
      <c r="K692" s="9" t="s">
        <v>699</v>
      </c>
      <c r="L692" s="9" t="str">
        <f t="shared" si="2"/>
        <v>N</v>
      </c>
    </row>
    <row r="693" spans="1:12">
      <c r="A693" s="9">
        <v>794</v>
      </c>
      <c r="B693" s="9">
        <v>119</v>
      </c>
      <c r="C693" s="9" t="s">
        <v>2666</v>
      </c>
      <c r="D693" s="9" t="s">
        <v>2667</v>
      </c>
      <c r="E693" s="9">
        <v>200</v>
      </c>
      <c r="F693" s="9" t="s">
        <v>2668</v>
      </c>
      <c r="G693" s="9">
        <v>0</v>
      </c>
      <c r="H693" s="9" t="s">
        <v>1772</v>
      </c>
      <c r="I693" s="9" t="s">
        <v>1773</v>
      </c>
      <c r="J693" s="9">
        <v>0</v>
      </c>
      <c r="K693" s="9" t="s">
        <v>699</v>
      </c>
      <c r="L693" s="9" t="str">
        <f t="shared" si="2"/>
        <v>Y</v>
      </c>
    </row>
    <row r="694" spans="1:12">
      <c r="A694" s="9">
        <v>795</v>
      </c>
      <c r="B694" s="9">
        <v>119</v>
      </c>
      <c r="C694" s="9" t="s">
        <v>2669</v>
      </c>
      <c r="D694" s="9" t="s">
        <v>20</v>
      </c>
      <c r="E694" s="9">
        <v>201</v>
      </c>
      <c r="F694" s="9" t="s">
        <v>2670</v>
      </c>
      <c r="G694" s="9">
        <v>0</v>
      </c>
      <c r="J694" s="9">
        <v>0</v>
      </c>
      <c r="K694" s="9" t="s">
        <v>699</v>
      </c>
      <c r="L694" s="9" t="str">
        <f t="shared" si="2"/>
        <v>N</v>
      </c>
    </row>
    <row r="695" spans="1:12">
      <c r="A695" s="9">
        <v>796</v>
      </c>
      <c r="B695" s="9">
        <v>123</v>
      </c>
      <c r="C695" s="9" t="s">
        <v>2671</v>
      </c>
      <c r="D695" s="9" t="s">
        <v>20</v>
      </c>
      <c r="E695" s="9">
        <v>227</v>
      </c>
      <c r="F695" s="9" t="s">
        <v>2672</v>
      </c>
      <c r="G695" s="9">
        <v>0</v>
      </c>
      <c r="H695" s="9"/>
      <c r="I695" s="9"/>
      <c r="J695" s="9">
        <v>0</v>
      </c>
      <c r="K695" s="9" t="s">
        <v>699</v>
      </c>
      <c r="L695" s="9" t="str">
        <f t="shared" si="2"/>
        <v>N</v>
      </c>
    </row>
    <row r="696" spans="1:12">
      <c r="A696" s="9">
        <v>797</v>
      </c>
      <c r="B696" s="9">
        <v>120</v>
      </c>
      <c r="C696" s="9" t="s">
        <v>2673</v>
      </c>
      <c r="D696" s="9" t="s">
        <v>2674</v>
      </c>
      <c r="E696" s="9">
        <v>208</v>
      </c>
      <c r="F696" s="9" t="s">
        <v>2675</v>
      </c>
      <c r="G696" s="9">
        <v>1</v>
      </c>
      <c r="H696" s="9" t="s">
        <v>2676</v>
      </c>
      <c r="I696" s="9" t="s">
        <v>2677</v>
      </c>
      <c r="J696" s="9">
        <v>0</v>
      </c>
      <c r="K696" s="9" t="s">
        <v>2678</v>
      </c>
      <c r="L696" s="9" t="str">
        <f t="shared" si="2"/>
        <v>Y</v>
      </c>
    </row>
    <row r="697" spans="1:12">
      <c r="A697" s="9">
        <v>798</v>
      </c>
      <c r="B697" s="9">
        <v>120</v>
      </c>
      <c r="C697" s="9" t="s">
        <v>2679</v>
      </c>
      <c r="D697" s="9" t="s">
        <v>2680</v>
      </c>
      <c r="E697" s="9">
        <v>207</v>
      </c>
      <c r="F697" s="9" t="s">
        <v>2675</v>
      </c>
      <c r="G697" s="9">
        <v>2</v>
      </c>
      <c r="H697" s="9" t="s">
        <v>1971</v>
      </c>
      <c r="I697" s="9" t="s">
        <v>1972</v>
      </c>
      <c r="J697" s="9">
        <v>2</v>
      </c>
      <c r="K697" s="9" t="s">
        <v>1973</v>
      </c>
      <c r="L697" s="9" t="str">
        <f t="shared" si="2"/>
        <v>Y</v>
      </c>
    </row>
    <row r="698" spans="1:12">
      <c r="A698" s="9">
        <v>799</v>
      </c>
      <c r="B698" s="9">
        <v>125</v>
      </c>
      <c r="C698" s="9" t="s">
        <v>2681</v>
      </c>
      <c r="D698" s="9" t="s">
        <v>2682</v>
      </c>
      <c r="E698" s="9">
        <v>241</v>
      </c>
      <c r="F698" s="9" t="s">
        <v>2683</v>
      </c>
      <c r="G698" s="9">
        <v>1</v>
      </c>
      <c r="H698" s="9" t="s">
        <v>2050</v>
      </c>
      <c r="I698" s="9" t="s">
        <v>2051</v>
      </c>
      <c r="J698" s="9">
        <v>1</v>
      </c>
      <c r="K698" s="9" t="s">
        <v>2052</v>
      </c>
      <c r="L698" s="9" t="str">
        <f t="shared" si="2"/>
        <v>Y</v>
      </c>
    </row>
    <row r="699" spans="1:12">
      <c r="A699" s="9">
        <v>800</v>
      </c>
      <c r="B699" s="9">
        <v>119</v>
      </c>
      <c r="C699" s="9" t="s">
        <v>2684</v>
      </c>
      <c r="D699" s="9" t="s">
        <v>2685</v>
      </c>
      <c r="E699" s="9">
        <v>200</v>
      </c>
      <c r="F699" s="9" t="s">
        <v>2686</v>
      </c>
      <c r="G699" s="9">
        <v>0</v>
      </c>
      <c r="H699" s="9" t="s">
        <v>1772</v>
      </c>
      <c r="I699" s="9" t="s">
        <v>1773</v>
      </c>
      <c r="J699" s="9">
        <v>0</v>
      </c>
      <c r="K699" s="9" t="s">
        <v>699</v>
      </c>
      <c r="L699" s="9" t="str">
        <f t="shared" si="2"/>
        <v>Y</v>
      </c>
    </row>
    <row r="700" spans="1:12">
      <c r="A700" s="9">
        <v>801</v>
      </c>
      <c r="B700" s="9">
        <v>121</v>
      </c>
      <c r="C700" s="9" t="s">
        <v>2687</v>
      </c>
      <c r="D700" s="9" t="s">
        <v>2688</v>
      </c>
      <c r="E700" s="9">
        <v>215</v>
      </c>
      <c r="F700" s="9" t="s">
        <v>2686</v>
      </c>
      <c r="G700" s="9">
        <v>0</v>
      </c>
      <c r="H700" s="9" t="s">
        <v>2689</v>
      </c>
      <c r="I700" s="9" t="s">
        <v>2690</v>
      </c>
      <c r="J700" s="9">
        <v>0</v>
      </c>
      <c r="K700" s="9" t="s">
        <v>1874</v>
      </c>
      <c r="L700" s="9" t="str">
        <f t="shared" si="2"/>
        <v>Y</v>
      </c>
    </row>
    <row r="701" spans="1:12">
      <c r="A701" s="9">
        <v>802</v>
      </c>
      <c r="B701" s="9">
        <v>119</v>
      </c>
      <c r="C701" s="9" t="s">
        <v>2691</v>
      </c>
      <c r="D701" s="9" t="s">
        <v>20</v>
      </c>
      <c r="E701" s="9">
        <v>203</v>
      </c>
      <c r="F701" s="9" t="s">
        <v>2692</v>
      </c>
      <c r="G701" s="9">
        <v>0</v>
      </c>
      <c r="H701" s="9"/>
      <c r="I701" s="9"/>
      <c r="J701" s="9">
        <v>0</v>
      </c>
      <c r="K701" s="9" t="s">
        <v>699</v>
      </c>
      <c r="L701" s="9" t="str">
        <f t="shared" si="2"/>
        <v>N</v>
      </c>
    </row>
    <row r="702" spans="1:12">
      <c r="A702" s="9">
        <v>803</v>
      </c>
      <c r="B702" s="9">
        <v>119</v>
      </c>
      <c r="C702" s="9" t="s">
        <v>2693</v>
      </c>
      <c r="D702" s="9" t="s">
        <v>20</v>
      </c>
      <c r="E702" s="9">
        <v>201</v>
      </c>
      <c r="F702" s="9" t="s">
        <v>2692</v>
      </c>
      <c r="G702" s="9">
        <v>0</v>
      </c>
      <c r="H702" s="9"/>
      <c r="I702" s="9"/>
      <c r="J702" s="9">
        <v>0</v>
      </c>
      <c r="K702" s="9" t="s">
        <v>699</v>
      </c>
      <c r="L702" s="9" t="str">
        <f t="shared" si="2"/>
        <v>N</v>
      </c>
    </row>
    <row r="703" spans="1:12">
      <c r="A703" s="9">
        <v>804</v>
      </c>
      <c r="B703" s="9">
        <v>121</v>
      </c>
      <c r="C703" s="9" t="s">
        <v>2694</v>
      </c>
      <c r="D703" s="9" t="s">
        <v>2695</v>
      </c>
      <c r="E703" s="9">
        <v>214</v>
      </c>
      <c r="F703" s="9" t="s">
        <v>2696</v>
      </c>
      <c r="G703" s="9">
        <v>0</v>
      </c>
      <c r="H703" s="9" t="s">
        <v>2050</v>
      </c>
      <c r="I703" s="9" t="s">
        <v>2051</v>
      </c>
      <c r="J703" s="9">
        <v>0</v>
      </c>
      <c r="K703" s="9" t="s">
        <v>2052</v>
      </c>
      <c r="L703" s="9" t="str">
        <f t="shared" si="2"/>
        <v>Y</v>
      </c>
    </row>
    <row r="704" spans="1:12">
      <c r="A704" s="9">
        <v>805</v>
      </c>
      <c r="B704" s="9">
        <v>120</v>
      </c>
      <c r="C704" s="9" t="s">
        <v>2697</v>
      </c>
      <c r="D704" s="9" t="s">
        <v>2698</v>
      </c>
      <c r="E704" s="9">
        <v>211</v>
      </c>
      <c r="F704" s="9" t="s">
        <v>2699</v>
      </c>
      <c r="G704" s="9">
        <v>1</v>
      </c>
      <c r="H704" s="9" t="s">
        <v>1917</v>
      </c>
      <c r="I704" s="9" t="s">
        <v>1918</v>
      </c>
      <c r="J704" s="9">
        <v>0</v>
      </c>
      <c r="K704" s="9" t="s">
        <v>1919</v>
      </c>
      <c r="L704" s="9" t="str">
        <f t="shared" si="2"/>
        <v>Y</v>
      </c>
    </row>
    <row r="705" spans="1:12">
      <c r="A705" s="9">
        <v>806</v>
      </c>
      <c r="B705" s="9">
        <v>119</v>
      </c>
      <c r="C705" s="9" t="s">
        <v>2700</v>
      </c>
      <c r="D705" s="9" t="s">
        <v>20</v>
      </c>
      <c r="E705" s="9">
        <v>201</v>
      </c>
      <c r="F705" s="9" t="s">
        <v>2701</v>
      </c>
      <c r="G705" s="9">
        <v>0</v>
      </c>
      <c r="H705" s="9"/>
      <c r="I705" s="9"/>
      <c r="J705" s="9">
        <v>0</v>
      </c>
      <c r="K705" s="9" t="s">
        <v>699</v>
      </c>
      <c r="L705" s="9" t="str">
        <f t="shared" si="2"/>
        <v>N</v>
      </c>
    </row>
    <row r="706" spans="1:12">
      <c r="A706" s="9">
        <v>807</v>
      </c>
      <c r="B706" s="9">
        <v>126</v>
      </c>
      <c r="C706" s="9" t="s">
        <v>2702</v>
      </c>
      <c r="D706" s="9" t="s">
        <v>2703</v>
      </c>
      <c r="E706" s="9">
        <v>245</v>
      </c>
      <c r="F706" s="9" t="s">
        <v>2704</v>
      </c>
      <c r="G706" s="9">
        <v>2</v>
      </c>
      <c r="H706" s="9" t="s">
        <v>2705</v>
      </c>
      <c r="I706" s="9" t="s">
        <v>2706</v>
      </c>
      <c r="J706" s="9">
        <v>2</v>
      </c>
      <c r="K706" s="9" t="s">
        <v>2707</v>
      </c>
      <c r="L706" s="9" t="str">
        <f t="shared" si="2"/>
        <v>Y</v>
      </c>
    </row>
    <row r="707" spans="1:12">
      <c r="A707" s="9">
        <v>808</v>
      </c>
      <c r="B707" s="9">
        <v>119</v>
      </c>
      <c r="C707" s="9" t="s">
        <v>2708</v>
      </c>
      <c r="D707" s="9" t="s">
        <v>20</v>
      </c>
      <c r="E707" s="9">
        <v>203</v>
      </c>
      <c r="F707" s="9" t="s">
        <v>2709</v>
      </c>
      <c r="G707" s="9">
        <v>0</v>
      </c>
      <c r="H707" s="9"/>
      <c r="I707" s="9"/>
      <c r="J707" s="9">
        <v>0</v>
      </c>
      <c r="K707" s="9" t="s">
        <v>699</v>
      </c>
      <c r="L707" s="9" t="str">
        <f t="shared" si="2"/>
        <v>N</v>
      </c>
    </row>
    <row r="708" spans="1:12">
      <c r="A708" s="9">
        <v>809</v>
      </c>
      <c r="B708" s="9">
        <v>124</v>
      </c>
      <c r="C708" s="9" t="s">
        <v>2710</v>
      </c>
      <c r="D708" s="9" t="s">
        <v>2711</v>
      </c>
      <c r="E708" s="9">
        <v>234</v>
      </c>
      <c r="F708" s="9" t="s">
        <v>2712</v>
      </c>
      <c r="G708" s="9">
        <v>0</v>
      </c>
      <c r="H708" s="9" t="s">
        <v>1917</v>
      </c>
      <c r="I708" s="9" t="s">
        <v>1918</v>
      </c>
      <c r="J708" s="9">
        <v>0</v>
      </c>
      <c r="K708" s="9" t="s">
        <v>1919</v>
      </c>
      <c r="L708" s="9" t="str">
        <f t="shared" si="2"/>
        <v>Y</v>
      </c>
    </row>
    <row r="709" spans="1:12">
      <c r="A709" s="9">
        <v>810</v>
      </c>
      <c r="B709" s="9">
        <v>119</v>
      </c>
      <c r="C709" s="9" t="s">
        <v>2713</v>
      </c>
      <c r="D709" s="9" t="s">
        <v>2714</v>
      </c>
      <c r="E709" s="9">
        <v>204</v>
      </c>
      <c r="F709" s="9" t="s">
        <v>2715</v>
      </c>
      <c r="G709" s="9">
        <v>0</v>
      </c>
      <c r="H709" s="9" t="s">
        <v>1971</v>
      </c>
      <c r="I709" s="9" t="s">
        <v>1972</v>
      </c>
      <c r="J709" s="9">
        <v>0</v>
      </c>
      <c r="K709" s="9" t="s">
        <v>1973</v>
      </c>
      <c r="L709" s="9" t="str">
        <f t="shared" si="2"/>
        <v>Y</v>
      </c>
    </row>
    <row r="710" spans="1:12">
      <c r="A710" s="9">
        <v>811</v>
      </c>
      <c r="B710" s="9">
        <v>124</v>
      </c>
      <c r="C710" s="9" t="s">
        <v>2716</v>
      </c>
      <c r="D710" s="9" t="s">
        <v>20</v>
      </c>
      <c r="E710" s="9">
        <v>235</v>
      </c>
      <c r="F710" s="9" t="s">
        <v>2717</v>
      </c>
      <c r="G710" s="9">
        <v>0</v>
      </c>
      <c r="H710" s="9"/>
      <c r="I710" s="9"/>
      <c r="J710" s="9">
        <v>0</v>
      </c>
      <c r="K710" s="9" t="s">
        <v>699</v>
      </c>
      <c r="L710" s="9" t="str">
        <f t="shared" si="2"/>
        <v>N</v>
      </c>
    </row>
    <row r="711" spans="1:12">
      <c r="A711" s="9">
        <v>812</v>
      </c>
      <c r="B711" s="9">
        <v>118</v>
      </c>
      <c r="C711" s="9" t="s">
        <v>2718</v>
      </c>
      <c r="D711" s="9" t="s">
        <v>20</v>
      </c>
      <c r="E711" s="9">
        <v>193</v>
      </c>
      <c r="F711" s="9" t="s">
        <v>2719</v>
      </c>
      <c r="G711" s="9">
        <v>0</v>
      </c>
      <c r="H711" s="9"/>
      <c r="I711" s="9"/>
      <c r="J711" s="9">
        <v>0</v>
      </c>
      <c r="K711" s="9" t="s">
        <v>699</v>
      </c>
      <c r="L711" s="9" t="str">
        <f t="shared" si="2"/>
        <v>N</v>
      </c>
    </row>
    <row r="712" spans="1:12">
      <c r="A712" s="9">
        <v>813</v>
      </c>
      <c r="B712" s="9">
        <v>119</v>
      </c>
      <c r="C712" s="9" t="s">
        <v>2720</v>
      </c>
      <c r="D712" s="9" t="s">
        <v>20</v>
      </c>
      <c r="E712" s="9">
        <v>201</v>
      </c>
      <c r="F712" s="9" t="s">
        <v>2721</v>
      </c>
      <c r="G712" s="9">
        <v>0</v>
      </c>
      <c r="H712" s="9"/>
      <c r="I712" s="9"/>
      <c r="J712" s="9">
        <v>0</v>
      </c>
      <c r="K712" s="9" t="s">
        <v>699</v>
      </c>
      <c r="L712" s="9" t="str">
        <f t="shared" si="2"/>
        <v>N</v>
      </c>
    </row>
    <row r="713" spans="1:12">
      <c r="A713" s="9">
        <v>814</v>
      </c>
      <c r="B713" s="9">
        <v>118</v>
      </c>
      <c r="C713" s="9" t="s">
        <v>2722</v>
      </c>
      <c r="D713" s="9" t="s">
        <v>2723</v>
      </c>
      <c r="E713" s="9">
        <v>193</v>
      </c>
      <c r="F713" s="9" t="s">
        <v>2724</v>
      </c>
      <c r="G713" s="9">
        <v>0</v>
      </c>
      <c r="H713" s="9" t="s">
        <v>1772</v>
      </c>
      <c r="I713" s="9" t="s">
        <v>1773</v>
      </c>
      <c r="J713" s="9">
        <v>0</v>
      </c>
      <c r="K713" s="9" t="s">
        <v>699</v>
      </c>
      <c r="L713" s="9" t="str">
        <f t="shared" si="2"/>
        <v>Y</v>
      </c>
    </row>
    <row r="714" spans="1:12">
      <c r="A714" s="9">
        <v>815</v>
      </c>
      <c r="B714" s="9">
        <v>119</v>
      </c>
      <c r="C714" s="9" t="s">
        <v>2725</v>
      </c>
      <c r="D714" s="9" t="s">
        <v>20</v>
      </c>
      <c r="E714" s="9">
        <v>200</v>
      </c>
      <c r="F714" s="9" t="s">
        <v>2726</v>
      </c>
      <c r="G714" s="9">
        <v>0</v>
      </c>
      <c r="H714" s="9"/>
      <c r="I714" s="9"/>
      <c r="J714" s="9">
        <v>0</v>
      </c>
      <c r="K714" s="9" t="s">
        <v>699</v>
      </c>
      <c r="L714" s="9" t="str">
        <f t="shared" si="2"/>
        <v>N</v>
      </c>
    </row>
    <row r="715" spans="1:12">
      <c r="A715" s="9">
        <v>816</v>
      </c>
      <c r="B715" s="9">
        <v>122</v>
      </c>
      <c r="C715" s="9" t="s">
        <v>2727</v>
      </c>
      <c r="D715" s="9" t="s">
        <v>20</v>
      </c>
      <c r="E715" s="9">
        <v>222</v>
      </c>
      <c r="F715" s="9" t="s">
        <v>2728</v>
      </c>
      <c r="G715" s="9">
        <v>0</v>
      </c>
      <c r="H715" s="9"/>
      <c r="I715" s="9"/>
      <c r="J715" s="9">
        <v>0</v>
      </c>
      <c r="K715" s="9" t="s">
        <v>699</v>
      </c>
      <c r="L715" s="9" t="str">
        <f t="shared" si="2"/>
        <v>N</v>
      </c>
    </row>
    <row r="716" spans="1:12">
      <c r="A716" s="9">
        <v>817</v>
      </c>
      <c r="B716" s="9">
        <v>119</v>
      </c>
      <c r="C716" s="9" t="s">
        <v>2729</v>
      </c>
      <c r="D716" s="9" t="s">
        <v>20</v>
      </c>
      <c r="E716" s="9">
        <v>203</v>
      </c>
      <c r="F716" s="9" t="s">
        <v>2730</v>
      </c>
      <c r="G716" s="9">
        <v>0</v>
      </c>
      <c r="J716" s="9">
        <v>0</v>
      </c>
      <c r="K716" s="9" t="s">
        <v>699</v>
      </c>
      <c r="L716" s="9" t="str">
        <f t="shared" si="2"/>
        <v>N</v>
      </c>
    </row>
    <row r="717" spans="1:12">
      <c r="A717" s="9">
        <v>818</v>
      </c>
      <c r="B717" s="9">
        <v>124</v>
      </c>
      <c r="C717" s="9" t="s">
        <v>2731</v>
      </c>
      <c r="D717" s="9" t="s">
        <v>20</v>
      </c>
      <c r="E717" s="9">
        <v>235</v>
      </c>
      <c r="F717" s="9" t="s">
        <v>2732</v>
      </c>
      <c r="G717" s="9">
        <v>0</v>
      </c>
      <c r="J717" s="9">
        <v>0</v>
      </c>
      <c r="K717" s="9" t="s">
        <v>699</v>
      </c>
      <c r="L717" s="9" t="str">
        <f t="shared" si="2"/>
        <v>N</v>
      </c>
    </row>
    <row r="718" spans="1:12">
      <c r="A718" s="9">
        <v>819</v>
      </c>
      <c r="B718" s="9">
        <v>119</v>
      </c>
      <c r="C718" s="9" t="s">
        <v>2733</v>
      </c>
      <c r="D718" s="9" t="s">
        <v>2734</v>
      </c>
      <c r="E718" s="9">
        <v>200</v>
      </c>
      <c r="F718" s="9" t="s">
        <v>2735</v>
      </c>
      <c r="G718" s="9">
        <v>0</v>
      </c>
      <c r="H718" s="9" t="s">
        <v>1772</v>
      </c>
      <c r="I718" s="9" t="s">
        <v>1773</v>
      </c>
      <c r="J718" s="9">
        <v>0</v>
      </c>
      <c r="K718" s="9" t="s">
        <v>699</v>
      </c>
      <c r="L718" s="9" t="str">
        <f t="shared" si="2"/>
        <v>Y</v>
      </c>
    </row>
    <row r="719" spans="1:12">
      <c r="A719" s="9">
        <v>820</v>
      </c>
      <c r="B719" s="9">
        <v>125</v>
      </c>
      <c r="C719" s="9" t="s">
        <v>2736</v>
      </c>
      <c r="D719" s="9" t="s">
        <v>2737</v>
      </c>
      <c r="E719" s="9">
        <v>241</v>
      </c>
      <c r="F719" s="9" t="s">
        <v>579</v>
      </c>
      <c r="G719" s="9">
        <v>0</v>
      </c>
      <c r="H719" s="9" t="s">
        <v>1872</v>
      </c>
      <c r="I719" s="9" t="s">
        <v>1873</v>
      </c>
      <c r="J719" s="9">
        <v>0</v>
      </c>
      <c r="K719" s="9" t="s">
        <v>1874</v>
      </c>
      <c r="L719" s="9" t="str">
        <f t="shared" si="2"/>
        <v>Y</v>
      </c>
    </row>
    <row r="720" spans="1:12">
      <c r="A720" s="9">
        <v>821</v>
      </c>
      <c r="B720" s="9">
        <v>119</v>
      </c>
      <c r="C720" s="9" t="s">
        <v>2738</v>
      </c>
      <c r="D720" s="9" t="s">
        <v>2739</v>
      </c>
      <c r="E720" s="9">
        <v>201</v>
      </c>
      <c r="F720" s="9" t="s">
        <v>579</v>
      </c>
      <c r="G720" s="9">
        <v>0</v>
      </c>
      <c r="H720" s="9" t="s">
        <v>1956</v>
      </c>
      <c r="I720" s="9" t="s">
        <v>1957</v>
      </c>
      <c r="J720" s="9">
        <v>0</v>
      </c>
      <c r="K720" s="9" t="s">
        <v>1958</v>
      </c>
      <c r="L720" s="9" t="str">
        <f t="shared" si="2"/>
        <v>Y</v>
      </c>
    </row>
    <row r="721" spans="1:12">
      <c r="A721" s="9">
        <v>822</v>
      </c>
      <c r="B721" s="9">
        <v>126</v>
      </c>
      <c r="C721" s="9" t="s">
        <v>2740</v>
      </c>
      <c r="D721" s="9" t="s">
        <v>2741</v>
      </c>
      <c r="E721" s="9">
        <v>244</v>
      </c>
      <c r="F721" s="9" t="s">
        <v>2742</v>
      </c>
      <c r="G721" s="9">
        <v>0</v>
      </c>
      <c r="H721" s="9" t="s">
        <v>1956</v>
      </c>
      <c r="I721" s="9" t="s">
        <v>1957</v>
      </c>
      <c r="J721" s="9">
        <v>0</v>
      </c>
      <c r="K721" s="9" t="s">
        <v>1958</v>
      </c>
      <c r="L721" s="9" t="str">
        <f t="shared" si="2"/>
        <v>Y</v>
      </c>
    </row>
    <row r="722" spans="1:12">
      <c r="A722" s="9">
        <v>823</v>
      </c>
      <c r="B722" s="9">
        <v>124</v>
      </c>
      <c r="C722" s="9" t="s">
        <v>2743</v>
      </c>
      <c r="D722" s="9" t="s">
        <v>20</v>
      </c>
      <c r="E722" s="9">
        <v>234</v>
      </c>
      <c r="F722" s="9" t="s">
        <v>2744</v>
      </c>
      <c r="G722" s="9">
        <v>0</v>
      </c>
      <c r="H722" s="9"/>
      <c r="I722" s="9"/>
      <c r="J722" s="9">
        <v>0</v>
      </c>
      <c r="K722" s="9" t="s">
        <v>699</v>
      </c>
      <c r="L722" s="9" t="str">
        <f t="shared" si="2"/>
        <v>N</v>
      </c>
    </row>
    <row r="723" spans="1:12">
      <c r="A723" s="9">
        <v>824</v>
      </c>
      <c r="B723" s="9">
        <v>124</v>
      </c>
      <c r="C723" s="9" t="s">
        <v>2745</v>
      </c>
      <c r="D723" s="9" t="s">
        <v>2746</v>
      </c>
      <c r="E723" s="9">
        <v>235</v>
      </c>
      <c r="F723" s="9" t="s">
        <v>2747</v>
      </c>
      <c r="G723" s="9">
        <v>0</v>
      </c>
      <c r="H723" s="9" t="s">
        <v>2337</v>
      </c>
      <c r="I723" s="9" t="s">
        <v>2338</v>
      </c>
      <c r="J723" s="9">
        <v>0</v>
      </c>
      <c r="K723" s="9" t="s">
        <v>1874</v>
      </c>
      <c r="L723" s="9" t="str">
        <f t="shared" si="2"/>
        <v>Y</v>
      </c>
    </row>
    <row r="724" spans="1:12">
      <c r="A724" s="9">
        <v>825</v>
      </c>
      <c r="B724" s="9">
        <v>119</v>
      </c>
      <c r="C724" s="9" t="s">
        <v>2748</v>
      </c>
      <c r="D724" s="9" t="s">
        <v>2749</v>
      </c>
      <c r="E724" s="9">
        <v>203</v>
      </c>
      <c r="F724" s="9" t="s">
        <v>2750</v>
      </c>
      <c r="G724" s="9">
        <v>0</v>
      </c>
      <c r="H724" s="9" t="s">
        <v>1971</v>
      </c>
      <c r="I724" s="9" t="s">
        <v>1972</v>
      </c>
      <c r="J724" s="9">
        <v>0</v>
      </c>
      <c r="K724" s="9" t="s">
        <v>1973</v>
      </c>
      <c r="L724" s="9" t="str">
        <f t="shared" si="2"/>
        <v>Y</v>
      </c>
    </row>
    <row r="725" spans="1:12">
      <c r="A725" s="9">
        <v>826</v>
      </c>
      <c r="B725" s="9">
        <v>119</v>
      </c>
      <c r="C725" s="9" t="s">
        <v>2751</v>
      </c>
      <c r="D725" s="9" t="s">
        <v>2752</v>
      </c>
      <c r="E725" s="9">
        <v>204</v>
      </c>
      <c r="F725" s="9" t="s">
        <v>2753</v>
      </c>
      <c r="G725" s="9">
        <v>0</v>
      </c>
      <c r="H725" s="9" t="s">
        <v>1971</v>
      </c>
      <c r="I725" s="9" t="s">
        <v>1972</v>
      </c>
      <c r="J725" s="9">
        <v>0</v>
      </c>
      <c r="K725" s="9" t="s">
        <v>1973</v>
      </c>
      <c r="L725" s="9" t="str">
        <f t="shared" si="2"/>
        <v>Y</v>
      </c>
    </row>
    <row r="726" spans="1:12">
      <c r="A726" s="9">
        <v>827</v>
      </c>
      <c r="B726" s="9">
        <v>119</v>
      </c>
      <c r="C726" s="9" t="s">
        <v>2754</v>
      </c>
      <c r="D726" s="9" t="s">
        <v>2755</v>
      </c>
      <c r="E726" s="9">
        <v>201</v>
      </c>
      <c r="F726" s="9" t="s">
        <v>2756</v>
      </c>
      <c r="G726" s="9">
        <v>1</v>
      </c>
      <c r="H726" s="9" t="s">
        <v>1956</v>
      </c>
      <c r="I726" s="9" t="s">
        <v>1957</v>
      </c>
      <c r="J726" s="9">
        <v>2</v>
      </c>
      <c r="K726" s="9" t="s">
        <v>1958</v>
      </c>
      <c r="L726" s="9" t="str">
        <f t="shared" si="2"/>
        <v>Y</v>
      </c>
    </row>
    <row r="727" spans="1:12">
      <c r="A727" s="9">
        <v>828</v>
      </c>
      <c r="B727" s="9">
        <v>125</v>
      </c>
      <c r="C727" s="9" t="s">
        <v>2757</v>
      </c>
      <c r="D727" s="9" t="s">
        <v>2758</v>
      </c>
      <c r="E727" s="9">
        <v>241</v>
      </c>
      <c r="F727" s="9" t="s">
        <v>2756</v>
      </c>
      <c r="G727" s="9">
        <v>0</v>
      </c>
      <c r="H727" s="9" t="s">
        <v>1872</v>
      </c>
      <c r="I727" s="9" t="s">
        <v>1873</v>
      </c>
      <c r="J727" s="9">
        <v>0</v>
      </c>
      <c r="K727" s="9" t="s">
        <v>1874</v>
      </c>
      <c r="L727" s="9" t="str">
        <f t="shared" si="2"/>
        <v>Y</v>
      </c>
    </row>
    <row r="728" spans="1:12">
      <c r="A728" s="9">
        <v>829</v>
      </c>
      <c r="B728" s="9">
        <v>119</v>
      </c>
      <c r="C728" s="9" t="s">
        <v>2759</v>
      </c>
      <c r="D728" s="9" t="s">
        <v>2760</v>
      </c>
      <c r="E728" s="9">
        <v>202</v>
      </c>
      <c r="F728" s="9" t="s">
        <v>2756</v>
      </c>
      <c r="G728" s="9">
        <v>1</v>
      </c>
      <c r="H728" s="9" t="s">
        <v>2553</v>
      </c>
      <c r="I728" s="9" t="s">
        <v>2554</v>
      </c>
      <c r="J728" s="9">
        <v>1</v>
      </c>
      <c r="K728" s="9" t="s">
        <v>2555</v>
      </c>
      <c r="L728" s="9" t="str">
        <f t="shared" si="2"/>
        <v>Y</v>
      </c>
    </row>
    <row r="729" spans="1:12">
      <c r="A729" s="9">
        <v>830</v>
      </c>
      <c r="B729" s="9">
        <v>126</v>
      </c>
      <c r="C729" s="9" t="s">
        <v>2761</v>
      </c>
      <c r="D729" s="9" t="s">
        <v>2762</v>
      </c>
      <c r="E729" s="9">
        <v>247</v>
      </c>
      <c r="F729" s="9" t="s">
        <v>2763</v>
      </c>
      <c r="G729" s="9">
        <v>0</v>
      </c>
      <c r="H729" s="9" t="s">
        <v>2553</v>
      </c>
      <c r="I729" s="9" t="s">
        <v>2554</v>
      </c>
      <c r="J729" s="9">
        <v>0</v>
      </c>
      <c r="K729" s="9" t="s">
        <v>2555</v>
      </c>
      <c r="L729" s="9" t="str">
        <f t="shared" si="2"/>
        <v>Y</v>
      </c>
    </row>
    <row r="730" spans="1:12">
      <c r="A730" s="9">
        <v>831</v>
      </c>
      <c r="B730" s="9">
        <v>120</v>
      </c>
      <c r="C730" s="9" t="s">
        <v>2764</v>
      </c>
      <c r="D730" s="9" t="s">
        <v>20</v>
      </c>
      <c r="E730" s="9">
        <v>209</v>
      </c>
      <c r="F730" s="9" t="s">
        <v>2765</v>
      </c>
      <c r="G730" s="9">
        <v>0</v>
      </c>
      <c r="I730" s="9"/>
      <c r="J730" s="9">
        <v>0</v>
      </c>
      <c r="K730" s="9" t="s">
        <v>699</v>
      </c>
      <c r="L730" s="9" t="str">
        <f t="shared" si="2"/>
        <v>N</v>
      </c>
    </row>
    <row r="731" spans="1:12">
      <c r="A731" s="9">
        <v>832</v>
      </c>
      <c r="B731" s="9">
        <v>121</v>
      </c>
      <c r="C731" s="9" t="s">
        <v>2766</v>
      </c>
      <c r="D731" s="9" t="s">
        <v>20</v>
      </c>
      <c r="E731" s="9">
        <v>216</v>
      </c>
      <c r="F731" s="9" t="s">
        <v>2767</v>
      </c>
      <c r="G731" s="9">
        <v>0</v>
      </c>
      <c r="J731" s="9">
        <v>0</v>
      </c>
      <c r="K731" s="9" t="s">
        <v>699</v>
      </c>
      <c r="L731" s="9" t="str">
        <f t="shared" si="2"/>
        <v>N</v>
      </c>
    </row>
    <row r="732" spans="1:12">
      <c r="A732" s="9">
        <v>833</v>
      </c>
      <c r="B732" s="9">
        <v>124</v>
      </c>
      <c r="C732" s="9" t="s">
        <v>2768</v>
      </c>
      <c r="D732" s="9" t="s">
        <v>2769</v>
      </c>
      <c r="E732" s="9">
        <v>234</v>
      </c>
      <c r="F732" s="9" t="s">
        <v>2770</v>
      </c>
      <c r="G732" s="9">
        <v>0</v>
      </c>
      <c r="H732" s="9" t="s">
        <v>2771</v>
      </c>
      <c r="I732" s="9" t="s">
        <v>2772</v>
      </c>
      <c r="J732" s="9">
        <v>0</v>
      </c>
      <c r="K732" s="9" t="s">
        <v>2036</v>
      </c>
      <c r="L732" s="9" t="str">
        <f t="shared" si="2"/>
        <v>Y</v>
      </c>
    </row>
    <row r="733" spans="1:12">
      <c r="A733" s="9">
        <v>834</v>
      </c>
      <c r="B733" s="9">
        <v>122</v>
      </c>
      <c r="C733" s="9" t="s">
        <v>2773</v>
      </c>
      <c r="D733" s="9" t="s">
        <v>2774</v>
      </c>
      <c r="E733" s="9">
        <v>222</v>
      </c>
      <c r="F733" s="9" t="s">
        <v>2770</v>
      </c>
      <c r="G733" s="9">
        <v>4</v>
      </c>
      <c r="H733" s="9" t="s">
        <v>1872</v>
      </c>
      <c r="I733" s="9" t="s">
        <v>1873</v>
      </c>
      <c r="J733" s="9">
        <v>5</v>
      </c>
      <c r="K733" s="9" t="s">
        <v>1874</v>
      </c>
      <c r="L733" s="9" t="str">
        <f t="shared" si="2"/>
        <v>Y</v>
      </c>
    </row>
    <row r="734" spans="1:12">
      <c r="A734" s="9">
        <v>835</v>
      </c>
      <c r="B734" s="9">
        <v>123</v>
      </c>
      <c r="C734" s="9" t="s">
        <v>2775</v>
      </c>
      <c r="D734" s="9" t="s">
        <v>2776</v>
      </c>
      <c r="E734" s="9">
        <v>229</v>
      </c>
      <c r="F734" s="9" t="s">
        <v>2777</v>
      </c>
      <c r="G734" s="9">
        <v>1</v>
      </c>
      <c r="H734" s="9" t="s">
        <v>1917</v>
      </c>
      <c r="I734" s="9" t="s">
        <v>1918</v>
      </c>
      <c r="J734" s="9">
        <v>1</v>
      </c>
      <c r="K734" s="9" t="s">
        <v>1919</v>
      </c>
      <c r="L734" s="9" t="str">
        <f t="shared" si="2"/>
        <v>Y</v>
      </c>
    </row>
    <row r="735" spans="1:12">
      <c r="A735" s="9">
        <v>836</v>
      </c>
      <c r="B735" s="9">
        <v>124</v>
      </c>
      <c r="C735" s="9" t="s">
        <v>2778</v>
      </c>
      <c r="D735" s="9" t="s">
        <v>2779</v>
      </c>
      <c r="E735" s="9">
        <v>235</v>
      </c>
      <c r="F735" s="9" t="s">
        <v>2777</v>
      </c>
      <c r="G735" s="9">
        <v>0</v>
      </c>
      <c r="H735" s="9" t="s">
        <v>2337</v>
      </c>
      <c r="I735" s="9" t="s">
        <v>2338</v>
      </c>
      <c r="J735" s="9">
        <v>0</v>
      </c>
      <c r="K735" s="9" t="s">
        <v>1874</v>
      </c>
      <c r="L735" s="9" t="str">
        <f t="shared" si="2"/>
        <v>Y</v>
      </c>
    </row>
    <row r="736" spans="1:12">
      <c r="A736" s="9">
        <v>837</v>
      </c>
      <c r="B736" s="9">
        <v>126</v>
      </c>
      <c r="C736" s="9" t="s">
        <v>2780</v>
      </c>
      <c r="D736" s="9" t="s">
        <v>2781</v>
      </c>
      <c r="E736" s="9">
        <v>244</v>
      </c>
      <c r="F736" s="9" t="s">
        <v>661</v>
      </c>
      <c r="G736" s="9">
        <v>0</v>
      </c>
      <c r="H736" s="9" t="s">
        <v>2513</v>
      </c>
      <c r="I736" s="9" t="s">
        <v>2514</v>
      </c>
      <c r="J736" s="9">
        <v>0</v>
      </c>
      <c r="K736" s="9" t="s">
        <v>2515</v>
      </c>
      <c r="L736" s="9" t="str">
        <f t="shared" si="2"/>
        <v>Y</v>
      </c>
    </row>
    <row r="737" spans="1:12">
      <c r="A737" s="9">
        <v>838</v>
      </c>
      <c r="B737" s="9">
        <v>120</v>
      </c>
      <c r="C737" s="9" t="s">
        <v>2782</v>
      </c>
      <c r="D737" s="9" t="s">
        <v>20</v>
      </c>
      <c r="E737" s="9">
        <v>209</v>
      </c>
      <c r="F737" s="9" t="s">
        <v>2783</v>
      </c>
      <c r="G737" s="9">
        <v>0</v>
      </c>
      <c r="H737" s="9"/>
      <c r="I737" s="9"/>
      <c r="J737" s="9">
        <v>0</v>
      </c>
      <c r="K737" s="9" t="s">
        <v>699</v>
      </c>
      <c r="L737" s="9" t="str">
        <f t="shared" si="2"/>
        <v>N</v>
      </c>
    </row>
    <row r="738" spans="1:12">
      <c r="A738" s="9">
        <v>839</v>
      </c>
      <c r="B738" s="9">
        <v>121</v>
      </c>
      <c r="C738" s="9" t="s">
        <v>2784</v>
      </c>
      <c r="D738" s="9" t="s">
        <v>20</v>
      </c>
      <c r="E738" s="9">
        <v>216</v>
      </c>
      <c r="F738" s="9" t="s">
        <v>2785</v>
      </c>
      <c r="G738" s="9">
        <v>0</v>
      </c>
      <c r="J738" s="9">
        <v>0</v>
      </c>
      <c r="K738" s="9" t="s">
        <v>699</v>
      </c>
      <c r="L738" s="9" t="str">
        <f t="shared" si="2"/>
        <v>N</v>
      </c>
    </row>
    <row r="739" spans="1:12">
      <c r="A739" s="9">
        <v>840</v>
      </c>
      <c r="B739" s="9">
        <v>119</v>
      </c>
      <c r="C739" s="9" t="s">
        <v>2786</v>
      </c>
      <c r="D739" s="9" t="s">
        <v>2787</v>
      </c>
      <c r="E739" s="9">
        <v>204</v>
      </c>
      <c r="F739" s="9" t="s">
        <v>2788</v>
      </c>
      <c r="G739" s="9">
        <v>0</v>
      </c>
      <c r="H739" s="9" t="s">
        <v>1971</v>
      </c>
      <c r="I739" s="9" t="s">
        <v>1972</v>
      </c>
      <c r="J739" s="9">
        <v>0</v>
      </c>
      <c r="K739" s="9" t="s">
        <v>1973</v>
      </c>
      <c r="L739" s="9" t="str">
        <f t="shared" si="2"/>
        <v>Y</v>
      </c>
    </row>
    <row r="740" spans="1:12">
      <c r="A740" s="9">
        <v>841</v>
      </c>
      <c r="B740" s="9">
        <v>118</v>
      </c>
      <c r="C740" s="9" t="s">
        <v>2789</v>
      </c>
      <c r="D740" s="9" t="s">
        <v>2790</v>
      </c>
      <c r="E740" s="9">
        <v>196</v>
      </c>
      <c r="F740" s="9" t="s">
        <v>552</v>
      </c>
      <c r="G740" s="9">
        <v>0</v>
      </c>
      <c r="H740" s="9" t="s">
        <v>2337</v>
      </c>
      <c r="I740" s="9" t="s">
        <v>2338</v>
      </c>
      <c r="J740" s="9">
        <v>0</v>
      </c>
      <c r="K740" s="9" t="s">
        <v>1874</v>
      </c>
      <c r="L740" s="9" t="str">
        <f t="shared" si="2"/>
        <v>Y</v>
      </c>
    </row>
    <row r="741" spans="1:12">
      <c r="A741" s="9">
        <v>842</v>
      </c>
      <c r="B741" s="9">
        <v>121</v>
      </c>
      <c r="C741" s="9" t="s">
        <v>2791</v>
      </c>
      <c r="D741" s="9" t="s">
        <v>2792</v>
      </c>
      <c r="E741" s="9">
        <v>216</v>
      </c>
      <c r="F741" s="9" t="s">
        <v>2793</v>
      </c>
      <c r="G741" s="9">
        <v>2</v>
      </c>
      <c r="H741" s="9" t="s">
        <v>1837</v>
      </c>
      <c r="I741" s="9" t="s">
        <v>1838</v>
      </c>
      <c r="J741" s="9">
        <v>4</v>
      </c>
      <c r="K741" s="9" t="s">
        <v>1839</v>
      </c>
      <c r="L741" s="9" t="str">
        <f t="shared" si="2"/>
        <v>Y</v>
      </c>
    </row>
    <row r="742" spans="1:12">
      <c r="A742" s="9">
        <v>843</v>
      </c>
      <c r="B742" s="9">
        <v>119</v>
      </c>
      <c r="C742" s="9" t="s">
        <v>2794</v>
      </c>
      <c r="D742" s="9" t="s">
        <v>2795</v>
      </c>
      <c r="E742" s="9">
        <v>200</v>
      </c>
      <c r="F742" s="9" t="s">
        <v>2796</v>
      </c>
      <c r="G742" s="9">
        <v>0</v>
      </c>
      <c r="H742" s="9" t="s">
        <v>1971</v>
      </c>
      <c r="I742" s="9" t="s">
        <v>1972</v>
      </c>
      <c r="J742" s="9">
        <v>0</v>
      </c>
      <c r="K742" s="9" t="s">
        <v>1973</v>
      </c>
      <c r="L742" s="9" t="str">
        <f t="shared" si="2"/>
        <v>Y</v>
      </c>
    </row>
    <row r="743" spans="1:12">
      <c r="A743" s="9">
        <v>844</v>
      </c>
      <c r="B743" s="9">
        <v>126</v>
      </c>
      <c r="C743" s="9" t="s">
        <v>2797</v>
      </c>
      <c r="D743" s="9" t="s">
        <v>2798</v>
      </c>
      <c r="E743" s="9">
        <v>244</v>
      </c>
      <c r="F743" s="9" t="s">
        <v>2796</v>
      </c>
      <c r="G743" s="9">
        <v>0</v>
      </c>
      <c r="H743" s="9" t="s">
        <v>1956</v>
      </c>
      <c r="I743" s="9" t="s">
        <v>1957</v>
      </c>
      <c r="J743" s="9">
        <v>0</v>
      </c>
      <c r="K743" s="9" t="s">
        <v>1958</v>
      </c>
      <c r="L743" s="9" t="str">
        <f t="shared" si="2"/>
        <v>Y</v>
      </c>
    </row>
    <row r="744" spans="1:12">
      <c r="A744" s="9">
        <v>845</v>
      </c>
      <c r="B744" s="9">
        <v>120</v>
      </c>
      <c r="C744" s="9" t="s">
        <v>2799</v>
      </c>
      <c r="D744" s="9" t="s">
        <v>20</v>
      </c>
      <c r="E744" s="9">
        <v>210</v>
      </c>
      <c r="F744" s="9" t="s">
        <v>2800</v>
      </c>
      <c r="G744" s="9">
        <v>0</v>
      </c>
      <c r="J744" s="9">
        <v>0</v>
      </c>
      <c r="K744" s="9" t="s">
        <v>699</v>
      </c>
      <c r="L744" s="9" t="str">
        <f t="shared" si="2"/>
        <v>N</v>
      </c>
    </row>
    <row r="745" spans="1:12">
      <c r="A745" s="9">
        <v>846</v>
      </c>
      <c r="B745" s="9">
        <v>125</v>
      </c>
      <c r="C745" s="9" t="s">
        <v>2801</v>
      </c>
      <c r="D745" s="9" t="s">
        <v>2802</v>
      </c>
      <c r="E745" s="9">
        <v>241</v>
      </c>
      <c r="F745" s="9" t="s">
        <v>2803</v>
      </c>
      <c r="G745" s="9">
        <v>0</v>
      </c>
      <c r="H745" s="9" t="s">
        <v>2804</v>
      </c>
      <c r="I745" s="9" t="s">
        <v>2805</v>
      </c>
      <c r="J745" s="9">
        <v>0</v>
      </c>
      <c r="K745" s="9" t="s">
        <v>2806</v>
      </c>
      <c r="L745" s="9" t="str">
        <f t="shared" si="2"/>
        <v>Y</v>
      </c>
    </row>
    <row r="746" spans="1:12">
      <c r="A746" s="9">
        <v>847</v>
      </c>
      <c r="B746" s="9">
        <v>126</v>
      </c>
      <c r="C746" s="9" t="s">
        <v>2807</v>
      </c>
      <c r="D746" s="9" t="s">
        <v>2808</v>
      </c>
      <c r="E746" s="9">
        <v>244</v>
      </c>
      <c r="F746" s="9" t="s">
        <v>2809</v>
      </c>
      <c r="G746" s="9">
        <v>0</v>
      </c>
      <c r="H746" s="9" t="s">
        <v>2553</v>
      </c>
      <c r="I746" s="9" t="s">
        <v>2554</v>
      </c>
      <c r="J746" s="9">
        <v>0</v>
      </c>
      <c r="K746" s="9" t="s">
        <v>2555</v>
      </c>
      <c r="L746" s="9" t="str">
        <f t="shared" si="2"/>
        <v>Y</v>
      </c>
    </row>
    <row r="747" spans="1:12">
      <c r="A747" s="9">
        <v>848</v>
      </c>
      <c r="B747" s="9">
        <v>126</v>
      </c>
      <c r="C747" s="9" t="s">
        <v>2810</v>
      </c>
      <c r="D747" s="9" t="s">
        <v>2811</v>
      </c>
      <c r="E747" s="9">
        <v>247</v>
      </c>
      <c r="F747" s="9" t="s">
        <v>2812</v>
      </c>
      <c r="G747" s="9">
        <v>2</v>
      </c>
      <c r="H747" s="9" t="s">
        <v>1917</v>
      </c>
      <c r="I747" s="9" t="s">
        <v>1918</v>
      </c>
      <c r="J747" s="9">
        <v>3</v>
      </c>
      <c r="K747" s="9" t="s">
        <v>1919</v>
      </c>
      <c r="L747" s="9" t="str">
        <f t="shared" si="2"/>
        <v>Y</v>
      </c>
    </row>
    <row r="748" spans="1:12">
      <c r="A748" s="9">
        <v>849</v>
      </c>
      <c r="B748" s="9">
        <v>125</v>
      </c>
      <c r="C748" s="9" t="s">
        <v>2813</v>
      </c>
      <c r="D748" s="9" t="s">
        <v>2814</v>
      </c>
      <c r="E748" s="9">
        <v>238</v>
      </c>
      <c r="F748" s="9" t="s">
        <v>2815</v>
      </c>
      <c r="G748" s="9">
        <v>0</v>
      </c>
      <c r="H748" s="9" t="s">
        <v>2050</v>
      </c>
      <c r="I748" s="9" t="s">
        <v>2051</v>
      </c>
      <c r="J748" s="9">
        <v>0</v>
      </c>
      <c r="K748" s="9" t="s">
        <v>2052</v>
      </c>
      <c r="L748" s="9" t="str">
        <f t="shared" si="2"/>
        <v>Y</v>
      </c>
    </row>
    <row r="749" spans="1:12">
      <c r="A749" s="9">
        <v>850</v>
      </c>
      <c r="B749" s="9">
        <v>118</v>
      </c>
      <c r="C749" s="9" t="s">
        <v>2816</v>
      </c>
      <c r="D749" s="9" t="s">
        <v>2817</v>
      </c>
      <c r="E749" s="9">
        <v>196</v>
      </c>
      <c r="F749" s="9" t="s">
        <v>2815</v>
      </c>
      <c r="G749" s="9">
        <v>0</v>
      </c>
      <c r="H749" s="9" t="s">
        <v>2337</v>
      </c>
      <c r="I749" s="9" t="s">
        <v>2338</v>
      </c>
      <c r="J749" s="9">
        <v>0</v>
      </c>
      <c r="K749" s="9" t="s">
        <v>1874</v>
      </c>
      <c r="L749" s="9" t="str">
        <f t="shared" si="2"/>
        <v>Y</v>
      </c>
    </row>
    <row r="750" spans="1:12">
      <c r="A750" s="9">
        <v>851</v>
      </c>
      <c r="B750" s="9">
        <v>120</v>
      </c>
      <c r="C750" s="9" t="s">
        <v>2818</v>
      </c>
      <c r="D750" s="9" t="s">
        <v>2819</v>
      </c>
      <c r="E750" s="9">
        <v>209</v>
      </c>
      <c r="F750" s="9" t="s">
        <v>2820</v>
      </c>
      <c r="G750" s="9">
        <v>0</v>
      </c>
      <c r="H750" s="9" t="s">
        <v>2821</v>
      </c>
      <c r="I750" s="9" t="s">
        <v>2822</v>
      </c>
      <c r="J750" s="9">
        <v>0</v>
      </c>
      <c r="K750" s="9" t="s">
        <v>2052</v>
      </c>
      <c r="L750" s="9" t="str">
        <f t="shared" si="2"/>
        <v>Y</v>
      </c>
    </row>
    <row r="751" spans="1:12">
      <c r="A751" s="9">
        <v>852</v>
      </c>
      <c r="B751" s="9">
        <v>121</v>
      </c>
      <c r="C751" s="9" t="s">
        <v>2823</v>
      </c>
      <c r="D751" s="9" t="s">
        <v>2824</v>
      </c>
      <c r="E751" s="9">
        <v>217</v>
      </c>
      <c r="F751" s="9" t="s">
        <v>2825</v>
      </c>
      <c r="G751" s="9">
        <v>0</v>
      </c>
      <c r="H751" s="9" t="s">
        <v>1753</v>
      </c>
      <c r="I751" s="9" t="s">
        <v>1754</v>
      </c>
      <c r="J751" s="9">
        <v>0</v>
      </c>
      <c r="K751" s="9" t="s">
        <v>752</v>
      </c>
      <c r="L751" s="9" t="str">
        <f t="shared" si="2"/>
        <v>Y</v>
      </c>
    </row>
    <row r="752" spans="1:12">
      <c r="A752" s="9">
        <v>853</v>
      </c>
      <c r="B752" s="9">
        <v>120</v>
      </c>
      <c r="C752" s="9" t="s">
        <v>2826</v>
      </c>
      <c r="D752" s="9" t="s">
        <v>20</v>
      </c>
      <c r="E752" s="9">
        <v>210</v>
      </c>
      <c r="F752" s="9" t="s">
        <v>2827</v>
      </c>
      <c r="G752" s="9">
        <v>0</v>
      </c>
      <c r="J752" s="9">
        <v>0</v>
      </c>
      <c r="K752" s="9" t="s">
        <v>699</v>
      </c>
      <c r="L752" s="9" t="str">
        <f t="shared" si="2"/>
        <v>N</v>
      </c>
    </row>
    <row r="753" spans="1:12">
      <c r="A753" s="9">
        <v>854</v>
      </c>
      <c r="B753" s="9">
        <v>125</v>
      </c>
      <c r="C753" s="9" t="s">
        <v>2828</v>
      </c>
      <c r="D753" s="9" t="s">
        <v>2829</v>
      </c>
      <c r="E753" s="9">
        <v>241</v>
      </c>
      <c r="F753" s="9" t="s">
        <v>555</v>
      </c>
      <c r="G753" s="9">
        <v>0</v>
      </c>
      <c r="H753" s="9" t="s">
        <v>1883</v>
      </c>
      <c r="I753" s="9" t="s">
        <v>1884</v>
      </c>
      <c r="J753" s="9">
        <v>0</v>
      </c>
      <c r="K753" s="9" t="s">
        <v>1885</v>
      </c>
      <c r="L753" s="9" t="str">
        <f t="shared" si="2"/>
        <v>Y</v>
      </c>
    </row>
    <row r="754" spans="1:12">
      <c r="A754" s="9">
        <v>855</v>
      </c>
      <c r="B754" s="9">
        <v>121</v>
      </c>
      <c r="C754" s="9" t="s">
        <v>2830</v>
      </c>
      <c r="D754" s="9" t="s">
        <v>2831</v>
      </c>
      <c r="E754" s="9">
        <v>217</v>
      </c>
      <c r="F754" s="9" t="s">
        <v>2832</v>
      </c>
      <c r="G754" s="9">
        <v>0</v>
      </c>
      <c r="H754" s="9" t="s">
        <v>1753</v>
      </c>
      <c r="I754" s="9" t="s">
        <v>1754</v>
      </c>
      <c r="J754" s="9">
        <v>0</v>
      </c>
      <c r="K754" s="9" t="s">
        <v>752</v>
      </c>
      <c r="L754" s="9" t="str">
        <f t="shared" si="2"/>
        <v>Y</v>
      </c>
    </row>
    <row r="755" spans="1:12">
      <c r="A755" s="9">
        <v>856</v>
      </c>
      <c r="B755" s="9">
        <v>124</v>
      </c>
      <c r="C755" s="9" t="s">
        <v>2833</v>
      </c>
      <c r="D755" s="9" t="s">
        <v>20</v>
      </c>
      <c r="E755" s="9">
        <v>234</v>
      </c>
      <c r="F755" s="9" t="s">
        <v>2834</v>
      </c>
      <c r="G755" s="9">
        <v>0</v>
      </c>
      <c r="H755" s="9"/>
      <c r="I755" s="9"/>
      <c r="J755" s="9">
        <v>0</v>
      </c>
      <c r="K755" s="9" t="s">
        <v>699</v>
      </c>
      <c r="L755" s="9" t="str">
        <f t="shared" si="2"/>
        <v>N</v>
      </c>
    </row>
    <row r="756" spans="1:12">
      <c r="A756" s="9">
        <v>857</v>
      </c>
      <c r="B756" s="9">
        <v>124</v>
      </c>
      <c r="C756" s="9" t="s">
        <v>2835</v>
      </c>
      <c r="D756" s="9" t="s">
        <v>2836</v>
      </c>
      <c r="E756" s="9">
        <v>235</v>
      </c>
      <c r="F756" s="9" t="s">
        <v>2837</v>
      </c>
      <c r="G756" s="9">
        <v>0</v>
      </c>
      <c r="H756" s="9" t="s">
        <v>2337</v>
      </c>
      <c r="I756" s="9" t="s">
        <v>2338</v>
      </c>
      <c r="J756" s="9">
        <v>0</v>
      </c>
      <c r="K756" s="9" t="s">
        <v>1874</v>
      </c>
      <c r="L756" s="9" t="str">
        <f t="shared" si="2"/>
        <v>Y</v>
      </c>
    </row>
    <row r="757" spans="1:12">
      <c r="A757" s="9">
        <v>858</v>
      </c>
      <c r="B757" s="9">
        <v>120</v>
      </c>
      <c r="C757" s="9" t="s">
        <v>2838</v>
      </c>
      <c r="D757" s="9" t="s">
        <v>2839</v>
      </c>
      <c r="E757" s="9">
        <v>207</v>
      </c>
      <c r="F757" s="9" t="s">
        <v>2840</v>
      </c>
      <c r="G757" s="9">
        <v>0</v>
      </c>
      <c r="H757" s="9" t="s">
        <v>2490</v>
      </c>
      <c r="I757" s="9" t="s">
        <v>2491</v>
      </c>
      <c r="J757" s="9">
        <v>0</v>
      </c>
      <c r="K757" s="9" t="s">
        <v>2217</v>
      </c>
      <c r="L757" s="9" t="str">
        <f t="shared" si="2"/>
        <v>Y</v>
      </c>
    </row>
    <row r="758" spans="1:12">
      <c r="A758" s="9">
        <v>859</v>
      </c>
      <c r="B758" s="9">
        <v>120</v>
      </c>
      <c r="C758" s="9" t="s">
        <v>2841</v>
      </c>
      <c r="D758" s="9" t="s">
        <v>2842</v>
      </c>
      <c r="E758" s="9">
        <v>209</v>
      </c>
      <c r="F758" s="9" t="s">
        <v>2843</v>
      </c>
      <c r="G758" s="9">
        <v>0</v>
      </c>
      <c r="H758" s="9" t="s">
        <v>2844</v>
      </c>
      <c r="I758" s="9" t="s">
        <v>2845</v>
      </c>
      <c r="J758" s="9">
        <v>0</v>
      </c>
      <c r="K758" s="9" t="s">
        <v>2846</v>
      </c>
      <c r="L758" s="9" t="str">
        <f t="shared" si="2"/>
        <v>Y</v>
      </c>
    </row>
    <row r="759" spans="1:12">
      <c r="A759" s="9">
        <v>860</v>
      </c>
      <c r="B759" s="9">
        <v>119</v>
      </c>
      <c r="C759" s="9" t="s">
        <v>2847</v>
      </c>
      <c r="D759" s="9" t="s">
        <v>2848</v>
      </c>
      <c r="E759" s="9">
        <v>200</v>
      </c>
      <c r="F759" s="9" t="s">
        <v>2849</v>
      </c>
      <c r="G759" s="9">
        <v>0</v>
      </c>
      <c r="H759" s="9" t="s">
        <v>2009</v>
      </c>
      <c r="I759" s="9" t="s">
        <v>2010</v>
      </c>
      <c r="J759" s="9">
        <v>0</v>
      </c>
      <c r="K759" s="9" t="s">
        <v>1911</v>
      </c>
      <c r="L759" s="9" t="str">
        <f t="shared" si="2"/>
        <v>Y</v>
      </c>
    </row>
    <row r="760" spans="1:12">
      <c r="A760" s="9">
        <v>861</v>
      </c>
      <c r="B760" s="9">
        <v>122</v>
      </c>
      <c r="C760" s="9" t="s">
        <v>2850</v>
      </c>
      <c r="D760" s="9" t="s">
        <v>20</v>
      </c>
      <c r="E760" s="9">
        <v>222</v>
      </c>
      <c r="F760" s="9" t="s">
        <v>2851</v>
      </c>
      <c r="G760" s="9">
        <v>0</v>
      </c>
      <c r="J760" s="9">
        <v>0</v>
      </c>
      <c r="K760" s="9" t="s">
        <v>699</v>
      </c>
      <c r="L760" s="9" t="str">
        <f t="shared" si="2"/>
        <v>N</v>
      </c>
    </row>
    <row r="761" spans="1:12">
      <c r="A761" s="9">
        <v>862</v>
      </c>
      <c r="B761" s="9">
        <v>124</v>
      </c>
      <c r="C761" s="9" t="s">
        <v>2852</v>
      </c>
      <c r="D761" s="9" t="s">
        <v>2853</v>
      </c>
      <c r="E761" s="9">
        <v>234</v>
      </c>
      <c r="F761" s="9" t="s">
        <v>2854</v>
      </c>
      <c r="G761" s="9">
        <v>0</v>
      </c>
      <c r="H761" s="9" t="s">
        <v>2855</v>
      </c>
      <c r="I761" s="9" t="s">
        <v>2856</v>
      </c>
      <c r="J761" s="9">
        <v>0</v>
      </c>
      <c r="K761" s="9" t="s">
        <v>2036</v>
      </c>
      <c r="L761" s="9" t="str">
        <f t="shared" si="2"/>
        <v>Y</v>
      </c>
    </row>
    <row r="762" spans="1:12">
      <c r="A762" s="9">
        <v>863</v>
      </c>
      <c r="B762" s="9">
        <v>125</v>
      </c>
      <c r="C762" s="9" t="s">
        <v>2857</v>
      </c>
      <c r="D762" s="9" t="s">
        <v>20</v>
      </c>
      <c r="E762" s="9">
        <v>241</v>
      </c>
      <c r="F762" s="9" t="s">
        <v>2858</v>
      </c>
      <c r="G762" s="9">
        <v>0</v>
      </c>
      <c r="H762" s="9"/>
      <c r="I762" s="9"/>
      <c r="J762" s="9">
        <v>0</v>
      </c>
      <c r="K762" s="9" t="s">
        <v>699</v>
      </c>
      <c r="L762" s="9" t="str">
        <f t="shared" si="2"/>
        <v>N</v>
      </c>
    </row>
    <row r="763" spans="1:12">
      <c r="A763" s="9">
        <v>864</v>
      </c>
      <c r="B763" s="9">
        <v>122</v>
      </c>
      <c r="C763" s="9" t="s">
        <v>2859</v>
      </c>
      <c r="D763" s="9" t="s">
        <v>20</v>
      </c>
      <c r="E763" s="9">
        <v>223</v>
      </c>
      <c r="F763" s="9" t="s">
        <v>2860</v>
      </c>
      <c r="G763" s="9">
        <v>0</v>
      </c>
      <c r="J763" s="9">
        <v>0</v>
      </c>
      <c r="K763" s="9" t="s">
        <v>699</v>
      </c>
      <c r="L763" s="9" t="str">
        <f t="shared" si="2"/>
        <v>N</v>
      </c>
    </row>
    <row r="764" spans="1:12">
      <c r="A764" s="9">
        <v>865</v>
      </c>
      <c r="B764" s="9">
        <v>119</v>
      </c>
      <c r="C764" s="9" t="s">
        <v>2861</v>
      </c>
      <c r="D764" s="9" t="s">
        <v>2862</v>
      </c>
      <c r="E764" s="9">
        <v>204</v>
      </c>
      <c r="F764" s="9" t="s">
        <v>2863</v>
      </c>
      <c r="G764" s="9">
        <v>0</v>
      </c>
      <c r="H764" s="9" t="s">
        <v>2009</v>
      </c>
      <c r="I764" s="9" t="s">
        <v>2010</v>
      </c>
      <c r="J764" s="9">
        <v>0</v>
      </c>
      <c r="K764" s="9" t="s">
        <v>1911</v>
      </c>
      <c r="L764" s="9" t="str">
        <f t="shared" si="2"/>
        <v>Y</v>
      </c>
    </row>
    <row r="765" spans="1:12">
      <c r="A765" s="9">
        <v>866</v>
      </c>
      <c r="B765" s="9">
        <v>122</v>
      </c>
      <c r="C765" s="9" t="s">
        <v>2864</v>
      </c>
      <c r="D765" s="9" t="s">
        <v>2865</v>
      </c>
      <c r="E765" s="9">
        <v>220</v>
      </c>
      <c r="F765" s="9" t="s">
        <v>2866</v>
      </c>
      <c r="G765" s="9">
        <v>0</v>
      </c>
      <c r="H765" s="9" t="s">
        <v>2867</v>
      </c>
      <c r="I765" s="9" t="s">
        <v>2868</v>
      </c>
      <c r="J765" s="9">
        <v>0</v>
      </c>
      <c r="K765" s="9" t="s">
        <v>2869</v>
      </c>
      <c r="L765" s="9" t="str">
        <f t="shared" si="2"/>
        <v>Y</v>
      </c>
    </row>
    <row r="766" spans="1:12">
      <c r="A766" s="9">
        <v>867</v>
      </c>
      <c r="B766" s="9">
        <v>119</v>
      </c>
      <c r="C766" s="9" t="s">
        <v>2870</v>
      </c>
      <c r="D766" s="9" t="s">
        <v>2871</v>
      </c>
      <c r="E766" s="9">
        <v>201</v>
      </c>
      <c r="F766" s="9" t="s">
        <v>541</v>
      </c>
      <c r="G766" s="9">
        <v>0</v>
      </c>
      <c r="H766" s="9" t="s">
        <v>2872</v>
      </c>
      <c r="I766" s="9" t="s">
        <v>2873</v>
      </c>
      <c r="J766" s="9">
        <v>0</v>
      </c>
      <c r="K766" s="9" t="s">
        <v>2874</v>
      </c>
      <c r="L766" s="9" t="str">
        <f t="shared" si="2"/>
        <v>Y</v>
      </c>
    </row>
    <row r="767" spans="1:12">
      <c r="A767" s="9">
        <v>868</v>
      </c>
      <c r="B767" s="9">
        <v>121</v>
      </c>
      <c r="C767" s="9" t="s">
        <v>2875</v>
      </c>
      <c r="D767" s="9" t="s">
        <v>2876</v>
      </c>
      <c r="E767" s="9">
        <v>214</v>
      </c>
      <c r="F767" s="9" t="s">
        <v>2877</v>
      </c>
      <c r="G767" s="9">
        <v>1</v>
      </c>
      <c r="H767" s="9" t="s">
        <v>1923</v>
      </c>
      <c r="I767" s="9" t="s">
        <v>1924</v>
      </c>
      <c r="J767" s="9">
        <v>1</v>
      </c>
      <c r="K767" s="9" t="s">
        <v>1839</v>
      </c>
      <c r="L767" s="9" t="str">
        <f t="shared" ref="L767:L841" si="3">IF(D767="\N","N","Y")</f>
        <v>Y</v>
      </c>
    </row>
    <row r="768" spans="1:12">
      <c r="A768" s="9">
        <v>869</v>
      </c>
      <c r="B768" s="9">
        <v>118</v>
      </c>
      <c r="C768" s="9" t="s">
        <v>2878</v>
      </c>
      <c r="D768" s="9" t="s">
        <v>2879</v>
      </c>
      <c r="E768" s="9">
        <v>193</v>
      </c>
      <c r="F768" s="9" t="s">
        <v>2880</v>
      </c>
      <c r="G768" s="9">
        <v>0</v>
      </c>
      <c r="H768" s="9" t="s">
        <v>2143</v>
      </c>
      <c r="I768" s="9" t="s">
        <v>2144</v>
      </c>
      <c r="J768" s="9">
        <v>0</v>
      </c>
      <c r="K768" s="9" t="s">
        <v>2145</v>
      </c>
      <c r="L768" s="9" t="str">
        <f t="shared" si="3"/>
        <v>Y</v>
      </c>
    </row>
    <row r="769" spans="1:12">
      <c r="A769" s="9">
        <v>870</v>
      </c>
      <c r="B769" s="9">
        <v>118</v>
      </c>
      <c r="C769" s="9" t="s">
        <v>2881</v>
      </c>
      <c r="D769" s="9" t="s">
        <v>20</v>
      </c>
      <c r="E769" s="9">
        <v>196</v>
      </c>
      <c r="F769" s="9" t="s">
        <v>2882</v>
      </c>
      <c r="G769" s="9">
        <v>0</v>
      </c>
      <c r="H769" s="9"/>
      <c r="I769" s="9"/>
      <c r="J769" s="9">
        <v>0</v>
      </c>
      <c r="K769" s="9" t="s">
        <v>699</v>
      </c>
      <c r="L769" s="9" t="str">
        <f t="shared" si="3"/>
        <v>N</v>
      </c>
    </row>
    <row r="770" spans="1:12">
      <c r="A770" s="9">
        <v>871</v>
      </c>
      <c r="B770" s="9">
        <v>118</v>
      </c>
      <c r="C770" s="9" t="s">
        <v>2883</v>
      </c>
      <c r="D770" s="9" t="s">
        <v>2884</v>
      </c>
      <c r="E770" s="9">
        <v>193</v>
      </c>
      <c r="F770" s="9" t="s">
        <v>2885</v>
      </c>
      <c r="G770" s="9">
        <v>0</v>
      </c>
      <c r="H770" s="9" t="s">
        <v>2143</v>
      </c>
      <c r="I770" s="9" t="s">
        <v>2144</v>
      </c>
      <c r="J770" s="9">
        <v>0</v>
      </c>
      <c r="K770" s="9" t="s">
        <v>2145</v>
      </c>
      <c r="L770" s="9" t="str">
        <f t="shared" si="3"/>
        <v>Y</v>
      </c>
    </row>
    <row r="771" spans="1:12">
      <c r="A771" s="9">
        <v>872</v>
      </c>
      <c r="B771" s="9">
        <v>126</v>
      </c>
      <c r="C771" s="9" t="s">
        <v>2886</v>
      </c>
      <c r="D771" s="9" t="s">
        <v>20</v>
      </c>
      <c r="E771" s="9">
        <v>247</v>
      </c>
      <c r="F771" s="9" t="s">
        <v>2887</v>
      </c>
      <c r="G771" s="9">
        <v>0</v>
      </c>
      <c r="H771" s="9"/>
      <c r="I771" s="9"/>
      <c r="J771" s="9">
        <v>0</v>
      </c>
      <c r="K771" s="9" t="s">
        <v>699</v>
      </c>
      <c r="L771" s="9" t="str">
        <f t="shared" si="3"/>
        <v>N</v>
      </c>
    </row>
    <row r="772" spans="1:12">
      <c r="A772" s="9">
        <v>873</v>
      </c>
      <c r="B772" s="9">
        <v>120</v>
      </c>
      <c r="C772" s="9" t="s">
        <v>2888</v>
      </c>
      <c r="D772" s="9" t="s">
        <v>2889</v>
      </c>
      <c r="E772" s="9">
        <v>209</v>
      </c>
      <c r="F772" s="9" t="s">
        <v>438</v>
      </c>
      <c r="G772" s="9">
        <v>0</v>
      </c>
      <c r="H772" s="9" t="s">
        <v>2890</v>
      </c>
      <c r="I772" s="9" t="s">
        <v>2891</v>
      </c>
      <c r="J772" s="9">
        <v>0</v>
      </c>
      <c r="K772" s="9" t="s">
        <v>2892</v>
      </c>
      <c r="L772" s="9" t="str">
        <f t="shared" si="3"/>
        <v>Y</v>
      </c>
    </row>
    <row r="773" spans="1:12">
      <c r="A773" s="9">
        <v>874</v>
      </c>
      <c r="B773" s="9">
        <v>120</v>
      </c>
      <c r="C773" s="9" t="s">
        <v>2893</v>
      </c>
      <c r="D773" s="9" t="s">
        <v>2894</v>
      </c>
      <c r="E773" s="9">
        <v>210</v>
      </c>
      <c r="F773" s="9" t="s">
        <v>2895</v>
      </c>
      <c r="G773" s="9">
        <v>1</v>
      </c>
      <c r="H773" s="9" t="s">
        <v>1940</v>
      </c>
      <c r="I773" s="9" t="s">
        <v>1941</v>
      </c>
      <c r="J773" s="9">
        <v>1</v>
      </c>
      <c r="K773" s="9" t="s">
        <v>1942</v>
      </c>
      <c r="L773" s="9" t="str">
        <f t="shared" si="3"/>
        <v>Y</v>
      </c>
    </row>
    <row r="774" spans="1:12">
      <c r="A774" s="9">
        <v>875</v>
      </c>
      <c r="B774" s="9">
        <v>118</v>
      </c>
      <c r="C774" s="9" t="s">
        <v>2896</v>
      </c>
      <c r="D774" s="9" t="s">
        <v>2897</v>
      </c>
      <c r="E774" s="9">
        <v>196</v>
      </c>
      <c r="F774" s="9" t="s">
        <v>2895</v>
      </c>
      <c r="G774" s="9">
        <v>0</v>
      </c>
      <c r="H774" s="9" t="s">
        <v>2337</v>
      </c>
      <c r="I774" s="9" t="s">
        <v>2338</v>
      </c>
      <c r="J774" s="9">
        <v>0</v>
      </c>
      <c r="K774" s="9" t="s">
        <v>1874</v>
      </c>
      <c r="L774" s="9" t="str">
        <f t="shared" si="3"/>
        <v>Y</v>
      </c>
    </row>
    <row r="775" spans="1:12">
      <c r="A775" s="9">
        <v>876</v>
      </c>
      <c r="B775" s="9">
        <v>122</v>
      </c>
      <c r="C775" s="9" t="s">
        <v>2898</v>
      </c>
      <c r="D775" s="9" t="s">
        <v>2899</v>
      </c>
      <c r="E775" s="9">
        <v>222</v>
      </c>
      <c r="F775" s="9" t="s">
        <v>2900</v>
      </c>
      <c r="G775" s="9">
        <v>3</v>
      </c>
      <c r="H775" s="9" t="s">
        <v>1837</v>
      </c>
      <c r="I775" s="9" t="s">
        <v>1838</v>
      </c>
      <c r="J775" s="9">
        <v>3</v>
      </c>
      <c r="K775" s="9" t="s">
        <v>1839</v>
      </c>
      <c r="L775" s="9" t="str">
        <f t="shared" si="3"/>
        <v>Y</v>
      </c>
    </row>
    <row r="776" spans="1:12">
      <c r="A776" s="9">
        <v>877</v>
      </c>
      <c r="B776" s="9">
        <v>120</v>
      </c>
      <c r="C776" s="9" t="s">
        <v>2901</v>
      </c>
      <c r="D776" s="9" t="s">
        <v>2902</v>
      </c>
      <c r="E776" s="9">
        <v>209</v>
      </c>
      <c r="F776" s="9" t="s">
        <v>2903</v>
      </c>
      <c r="G776" s="9">
        <v>1</v>
      </c>
      <c r="H776" s="9" t="s">
        <v>2890</v>
      </c>
      <c r="I776" s="9" t="s">
        <v>2891</v>
      </c>
      <c r="J776" s="9">
        <v>2</v>
      </c>
      <c r="K776" s="9" t="s">
        <v>2892</v>
      </c>
      <c r="L776" s="9" t="str">
        <f t="shared" si="3"/>
        <v>Y</v>
      </c>
    </row>
    <row r="777" spans="1:12">
      <c r="A777" s="9">
        <v>878</v>
      </c>
      <c r="B777" s="9">
        <v>119</v>
      </c>
      <c r="C777" s="9" t="s">
        <v>2904</v>
      </c>
      <c r="D777" s="9" t="s">
        <v>2905</v>
      </c>
      <c r="E777" s="9">
        <v>200</v>
      </c>
      <c r="F777" s="9" t="s">
        <v>2906</v>
      </c>
      <c r="G777" s="9">
        <v>1</v>
      </c>
      <c r="H777" s="9" t="s">
        <v>2907</v>
      </c>
      <c r="I777" s="9" t="s">
        <v>2908</v>
      </c>
      <c r="J777" s="9">
        <v>4</v>
      </c>
      <c r="K777" s="9" t="s">
        <v>1911</v>
      </c>
      <c r="L777" s="9" t="str">
        <f t="shared" si="3"/>
        <v>Y</v>
      </c>
    </row>
    <row r="778" spans="1:12">
      <c r="A778" s="9">
        <v>879</v>
      </c>
      <c r="B778" s="9">
        <v>120</v>
      </c>
      <c r="C778" s="9" t="s">
        <v>2909</v>
      </c>
      <c r="D778" s="9" t="s">
        <v>2910</v>
      </c>
      <c r="E778" s="9">
        <v>207</v>
      </c>
      <c r="F778" s="9" t="s">
        <v>2911</v>
      </c>
      <c r="G778" s="9">
        <v>1</v>
      </c>
      <c r="H778" s="9" t="s">
        <v>2912</v>
      </c>
      <c r="I778" s="9" t="s">
        <v>2913</v>
      </c>
      <c r="J778" s="9">
        <v>2</v>
      </c>
      <c r="K778" s="9" t="s">
        <v>2016</v>
      </c>
      <c r="L778" s="9" t="str">
        <f t="shared" si="3"/>
        <v>Y</v>
      </c>
    </row>
    <row r="779" spans="1:12">
      <c r="A779" s="9">
        <v>880</v>
      </c>
      <c r="B779" s="9">
        <v>123</v>
      </c>
      <c r="C779" s="9" t="s">
        <v>2914</v>
      </c>
      <c r="D779" s="9" t="s">
        <v>20</v>
      </c>
      <c r="E779" s="9">
        <v>229</v>
      </c>
      <c r="F779" s="9" t="s">
        <v>2915</v>
      </c>
      <c r="G779" s="9">
        <v>0</v>
      </c>
      <c r="H779" s="9"/>
      <c r="I779" s="9"/>
      <c r="J779" s="9">
        <v>0</v>
      </c>
      <c r="K779" s="9" t="s">
        <v>699</v>
      </c>
      <c r="L779" s="9" t="str">
        <f t="shared" si="3"/>
        <v>N</v>
      </c>
    </row>
    <row r="780" spans="1:12">
      <c r="A780" s="9">
        <v>881</v>
      </c>
      <c r="B780" s="9">
        <v>121</v>
      </c>
      <c r="C780" s="9" t="s">
        <v>2916</v>
      </c>
      <c r="D780" s="9" t="s">
        <v>2917</v>
      </c>
      <c r="E780" s="9">
        <v>215</v>
      </c>
      <c r="F780" s="9" t="s">
        <v>2918</v>
      </c>
      <c r="G780" s="9">
        <v>1</v>
      </c>
      <c r="H780" s="9" t="s">
        <v>1923</v>
      </c>
      <c r="I780" s="9" t="s">
        <v>1924</v>
      </c>
      <c r="J780" s="9">
        <v>4</v>
      </c>
      <c r="K780" s="9" t="s">
        <v>1839</v>
      </c>
      <c r="L780" s="9" t="str">
        <f t="shared" si="3"/>
        <v>Y</v>
      </c>
    </row>
    <row r="781" spans="1:12">
      <c r="A781" s="9">
        <v>882</v>
      </c>
      <c r="B781" s="9">
        <v>122</v>
      </c>
      <c r="C781" s="9" t="s">
        <v>2919</v>
      </c>
      <c r="D781" s="9" t="s">
        <v>20</v>
      </c>
      <c r="E781" s="9">
        <v>223</v>
      </c>
      <c r="F781" s="9" t="s">
        <v>2920</v>
      </c>
      <c r="G781" s="9">
        <v>0</v>
      </c>
      <c r="H781" s="9"/>
      <c r="I781" s="9"/>
      <c r="J781" s="9">
        <v>0</v>
      </c>
      <c r="K781" s="9" t="s">
        <v>699</v>
      </c>
      <c r="L781" s="9" t="str">
        <f t="shared" si="3"/>
        <v>N</v>
      </c>
    </row>
    <row r="782" spans="1:12">
      <c r="A782" s="9">
        <v>883</v>
      </c>
      <c r="B782" s="9">
        <v>123</v>
      </c>
      <c r="C782" s="9" t="s">
        <v>2921</v>
      </c>
      <c r="D782" s="9" t="s">
        <v>20</v>
      </c>
      <c r="E782" s="9">
        <v>229</v>
      </c>
      <c r="F782" s="9" t="s">
        <v>2922</v>
      </c>
      <c r="G782" s="9">
        <v>0</v>
      </c>
      <c r="H782" s="9"/>
      <c r="I782" s="9"/>
      <c r="J782" s="9">
        <v>0</v>
      </c>
      <c r="K782" s="9" t="s">
        <v>699</v>
      </c>
      <c r="L782" s="9" t="str">
        <f t="shared" si="3"/>
        <v>N</v>
      </c>
    </row>
    <row r="783" spans="1:12">
      <c r="A783" s="9">
        <v>884</v>
      </c>
      <c r="B783" s="9">
        <v>118</v>
      </c>
      <c r="C783" s="9" t="s">
        <v>2923</v>
      </c>
      <c r="D783" s="9" t="s">
        <v>2924</v>
      </c>
      <c r="E783" s="9">
        <v>193</v>
      </c>
      <c r="F783" s="9" t="s">
        <v>2925</v>
      </c>
      <c r="G783" s="9">
        <v>0</v>
      </c>
      <c r="H783" s="9" t="s">
        <v>1837</v>
      </c>
      <c r="I783" s="9" t="s">
        <v>1838</v>
      </c>
      <c r="J783" s="9">
        <v>0</v>
      </c>
      <c r="K783" s="9" t="s">
        <v>1839</v>
      </c>
      <c r="L783" s="9" t="str">
        <f t="shared" si="3"/>
        <v>Y</v>
      </c>
    </row>
    <row r="784" spans="1:12">
      <c r="A784" s="9">
        <v>885</v>
      </c>
      <c r="B784" s="9">
        <v>121</v>
      </c>
      <c r="C784" s="9" t="s">
        <v>2926</v>
      </c>
      <c r="D784" s="9" t="s">
        <v>20</v>
      </c>
      <c r="E784" s="9">
        <v>217</v>
      </c>
      <c r="F784" s="9" t="s">
        <v>2925</v>
      </c>
      <c r="G784" s="9">
        <v>0</v>
      </c>
      <c r="H784" s="9"/>
      <c r="I784" s="9"/>
      <c r="J784" s="9">
        <v>0</v>
      </c>
      <c r="K784" s="9" t="s">
        <v>699</v>
      </c>
      <c r="L784" s="9" t="str">
        <f t="shared" si="3"/>
        <v>N</v>
      </c>
    </row>
    <row r="785" spans="1:12">
      <c r="A785" s="9">
        <v>886</v>
      </c>
      <c r="B785" s="9">
        <v>121</v>
      </c>
      <c r="C785" s="9" t="s">
        <v>2927</v>
      </c>
      <c r="D785" s="9" t="s">
        <v>2928</v>
      </c>
      <c r="E785" s="9">
        <v>217</v>
      </c>
      <c r="F785" s="9" t="s">
        <v>441</v>
      </c>
      <c r="G785" s="9">
        <v>0</v>
      </c>
      <c r="H785" s="9" t="s">
        <v>1883</v>
      </c>
      <c r="I785" s="9" t="s">
        <v>1884</v>
      </c>
      <c r="J785" s="9">
        <v>0</v>
      </c>
      <c r="K785" s="9" t="s">
        <v>1885</v>
      </c>
      <c r="L785" s="9" t="str">
        <f t="shared" si="3"/>
        <v>Y</v>
      </c>
    </row>
    <row r="786" spans="1:12">
      <c r="A786" s="9">
        <v>887</v>
      </c>
      <c r="B786" s="9">
        <v>118</v>
      </c>
      <c r="C786" s="9" t="s">
        <v>2929</v>
      </c>
      <c r="D786" s="9" t="s">
        <v>2930</v>
      </c>
      <c r="E786" s="9">
        <v>193</v>
      </c>
      <c r="F786" s="9" t="s">
        <v>2931</v>
      </c>
      <c r="G786" s="9">
        <v>0</v>
      </c>
      <c r="H786" s="9" t="s">
        <v>1837</v>
      </c>
      <c r="I786" s="9" t="s">
        <v>1838</v>
      </c>
      <c r="J786" s="9">
        <v>0</v>
      </c>
      <c r="K786" s="9" t="s">
        <v>1839</v>
      </c>
      <c r="L786" s="9" t="str">
        <f t="shared" si="3"/>
        <v>Y</v>
      </c>
    </row>
    <row r="787" spans="1:12">
      <c r="A787" s="9">
        <v>888</v>
      </c>
      <c r="B787" s="9">
        <v>118</v>
      </c>
      <c r="C787" s="9" t="s">
        <v>2932</v>
      </c>
      <c r="D787" s="9" t="s">
        <v>2933</v>
      </c>
      <c r="E787" s="9">
        <v>196</v>
      </c>
      <c r="F787" s="9" t="s">
        <v>2934</v>
      </c>
      <c r="G787" s="9">
        <v>0</v>
      </c>
      <c r="H787" s="9" t="s">
        <v>2337</v>
      </c>
      <c r="I787" s="9" t="s">
        <v>2338</v>
      </c>
      <c r="J787" s="9">
        <v>0</v>
      </c>
      <c r="K787" s="9" t="s">
        <v>1874</v>
      </c>
      <c r="L787" s="9" t="str">
        <f t="shared" si="3"/>
        <v>Y</v>
      </c>
    </row>
    <row r="788" spans="1:12">
      <c r="A788" s="9">
        <v>889</v>
      </c>
      <c r="B788" s="9">
        <v>119</v>
      </c>
      <c r="C788" s="9" t="s">
        <v>2935</v>
      </c>
      <c r="D788" s="9" t="s">
        <v>2936</v>
      </c>
      <c r="E788" s="9">
        <v>201</v>
      </c>
      <c r="F788" s="9" t="s">
        <v>2937</v>
      </c>
      <c r="G788" s="9">
        <v>0</v>
      </c>
      <c r="H788" s="9" t="s">
        <v>2497</v>
      </c>
      <c r="I788" s="9" t="s">
        <v>2498</v>
      </c>
      <c r="J788" s="9">
        <v>0</v>
      </c>
      <c r="K788" s="9" t="s">
        <v>1973</v>
      </c>
      <c r="L788" s="9" t="str">
        <f t="shared" si="3"/>
        <v>Y</v>
      </c>
    </row>
    <row r="789" spans="1:12">
      <c r="A789" s="9">
        <v>890</v>
      </c>
      <c r="B789" s="9">
        <v>118</v>
      </c>
      <c r="C789" s="9" t="s">
        <v>2938</v>
      </c>
      <c r="D789" s="9" t="s">
        <v>2939</v>
      </c>
      <c r="E789" s="9">
        <v>193</v>
      </c>
      <c r="F789" s="9" t="s">
        <v>2940</v>
      </c>
      <c r="G789" s="9">
        <v>0</v>
      </c>
      <c r="H789" s="9" t="s">
        <v>1837</v>
      </c>
      <c r="I789" s="9" t="s">
        <v>1838</v>
      </c>
      <c r="J789" s="9">
        <v>0</v>
      </c>
      <c r="K789" s="9" t="s">
        <v>1839</v>
      </c>
      <c r="L789" s="9" t="str">
        <f t="shared" si="3"/>
        <v>Y</v>
      </c>
    </row>
    <row r="790" spans="1:12">
      <c r="A790" s="9">
        <v>891</v>
      </c>
      <c r="B790" s="9">
        <v>118</v>
      </c>
      <c r="C790" s="9" t="s">
        <v>2941</v>
      </c>
      <c r="D790" s="9" t="s">
        <v>2942</v>
      </c>
      <c r="E790" s="9">
        <v>193</v>
      </c>
      <c r="F790" s="9" t="s">
        <v>2943</v>
      </c>
      <c r="G790" s="9">
        <v>3</v>
      </c>
      <c r="H790" s="9" t="s">
        <v>1837</v>
      </c>
      <c r="I790" s="9" t="s">
        <v>1838</v>
      </c>
      <c r="J790" s="9">
        <v>3</v>
      </c>
      <c r="K790" s="9" t="s">
        <v>1839</v>
      </c>
      <c r="L790" s="9" t="str">
        <f t="shared" si="3"/>
        <v>Y</v>
      </c>
    </row>
    <row r="791" spans="1:12">
      <c r="A791" s="9">
        <v>892</v>
      </c>
      <c r="B791" s="9">
        <v>122</v>
      </c>
      <c r="C791" s="9" t="s">
        <v>2944</v>
      </c>
      <c r="D791" s="9" t="s">
        <v>20</v>
      </c>
      <c r="E791" s="9">
        <v>223</v>
      </c>
      <c r="F791" s="9" t="s">
        <v>2945</v>
      </c>
      <c r="G791" s="9">
        <v>0</v>
      </c>
      <c r="J791" s="9">
        <v>0</v>
      </c>
      <c r="K791" s="9" t="s">
        <v>699</v>
      </c>
      <c r="L791" s="9" t="str">
        <f t="shared" si="3"/>
        <v>N</v>
      </c>
    </row>
    <row r="792" spans="1:12">
      <c r="A792" s="9">
        <v>893</v>
      </c>
      <c r="B792" s="9">
        <v>123</v>
      </c>
      <c r="C792" s="9" t="s">
        <v>2946</v>
      </c>
      <c r="D792" s="9" t="s">
        <v>2947</v>
      </c>
      <c r="E792" s="9">
        <v>229</v>
      </c>
      <c r="F792" s="9" t="s">
        <v>2948</v>
      </c>
      <c r="G792" s="9">
        <v>0</v>
      </c>
      <c r="H792" s="9" t="s">
        <v>1872</v>
      </c>
      <c r="I792" s="9" t="s">
        <v>1873</v>
      </c>
      <c r="J792" s="9">
        <v>0</v>
      </c>
      <c r="K792" s="9" t="s">
        <v>1874</v>
      </c>
      <c r="L792" s="9" t="str">
        <f t="shared" si="3"/>
        <v>Y</v>
      </c>
    </row>
    <row r="793" spans="1:12">
      <c r="A793" s="9">
        <v>894</v>
      </c>
      <c r="B793" s="9">
        <v>123</v>
      </c>
      <c r="C793" s="9" t="s">
        <v>2949</v>
      </c>
      <c r="D793" s="9" t="s">
        <v>20</v>
      </c>
      <c r="E793" s="9">
        <v>226</v>
      </c>
      <c r="F793" s="9" t="s">
        <v>2950</v>
      </c>
      <c r="G793" s="9">
        <v>0</v>
      </c>
      <c r="H793" s="9"/>
      <c r="I793" s="9"/>
      <c r="J793" s="9">
        <v>0</v>
      </c>
      <c r="K793" s="9" t="s">
        <v>699</v>
      </c>
      <c r="L793" s="9" t="str">
        <f t="shared" si="3"/>
        <v>N</v>
      </c>
    </row>
    <row r="794" spans="1:12">
      <c r="A794" s="9">
        <v>895</v>
      </c>
      <c r="B794" s="9">
        <v>119</v>
      </c>
      <c r="C794" s="9" t="s">
        <v>2951</v>
      </c>
      <c r="D794" s="9" t="s">
        <v>2952</v>
      </c>
      <c r="E794" s="9">
        <v>203</v>
      </c>
      <c r="F794" s="9" t="s">
        <v>2953</v>
      </c>
      <c r="G794" s="9">
        <v>0</v>
      </c>
      <c r="H794" s="9" t="s">
        <v>1818</v>
      </c>
      <c r="I794" s="9" t="s">
        <v>1819</v>
      </c>
      <c r="J794" s="9">
        <v>0</v>
      </c>
      <c r="K794" s="9" t="s">
        <v>1820</v>
      </c>
      <c r="L794" s="9" t="str">
        <f t="shared" si="3"/>
        <v>Y</v>
      </c>
    </row>
    <row r="795" spans="1:12">
      <c r="A795" s="9">
        <v>896</v>
      </c>
      <c r="B795" s="9">
        <v>122</v>
      </c>
      <c r="C795" s="9" t="s">
        <v>2954</v>
      </c>
      <c r="D795" s="9" t="s">
        <v>2955</v>
      </c>
      <c r="E795" s="9">
        <v>222</v>
      </c>
      <c r="F795" s="9" t="s">
        <v>2953</v>
      </c>
      <c r="G795" s="9">
        <v>0</v>
      </c>
      <c r="H795" s="9" t="s">
        <v>1837</v>
      </c>
      <c r="I795" s="9" t="s">
        <v>1838</v>
      </c>
      <c r="J795" s="9">
        <v>0</v>
      </c>
      <c r="K795" s="9" t="s">
        <v>1839</v>
      </c>
      <c r="L795" s="9" t="str">
        <f t="shared" si="3"/>
        <v>Y</v>
      </c>
    </row>
    <row r="796" spans="1:12">
      <c r="A796" s="9">
        <v>897</v>
      </c>
      <c r="B796" s="9">
        <v>119</v>
      </c>
      <c r="C796" s="9" t="s">
        <v>2956</v>
      </c>
      <c r="D796" s="9" t="s">
        <v>2957</v>
      </c>
      <c r="E796" s="9">
        <v>200</v>
      </c>
      <c r="F796" s="9" t="s">
        <v>2958</v>
      </c>
      <c r="G796" s="9">
        <v>1</v>
      </c>
      <c r="H796" s="9" t="s">
        <v>2959</v>
      </c>
      <c r="I796" s="9" t="s">
        <v>2960</v>
      </c>
      <c r="J796" s="9">
        <v>1</v>
      </c>
      <c r="K796" s="9" t="s">
        <v>1919</v>
      </c>
      <c r="L796" s="9" t="str">
        <f t="shared" si="3"/>
        <v>Y</v>
      </c>
    </row>
    <row r="797" spans="1:12">
      <c r="A797" s="9">
        <v>898</v>
      </c>
      <c r="B797" s="9">
        <v>120</v>
      </c>
      <c r="C797" s="9" t="s">
        <v>2961</v>
      </c>
      <c r="D797" s="9" t="s">
        <v>2962</v>
      </c>
      <c r="E797" s="9">
        <v>207</v>
      </c>
      <c r="F797" s="9" t="s">
        <v>2958</v>
      </c>
      <c r="G797" s="9">
        <v>0</v>
      </c>
      <c r="H797" s="9" t="s">
        <v>2009</v>
      </c>
      <c r="I797" s="9" t="s">
        <v>2010</v>
      </c>
      <c r="J797" s="9">
        <v>0</v>
      </c>
      <c r="K797" s="9" t="s">
        <v>1911</v>
      </c>
      <c r="L797" s="9" t="str">
        <f t="shared" si="3"/>
        <v>Y</v>
      </c>
    </row>
    <row r="798" spans="1:12">
      <c r="A798" s="9">
        <v>899</v>
      </c>
      <c r="B798" s="9">
        <v>119</v>
      </c>
      <c r="C798" s="9" t="s">
        <v>2963</v>
      </c>
      <c r="D798" s="9" t="s">
        <v>2964</v>
      </c>
      <c r="E798" s="9">
        <v>204</v>
      </c>
      <c r="F798" s="9" t="s">
        <v>2965</v>
      </c>
      <c r="G798" s="9">
        <v>0</v>
      </c>
      <c r="H798" s="9" t="s">
        <v>1971</v>
      </c>
      <c r="I798" s="9" t="s">
        <v>1972</v>
      </c>
      <c r="J798" s="9">
        <v>0</v>
      </c>
      <c r="K798" s="9" t="s">
        <v>1973</v>
      </c>
      <c r="L798" s="9" t="str">
        <f t="shared" si="3"/>
        <v>Y</v>
      </c>
    </row>
    <row r="799" spans="1:12">
      <c r="A799" s="9">
        <v>900</v>
      </c>
      <c r="B799" s="9">
        <v>124</v>
      </c>
      <c r="C799" s="9" t="s">
        <v>2966</v>
      </c>
      <c r="D799" s="9" t="s">
        <v>2967</v>
      </c>
      <c r="E799" s="9">
        <v>232</v>
      </c>
      <c r="F799" s="9" t="s">
        <v>2968</v>
      </c>
      <c r="G799" s="9">
        <v>0</v>
      </c>
      <c r="H799" s="9" t="s">
        <v>1917</v>
      </c>
      <c r="I799" s="9" t="s">
        <v>1918</v>
      </c>
      <c r="J799" s="9">
        <v>0</v>
      </c>
      <c r="K799" s="9" t="s">
        <v>1919</v>
      </c>
      <c r="L799" s="9" t="str">
        <f t="shared" si="3"/>
        <v>Y</v>
      </c>
    </row>
    <row r="800" spans="1:12">
      <c r="A800" s="9">
        <v>901</v>
      </c>
      <c r="B800" s="9">
        <v>123</v>
      </c>
      <c r="C800" s="9" t="s">
        <v>2969</v>
      </c>
      <c r="D800" s="9" t="s">
        <v>2970</v>
      </c>
      <c r="E800" s="9">
        <v>226</v>
      </c>
      <c r="F800" s="9" t="s">
        <v>2971</v>
      </c>
      <c r="G800" s="9">
        <v>0</v>
      </c>
      <c r="H800" s="9" t="s">
        <v>2972</v>
      </c>
      <c r="I800" s="9" t="s">
        <v>2973</v>
      </c>
      <c r="J800" s="9">
        <v>0</v>
      </c>
      <c r="K800" s="9" t="s">
        <v>1919</v>
      </c>
      <c r="L800" s="9" t="str">
        <f t="shared" si="3"/>
        <v>Y</v>
      </c>
    </row>
    <row r="801" spans="1:12">
      <c r="A801" s="9">
        <v>902</v>
      </c>
      <c r="B801" s="9">
        <v>121</v>
      </c>
      <c r="C801" s="9" t="s">
        <v>2974</v>
      </c>
      <c r="D801" s="9" t="s">
        <v>2975</v>
      </c>
      <c r="E801" s="9">
        <v>215</v>
      </c>
      <c r="F801" s="9" t="s">
        <v>2976</v>
      </c>
      <c r="G801" s="9">
        <v>0</v>
      </c>
      <c r="H801" s="9" t="s">
        <v>2977</v>
      </c>
      <c r="I801" s="9" t="s">
        <v>2978</v>
      </c>
      <c r="J801" s="9">
        <v>0</v>
      </c>
      <c r="K801" s="9" t="s">
        <v>1820</v>
      </c>
      <c r="L801" s="9" t="str">
        <f t="shared" si="3"/>
        <v>Y</v>
      </c>
    </row>
    <row r="802" spans="1:12">
      <c r="A802" s="9">
        <v>903</v>
      </c>
      <c r="B802" s="9">
        <v>126</v>
      </c>
      <c r="C802" s="9" t="s">
        <v>2979</v>
      </c>
      <c r="D802" s="9" t="s">
        <v>2980</v>
      </c>
      <c r="E802" s="9">
        <v>247</v>
      </c>
      <c r="F802" s="9" t="s">
        <v>2981</v>
      </c>
      <c r="G802" s="9">
        <v>0</v>
      </c>
      <c r="H802" s="9" t="s">
        <v>1872</v>
      </c>
      <c r="I802" s="9" t="s">
        <v>1873</v>
      </c>
      <c r="J802" s="9">
        <v>0</v>
      </c>
      <c r="K802" s="9" t="s">
        <v>1874</v>
      </c>
      <c r="L802" s="9" t="str">
        <f t="shared" si="3"/>
        <v>Y</v>
      </c>
    </row>
    <row r="803" spans="1:12">
      <c r="A803" s="9">
        <v>904</v>
      </c>
      <c r="B803" s="9">
        <v>119</v>
      </c>
      <c r="C803" s="9" t="s">
        <v>2982</v>
      </c>
      <c r="D803" s="9" t="s">
        <v>20</v>
      </c>
      <c r="E803" s="9">
        <v>201</v>
      </c>
      <c r="F803" s="9" t="s">
        <v>2981</v>
      </c>
      <c r="G803" s="9">
        <v>0</v>
      </c>
      <c r="H803" s="9"/>
      <c r="I803" s="9"/>
      <c r="J803" s="9">
        <v>0</v>
      </c>
      <c r="K803" s="9" t="s">
        <v>699</v>
      </c>
      <c r="L803" s="9" t="str">
        <f t="shared" si="3"/>
        <v>N</v>
      </c>
    </row>
    <row r="804" spans="1:12">
      <c r="A804" s="9">
        <v>905</v>
      </c>
      <c r="B804" s="9">
        <v>121</v>
      </c>
      <c r="C804" s="9" t="s">
        <v>2983</v>
      </c>
      <c r="D804" s="9" t="s">
        <v>2984</v>
      </c>
      <c r="E804" s="9">
        <v>216</v>
      </c>
      <c r="F804" s="9" t="s">
        <v>2985</v>
      </c>
      <c r="G804" s="9">
        <v>0</v>
      </c>
      <c r="H804" s="9" t="s">
        <v>2986</v>
      </c>
      <c r="I804" s="9" t="s">
        <v>2987</v>
      </c>
      <c r="J804" s="9">
        <v>0</v>
      </c>
      <c r="K804" s="9" t="s">
        <v>2707</v>
      </c>
      <c r="L804" s="9" t="str">
        <f t="shared" si="3"/>
        <v>Y</v>
      </c>
    </row>
    <row r="805" spans="1:12">
      <c r="A805" s="9">
        <v>906</v>
      </c>
      <c r="B805" s="9">
        <v>124</v>
      </c>
      <c r="C805" s="9" t="s">
        <v>2988</v>
      </c>
      <c r="D805" s="9" t="s">
        <v>2989</v>
      </c>
      <c r="E805" s="9">
        <v>234</v>
      </c>
      <c r="F805" s="9" t="s">
        <v>2990</v>
      </c>
      <c r="G805" s="9">
        <v>0</v>
      </c>
      <c r="H805" s="9" t="s">
        <v>2337</v>
      </c>
      <c r="I805" s="9" t="s">
        <v>2338</v>
      </c>
      <c r="J805" s="9">
        <v>0</v>
      </c>
      <c r="K805" s="9" t="s">
        <v>1874</v>
      </c>
      <c r="L805" s="9" t="str">
        <f t="shared" si="3"/>
        <v>Y</v>
      </c>
    </row>
    <row r="806" spans="1:12">
      <c r="A806" s="9">
        <v>907</v>
      </c>
      <c r="B806" s="9">
        <v>120</v>
      </c>
      <c r="C806" s="9" t="s">
        <v>2991</v>
      </c>
      <c r="D806" s="9" t="s">
        <v>2992</v>
      </c>
      <c r="E806" s="9">
        <v>208</v>
      </c>
      <c r="F806" s="9" t="s">
        <v>2993</v>
      </c>
      <c r="G806" s="9">
        <v>0</v>
      </c>
      <c r="H806" s="9" t="s">
        <v>2994</v>
      </c>
      <c r="I806" s="9" t="s">
        <v>2995</v>
      </c>
      <c r="J806" s="9">
        <v>0</v>
      </c>
      <c r="K806" s="9" t="s">
        <v>1911</v>
      </c>
      <c r="L806" s="9" t="str">
        <f t="shared" si="3"/>
        <v>Y</v>
      </c>
    </row>
    <row r="807" spans="1:12">
      <c r="A807" s="9">
        <v>908</v>
      </c>
      <c r="B807" s="9">
        <v>125</v>
      </c>
      <c r="C807" s="9" t="s">
        <v>2996</v>
      </c>
      <c r="D807" s="9" t="s">
        <v>20</v>
      </c>
      <c r="E807" s="9">
        <v>241</v>
      </c>
      <c r="F807" s="9" t="s">
        <v>2997</v>
      </c>
      <c r="G807" s="9">
        <v>0</v>
      </c>
      <c r="H807" s="9"/>
      <c r="I807" s="9"/>
      <c r="J807" s="9">
        <v>0</v>
      </c>
      <c r="K807" s="9" t="s">
        <v>699</v>
      </c>
      <c r="L807" s="9" t="str">
        <f t="shared" si="3"/>
        <v>N</v>
      </c>
    </row>
    <row r="808" spans="1:12">
      <c r="A808" s="9">
        <v>909</v>
      </c>
      <c r="B808" s="9">
        <v>119</v>
      </c>
      <c r="C808" s="9" t="s">
        <v>2998</v>
      </c>
      <c r="D808" s="9" t="s">
        <v>2999</v>
      </c>
      <c r="E808" s="9">
        <v>201</v>
      </c>
      <c r="F808" s="9" t="s">
        <v>3000</v>
      </c>
      <c r="G808" s="9">
        <v>0</v>
      </c>
      <c r="H808" s="9" t="s">
        <v>1818</v>
      </c>
      <c r="I808" s="9" t="s">
        <v>1819</v>
      </c>
      <c r="J808" s="9">
        <v>0</v>
      </c>
      <c r="K808" s="9" t="s">
        <v>1820</v>
      </c>
      <c r="L808" s="9" t="str">
        <f t="shared" si="3"/>
        <v>Y</v>
      </c>
    </row>
    <row r="809" spans="1:12">
      <c r="A809" s="9">
        <v>910</v>
      </c>
      <c r="B809" s="9">
        <v>119</v>
      </c>
      <c r="C809" s="9" t="s">
        <v>3001</v>
      </c>
      <c r="D809" s="9" t="s">
        <v>3002</v>
      </c>
      <c r="E809" s="9">
        <v>202</v>
      </c>
      <c r="F809" s="9" t="s">
        <v>3003</v>
      </c>
      <c r="G809" s="9">
        <v>0</v>
      </c>
      <c r="H809" s="9" t="s">
        <v>2050</v>
      </c>
      <c r="I809" s="9" t="s">
        <v>2051</v>
      </c>
      <c r="J809" s="9">
        <v>0</v>
      </c>
      <c r="K809" s="9" t="s">
        <v>2052</v>
      </c>
      <c r="L809" s="9" t="str">
        <f t="shared" si="3"/>
        <v>Y</v>
      </c>
    </row>
    <row r="810" spans="1:12">
      <c r="A810" s="9">
        <v>911</v>
      </c>
      <c r="B810" s="9">
        <v>118</v>
      </c>
      <c r="C810" s="9" t="s">
        <v>3004</v>
      </c>
      <c r="D810" s="9" t="s">
        <v>3005</v>
      </c>
      <c r="E810" s="9">
        <v>193</v>
      </c>
      <c r="F810" s="9" t="s">
        <v>418</v>
      </c>
      <c r="G810" s="9">
        <v>0</v>
      </c>
      <c r="H810" s="9" t="s">
        <v>2143</v>
      </c>
      <c r="I810" s="9" t="s">
        <v>2144</v>
      </c>
      <c r="J810" s="9">
        <v>0</v>
      </c>
      <c r="K810" s="9" t="s">
        <v>2145</v>
      </c>
      <c r="L810" s="9" t="str">
        <f t="shared" si="3"/>
        <v>Y</v>
      </c>
    </row>
    <row r="811" spans="1:12">
      <c r="A811" s="9">
        <v>912</v>
      </c>
      <c r="B811" s="9">
        <v>126</v>
      </c>
      <c r="C811" s="9" t="s">
        <v>3006</v>
      </c>
      <c r="D811" s="9" t="s">
        <v>20</v>
      </c>
      <c r="E811" s="9">
        <v>247</v>
      </c>
      <c r="F811" s="9" t="s">
        <v>418</v>
      </c>
      <c r="G811" s="9">
        <v>0</v>
      </c>
      <c r="H811" s="9"/>
      <c r="I811" s="9"/>
      <c r="J811" s="9">
        <v>0</v>
      </c>
      <c r="K811" s="9" t="s">
        <v>699</v>
      </c>
      <c r="L811" s="9" t="str">
        <f t="shared" si="3"/>
        <v>N</v>
      </c>
    </row>
    <row r="812" spans="1:12">
      <c r="A812" s="9">
        <v>913</v>
      </c>
      <c r="B812" s="9">
        <v>125</v>
      </c>
      <c r="C812" s="9" t="s">
        <v>3007</v>
      </c>
      <c r="D812" s="9" t="s">
        <v>3008</v>
      </c>
      <c r="E812" s="9">
        <v>241</v>
      </c>
      <c r="F812" s="9" t="s">
        <v>3009</v>
      </c>
      <c r="G812" s="9">
        <v>0</v>
      </c>
      <c r="H812" s="9" t="s">
        <v>1883</v>
      </c>
      <c r="I812" s="9" t="s">
        <v>1884</v>
      </c>
      <c r="J812" s="9">
        <v>0</v>
      </c>
      <c r="K812" s="9" t="s">
        <v>1885</v>
      </c>
      <c r="L812" s="9" t="str">
        <f t="shared" si="3"/>
        <v>Y</v>
      </c>
    </row>
    <row r="813" spans="1:12">
      <c r="A813" s="9">
        <v>914</v>
      </c>
      <c r="B813" s="9">
        <v>125</v>
      </c>
      <c r="C813" s="9" t="s">
        <v>3010</v>
      </c>
      <c r="D813" s="9" t="s">
        <v>20</v>
      </c>
      <c r="E813" s="9">
        <v>239</v>
      </c>
      <c r="F813" s="9" t="s">
        <v>3009</v>
      </c>
      <c r="G813" s="9">
        <v>0</v>
      </c>
      <c r="H813" s="9"/>
      <c r="I813" s="9"/>
      <c r="J813" s="9">
        <v>0</v>
      </c>
      <c r="K813" s="9" t="s">
        <v>699</v>
      </c>
      <c r="L813" s="9" t="str">
        <f t="shared" si="3"/>
        <v>N</v>
      </c>
    </row>
    <row r="814" spans="1:12">
      <c r="A814" s="9">
        <v>915</v>
      </c>
      <c r="B814" s="9">
        <v>124</v>
      </c>
      <c r="C814" s="9" t="s">
        <v>3011</v>
      </c>
      <c r="D814" s="9" t="s">
        <v>3012</v>
      </c>
      <c r="E814" s="9">
        <v>232</v>
      </c>
      <c r="F814" s="9" t="s">
        <v>3013</v>
      </c>
      <c r="G814" s="9">
        <v>1</v>
      </c>
      <c r="H814" s="9" t="s">
        <v>3014</v>
      </c>
      <c r="I814" s="9" t="s">
        <v>3015</v>
      </c>
      <c r="J814" s="9">
        <v>2</v>
      </c>
      <c r="K814" s="9" t="s">
        <v>1919</v>
      </c>
      <c r="L814" s="9" t="str">
        <f t="shared" si="3"/>
        <v>Y</v>
      </c>
    </row>
    <row r="815" spans="1:12">
      <c r="A815" s="9">
        <v>916</v>
      </c>
      <c r="B815" s="9">
        <v>118</v>
      </c>
      <c r="C815" s="9" t="s">
        <v>3016</v>
      </c>
      <c r="D815" s="9" t="s">
        <v>20</v>
      </c>
      <c r="E815" s="9">
        <v>196</v>
      </c>
      <c r="F815" s="9" t="s">
        <v>3017</v>
      </c>
      <c r="G815" s="9">
        <v>0</v>
      </c>
      <c r="J815" s="9">
        <v>0</v>
      </c>
      <c r="K815" s="9" t="s">
        <v>699</v>
      </c>
      <c r="L815" s="9" t="str">
        <f t="shared" si="3"/>
        <v>N</v>
      </c>
    </row>
    <row r="816" spans="1:12">
      <c r="A816" s="9">
        <v>917</v>
      </c>
      <c r="B816" s="9">
        <v>121</v>
      </c>
      <c r="C816" s="9" t="s">
        <v>3018</v>
      </c>
      <c r="D816" s="9" t="s">
        <v>3019</v>
      </c>
      <c r="E816" s="9">
        <v>215</v>
      </c>
      <c r="F816" s="9" t="s">
        <v>3020</v>
      </c>
      <c r="G816" s="9">
        <v>0</v>
      </c>
      <c r="H816" s="9" t="s">
        <v>1854</v>
      </c>
      <c r="I816" s="9" t="s">
        <v>1855</v>
      </c>
      <c r="J816" s="9">
        <v>0</v>
      </c>
      <c r="K816" s="9" t="s">
        <v>1820</v>
      </c>
      <c r="L816" s="9" t="str">
        <f t="shared" si="3"/>
        <v>Y</v>
      </c>
    </row>
    <row r="817" spans="1:12">
      <c r="A817" s="9">
        <v>918</v>
      </c>
      <c r="B817" s="9">
        <v>125</v>
      </c>
      <c r="C817" s="9" t="s">
        <v>3021</v>
      </c>
      <c r="D817" s="9" t="s">
        <v>20</v>
      </c>
      <c r="E817" s="9">
        <v>239</v>
      </c>
      <c r="F817" s="9" t="s">
        <v>3022</v>
      </c>
      <c r="G817" s="9">
        <v>0</v>
      </c>
      <c r="J817" s="9">
        <v>0</v>
      </c>
      <c r="K817" s="9" t="s">
        <v>699</v>
      </c>
      <c r="L817" s="9" t="str">
        <f t="shared" si="3"/>
        <v>N</v>
      </c>
    </row>
    <row r="818" spans="1:12">
      <c r="A818" s="9">
        <v>919</v>
      </c>
      <c r="B818" s="9">
        <v>121</v>
      </c>
      <c r="C818" s="9" t="s">
        <v>3023</v>
      </c>
      <c r="D818" s="9" t="s">
        <v>3024</v>
      </c>
      <c r="E818" s="9">
        <v>216</v>
      </c>
      <c r="F818" s="9" t="s">
        <v>3025</v>
      </c>
      <c r="G818" s="9">
        <v>0</v>
      </c>
      <c r="H818" s="9" t="s">
        <v>2221</v>
      </c>
      <c r="I818" s="9" t="s">
        <v>2222</v>
      </c>
      <c r="J818" s="9">
        <v>0</v>
      </c>
      <c r="K818" s="9" t="s">
        <v>2223</v>
      </c>
      <c r="L818" s="9" t="str">
        <f t="shared" si="3"/>
        <v>Y</v>
      </c>
    </row>
    <row r="819" spans="1:12">
      <c r="A819" s="9">
        <v>920</v>
      </c>
      <c r="B819" s="9">
        <v>118</v>
      </c>
      <c r="C819" s="9" t="s">
        <v>3026</v>
      </c>
      <c r="D819" s="9" t="s">
        <v>20</v>
      </c>
      <c r="E819" s="9">
        <v>194</v>
      </c>
      <c r="F819" s="9" t="s">
        <v>419</v>
      </c>
      <c r="G819" s="9">
        <v>0</v>
      </c>
      <c r="H819" s="9"/>
      <c r="I819" s="9"/>
      <c r="J819" s="9">
        <v>0</v>
      </c>
      <c r="K819" s="9" t="s">
        <v>699</v>
      </c>
      <c r="L819" s="9" t="str">
        <f t="shared" si="3"/>
        <v>N</v>
      </c>
    </row>
    <row r="820" spans="1:12">
      <c r="A820" s="9">
        <v>921</v>
      </c>
      <c r="B820" s="9">
        <v>120</v>
      </c>
      <c r="C820" s="9" t="s">
        <v>3027</v>
      </c>
      <c r="D820" s="9" t="s">
        <v>3028</v>
      </c>
      <c r="E820" s="9">
        <v>207</v>
      </c>
      <c r="F820" s="9" t="s">
        <v>419</v>
      </c>
      <c r="G820" s="9">
        <v>0</v>
      </c>
      <c r="H820" s="9" t="s">
        <v>2994</v>
      </c>
      <c r="I820" s="9" t="s">
        <v>2995</v>
      </c>
      <c r="J820" s="9">
        <v>0</v>
      </c>
      <c r="K820" s="9" t="s">
        <v>1911</v>
      </c>
      <c r="L820" s="9" t="str">
        <f t="shared" si="3"/>
        <v>Y</v>
      </c>
    </row>
    <row r="821" spans="1:12">
      <c r="A821" s="9">
        <v>922</v>
      </c>
      <c r="B821" s="9">
        <v>125</v>
      </c>
      <c r="C821" s="9" t="s">
        <v>3029</v>
      </c>
      <c r="D821" s="9" t="s">
        <v>3030</v>
      </c>
      <c r="E821" s="9">
        <v>239</v>
      </c>
      <c r="F821" s="9" t="s">
        <v>3031</v>
      </c>
      <c r="G821" s="9">
        <v>0</v>
      </c>
      <c r="H821" s="9" t="s">
        <v>3032</v>
      </c>
      <c r="I821" s="9" t="s">
        <v>3033</v>
      </c>
      <c r="J821" s="9">
        <v>0</v>
      </c>
      <c r="K821" s="9" t="s">
        <v>3034</v>
      </c>
      <c r="L821" s="9" t="str">
        <f t="shared" si="3"/>
        <v>Y</v>
      </c>
    </row>
    <row r="822" spans="1:12">
      <c r="A822" s="9">
        <v>923</v>
      </c>
      <c r="B822" s="9">
        <v>118</v>
      </c>
      <c r="C822" s="9" t="s">
        <v>3035</v>
      </c>
      <c r="D822" s="9" t="s">
        <v>3036</v>
      </c>
      <c r="E822" s="9">
        <v>193</v>
      </c>
      <c r="F822" s="9" t="s">
        <v>3031</v>
      </c>
      <c r="G822" s="9">
        <v>0</v>
      </c>
      <c r="H822" s="9" t="s">
        <v>1923</v>
      </c>
      <c r="I822" s="9" t="s">
        <v>1924</v>
      </c>
      <c r="J822" s="9">
        <v>0</v>
      </c>
      <c r="K822" s="9" t="s">
        <v>1839</v>
      </c>
      <c r="L822" s="9" t="str">
        <f t="shared" si="3"/>
        <v>Y</v>
      </c>
    </row>
    <row r="823" spans="1:12">
      <c r="A823" s="9">
        <v>924</v>
      </c>
      <c r="B823" s="9">
        <v>122</v>
      </c>
      <c r="C823" s="9" t="s">
        <v>3037</v>
      </c>
      <c r="D823" s="9" t="s">
        <v>20</v>
      </c>
      <c r="E823" s="9">
        <v>223</v>
      </c>
      <c r="F823" s="9" t="s">
        <v>3038</v>
      </c>
      <c r="G823" s="9">
        <v>0</v>
      </c>
      <c r="J823" s="9">
        <v>0</v>
      </c>
      <c r="K823" s="9" t="s">
        <v>699</v>
      </c>
      <c r="L823" s="9" t="str">
        <f t="shared" si="3"/>
        <v>N</v>
      </c>
    </row>
    <row r="824" spans="1:12">
      <c r="A824" s="9">
        <v>925</v>
      </c>
      <c r="B824" s="9">
        <v>120</v>
      </c>
      <c r="C824" s="9" t="s">
        <v>3039</v>
      </c>
      <c r="D824" s="9" t="s">
        <v>20</v>
      </c>
      <c r="E824" s="9">
        <v>209</v>
      </c>
      <c r="F824" s="9" t="s">
        <v>3040</v>
      </c>
      <c r="G824" s="9">
        <v>0</v>
      </c>
      <c r="H824" s="9"/>
      <c r="I824" s="9"/>
      <c r="J824" s="9">
        <v>0</v>
      </c>
      <c r="K824" s="9" t="s">
        <v>699</v>
      </c>
      <c r="L824" s="9" t="str">
        <f t="shared" si="3"/>
        <v>N</v>
      </c>
    </row>
    <row r="825" spans="1:12">
      <c r="A825" s="9">
        <v>926</v>
      </c>
      <c r="B825" s="9">
        <v>125</v>
      </c>
      <c r="C825" s="9" t="s">
        <v>3041</v>
      </c>
      <c r="D825" s="9" t="s">
        <v>20</v>
      </c>
      <c r="E825" s="9">
        <v>238</v>
      </c>
      <c r="F825" s="9" t="s">
        <v>3042</v>
      </c>
      <c r="G825" s="9">
        <v>0</v>
      </c>
      <c r="H825" s="9"/>
      <c r="I825" s="9"/>
      <c r="J825" s="9">
        <v>0</v>
      </c>
      <c r="K825" s="9" t="s">
        <v>699</v>
      </c>
      <c r="L825" s="9" t="str">
        <f t="shared" si="3"/>
        <v>N</v>
      </c>
    </row>
    <row r="826" spans="1:12">
      <c r="A826" s="9">
        <v>927</v>
      </c>
      <c r="B826" s="9">
        <v>121</v>
      </c>
      <c r="C826" s="9" t="s">
        <v>3043</v>
      </c>
      <c r="D826" s="9" t="s">
        <v>3044</v>
      </c>
      <c r="E826" s="9">
        <v>216</v>
      </c>
      <c r="F826" s="9" t="s">
        <v>3045</v>
      </c>
      <c r="G826" s="9">
        <v>0</v>
      </c>
      <c r="H826" s="9" t="s">
        <v>2986</v>
      </c>
      <c r="I826" s="9" t="s">
        <v>2987</v>
      </c>
      <c r="J826" s="9">
        <v>0</v>
      </c>
      <c r="K826" s="9" t="s">
        <v>2707</v>
      </c>
      <c r="L826" s="9" t="str">
        <f t="shared" si="3"/>
        <v>Y</v>
      </c>
    </row>
    <row r="827" spans="1:12">
      <c r="A827" s="9">
        <v>928</v>
      </c>
      <c r="B827" s="9">
        <v>120</v>
      </c>
      <c r="C827" s="9" t="s">
        <v>3046</v>
      </c>
      <c r="D827" s="9" t="s">
        <v>20</v>
      </c>
      <c r="E827" s="9">
        <v>208</v>
      </c>
      <c r="F827" s="9" t="s">
        <v>3047</v>
      </c>
      <c r="G827" s="9">
        <v>0</v>
      </c>
      <c r="J827" s="9">
        <v>0</v>
      </c>
      <c r="K827" s="9" t="s">
        <v>699</v>
      </c>
      <c r="L827" s="9" t="str">
        <f t="shared" si="3"/>
        <v>N</v>
      </c>
    </row>
    <row r="828" spans="1:12">
      <c r="A828" s="9">
        <v>929</v>
      </c>
      <c r="B828" s="9">
        <v>119</v>
      </c>
      <c r="C828" s="9" t="s">
        <v>3048</v>
      </c>
      <c r="D828" s="9" t="s">
        <v>3049</v>
      </c>
      <c r="E828" s="9">
        <v>203</v>
      </c>
      <c r="F828" s="9" t="s">
        <v>3050</v>
      </c>
      <c r="G828" s="9">
        <v>0</v>
      </c>
      <c r="H828" s="9" t="s">
        <v>2050</v>
      </c>
      <c r="I828" s="9" t="s">
        <v>2051</v>
      </c>
      <c r="J828" s="9">
        <v>0</v>
      </c>
      <c r="K828" s="9" t="s">
        <v>2052</v>
      </c>
      <c r="L828" s="9" t="str">
        <f t="shared" si="3"/>
        <v>Y</v>
      </c>
    </row>
    <row r="829" spans="1:12">
      <c r="A829" s="9">
        <v>930</v>
      </c>
      <c r="B829" s="9">
        <v>119</v>
      </c>
      <c r="C829" s="9" t="s">
        <v>3051</v>
      </c>
      <c r="D829" s="9" t="s">
        <v>3052</v>
      </c>
      <c r="E829" s="9">
        <v>204</v>
      </c>
      <c r="F829" s="9" t="s">
        <v>3050</v>
      </c>
      <c r="G829" s="9">
        <v>0</v>
      </c>
      <c r="H829" s="9" t="s">
        <v>1872</v>
      </c>
      <c r="I829" s="9" t="s">
        <v>1873</v>
      </c>
      <c r="J829" s="9">
        <v>0</v>
      </c>
      <c r="K829" s="9" t="s">
        <v>1874</v>
      </c>
      <c r="L829" s="9" t="str">
        <f t="shared" si="3"/>
        <v>Y</v>
      </c>
    </row>
    <row r="830" spans="1:12">
      <c r="A830" s="9">
        <v>931</v>
      </c>
      <c r="B830" s="9">
        <v>118</v>
      </c>
      <c r="C830" s="9" t="s">
        <v>3053</v>
      </c>
      <c r="D830" s="9" t="s">
        <v>20</v>
      </c>
      <c r="E830" s="9">
        <v>196</v>
      </c>
      <c r="F830" s="9" t="s">
        <v>3054</v>
      </c>
      <c r="G830" s="9">
        <v>0</v>
      </c>
      <c r="H830" s="9"/>
      <c r="I830" s="9"/>
      <c r="J830" s="9">
        <v>0</v>
      </c>
      <c r="K830" s="9" t="s">
        <v>699</v>
      </c>
      <c r="L830" s="9" t="str">
        <f t="shared" si="3"/>
        <v>N</v>
      </c>
    </row>
    <row r="831" spans="1:12">
      <c r="A831" s="9">
        <v>932</v>
      </c>
      <c r="B831" s="9">
        <v>120</v>
      </c>
      <c r="C831" s="9" t="s">
        <v>3055</v>
      </c>
      <c r="D831" s="9" t="s">
        <v>3056</v>
      </c>
      <c r="E831" s="9">
        <v>209</v>
      </c>
      <c r="F831" s="9" t="s">
        <v>3057</v>
      </c>
      <c r="G831" s="9">
        <v>0</v>
      </c>
      <c r="H831" s="9" t="s">
        <v>3058</v>
      </c>
      <c r="I831" s="9" t="s">
        <v>3059</v>
      </c>
      <c r="J831" s="9">
        <v>0</v>
      </c>
      <c r="K831" s="9" t="s">
        <v>3060</v>
      </c>
      <c r="L831" s="9" t="str">
        <f t="shared" si="3"/>
        <v>Y</v>
      </c>
    </row>
    <row r="832" spans="1:12">
      <c r="A832" s="9">
        <v>933</v>
      </c>
      <c r="B832" s="9">
        <v>122</v>
      </c>
      <c r="C832" s="9" t="s">
        <v>3061</v>
      </c>
      <c r="D832" s="9" t="s">
        <v>20</v>
      </c>
      <c r="E832" s="9">
        <v>222</v>
      </c>
      <c r="F832" s="9" t="s">
        <v>3057</v>
      </c>
      <c r="G832" s="9">
        <v>0</v>
      </c>
      <c r="H832" s="9"/>
      <c r="I832" s="9"/>
      <c r="J832" s="9">
        <v>0</v>
      </c>
      <c r="K832" s="9" t="s">
        <v>699</v>
      </c>
      <c r="L832" s="9" t="str">
        <f t="shared" si="3"/>
        <v>N</v>
      </c>
    </row>
    <row r="833" spans="1:12">
      <c r="A833" s="9">
        <v>934</v>
      </c>
      <c r="B833" s="9">
        <v>126</v>
      </c>
      <c r="C833" s="9" t="s">
        <v>3062</v>
      </c>
      <c r="D833" s="9" t="s">
        <v>3063</v>
      </c>
      <c r="E833" s="9">
        <v>245</v>
      </c>
      <c r="F833" s="9" t="s">
        <v>3057</v>
      </c>
      <c r="G833" s="9">
        <v>2</v>
      </c>
      <c r="H833" s="9" t="s">
        <v>1971</v>
      </c>
      <c r="I833" s="9" t="s">
        <v>1972</v>
      </c>
      <c r="J833" s="9">
        <v>2</v>
      </c>
      <c r="K833" s="9" t="s">
        <v>1973</v>
      </c>
      <c r="L833" s="9" t="str">
        <f t="shared" si="3"/>
        <v>Y</v>
      </c>
    </row>
    <row r="834" spans="1:12">
      <c r="A834" s="9">
        <v>935</v>
      </c>
      <c r="B834" s="9">
        <v>120</v>
      </c>
      <c r="C834" s="9" t="s">
        <v>3064</v>
      </c>
      <c r="D834" s="9" t="s">
        <v>3065</v>
      </c>
      <c r="E834" s="9">
        <v>208</v>
      </c>
      <c r="F834" s="9" t="s">
        <v>3066</v>
      </c>
      <c r="G834" s="9">
        <v>0</v>
      </c>
      <c r="H834" s="9" t="s">
        <v>2034</v>
      </c>
      <c r="I834" s="9" t="s">
        <v>2035</v>
      </c>
      <c r="J834" s="9">
        <v>0</v>
      </c>
      <c r="K834" s="9" t="s">
        <v>2036</v>
      </c>
      <c r="L834" s="9" t="str">
        <f t="shared" si="3"/>
        <v>Y</v>
      </c>
    </row>
    <row r="835" spans="1:12">
      <c r="A835" s="9">
        <v>936</v>
      </c>
      <c r="B835" s="9">
        <v>118</v>
      </c>
      <c r="C835" s="9" t="s">
        <v>3067</v>
      </c>
      <c r="D835" s="9" t="s">
        <v>3068</v>
      </c>
      <c r="E835" s="9">
        <v>194</v>
      </c>
      <c r="F835" s="9" t="s">
        <v>3069</v>
      </c>
      <c r="G835" s="9">
        <v>0</v>
      </c>
      <c r="H835" s="9" t="s">
        <v>1872</v>
      </c>
      <c r="I835" s="9" t="s">
        <v>1873</v>
      </c>
      <c r="J835" s="9">
        <v>0</v>
      </c>
      <c r="K835" s="9" t="s">
        <v>1874</v>
      </c>
      <c r="L835" s="9" t="str">
        <f t="shared" si="3"/>
        <v>Y</v>
      </c>
    </row>
    <row r="836" spans="1:12">
      <c r="A836" s="9">
        <v>937</v>
      </c>
      <c r="B836" s="9">
        <v>120</v>
      </c>
      <c r="C836" s="9" t="s">
        <v>3070</v>
      </c>
      <c r="D836" s="9" t="s">
        <v>3071</v>
      </c>
      <c r="E836" s="9">
        <v>210</v>
      </c>
      <c r="F836" s="9" t="s">
        <v>3072</v>
      </c>
      <c r="G836" s="9">
        <v>0</v>
      </c>
      <c r="H836" s="9" t="s">
        <v>2034</v>
      </c>
      <c r="I836" s="9" t="s">
        <v>2035</v>
      </c>
      <c r="J836" s="9">
        <v>0</v>
      </c>
      <c r="K836" s="9" t="s">
        <v>2036</v>
      </c>
      <c r="L836" s="9" t="str">
        <f t="shared" si="3"/>
        <v>Y</v>
      </c>
    </row>
    <row r="837" spans="1:12">
      <c r="A837" s="9">
        <v>938</v>
      </c>
      <c r="B837" s="9">
        <v>120</v>
      </c>
      <c r="C837" s="9" t="s">
        <v>3073</v>
      </c>
      <c r="D837" s="9" t="s">
        <v>3074</v>
      </c>
      <c r="E837" s="9">
        <v>209</v>
      </c>
      <c r="F837" s="9" t="s">
        <v>3075</v>
      </c>
      <c r="G837" s="9">
        <v>0</v>
      </c>
      <c r="H837" s="9" t="s">
        <v>3058</v>
      </c>
      <c r="I837" s="9" t="s">
        <v>3059</v>
      </c>
      <c r="J837" s="9">
        <v>0</v>
      </c>
      <c r="K837" s="9" t="s">
        <v>3060</v>
      </c>
      <c r="L837" s="9" t="str">
        <f t="shared" si="3"/>
        <v>Y</v>
      </c>
    </row>
    <row r="838" spans="1:12">
      <c r="A838" s="9">
        <v>939</v>
      </c>
      <c r="B838" s="9">
        <v>119</v>
      </c>
      <c r="C838" s="9" t="s">
        <v>3076</v>
      </c>
      <c r="D838" s="9" t="s">
        <v>3077</v>
      </c>
      <c r="E838" s="9">
        <v>200</v>
      </c>
      <c r="F838" s="9" t="s">
        <v>3078</v>
      </c>
      <c r="G838" s="9">
        <v>1</v>
      </c>
      <c r="H838" s="9" t="s">
        <v>2977</v>
      </c>
      <c r="I838" s="9" t="s">
        <v>2978</v>
      </c>
      <c r="J838" s="9">
        <v>2</v>
      </c>
      <c r="K838" s="9" t="s">
        <v>1820</v>
      </c>
      <c r="L838" s="9" t="str">
        <f t="shared" si="3"/>
        <v>Y</v>
      </c>
    </row>
    <row r="839" spans="1:12">
      <c r="A839" s="9">
        <v>940</v>
      </c>
      <c r="B839" s="9">
        <v>118</v>
      </c>
      <c r="C839" s="9" t="s">
        <v>3079</v>
      </c>
      <c r="D839" s="9" t="s">
        <v>3080</v>
      </c>
      <c r="E839" s="9">
        <v>194</v>
      </c>
      <c r="F839" s="9" t="s">
        <v>3078</v>
      </c>
      <c r="G839" s="9">
        <v>3</v>
      </c>
      <c r="H839" s="9" t="s">
        <v>1872</v>
      </c>
      <c r="I839" s="9" t="s">
        <v>1873</v>
      </c>
      <c r="J839" s="9">
        <v>3</v>
      </c>
      <c r="K839" s="9" t="s">
        <v>1874</v>
      </c>
      <c r="L839" s="9" t="str">
        <f t="shared" si="3"/>
        <v>Y</v>
      </c>
    </row>
    <row r="840" spans="1:12">
      <c r="A840" s="9">
        <v>941</v>
      </c>
      <c r="B840" s="9">
        <v>125</v>
      </c>
      <c r="C840" s="9" t="s">
        <v>3081</v>
      </c>
      <c r="D840" s="9" t="s">
        <v>3082</v>
      </c>
      <c r="E840" s="9">
        <v>238</v>
      </c>
      <c r="F840" s="9" t="s">
        <v>3083</v>
      </c>
      <c r="G840" s="9">
        <v>0</v>
      </c>
      <c r="H840" s="9" t="s">
        <v>2050</v>
      </c>
      <c r="I840" s="9" t="s">
        <v>2051</v>
      </c>
      <c r="J840" s="9">
        <v>0</v>
      </c>
      <c r="K840" s="9" t="s">
        <v>2052</v>
      </c>
      <c r="L840" s="9" t="str">
        <f t="shared" si="3"/>
        <v>Y</v>
      </c>
    </row>
    <row r="841" spans="1:12">
      <c r="A841" s="9">
        <v>942</v>
      </c>
      <c r="B841" s="9">
        <v>119</v>
      </c>
      <c r="C841" s="9" t="s">
        <v>3084</v>
      </c>
      <c r="D841" s="9" t="s">
        <v>3085</v>
      </c>
      <c r="E841" s="9">
        <v>204</v>
      </c>
      <c r="F841" s="9" t="s">
        <v>3086</v>
      </c>
      <c r="G841" s="9">
        <v>0</v>
      </c>
      <c r="H841" s="9" t="s">
        <v>1872</v>
      </c>
      <c r="I841" s="9" t="s">
        <v>1873</v>
      </c>
      <c r="J841" s="9">
        <v>0</v>
      </c>
      <c r="K841" s="9" t="s">
        <v>1874</v>
      </c>
      <c r="L841" s="9" t="str">
        <f t="shared" si="3"/>
        <v>Y</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outlinePr summaryBelow="0" summaryRight="0"/>
  </sheetPr>
  <dimension ref="A1:L560"/>
  <sheetViews>
    <sheetView workbookViewId="0">
      <pane ySplit="1" topLeftCell="A149" activePane="bottomLeft" state="frozen"/>
      <selection pane="bottomLeft" activeCell="P22" sqref="P22"/>
    </sheetView>
  </sheetViews>
  <sheetFormatPr defaultColWidth="12.5703125" defaultRowHeight="15.75" customHeight="1"/>
  <cols>
    <col min="1" max="1" width="9.42578125" bestFit="1" customWidth="1"/>
    <col min="2" max="2" width="8.7109375" bestFit="1" customWidth="1"/>
    <col min="3" max="3" width="35.5703125" hidden="1" customWidth="1"/>
    <col min="4" max="4" width="36.42578125" hidden="1" customWidth="1"/>
    <col min="5" max="5" width="9" bestFit="1" customWidth="1"/>
    <col min="6" max="6" width="18.140625" bestFit="1" customWidth="1"/>
    <col min="7" max="7" width="4.85546875" bestFit="1" customWidth="1"/>
    <col min="8" max="8" width="16" bestFit="1" customWidth="1"/>
    <col min="9" max="9" width="18.7109375" bestFit="1" customWidth="1"/>
    <col min="10" max="10" width="6.28515625" bestFit="1" customWidth="1"/>
    <col min="11" max="11" width="44" bestFit="1" customWidth="1"/>
  </cols>
  <sheetData>
    <row r="1" spans="1:12">
      <c r="A1" s="111" t="s">
        <v>4610</v>
      </c>
      <c r="B1" s="9" t="s">
        <v>4</v>
      </c>
      <c r="C1" s="9" t="s">
        <v>690</v>
      </c>
      <c r="D1" s="9" t="s">
        <v>691</v>
      </c>
      <c r="E1" s="9" t="s">
        <v>3</v>
      </c>
      <c r="F1" s="9" t="s">
        <v>110</v>
      </c>
      <c r="G1" s="9" t="s">
        <v>3087</v>
      </c>
      <c r="H1" s="9" t="s">
        <v>3088</v>
      </c>
      <c r="I1" s="9" t="s">
        <v>3089</v>
      </c>
      <c r="J1" s="9" t="s">
        <v>695</v>
      </c>
      <c r="K1" s="111" t="s">
        <v>4611</v>
      </c>
      <c r="L1" s="9" t="s">
        <v>2</v>
      </c>
    </row>
    <row r="2" spans="1:12">
      <c r="A2" s="9">
        <v>102</v>
      </c>
      <c r="B2" s="9">
        <v>110</v>
      </c>
      <c r="C2" s="9" t="s">
        <v>3090</v>
      </c>
      <c r="D2" s="9" t="s">
        <v>3091</v>
      </c>
      <c r="E2" s="9">
        <v>144</v>
      </c>
      <c r="F2" s="9" t="s">
        <v>3092</v>
      </c>
      <c r="G2" s="9">
        <v>0</v>
      </c>
      <c r="H2" s="9" t="s">
        <v>3093</v>
      </c>
      <c r="I2" s="9">
        <v>37</v>
      </c>
      <c r="J2" s="9">
        <v>0</v>
      </c>
      <c r="K2" s="9" t="s">
        <v>1504</v>
      </c>
      <c r="L2" s="9" t="str">
        <f t="shared" ref="L2:L256" si="0">IF(D2="\N","N","Y")</f>
        <v>Y</v>
      </c>
    </row>
    <row r="3" spans="1:12">
      <c r="A3" s="9">
        <v>103</v>
      </c>
      <c r="B3" s="9">
        <v>110</v>
      </c>
      <c r="C3" s="9" t="s">
        <v>3094</v>
      </c>
      <c r="D3" s="9" t="s">
        <v>3095</v>
      </c>
      <c r="E3" s="9">
        <v>144</v>
      </c>
      <c r="F3" s="9" t="s">
        <v>3096</v>
      </c>
      <c r="G3" s="9">
        <v>1</v>
      </c>
      <c r="H3" s="9" t="s">
        <v>3093</v>
      </c>
      <c r="I3" s="9">
        <v>127</v>
      </c>
      <c r="J3" s="9">
        <v>0</v>
      </c>
      <c r="K3" s="9" t="s">
        <v>3097</v>
      </c>
      <c r="L3" s="9" t="str">
        <f t="shared" si="0"/>
        <v>Y</v>
      </c>
    </row>
    <row r="4" spans="1:12">
      <c r="A4" s="9">
        <v>104</v>
      </c>
      <c r="B4" s="9">
        <v>110</v>
      </c>
      <c r="C4" s="9" t="s">
        <v>3098</v>
      </c>
      <c r="D4" s="9" t="s">
        <v>3099</v>
      </c>
      <c r="E4" s="9">
        <v>146</v>
      </c>
      <c r="F4" s="9" t="s">
        <v>3100</v>
      </c>
      <c r="G4" s="9">
        <v>1</v>
      </c>
      <c r="H4" s="9" t="s">
        <v>3093</v>
      </c>
      <c r="I4" s="9">
        <v>36</v>
      </c>
      <c r="J4" s="9">
        <v>5</v>
      </c>
      <c r="K4" s="9" t="s">
        <v>1504</v>
      </c>
      <c r="L4" s="9" t="str">
        <f t="shared" si="0"/>
        <v>Y</v>
      </c>
    </row>
    <row r="5" spans="1:12">
      <c r="A5" s="9">
        <v>105</v>
      </c>
      <c r="B5" s="9">
        <v>111</v>
      </c>
      <c r="C5" s="9" t="s">
        <v>3101</v>
      </c>
      <c r="D5" s="9" t="s">
        <v>3102</v>
      </c>
      <c r="E5" s="9">
        <v>149</v>
      </c>
      <c r="F5" s="9" t="s">
        <v>3103</v>
      </c>
      <c r="G5" s="9">
        <v>1</v>
      </c>
      <c r="H5" s="9" t="s">
        <v>3093</v>
      </c>
      <c r="I5" s="9">
        <v>47</v>
      </c>
      <c r="J5" s="9">
        <v>0</v>
      </c>
      <c r="K5" s="9" t="s">
        <v>1504</v>
      </c>
      <c r="L5" s="9" t="str">
        <f t="shared" si="0"/>
        <v>Y</v>
      </c>
    </row>
    <row r="6" spans="1:12">
      <c r="A6" s="9">
        <v>106</v>
      </c>
      <c r="B6" s="9">
        <v>110</v>
      </c>
      <c r="C6" s="9" t="s">
        <v>3104</v>
      </c>
      <c r="D6" s="9" t="s">
        <v>3105</v>
      </c>
      <c r="E6" s="9">
        <v>144</v>
      </c>
      <c r="F6" s="9" t="s">
        <v>3106</v>
      </c>
      <c r="G6" s="9">
        <v>1</v>
      </c>
      <c r="H6" s="9" t="s">
        <v>3093</v>
      </c>
      <c r="I6" s="9">
        <v>225</v>
      </c>
      <c r="J6" s="9">
        <v>0</v>
      </c>
      <c r="K6" s="9" t="s">
        <v>3107</v>
      </c>
      <c r="L6" s="9" t="str">
        <f t="shared" si="0"/>
        <v>Y</v>
      </c>
    </row>
    <row r="7" spans="1:12">
      <c r="A7" s="9">
        <v>107</v>
      </c>
      <c r="B7" s="9">
        <v>110</v>
      </c>
      <c r="C7" s="9" t="s">
        <v>3108</v>
      </c>
      <c r="D7" s="9" t="s">
        <v>3109</v>
      </c>
      <c r="E7" s="9">
        <v>143</v>
      </c>
      <c r="F7" s="9" t="s">
        <v>3110</v>
      </c>
      <c r="G7" s="9">
        <v>0</v>
      </c>
      <c r="H7" s="9" t="s">
        <v>3093</v>
      </c>
      <c r="I7" s="9">
        <v>78</v>
      </c>
      <c r="J7" s="9">
        <v>0</v>
      </c>
      <c r="K7" s="9" t="s">
        <v>1001</v>
      </c>
      <c r="L7" s="9" t="str">
        <f t="shared" si="0"/>
        <v>Y</v>
      </c>
    </row>
    <row r="8" spans="1:12">
      <c r="A8" s="9">
        <v>108</v>
      </c>
      <c r="B8" s="9">
        <v>116</v>
      </c>
      <c r="C8" s="9" t="s">
        <v>3111</v>
      </c>
      <c r="D8" s="9" t="s">
        <v>3112</v>
      </c>
      <c r="E8" s="9">
        <v>180</v>
      </c>
      <c r="F8" s="9" t="s">
        <v>3113</v>
      </c>
      <c r="G8" s="9">
        <v>1</v>
      </c>
      <c r="H8" s="9" t="s">
        <v>3093</v>
      </c>
      <c r="I8" s="9">
        <v>72</v>
      </c>
      <c r="J8" s="9">
        <v>0</v>
      </c>
      <c r="K8" s="9" t="s">
        <v>1001</v>
      </c>
      <c r="L8" s="9" t="str">
        <f t="shared" si="0"/>
        <v>Y</v>
      </c>
    </row>
    <row r="9" spans="1:12">
      <c r="A9" s="9">
        <v>109</v>
      </c>
      <c r="B9" s="9">
        <v>117</v>
      </c>
      <c r="C9" s="9" t="s">
        <v>3114</v>
      </c>
      <c r="D9" s="9" t="s">
        <v>20</v>
      </c>
      <c r="E9" s="9">
        <v>188</v>
      </c>
      <c r="F9" s="9" t="s">
        <v>3115</v>
      </c>
      <c r="G9" s="9">
        <v>0</v>
      </c>
      <c r="H9" s="9" t="s">
        <v>3093</v>
      </c>
      <c r="I9" s="9">
        <v>143</v>
      </c>
      <c r="J9" s="9">
        <v>0</v>
      </c>
      <c r="K9" s="9" t="s">
        <v>699</v>
      </c>
      <c r="L9" s="9" t="str">
        <f t="shared" si="0"/>
        <v>N</v>
      </c>
    </row>
    <row r="10" spans="1:12">
      <c r="A10" s="9">
        <v>110</v>
      </c>
      <c r="B10" s="9">
        <v>110</v>
      </c>
      <c r="C10" s="9" t="s">
        <v>3116</v>
      </c>
      <c r="D10" s="9" t="s">
        <v>3117</v>
      </c>
      <c r="E10" s="9">
        <v>146</v>
      </c>
      <c r="F10" s="9" t="s">
        <v>3118</v>
      </c>
      <c r="G10" s="9">
        <v>0</v>
      </c>
      <c r="H10" s="9" t="s">
        <v>3093</v>
      </c>
      <c r="I10" s="9">
        <v>50</v>
      </c>
      <c r="J10" s="9">
        <v>4</v>
      </c>
      <c r="K10" s="9" t="s">
        <v>1504</v>
      </c>
      <c r="L10" s="9" t="str">
        <f t="shared" si="0"/>
        <v>Y</v>
      </c>
    </row>
    <row r="11" spans="1:12">
      <c r="A11" s="9">
        <v>111</v>
      </c>
      <c r="B11" s="9">
        <v>112</v>
      </c>
      <c r="C11" s="9" t="s">
        <v>3119</v>
      </c>
      <c r="D11" s="9" t="s">
        <v>3120</v>
      </c>
      <c r="E11" s="9">
        <v>156</v>
      </c>
      <c r="F11" s="9" t="s">
        <v>3121</v>
      </c>
      <c r="G11" s="9">
        <v>1</v>
      </c>
      <c r="H11" s="9" t="s">
        <v>3093</v>
      </c>
      <c r="I11" s="9">
        <v>59</v>
      </c>
      <c r="J11" s="9">
        <v>0</v>
      </c>
      <c r="K11" s="9" t="s">
        <v>853</v>
      </c>
      <c r="L11" s="9" t="str">
        <f t="shared" si="0"/>
        <v>Y</v>
      </c>
    </row>
    <row r="12" spans="1:12">
      <c r="A12" s="9">
        <v>112</v>
      </c>
      <c r="B12" s="9">
        <v>117</v>
      </c>
      <c r="C12" s="9" t="s">
        <v>3122</v>
      </c>
      <c r="D12" s="9" t="s">
        <v>3123</v>
      </c>
      <c r="E12" s="9">
        <v>188</v>
      </c>
      <c r="F12" s="9" t="s">
        <v>3124</v>
      </c>
      <c r="G12" s="9">
        <v>1</v>
      </c>
      <c r="H12" s="9" t="s">
        <v>3093</v>
      </c>
      <c r="I12" s="9">
        <v>192</v>
      </c>
      <c r="J12" s="9">
        <v>0</v>
      </c>
      <c r="K12" s="9" t="s">
        <v>3125</v>
      </c>
      <c r="L12" s="9" t="str">
        <f t="shared" si="0"/>
        <v>Y</v>
      </c>
    </row>
    <row r="13" spans="1:12">
      <c r="A13" s="9">
        <v>113</v>
      </c>
      <c r="B13" s="9">
        <v>110</v>
      </c>
      <c r="C13" s="9" t="s">
        <v>3126</v>
      </c>
      <c r="D13" s="9" t="s">
        <v>3127</v>
      </c>
      <c r="E13" s="9">
        <v>143</v>
      </c>
      <c r="F13" s="9" t="s">
        <v>3128</v>
      </c>
      <c r="G13" s="9">
        <v>0</v>
      </c>
      <c r="H13" s="9" t="s">
        <v>3093</v>
      </c>
      <c r="I13" s="9">
        <v>227</v>
      </c>
      <c r="J13" s="9">
        <v>2</v>
      </c>
      <c r="K13" s="9" t="s">
        <v>3107</v>
      </c>
      <c r="L13" s="9" t="str">
        <f t="shared" si="0"/>
        <v>Y</v>
      </c>
    </row>
    <row r="14" spans="1:12">
      <c r="A14" s="9">
        <v>114</v>
      </c>
      <c r="B14" s="9">
        <v>114</v>
      </c>
      <c r="C14" s="9" t="s">
        <v>3129</v>
      </c>
      <c r="D14" s="9" t="s">
        <v>3130</v>
      </c>
      <c r="E14" s="9">
        <v>169</v>
      </c>
      <c r="F14" s="9" t="s">
        <v>3131</v>
      </c>
      <c r="G14" s="9">
        <v>1</v>
      </c>
      <c r="H14" s="9" t="s">
        <v>3093</v>
      </c>
      <c r="I14" s="9">
        <v>44</v>
      </c>
      <c r="J14" s="9">
        <v>3</v>
      </c>
      <c r="K14" s="9" t="s">
        <v>1504</v>
      </c>
      <c r="L14" s="9" t="str">
        <f t="shared" si="0"/>
        <v>Y</v>
      </c>
    </row>
    <row r="15" spans="1:12">
      <c r="A15" s="9">
        <v>115</v>
      </c>
      <c r="B15" s="9">
        <v>109</v>
      </c>
      <c r="C15" s="9" t="s">
        <v>3132</v>
      </c>
      <c r="D15" s="9" t="s">
        <v>3133</v>
      </c>
      <c r="E15" s="9">
        <v>136</v>
      </c>
      <c r="F15" s="9" t="s">
        <v>3134</v>
      </c>
      <c r="G15" s="9">
        <v>1</v>
      </c>
      <c r="H15" s="9" t="s">
        <v>3093</v>
      </c>
      <c r="I15" s="9">
        <v>225</v>
      </c>
      <c r="J15" s="9">
        <v>0</v>
      </c>
      <c r="K15" s="9" t="s">
        <v>3107</v>
      </c>
      <c r="L15" s="9" t="str">
        <f t="shared" si="0"/>
        <v>Y</v>
      </c>
    </row>
    <row r="16" spans="1:12">
      <c r="A16" s="9">
        <v>116</v>
      </c>
      <c r="B16" s="9">
        <v>117</v>
      </c>
      <c r="C16" s="9" t="s">
        <v>3135</v>
      </c>
      <c r="D16" s="9" t="s">
        <v>3136</v>
      </c>
      <c r="E16" s="9">
        <v>185</v>
      </c>
      <c r="F16" s="9" t="s">
        <v>3137</v>
      </c>
      <c r="G16" s="9">
        <v>1</v>
      </c>
      <c r="H16" s="9" t="s">
        <v>3093</v>
      </c>
      <c r="I16" s="9">
        <v>38</v>
      </c>
      <c r="J16" s="9">
        <v>0</v>
      </c>
      <c r="K16" s="9" t="s">
        <v>1504</v>
      </c>
      <c r="L16" s="9" t="str">
        <f t="shared" si="0"/>
        <v>Y</v>
      </c>
    </row>
    <row r="17" spans="1:12">
      <c r="A17" s="9">
        <v>117</v>
      </c>
      <c r="B17" s="9">
        <v>111</v>
      </c>
      <c r="C17" s="9" t="s">
        <v>3138</v>
      </c>
      <c r="D17" s="9" t="s">
        <v>3139</v>
      </c>
      <c r="E17" s="9">
        <v>149</v>
      </c>
      <c r="F17" s="9" t="s">
        <v>3137</v>
      </c>
      <c r="G17" s="9">
        <v>0</v>
      </c>
      <c r="H17" s="9" t="s">
        <v>3093</v>
      </c>
      <c r="I17" s="9">
        <v>152</v>
      </c>
      <c r="J17" s="9">
        <v>0</v>
      </c>
      <c r="K17" s="9" t="s">
        <v>3140</v>
      </c>
      <c r="L17" s="9" t="str">
        <f t="shared" si="0"/>
        <v>Y</v>
      </c>
    </row>
    <row r="18" spans="1:12">
      <c r="A18" s="9">
        <v>118</v>
      </c>
      <c r="B18" s="9">
        <v>116</v>
      </c>
      <c r="C18" s="9" t="s">
        <v>3141</v>
      </c>
      <c r="D18" s="9" t="s">
        <v>3142</v>
      </c>
      <c r="E18" s="9">
        <v>182</v>
      </c>
      <c r="F18" s="9" t="s">
        <v>3143</v>
      </c>
      <c r="G18" s="9">
        <v>1</v>
      </c>
      <c r="H18" s="9" t="s">
        <v>3093</v>
      </c>
      <c r="I18" s="9">
        <v>36</v>
      </c>
      <c r="J18" s="9">
        <v>0</v>
      </c>
      <c r="K18" s="9" t="s">
        <v>1504</v>
      </c>
      <c r="L18" s="9" t="str">
        <f t="shared" si="0"/>
        <v>Y</v>
      </c>
    </row>
    <row r="19" spans="1:12">
      <c r="A19" s="9">
        <v>119</v>
      </c>
      <c r="B19" s="9">
        <v>110</v>
      </c>
      <c r="C19" s="9" t="s">
        <v>3144</v>
      </c>
      <c r="D19" s="9" t="s">
        <v>3145</v>
      </c>
      <c r="E19" s="9">
        <v>143</v>
      </c>
      <c r="F19" s="9" t="s">
        <v>3146</v>
      </c>
      <c r="G19" s="9">
        <v>0</v>
      </c>
      <c r="H19" s="9" t="s">
        <v>3093</v>
      </c>
      <c r="I19" s="9">
        <v>229</v>
      </c>
      <c r="J19" s="9">
        <v>2</v>
      </c>
      <c r="K19" s="9" t="s">
        <v>3107</v>
      </c>
      <c r="L19" s="9" t="str">
        <f t="shared" si="0"/>
        <v>Y</v>
      </c>
    </row>
    <row r="20" spans="1:12">
      <c r="A20" s="9">
        <v>120</v>
      </c>
      <c r="B20" s="9">
        <v>110</v>
      </c>
      <c r="C20" s="9" t="s">
        <v>3147</v>
      </c>
      <c r="D20" s="9" t="s">
        <v>3148</v>
      </c>
      <c r="E20" s="9">
        <v>144</v>
      </c>
      <c r="F20" s="9" t="s">
        <v>3149</v>
      </c>
      <c r="G20" s="9">
        <v>0</v>
      </c>
      <c r="H20" s="9" t="s">
        <v>3093</v>
      </c>
      <c r="I20" s="9">
        <v>216</v>
      </c>
      <c r="J20" s="9">
        <v>0</v>
      </c>
      <c r="K20" s="9" t="s">
        <v>752</v>
      </c>
      <c r="L20" s="9" t="str">
        <f t="shared" si="0"/>
        <v>Y</v>
      </c>
    </row>
    <row r="21" spans="1:12">
      <c r="A21" s="9">
        <v>121</v>
      </c>
      <c r="B21" s="9">
        <v>111</v>
      </c>
      <c r="C21" s="9" t="s">
        <v>3150</v>
      </c>
      <c r="D21" s="9" t="s">
        <v>3151</v>
      </c>
      <c r="E21" s="9">
        <v>151</v>
      </c>
      <c r="F21" s="9" t="s">
        <v>3152</v>
      </c>
      <c r="G21" s="9">
        <v>1</v>
      </c>
      <c r="H21" s="9" t="s">
        <v>3093</v>
      </c>
      <c r="I21" s="9">
        <v>44</v>
      </c>
      <c r="J21" s="9">
        <v>0</v>
      </c>
      <c r="K21" s="9" t="s">
        <v>1504</v>
      </c>
      <c r="L21" s="9" t="str">
        <f t="shared" si="0"/>
        <v>Y</v>
      </c>
    </row>
    <row r="22" spans="1:12">
      <c r="A22" s="9">
        <v>122</v>
      </c>
      <c r="B22" s="9">
        <v>117</v>
      </c>
      <c r="C22" s="9" t="s">
        <v>3153</v>
      </c>
      <c r="D22" s="9" t="s">
        <v>3154</v>
      </c>
      <c r="E22" s="9">
        <v>188</v>
      </c>
      <c r="F22" s="9" t="s">
        <v>3155</v>
      </c>
      <c r="G22" s="9">
        <v>1</v>
      </c>
      <c r="H22" s="9" t="s">
        <v>3093</v>
      </c>
      <c r="I22" s="9">
        <v>151</v>
      </c>
      <c r="J22" s="9">
        <v>0</v>
      </c>
      <c r="K22" s="9" t="s">
        <v>3140</v>
      </c>
      <c r="L22" s="9" t="str">
        <f t="shared" si="0"/>
        <v>Y</v>
      </c>
    </row>
    <row r="23" spans="1:12">
      <c r="A23" s="9">
        <v>123</v>
      </c>
      <c r="B23" s="9">
        <v>113</v>
      </c>
      <c r="C23" s="9" t="s">
        <v>3156</v>
      </c>
      <c r="D23" s="9" t="s">
        <v>3157</v>
      </c>
      <c r="E23" s="9">
        <v>161</v>
      </c>
      <c r="F23" s="9" t="s">
        <v>3155</v>
      </c>
      <c r="G23" s="9">
        <v>1</v>
      </c>
      <c r="H23" s="9" t="s">
        <v>3093</v>
      </c>
      <c r="I23" s="9">
        <v>44</v>
      </c>
      <c r="J23" s="9">
        <v>0</v>
      </c>
      <c r="K23" s="9" t="s">
        <v>1504</v>
      </c>
      <c r="L23" s="9" t="str">
        <f t="shared" si="0"/>
        <v>Y</v>
      </c>
    </row>
    <row r="24" spans="1:12">
      <c r="A24" s="9">
        <v>124</v>
      </c>
      <c r="B24" s="9">
        <v>117</v>
      </c>
      <c r="C24" s="9" t="s">
        <v>3158</v>
      </c>
      <c r="D24" s="9" t="s">
        <v>3159</v>
      </c>
      <c r="E24" s="9">
        <v>186</v>
      </c>
      <c r="F24" s="9" t="s">
        <v>3160</v>
      </c>
      <c r="G24" s="9">
        <v>1</v>
      </c>
      <c r="H24" s="9" t="s">
        <v>3093</v>
      </c>
      <c r="I24" s="9">
        <v>227</v>
      </c>
      <c r="J24" s="9">
        <v>2</v>
      </c>
      <c r="K24" s="9" t="s">
        <v>3107</v>
      </c>
      <c r="L24" s="9" t="str">
        <f t="shared" si="0"/>
        <v>Y</v>
      </c>
    </row>
    <row r="25" spans="1:12">
      <c r="A25" s="9">
        <v>125</v>
      </c>
      <c r="B25" s="9">
        <v>111</v>
      </c>
      <c r="C25" s="9" t="s">
        <v>3161</v>
      </c>
      <c r="D25" s="9" t="s">
        <v>20</v>
      </c>
      <c r="E25" s="9">
        <v>152</v>
      </c>
      <c r="F25" s="9" t="s">
        <v>3162</v>
      </c>
      <c r="G25" s="9">
        <v>0</v>
      </c>
      <c r="H25" s="9" t="s">
        <v>3093</v>
      </c>
      <c r="I25" s="9">
        <v>37</v>
      </c>
      <c r="J25" s="9">
        <v>0</v>
      </c>
      <c r="K25" s="9" t="s">
        <v>699</v>
      </c>
      <c r="L25" s="9" t="str">
        <f t="shared" si="0"/>
        <v>N</v>
      </c>
    </row>
    <row r="26" spans="1:12">
      <c r="A26" s="9">
        <v>126</v>
      </c>
      <c r="B26" s="9">
        <v>112</v>
      </c>
      <c r="C26" s="9" t="s">
        <v>3163</v>
      </c>
      <c r="D26" s="9" t="s">
        <v>3164</v>
      </c>
      <c r="E26" s="9">
        <v>157</v>
      </c>
      <c r="F26" s="9" t="s">
        <v>3165</v>
      </c>
      <c r="G26" s="9">
        <v>1</v>
      </c>
      <c r="H26" s="9" t="s">
        <v>3093</v>
      </c>
      <c r="I26" s="9">
        <v>77</v>
      </c>
      <c r="J26" s="9">
        <v>12</v>
      </c>
      <c r="K26" s="9" t="s">
        <v>1001</v>
      </c>
      <c r="L26" s="9" t="str">
        <f t="shared" si="0"/>
        <v>Y</v>
      </c>
    </row>
    <row r="27" spans="1:12">
      <c r="A27" s="9">
        <v>127</v>
      </c>
      <c r="B27" s="9">
        <v>117</v>
      </c>
      <c r="C27" s="9" t="s">
        <v>3166</v>
      </c>
      <c r="D27" s="9" t="s">
        <v>3167</v>
      </c>
      <c r="E27" s="9">
        <v>187</v>
      </c>
      <c r="F27" s="9" t="s">
        <v>3168</v>
      </c>
      <c r="G27" s="9">
        <v>1</v>
      </c>
      <c r="H27" s="9" t="s">
        <v>3093</v>
      </c>
      <c r="I27" s="9">
        <v>180</v>
      </c>
      <c r="J27" s="9">
        <v>0</v>
      </c>
      <c r="K27" s="9" t="s">
        <v>3169</v>
      </c>
      <c r="L27" s="9" t="str">
        <f t="shared" si="0"/>
        <v>Y</v>
      </c>
    </row>
    <row r="28" spans="1:12">
      <c r="A28" s="9">
        <v>128</v>
      </c>
      <c r="B28" s="9">
        <v>116</v>
      </c>
      <c r="C28" s="9" t="s">
        <v>3170</v>
      </c>
      <c r="D28" s="9" t="s">
        <v>3171</v>
      </c>
      <c r="E28" s="9">
        <v>180</v>
      </c>
      <c r="F28" s="9" t="s">
        <v>3172</v>
      </c>
      <c r="G28" s="9">
        <v>1</v>
      </c>
      <c r="H28" s="9" t="s">
        <v>3093</v>
      </c>
      <c r="I28" s="9">
        <v>77</v>
      </c>
      <c r="J28" s="9">
        <v>0</v>
      </c>
      <c r="K28" s="9" t="s">
        <v>1001</v>
      </c>
      <c r="L28" s="9" t="str">
        <f t="shared" si="0"/>
        <v>Y</v>
      </c>
    </row>
    <row r="29" spans="1:12">
      <c r="A29" s="9">
        <v>129</v>
      </c>
      <c r="B29" s="9">
        <v>110</v>
      </c>
      <c r="C29" s="9" t="s">
        <v>3173</v>
      </c>
      <c r="D29" s="9" t="s">
        <v>3174</v>
      </c>
      <c r="E29" s="9">
        <v>143</v>
      </c>
      <c r="F29" s="9" t="s">
        <v>3175</v>
      </c>
      <c r="G29" s="9">
        <v>0</v>
      </c>
      <c r="H29" s="9" t="s">
        <v>3093</v>
      </c>
      <c r="I29" s="9">
        <v>230</v>
      </c>
      <c r="J29" s="9">
        <v>0</v>
      </c>
      <c r="K29" s="9" t="s">
        <v>3107</v>
      </c>
      <c r="L29" s="9" t="str">
        <f t="shared" si="0"/>
        <v>Y</v>
      </c>
    </row>
    <row r="30" spans="1:12">
      <c r="A30" s="9">
        <v>130</v>
      </c>
      <c r="B30" s="9">
        <v>116</v>
      </c>
      <c r="C30" s="9" t="s">
        <v>3176</v>
      </c>
      <c r="D30" s="9" t="s">
        <v>3177</v>
      </c>
      <c r="E30" s="9">
        <v>182</v>
      </c>
      <c r="F30" s="9" t="s">
        <v>3178</v>
      </c>
      <c r="G30" s="9">
        <v>1</v>
      </c>
      <c r="H30" s="9" t="s">
        <v>3093</v>
      </c>
      <c r="I30" s="9">
        <v>37</v>
      </c>
      <c r="J30" s="9">
        <v>0</v>
      </c>
      <c r="K30" s="9" t="s">
        <v>1504</v>
      </c>
      <c r="L30" s="9" t="str">
        <f t="shared" si="0"/>
        <v>Y</v>
      </c>
    </row>
    <row r="31" spans="1:12">
      <c r="A31" s="9">
        <v>131</v>
      </c>
      <c r="B31" s="9">
        <v>116</v>
      </c>
      <c r="C31" s="9" t="s">
        <v>3179</v>
      </c>
      <c r="D31" s="9" t="s">
        <v>3180</v>
      </c>
      <c r="E31" s="9">
        <v>180</v>
      </c>
      <c r="F31" s="9" t="s">
        <v>3181</v>
      </c>
      <c r="G31" s="9">
        <v>1</v>
      </c>
      <c r="H31" s="9" t="s">
        <v>3093</v>
      </c>
      <c r="I31" s="9">
        <v>78</v>
      </c>
      <c r="J31" s="9">
        <v>0</v>
      </c>
      <c r="K31" s="9" t="s">
        <v>1001</v>
      </c>
      <c r="L31" s="9" t="str">
        <f t="shared" si="0"/>
        <v>Y</v>
      </c>
    </row>
    <row r="32" spans="1:12">
      <c r="A32" s="9">
        <v>132</v>
      </c>
      <c r="B32" s="9">
        <v>117</v>
      </c>
      <c r="C32" s="9" t="s">
        <v>3182</v>
      </c>
      <c r="D32" s="9" t="s">
        <v>3183</v>
      </c>
      <c r="E32" s="9">
        <v>188</v>
      </c>
      <c r="F32" s="9" t="s">
        <v>3184</v>
      </c>
      <c r="G32" s="9">
        <v>1</v>
      </c>
      <c r="H32" s="9" t="s">
        <v>3093</v>
      </c>
      <c r="I32" s="9">
        <v>127</v>
      </c>
      <c r="J32" s="9">
        <v>1</v>
      </c>
      <c r="K32" s="9" t="s">
        <v>3097</v>
      </c>
      <c r="L32" s="9" t="str">
        <f t="shared" si="0"/>
        <v>Y</v>
      </c>
    </row>
    <row r="33" spans="1:12">
      <c r="A33" s="9">
        <v>133</v>
      </c>
      <c r="B33" s="9">
        <v>114</v>
      </c>
      <c r="C33" s="9" t="s">
        <v>3185</v>
      </c>
      <c r="D33" s="9" t="s">
        <v>3186</v>
      </c>
      <c r="E33" s="9">
        <v>167</v>
      </c>
      <c r="F33" s="9" t="s">
        <v>3187</v>
      </c>
      <c r="G33" s="9">
        <v>0</v>
      </c>
      <c r="H33" s="9" t="s">
        <v>3093</v>
      </c>
      <c r="I33" s="108">
        <v>44125</v>
      </c>
      <c r="J33" s="9">
        <v>4</v>
      </c>
      <c r="K33" s="9" t="s">
        <v>3188</v>
      </c>
      <c r="L33" s="9" t="str">
        <f t="shared" si="0"/>
        <v>Y</v>
      </c>
    </row>
    <row r="34" spans="1:12">
      <c r="A34" s="9">
        <v>134</v>
      </c>
      <c r="B34" s="9">
        <v>110</v>
      </c>
      <c r="C34" s="9" t="s">
        <v>3189</v>
      </c>
      <c r="D34" s="9" t="s">
        <v>3190</v>
      </c>
      <c r="E34" s="9">
        <v>146</v>
      </c>
      <c r="F34" s="9" t="s">
        <v>3191</v>
      </c>
      <c r="G34" s="9">
        <v>1</v>
      </c>
      <c r="H34" s="9" t="s">
        <v>3093</v>
      </c>
      <c r="I34" s="9">
        <v>180</v>
      </c>
      <c r="J34" s="9">
        <v>1</v>
      </c>
      <c r="K34" s="9" t="s">
        <v>3169</v>
      </c>
      <c r="L34" s="9" t="str">
        <f t="shared" si="0"/>
        <v>Y</v>
      </c>
    </row>
    <row r="35" spans="1:12">
      <c r="A35" s="9">
        <v>135</v>
      </c>
      <c r="B35" s="9">
        <v>117</v>
      </c>
      <c r="C35" s="9" t="s">
        <v>3192</v>
      </c>
      <c r="D35" s="9" t="s">
        <v>3193</v>
      </c>
      <c r="E35" s="9">
        <v>185</v>
      </c>
      <c r="F35" s="9" t="s">
        <v>3194</v>
      </c>
      <c r="G35" s="9">
        <v>1</v>
      </c>
      <c r="H35" s="9" t="s">
        <v>3093</v>
      </c>
      <c r="I35" s="9">
        <v>216</v>
      </c>
      <c r="J35" s="9">
        <v>0</v>
      </c>
      <c r="K35" s="9" t="s">
        <v>752</v>
      </c>
      <c r="L35" s="9" t="str">
        <f t="shared" si="0"/>
        <v>Y</v>
      </c>
    </row>
    <row r="36" spans="1:12">
      <c r="A36" s="9">
        <v>136</v>
      </c>
      <c r="B36" s="9">
        <v>111</v>
      </c>
      <c r="C36" s="9" t="s">
        <v>3195</v>
      </c>
      <c r="D36" s="9" t="s">
        <v>3196</v>
      </c>
      <c r="E36" s="9">
        <v>149</v>
      </c>
      <c r="F36" s="9" t="s">
        <v>3197</v>
      </c>
      <c r="G36" s="9">
        <v>0</v>
      </c>
      <c r="H36" s="9" t="s">
        <v>3093</v>
      </c>
      <c r="I36" s="9">
        <v>225</v>
      </c>
      <c r="J36" s="9">
        <v>0</v>
      </c>
      <c r="K36" s="9" t="s">
        <v>3107</v>
      </c>
      <c r="L36" s="9" t="str">
        <f t="shared" si="0"/>
        <v>Y</v>
      </c>
    </row>
    <row r="37" spans="1:12">
      <c r="A37" s="9">
        <v>137</v>
      </c>
      <c r="B37" s="9">
        <v>112</v>
      </c>
      <c r="C37" s="9" t="s">
        <v>3198</v>
      </c>
      <c r="D37" s="9" t="s">
        <v>3199</v>
      </c>
      <c r="E37" s="9">
        <v>157</v>
      </c>
      <c r="F37" s="9" t="s">
        <v>3197</v>
      </c>
      <c r="G37" s="9">
        <v>1</v>
      </c>
      <c r="H37" s="9" t="s">
        <v>3093</v>
      </c>
      <c r="I37" s="9">
        <v>141</v>
      </c>
      <c r="J37" s="9">
        <v>0</v>
      </c>
      <c r="K37" s="9" t="s">
        <v>3140</v>
      </c>
      <c r="L37" s="9" t="str">
        <f t="shared" si="0"/>
        <v>Y</v>
      </c>
    </row>
    <row r="38" spans="1:12">
      <c r="A38" s="9">
        <v>138</v>
      </c>
      <c r="B38" s="9">
        <v>116</v>
      </c>
      <c r="C38" s="9" t="s">
        <v>3200</v>
      </c>
      <c r="D38" s="9" t="s">
        <v>3201</v>
      </c>
      <c r="E38" s="9">
        <v>182</v>
      </c>
      <c r="F38" s="9" t="s">
        <v>3202</v>
      </c>
      <c r="G38" s="9">
        <v>1</v>
      </c>
      <c r="H38" s="9" t="s">
        <v>3093</v>
      </c>
      <c r="I38" s="9">
        <v>44</v>
      </c>
      <c r="J38" s="9">
        <v>0</v>
      </c>
      <c r="K38" s="9" t="s">
        <v>1504</v>
      </c>
      <c r="L38" s="9" t="str">
        <f t="shared" si="0"/>
        <v>Y</v>
      </c>
    </row>
    <row r="39" spans="1:12">
      <c r="A39" s="9">
        <v>139</v>
      </c>
      <c r="B39" s="9">
        <v>109</v>
      </c>
      <c r="C39" s="9" t="s">
        <v>3203</v>
      </c>
      <c r="D39" s="9" t="s">
        <v>3204</v>
      </c>
      <c r="E39" s="9">
        <v>138</v>
      </c>
      <c r="F39" s="9" t="s">
        <v>3202</v>
      </c>
      <c r="G39" s="9">
        <v>1</v>
      </c>
      <c r="H39" s="9" t="s">
        <v>3093</v>
      </c>
      <c r="I39" s="9">
        <v>78</v>
      </c>
      <c r="J39" s="9">
        <v>0</v>
      </c>
      <c r="K39" s="9" t="s">
        <v>1001</v>
      </c>
      <c r="L39" s="9" t="str">
        <f t="shared" si="0"/>
        <v>Y</v>
      </c>
    </row>
    <row r="40" spans="1:12">
      <c r="A40" s="9">
        <v>140</v>
      </c>
      <c r="B40" s="9">
        <v>110</v>
      </c>
      <c r="C40" s="9" t="s">
        <v>3205</v>
      </c>
      <c r="D40" s="9" t="s">
        <v>3206</v>
      </c>
      <c r="E40" s="9">
        <v>143</v>
      </c>
      <c r="F40" s="9" t="s">
        <v>3207</v>
      </c>
      <c r="G40" s="9">
        <v>1</v>
      </c>
      <c r="H40" s="9" t="s">
        <v>3093</v>
      </c>
      <c r="I40" s="9">
        <v>44</v>
      </c>
      <c r="J40" s="9">
        <v>0</v>
      </c>
      <c r="K40" s="9" t="s">
        <v>1504</v>
      </c>
      <c r="L40" s="9" t="str">
        <f t="shared" si="0"/>
        <v>Y</v>
      </c>
    </row>
    <row r="41" spans="1:12">
      <c r="A41" s="9">
        <v>141</v>
      </c>
      <c r="B41" s="9">
        <v>110</v>
      </c>
      <c r="C41" s="9" t="s">
        <v>3208</v>
      </c>
      <c r="D41" s="9" t="s">
        <v>3209</v>
      </c>
      <c r="E41" s="9">
        <v>145</v>
      </c>
      <c r="F41" s="9" t="s">
        <v>3207</v>
      </c>
      <c r="G41" s="9">
        <v>0</v>
      </c>
      <c r="H41" s="9" t="s">
        <v>3093</v>
      </c>
      <c r="I41" s="9">
        <v>227</v>
      </c>
      <c r="J41" s="9">
        <v>1</v>
      </c>
      <c r="K41" s="9" t="s">
        <v>3107</v>
      </c>
      <c r="L41" s="9" t="str">
        <f t="shared" si="0"/>
        <v>Y</v>
      </c>
    </row>
    <row r="42" spans="1:12">
      <c r="A42" s="9">
        <v>142</v>
      </c>
      <c r="B42" s="9">
        <v>113</v>
      </c>
      <c r="C42" s="9" t="s">
        <v>3210</v>
      </c>
      <c r="D42" s="9" t="s">
        <v>3211</v>
      </c>
      <c r="E42" s="9">
        <v>161</v>
      </c>
      <c r="F42" s="9" t="s">
        <v>3212</v>
      </c>
      <c r="G42" s="9">
        <v>1</v>
      </c>
      <c r="H42" s="9" t="s">
        <v>3093</v>
      </c>
      <c r="I42" s="9">
        <v>47</v>
      </c>
      <c r="J42" s="9">
        <v>0</v>
      </c>
      <c r="K42" s="9" t="s">
        <v>1504</v>
      </c>
      <c r="L42" s="9" t="str">
        <f t="shared" si="0"/>
        <v>Y</v>
      </c>
    </row>
    <row r="43" spans="1:12">
      <c r="A43" s="9">
        <v>143</v>
      </c>
      <c r="B43" s="9">
        <v>117</v>
      </c>
      <c r="C43" s="9" t="s">
        <v>3213</v>
      </c>
      <c r="D43" s="9" t="s">
        <v>3214</v>
      </c>
      <c r="E43" s="9">
        <v>187</v>
      </c>
      <c r="F43" s="9" t="s">
        <v>3215</v>
      </c>
      <c r="G43" s="9">
        <v>0</v>
      </c>
      <c r="H43" s="9" t="s">
        <v>3093</v>
      </c>
      <c r="I43" s="9">
        <v>216</v>
      </c>
      <c r="J43" s="9">
        <v>1</v>
      </c>
      <c r="K43" s="9" t="s">
        <v>752</v>
      </c>
      <c r="L43" s="9" t="str">
        <f t="shared" si="0"/>
        <v>Y</v>
      </c>
    </row>
    <row r="44" spans="1:12">
      <c r="A44" s="9">
        <v>144</v>
      </c>
      <c r="B44" s="9">
        <v>116</v>
      </c>
      <c r="C44" s="9" t="s">
        <v>3216</v>
      </c>
      <c r="D44" s="9" t="s">
        <v>3217</v>
      </c>
      <c r="E44" s="9">
        <v>179</v>
      </c>
      <c r="F44" s="9" t="s">
        <v>3218</v>
      </c>
      <c r="G44" s="9">
        <v>1</v>
      </c>
      <c r="H44" s="9" t="s">
        <v>3093</v>
      </c>
      <c r="I44" s="9">
        <v>168</v>
      </c>
      <c r="J44" s="9">
        <v>0</v>
      </c>
      <c r="K44" s="9" t="s">
        <v>3219</v>
      </c>
      <c r="L44" s="9" t="str">
        <f t="shared" si="0"/>
        <v>Y</v>
      </c>
    </row>
    <row r="45" spans="1:12">
      <c r="A45" s="9">
        <v>145</v>
      </c>
      <c r="B45" s="9">
        <v>117</v>
      </c>
      <c r="C45" s="9" t="s">
        <v>3220</v>
      </c>
      <c r="D45" s="9" t="s">
        <v>3221</v>
      </c>
      <c r="E45" s="9">
        <v>188</v>
      </c>
      <c r="F45" s="9" t="s">
        <v>3218</v>
      </c>
      <c r="G45" s="9">
        <v>1</v>
      </c>
      <c r="H45" s="9" t="s">
        <v>3093</v>
      </c>
      <c r="I45" s="9">
        <v>147</v>
      </c>
      <c r="J45" s="9">
        <v>0</v>
      </c>
      <c r="K45" s="9" t="s">
        <v>3140</v>
      </c>
      <c r="L45" s="9" t="str">
        <f t="shared" si="0"/>
        <v>Y</v>
      </c>
    </row>
    <row r="46" spans="1:12">
      <c r="A46" s="9">
        <v>146</v>
      </c>
      <c r="B46" s="9">
        <v>110</v>
      </c>
      <c r="C46" s="9" t="s">
        <v>3222</v>
      </c>
      <c r="D46" s="9" t="s">
        <v>3223</v>
      </c>
      <c r="E46" s="9">
        <v>146</v>
      </c>
      <c r="F46" s="9" t="s">
        <v>3224</v>
      </c>
      <c r="G46" s="9">
        <v>0</v>
      </c>
      <c r="H46" s="9" t="s">
        <v>3093</v>
      </c>
      <c r="I46" s="9">
        <v>224</v>
      </c>
      <c r="J46" s="9">
        <v>0</v>
      </c>
      <c r="K46" s="9" t="s">
        <v>3107</v>
      </c>
      <c r="L46" s="9" t="str">
        <f t="shared" si="0"/>
        <v>Y</v>
      </c>
    </row>
    <row r="47" spans="1:12">
      <c r="A47" s="9">
        <v>147</v>
      </c>
      <c r="B47" s="9">
        <v>116</v>
      </c>
      <c r="C47" s="9" t="s">
        <v>3225</v>
      </c>
      <c r="D47" s="9" t="s">
        <v>3226</v>
      </c>
      <c r="E47" s="9">
        <v>180</v>
      </c>
      <c r="F47" s="9" t="s">
        <v>3227</v>
      </c>
      <c r="G47" s="9">
        <v>1</v>
      </c>
      <c r="H47" s="9" t="s">
        <v>3093</v>
      </c>
      <c r="I47" s="9">
        <v>127</v>
      </c>
      <c r="J47" s="9">
        <v>0</v>
      </c>
      <c r="K47" s="9" t="s">
        <v>3097</v>
      </c>
      <c r="L47" s="9" t="str">
        <f t="shared" si="0"/>
        <v>Y</v>
      </c>
    </row>
    <row r="48" spans="1:12">
      <c r="A48" s="9">
        <v>148</v>
      </c>
      <c r="B48" s="9">
        <v>115</v>
      </c>
      <c r="C48" s="9" t="s">
        <v>3228</v>
      </c>
      <c r="D48" s="9" t="s">
        <v>3229</v>
      </c>
      <c r="E48" s="9">
        <v>174</v>
      </c>
      <c r="F48" s="9" t="s">
        <v>3230</v>
      </c>
      <c r="G48" s="9">
        <v>1</v>
      </c>
      <c r="H48" s="9" t="s">
        <v>3093</v>
      </c>
      <c r="I48" s="9">
        <v>128</v>
      </c>
      <c r="J48" s="9">
        <v>0</v>
      </c>
      <c r="K48" s="9" t="s">
        <v>3097</v>
      </c>
      <c r="L48" s="9" t="str">
        <f t="shared" si="0"/>
        <v>Y</v>
      </c>
    </row>
    <row r="49" spans="1:12">
      <c r="A49" s="9">
        <v>149</v>
      </c>
      <c r="B49" s="9">
        <v>116</v>
      </c>
      <c r="C49" s="9" t="s">
        <v>3231</v>
      </c>
      <c r="D49" s="9" t="s">
        <v>20</v>
      </c>
      <c r="E49" s="9">
        <v>181</v>
      </c>
      <c r="F49" s="9" t="s">
        <v>3232</v>
      </c>
      <c r="G49" s="9">
        <v>0</v>
      </c>
      <c r="H49" s="9" t="s">
        <v>3093</v>
      </c>
      <c r="I49" s="9">
        <v>18</v>
      </c>
      <c r="J49" s="9">
        <v>0</v>
      </c>
      <c r="K49" s="9" t="s">
        <v>699</v>
      </c>
      <c r="L49" s="9" t="str">
        <f t="shared" si="0"/>
        <v>N</v>
      </c>
    </row>
    <row r="50" spans="1:12">
      <c r="A50" s="9">
        <v>150</v>
      </c>
      <c r="B50" s="9">
        <v>109</v>
      </c>
      <c r="C50" s="9" t="s">
        <v>3233</v>
      </c>
      <c r="D50" s="9" t="s">
        <v>3234</v>
      </c>
      <c r="E50" s="9">
        <v>139</v>
      </c>
      <c r="F50" s="9" t="s">
        <v>3235</v>
      </c>
      <c r="G50" s="9">
        <v>1</v>
      </c>
      <c r="H50" s="9" t="s">
        <v>3093</v>
      </c>
      <c r="I50" s="9">
        <v>44</v>
      </c>
      <c r="J50" s="9">
        <v>0</v>
      </c>
      <c r="K50" s="9" t="s">
        <v>1504</v>
      </c>
      <c r="L50" s="9" t="str">
        <f t="shared" si="0"/>
        <v>Y</v>
      </c>
    </row>
    <row r="51" spans="1:12">
      <c r="A51" s="9">
        <v>151</v>
      </c>
      <c r="B51" s="9">
        <v>116</v>
      </c>
      <c r="C51" s="9" t="s">
        <v>3236</v>
      </c>
      <c r="D51" s="9" t="s">
        <v>3237</v>
      </c>
      <c r="E51" s="9">
        <v>182</v>
      </c>
      <c r="F51" s="9" t="s">
        <v>3238</v>
      </c>
      <c r="G51" s="9">
        <v>1</v>
      </c>
      <c r="H51" s="9" t="s">
        <v>3093</v>
      </c>
      <c r="I51" s="9">
        <v>50</v>
      </c>
      <c r="J51" s="9">
        <v>0</v>
      </c>
      <c r="K51" s="9" t="s">
        <v>1504</v>
      </c>
      <c r="L51" s="9" t="str">
        <f t="shared" si="0"/>
        <v>Y</v>
      </c>
    </row>
    <row r="52" spans="1:12">
      <c r="A52" s="9">
        <v>152</v>
      </c>
      <c r="B52" s="9">
        <v>117</v>
      </c>
      <c r="C52" s="9" t="s">
        <v>3239</v>
      </c>
      <c r="D52" s="9" t="s">
        <v>3240</v>
      </c>
      <c r="E52" s="9">
        <v>188</v>
      </c>
      <c r="F52" s="9" t="s">
        <v>3241</v>
      </c>
      <c r="G52" s="9">
        <v>1</v>
      </c>
      <c r="H52" s="9" t="s">
        <v>3093</v>
      </c>
      <c r="I52" s="9">
        <v>225</v>
      </c>
      <c r="J52" s="9">
        <v>0</v>
      </c>
      <c r="K52" s="9" t="s">
        <v>3107</v>
      </c>
      <c r="L52" s="9" t="str">
        <f t="shared" si="0"/>
        <v>Y</v>
      </c>
    </row>
    <row r="53" spans="1:12">
      <c r="A53" s="9">
        <v>153</v>
      </c>
      <c r="B53" s="9">
        <v>112</v>
      </c>
      <c r="C53" s="9" t="s">
        <v>3242</v>
      </c>
      <c r="D53" s="9" t="s">
        <v>3243</v>
      </c>
      <c r="E53" s="9">
        <v>157</v>
      </c>
      <c r="F53" s="9" t="s">
        <v>3241</v>
      </c>
      <c r="G53" s="9">
        <v>0</v>
      </c>
      <c r="H53" s="9" t="s">
        <v>3093</v>
      </c>
      <c r="I53" s="9">
        <v>227</v>
      </c>
      <c r="J53" s="9">
        <v>7</v>
      </c>
      <c r="K53" s="9" t="s">
        <v>3107</v>
      </c>
      <c r="L53" s="9" t="str">
        <f t="shared" si="0"/>
        <v>Y</v>
      </c>
    </row>
    <row r="54" spans="1:12">
      <c r="A54" s="9">
        <v>154</v>
      </c>
      <c r="B54" s="9">
        <v>113</v>
      </c>
      <c r="C54" s="9" t="s">
        <v>3244</v>
      </c>
      <c r="D54" s="9" t="s">
        <v>3245</v>
      </c>
      <c r="E54" s="9">
        <v>162</v>
      </c>
      <c r="F54" s="9" t="s">
        <v>3246</v>
      </c>
      <c r="G54" s="9">
        <v>1</v>
      </c>
      <c r="H54" s="9" t="s">
        <v>3093</v>
      </c>
      <c r="I54" s="9">
        <v>36</v>
      </c>
      <c r="J54" s="9">
        <v>0</v>
      </c>
      <c r="K54" s="9" t="s">
        <v>1504</v>
      </c>
      <c r="L54" s="9" t="str">
        <f t="shared" si="0"/>
        <v>Y</v>
      </c>
    </row>
    <row r="55" spans="1:12">
      <c r="A55" s="9">
        <v>155</v>
      </c>
      <c r="B55" s="9">
        <v>110</v>
      </c>
      <c r="C55" s="9" t="s">
        <v>3247</v>
      </c>
      <c r="D55" s="9" t="s">
        <v>3248</v>
      </c>
      <c r="E55" s="9">
        <v>143</v>
      </c>
      <c r="F55" s="9" t="s">
        <v>3249</v>
      </c>
      <c r="G55" s="9">
        <v>0</v>
      </c>
      <c r="H55" s="9" t="s">
        <v>3250</v>
      </c>
      <c r="I55" s="9">
        <v>215</v>
      </c>
      <c r="J55" s="9">
        <v>0</v>
      </c>
      <c r="K55" s="9" t="s">
        <v>752</v>
      </c>
      <c r="L55" s="9" t="str">
        <f t="shared" si="0"/>
        <v>Y</v>
      </c>
    </row>
    <row r="56" spans="1:12">
      <c r="A56" s="9">
        <v>156</v>
      </c>
      <c r="B56" s="9">
        <v>115</v>
      </c>
      <c r="C56" s="9" t="s">
        <v>3251</v>
      </c>
      <c r="D56" s="9" t="s">
        <v>3252</v>
      </c>
      <c r="E56" s="9">
        <v>174</v>
      </c>
      <c r="F56" s="9" t="s">
        <v>3253</v>
      </c>
      <c r="G56" s="9">
        <v>1</v>
      </c>
      <c r="H56" s="9" t="s">
        <v>3093</v>
      </c>
      <c r="I56" s="9" t="s">
        <v>3254</v>
      </c>
      <c r="J56" s="9">
        <v>0</v>
      </c>
      <c r="K56" s="9" t="s">
        <v>3107</v>
      </c>
      <c r="L56" s="9" t="str">
        <f t="shared" si="0"/>
        <v>Y</v>
      </c>
    </row>
    <row r="57" spans="1:12">
      <c r="A57" s="9">
        <v>157</v>
      </c>
      <c r="B57" s="9">
        <v>114</v>
      </c>
      <c r="C57" s="9" t="s">
        <v>3255</v>
      </c>
      <c r="D57" s="9" t="s">
        <v>3256</v>
      </c>
      <c r="E57" s="9">
        <v>170</v>
      </c>
      <c r="F57" s="9" t="s">
        <v>3253</v>
      </c>
      <c r="G57" s="9">
        <v>1</v>
      </c>
      <c r="H57" s="9" t="s">
        <v>3093</v>
      </c>
      <c r="I57" s="9">
        <v>36</v>
      </c>
      <c r="J57" s="9">
        <v>0</v>
      </c>
      <c r="K57" s="9" t="s">
        <v>1504</v>
      </c>
      <c r="L57" s="9" t="str">
        <f t="shared" si="0"/>
        <v>Y</v>
      </c>
    </row>
    <row r="58" spans="1:12">
      <c r="A58" s="9">
        <v>158</v>
      </c>
      <c r="B58" s="9">
        <v>116</v>
      </c>
      <c r="C58" s="9" t="s">
        <v>3257</v>
      </c>
      <c r="D58" s="9" t="s">
        <v>3258</v>
      </c>
      <c r="E58" s="9">
        <v>180</v>
      </c>
      <c r="F58" s="9" t="s">
        <v>3259</v>
      </c>
      <c r="G58" s="9">
        <v>0</v>
      </c>
      <c r="H58" s="9" t="s">
        <v>3093</v>
      </c>
      <c r="I58" s="9">
        <v>192</v>
      </c>
      <c r="J58" s="9">
        <v>0</v>
      </c>
      <c r="K58" s="9" t="s">
        <v>3125</v>
      </c>
      <c r="L58" s="9" t="str">
        <f t="shared" si="0"/>
        <v>Y</v>
      </c>
    </row>
    <row r="59" spans="1:12">
      <c r="A59" s="9">
        <v>159</v>
      </c>
      <c r="B59" s="9">
        <v>109</v>
      </c>
      <c r="C59" s="9" t="s">
        <v>3260</v>
      </c>
      <c r="D59" s="9" t="s">
        <v>3261</v>
      </c>
      <c r="E59" s="9">
        <v>138</v>
      </c>
      <c r="F59" s="9" t="s">
        <v>3262</v>
      </c>
      <c r="G59" s="9">
        <v>1</v>
      </c>
      <c r="H59" s="9" t="s">
        <v>3093</v>
      </c>
      <c r="I59" s="9">
        <v>152</v>
      </c>
      <c r="J59" s="9">
        <v>0</v>
      </c>
      <c r="K59" s="9" t="s">
        <v>3140</v>
      </c>
      <c r="L59" s="9" t="str">
        <f t="shared" si="0"/>
        <v>Y</v>
      </c>
    </row>
    <row r="60" spans="1:12">
      <c r="A60" s="9">
        <v>160</v>
      </c>
      <c r="B60" s="9">
        <v>115</v>
      </c>
      <c r="C60" s="9" t="s">
        <v>3263</v>
      </c>
      <c r="D60" s="9" t="s">
        <v>3264</v>
      </c>
      <c r="E60" s="9">
        <v>173</v>
      </c>
      <c r="F60" s="9" t="s">
        <v>3265</v>
      </c>
      <c r="G60" s="9">
        <v>0</v>
      </c>
      <c r="H60" s="9" t="s">
        <v>3093</v>
      </c>
      <c r="I60" s="9">
        <v>44</v>
      </c>
      <c r="J60" s="9">
        <v>1</v>
      </c>
      <c r="K60" s="9" t="s">
        <v>1504</v>
      </c>
      <c r="L60" s="9" t="str">
        <f t="shared" si="0"/>
        <v>Y</v>
      </c>
    </row>
    <row r="61" spans="1:12">
      <c r="A61" s="9">
        <v>161</v>
      </c>
      <c r="B61" s="9">
        <v>109</v>
      </c>
      <c r="C61" s="9" t="s">
        <v>3266</v>
      </c>
      <c r="D61" s="9" t="s">
        <v>3267</v>
      </c>
      <c r="E61" s="9">
        <v>137</v>
      </c>
      <c r="F61" s="9" t="s">
        <v>3265</v>
      </c>
      <c r="G61" s="9">
        <v>1</v>
      </c>
      <c r="H61" s="9" t="s">
        <v>3093</v>
      </c>
      <c r="I61" s="9">
        <v>168</v>
      </c>
      <c r="J61" s="9">
        <v>4</v>
      </c>
      <c r="K61" s="9" t="s">
        <v>3219</v>
      </c>
      <c r="L61" s="9" t="str">
        <f t="shared" si="0"/>
        <v>Y</v>
      </c>
    </row>
    <row r="62" spans="1:12">
      <c r="A62" s="9">
        <v>162</v>
      </c>
      <c r="B62" s="9">
        <v>116</v>
      </c>
      <c r="C62" s="9" t="s">
        <v>3268</v>
      </c>
      <c r="D62" s="9" t="s">
        <v>3269</v>
      </c>
      <c r="E62" s="9">
        <v>180</v>
      </c>
      <c r="F62" s="9" t="s">
        <v>3270</v>
      </c>
      <c r="G62" s="9">
        <v>1</v>
      </c>
      <c r="H62" s="9" t="s">
        <v>3093</v>
      </c>
      <c r="I62" s="9">
        <v>146</v>
      </c>
      <c r="J62" s="9">
        <v>0</v>
      </c>
      <c r="K62" s="9" t="s">
        <v>3140</v>
      </c>
      <c r="L62" s="9" t="str">
        <f t="shared" si="0"/>
        <v>Y</v>
      </c>
    </row>
    <row r="63" spans="1:12">
      <c r="A63" s="9">
        <v>163</v>
      </c>
      <c r="B63" s="9">
        <v>117</v>
      </c>
      <c r="C63" s="9" t="s">
        <v>3271</v>
      </c>
      <c r="D63" s="9" t="s">
        <v>3272</v>
      </c>
      <c r="E63" s="9">
        <v>185</v>
      </c>
      <c r="F63" s="9" t="s">
        <v>3270</v>
      </c>
      <c r="G63" s="9">
        <v>1</v>
      </c>
      <c r="H63" s="9" t="s">
        <v>3093</v>
      </c>
      <c r="I63" s="9">
        <v>228</v>
      </c>
      <c r="J63" s="9">
        <v>1</v>
      </c>
      <c r="K63" s="9" t="s">
        <v>3107</v>
      </c>
      <c r="L63" s="9" t="str">
        <f t="shared" si="0"/>
        <v>Y</v>
      </c>
    </row>
    <row r="64" spans="1:12">
      <c r="A64" s="9">
        <v>164</v>
      </c>
      <c r="B64" s="9">
        <v>117</v>
      </c>
      <c r="C64" s="9" t="s">
        <v>3273</v>
      </c>
      <c r="D64" s="9" t="s">
        <v>3274</v>
      </c>
      <c r="E64" s="9">
        <v>187</v>
      </c>
      <c r="F64" s="9" t="s">
        <v>3275</v>
      </c>
      <c r="G64" s="9">
        <v>1</v>
      </c>
      <c r="H64" s="9" t="s">
        <v>3093</v>
      </c>
      <c r="I64" s="9">
        <v>44</v>
      </c>
      <c r="J64" s="9">
        <v>0</v>
      </c>
      <c r="K64" s="9" t="s">
        <v>1504</v>
      </c>
      <c r="L64" s="9" t="str">
        <f t="shared" si="0"/>
        <v>Y</v>
      </c>
    </row>
    <row r="65" spans="1:12">
      <c r="A65" s="9">
        <v>165</v>
      </c>
      <c r="B65" s="9">
        <v>111</v>
      </c>
      <c r="C65" s="9" t="s">
        <v>3276</v>
      </c>
      <c r="D65" s="9" t="s">
        <v>3277</v>
      </c>
      <c r="E65" s="9">
        <v>150</v>
      </c>
      <c r="F65" s="9" t="s">
        <v>3278</v>
      </c>
      <c r="G65" s="9">
        <v>0</v>
      </c>
      <c r="H65" s="9" t="s">
        <v>3093</v>
      </c>
      <c r="I65" s="9">
        <v>73</v>
      </c>
      <c r="J65" s="9">
        <v>1</v>
      </c>
      <c r="K65" s="9" t="s">
        <v>1001</v>
      </c>
      <c r="L65" s="9" t="str">
        <f t="shared" si="0"/>
        <v>Y</v>
      </c>
    </row>
    <row r="66" spans="1:12">
      <c r="A66" s="9">
        <v>166</v>
      </c>
      <c r="B66" s="9">
        <v>115</v>
      </c>
      <c r="C66" s="9" t="s">
        <v>3279</v>
      </c>
      <c r="D66" s="9" t="s">
        <v>3280</v>
      </c>
      <c r="E66" s="9">
        <v>174</v>
      </c>
      <c r="F66" s="9" t="s">
        <v>3281</v>
      </c>
      <c r="G66" s="9">
        <v>1</v>
      </c>
      <c r="H66" s="9" t="s">
        <v>3093</v>
      </c>
      <c r="I66" s="9">
        <v>216</v>
      </c>
      <c r="J66" s="9">
        <v>0</v>
      </c>
      <c r="K66" s="9" t="s">
        <v>752</v>
      </c>
      <c r="L66" s="9" t="str">
        <f t="shared" si="0"/>
        <v>Y</v>
      </c>
    </row>
    <row r="67" spans="1:12">
      <c r="A67" s="9">
        <v>167</v>
      </c>
      <c r="B67" s="9">
        <v>113</v>
      </c>
      <c r="C67" s="9" t="s">
        <v>3282</v>
      </c>
      <c r="D67" s="9" t="s">
        <v>3283</v>
      </c>
      <c r="E67" s="9">
        <v>162</v>
      </c>
      <c r="F67" s="9" t="s">
        <v>3284</v>
      </c>
      <c r="G67" s="9">
        <v>0</v>
      </c>
      <c r="H67" s="9" t="s">
        <v>3093</v>
      </c>
      <c r="I67" s="9">
        <v>72</v>
      </c>
      <c r="J67" s="9">
        <v>0</v>
      </c>
      <c r="K67" s="9" t="s">
        <v>1001</v>
      </c>
      <c r="L67" s="9" t="str">
        <f t="shared" si="0"/>
        <v>Y</v>
      </c>
    </row>
    <row r="68" spans="1:12">
      <c r="A68" s="9">
        <v>168</v>
      </c>
      <c r="B68" s="9">
        <v>116</v>
      </c>
      <c r="C68" s="9" t="s">
        <v>3285</v>
      </c>
      <c r="D68" s="9" t="s">
        <v>3286</v>
      </c>
      <c r="E68" s="9">
        <v>182</v>
      </c>
      <c r="F68" s="9" t="s">
        <v>3287</v>
      </c>
      <c r="G68" s="9">
        <v>0</v>
      </c>
      <c r="H68" s="9" t="s">
        <v>3093</v>
      </c>
      <c r="I68" s="9">
        <v>69</v>
      </c>
      <c r="J68" s="9">
        <v>2</v>
      </c>
      <c r="K68" s="9" t="s">
        <v>1001</v>
      </c>
      <c r="L68" s="9" t="str">
        <f t="shared" si="0"/>
        <v>Y</v>
      </c>
    </row>
    <row r="69" spans="1:12">
      <c r="A69" s="9">
        <v>169</v>
      </c>
      <c r="B69" s="9">
        <v>111</v>
      </c>
      <c r="C69" s="9" t="s">
        <v>3288</v>
      </c>
      <c r="D69" s="9" t="s">
        <v>3289</v>
      </c>
      <c r="E69" s="9">
        <v>152</v>
      </c>
      <c r="F69" s="9" t="s">
        <v>3290</v>
      </c>
      <c r="G69" s="9">
        <v>0</v>
      </c>
      <c r="H69" s="9" t="s">
        <v>3093</v>
      </c>
      <c r="I69" s="9">
        <v>227</v>
      </c>
      <c r="J69" s="9">
        <v>1</v>
      </c>
      <c r="K69" s="9" t="s">
        <v>3107</v>
      </c>
      <c r="L69" s="9" t="str">
        <f t="shared" si="0"/>
        <v>Y</v>
      </c>
    </row>
    <row r="70" spans="1:12">
      <c r="A70" s="9">
        <v>170</v>
      </c>
      <c r="B70" s="9">
        <v>116</v>
      </c>
      <c r="C70" s="9" t="s">
        <v>3291</v>
      </c>
      <c r="D70" s="9" t="s">
        <v>3292</v>
      </c>
      <c r="E70" s="9">
        <v>180</v>
      </c>
      <c r="F70" s="9" t="s">
        <v>3293</v>
      </c>
      <c r="G70" s="9">
        <v>1</v>
      </c>
      <c r="H70" s="9" t="s">
        <v>3093</v>
      </c>
      <c r="I70" s="9">
        <v>224</v>
      </c>
      <c r="J70" s="9">
        <v>1</v>
      </c>
      <c r="K70" s="9" t="s">
        <v>3107</v>
      </c>
      <c r="L70" s="9" t="str">
        <f t="shared" si="0"/>
        <v>Y</v>
      </c>
    </row>
    <row r="71" spans="1:12">
      <c r="A71" s="9">
        <v>171</v>
      </c>
      <c r="B71" s="9">
        <v>117</v>
      </c>
      <c r="C71" s="9" t="s">
        <v>3294</v>
      </c>
      <c r="D71" s="9" t="s">
        <v>3295</v>
      </c>
      <c r="E71" s="9">
        <v>188</v>
      </c>
      <c r="F71" s="9" t="s">
        <v>3296</v>
      </c>
      <c r="G71" s="9">
        <v>1</v>
      </c>
      <c r="H71" s="9" t="s">
        <v>3093</v>
      </c>
      <c r="I71" s="9">
        <v>141</v>
      </c>
      <c r="J71" s="9">
        <v>0</v>
      </c>
      <c r="K71" s="9" t="s">
        <v>3140</v>
      </c>
      <c r="L71" s="9" t="str">
        <f t="shared" si="0"/>
        <v>Y</v>
      </c>
    </row>
    <row r="72" spans="1:12">
      <c r="A72" s="9">
        <v>172</v>
      </c>
      <c r="B72" s="9">
        <v>112</v>
      </c>
      <c r="C72" s="9" t="s">
        <v>3297</v>
      </c>
      <c r="D72" s="9" t="s">
        <v>3298</v>
      </c>
      <c r="E72" s="9">
        <v>155</v>
      </c>
      <c r="F72" s="9" t="s">
        <v>3299</v>
      </c>
      <c r="G72" s="9">
        <v>0</v>
      </c>
      <c r="H72" s="9" t="s">
        <v>3093</v>
      </c>
      <c r="I72" s="9">
        <v>224</v>
      </c>
      <c r="J72" s="9">
        <v>0</v>
      </c>
      <c r="K72" s="9" t="s">
        <v>3107</v>
      </c>
      <c r="L72" s="9" t="str">
        <f t="shared" si="0"/>
        <v>Y</v>
      </c>
    </row>
    <row r="73" spans="1:12">
      <c r="A73" s="9">
        <v>173</v>
      </c>
      <c r="B73" s="9">
        <v>112</v>
      </c>
      <c r="C73" s="9" t="s">
        <v>3300</v>
      </c>
      <c r="D73" s="9" t="s">
        <v>3301</v>
      </c>
      <c r="E73" s="9">
        <v>157</v>
      </c>
      <c r="F73" s="9" t="s">
        <v>3302</v>
      </c>
      <c r="G73" s="9">
        <v>0</v>
      </c>
      <c r="H73" s="9" t="s">
        <v>3093</v>
      </c>
      <c r="I73" s="9">
        <v>230</v>
      </c>
      <c r="J73" s="9">
        <v>0</v>
      </c>
      <c r="K73" s="9" t="s">
        <v>3107</v>
      </c>
      <c r="L73" s="9" t="str">
        <f t="shared" si="0"/>
        <v>Y</v>
      </c>
    </row>
    <row r="74" spans="1:12">
      <c r="A74" s="9">
        <v>174</v>
      </c>
      <c r="B74" s="9">
        <v>113</v>
      </c>
      <c r="C74" s="9" t="s">
        <v>3303</v>
      </c>
      <c r="D74" s="9" t="s">
        <v>3304</v>
      </c>
      <c r="E74" s="9">
        <v>163</v>
      </c>
      <c r="F74" s="9" t="s">
        <v>125</v>
      </c>
      <c r="G74" s="9">
        <v>0</v>
      </c>
      <c r="H74" s="9" t="s">
        <v>3093</v>
      </c>
      <c r="I74" s="9">
        <v>227</v>
      </c>
      <c r="J74" s="9">
        <v>7</v>
      </c>
      <c r="K74" s="9" t="s">
        <v>3107</v>
      </c>
      <c r="L74" s="9" t="str">
        <f t="shared" si="0"/>
        <v>Y</v>
      </c>
    </row>
    <row r="75" spans="1:12">
      <c r="A75" s="9">
        <v>175</v>
      </c>
      <c r="B75" s="9">
        <v>110</v>
      </c>
      <c r="C75" s="9" t="s">
        <v>3305</v>
      </c>
      <c r="D75" s="9" t="s">
        <v>3306</v>
      </c>
      <c r="E75" s="9">
        <v>145</v>
      </c>
      <c r="F75" s="9" t="s">
        <v>3307</v>
      </c>
      <c r="G75" s="9">
        <v>1</v>
      </c>
      <c r="H75" s="9" t="s">
        <v>3093</v>
      </c>
      <c r="I75" s="9">
        <v>79</v>
      </c>
      <c r="J75" s="9">
        <v>0</v>
      </c>
      <c r="K75" s="9" t="s">
        <v>1001</v>
      </c>
      <c r="L75" s="9" t="str">
        <f t="shared" si="0"/>
        <v>Y</v>
      </c>
    </row>
    <row r="76" spans="1:12">
      <c r="A76" s="9">
        <v>176</v>
      </c>
      <c r="B76" s="9">
        <v>116</v>
      </c>
      <c r="C76" s="9" t="s">
        <v>3308</v>
      </c>
      <c r="D76" s="9" t="s">
        <v>3309</v>
      </c>
      <c r="E76" s="9">
        <v>180</v>
      </c>
      <c r="F76" s="9" t="s">
        <v>3310</v>
      </c>
      <c r="G76" s="9">
        <v>0</v>
      </c>
      <c r="H76" s="9" t="s">
        <v>3093</v>
      </c>
      <c r="I76" s="9">
        <v>227</v>
      </c>
      <c r="J76" s="9">
        <v>0</v>
      </c>
      <c r="K76" s="9" t="s">
        <v>3107</v>
      </c>
      <c r="L76" s="9" t="str">
        <f t="shared" si="0"/>
        <v>Y</v>
      </c>
    </row>
    <row r="77" spans="1:12">
      <c r="A77" s="9">
        <v>177</v>
      </c>
      <c r="B77" s="9">
        <v>112</v>
      </c>
      <c r="C77" s="9" t="s">
        <v>3311</v>
      </c>
      <c r="D77" s="9" t="s">
        <v>3312</v>
      </c>
      <c r="E77" s="9">
        <v>155</v>
      </c>
      <c r="F77" s="9" t="s">
        <v>3310</v>
      </c>
      <c r="G77" s="9">
        <v>0</v>
      </c>
      <c r="H77" s="9" t="s">
        <v>3313</v>
      </c>
      <c r="I77" s="9">
        <v>227</v>
      </c>
      <c r="J77" s="9">
        <v>0</v>
      </c>
      <c r="K77" s="9" t="s">
        <v>3107</v>
      </c>
      <c r="L77" s="9" t="str">
        <f t="shared" si="0"/>
        <v>Y</v>
      </c>
    </row>
    <row r="78" spans="1:12">
      <c r="A78" s="9">
        <v>178</v>
      </c>
      <c r="B78" s="9">
        <v>113</v>
      </c>
      <c r="C78" s="9" t="s">
        <v>3314</v>
      </c>
      <c r="D78" s="9" t="s">
        <v>3315</v>
      </c>
      <c r="E78" s="9">
        <v>161</v>
      </c>
      <c r="F78" s="9" t="s">
        <v>3316</v>
      </c>
      <c r="G78" s="9">
        <v>0</v>
      </c>
      <c r="H78" s="9" t="s">
        <v>3093</v>
      </c>
      <c r="I78" s="9">
        <v>214</v>
      </c>
      <c r="J78" s="9">
        <v>0</v>
      </c>
      <c r="K78" s="9" t="s">
        <v>752</v>
      </c>
      <c r="L78" s="9" t="str">
        <f t="shared" si="0"/>
        <v>Y</v>
      </c>
    </row>
    <row r="79" spans="1:12">
      <c r="A79" s="9">
        <v>179</v>
      </c>
      <c r="B79" s="9">
        <v>117</v>
      </c>
      <c r="C79" s="9" t="s">
        <v>3317</v>
      </c>
      <c r="D79" s="9" t="s">
        <v>20</v>
      </c>
      <c r="E79" s="9">
        <v>187</v>
      </c>
      <c r="F79" s="9" t="s">
        <v>3316</v>
      </c>
      <c r="G79" s="9">
        <v>0</v>
      </c>
      <c r="H79" s="9" t="s">
        <v>3093</v>
      </c>
      <c r="I79" s="9">
        <v>45</v>
      </c>
      <c r="J79" s="9">
        <v>0</v>
      </c>
      <c r="K79" s="9" t="s">
        <v>699</v>
      </c>
      <c r="L79" s="9" t="str">
        <f t="shared" si="0"/>
        <v>N</v>
      </c>
    </row>
    <row r="80" spans="1:12">
      <c r="A80" s="9">
        <v>180</v>
      </c>
      <c r="B80" s="9">
        <v>109</v>
      </c>
      <c r="C80" s="9" t="s">
        <v>3318</v>
      </c>
      <c r="D80" s="9" t="s">
        <v>3319</v>
      </c>
      <c r="E80" s="9">
        <v>135</v>
      </c>
      <c r="F80" s="9" t="s">
        <v>3320</v>
      </c>
      <c r="G80" s="9">
        <v>0</v>
      </c>
      <c r="H80" s="9" t="s">
        <v>3093</v>
      </c>
      <c r="I80" s="9">
        <v>228</v>
      </c>
      <c r="J80" s="9">
        <v>0</v>
      </c>
      <c r="K80" s="9" t="s">
        <v>3107</v>
      </c>
      <c r="L80" s="9" t="str">
        <f t="shared" si="0"/>
        <v>Y</v>
      </c>
    </row>
    <row r="81" spans="1:12">
      <c r="A81" s="9">
        <v>181</v>
      </c>
      <c r="B81" s="9">
        <v>116</v>
      </c>
      <c r="C81" s="9" t="s">
        <v>3321</v>
      </c>
      <c r="D81" s="9" t="s">
        <v>3322</v>
      </c>
      <c r="E81" s="9">
        <v>182</v>
      </c>
      <c r="F81" s="9" t="s">
        <v>3320</v>
      </c>
      <c r="G81" s="9">
        <v>0</v>
      </c>
      <c r="H81" s="9" t="s">
        <v>3093</v>
      </c>
      <c r="I81" s="9">
        <v>104</v>
      </c>
      <c r="J81" s="9">
        <v>0</v>
      </c>
      <c r="K81" s="9" t="s">
        <v>1035</v>
      </c>
      <c r="L81" s="9" t="str">
        <f t="shared" si="0"/>
        <v>Y</v>
      </c>
    </row>
    <row r="82" spans="1:12">
      <c r="A82" s="9">
        <v>182</v>
      </c>
      <c r="B82" s="9">
        <v>112</v>
      </c>
      <c r="C82" s="9" t="s">
        <v>3323</v>
      </c>
      <c r="D82" s="9" t="s">
        <v>3324</v>
      </c>
      <c r="E82" s="9">
        <v>155</v>
      </c>
      <c r="F82" s="9" t="s">
        <v>3325</v>
      </c>
      <c r="G82" s="9">
        <v>0</v>
      </c>
      <c r="H82" s="9" t="s">
        <v>3093</v>
      </c>
      <c r="I82" s="9">
        <v>228</v>
      </c>
      <c r="J82" s="9">
        <v>0</v>
      </c>
      <c r="K82" s="9" t="s">
        <v>3107</v>
      </c>
      <c r="L82" s="9" t="str">
        <f t="shared" si="0"/>
        <v>Y</v>
      </c>
    </row>
    <row r="83" spans="1:12">
      <c r="A83" s="9">
        <v>183</v>
      </c>
      <c r="B83" s="9">
        <v>111</v>
      </c>
      <c r="C83" s="9" t="s">
        <v>3326</v>
      </c>
      <c r="D83" s="9" t="s">
        <v>3327</v>
      </c>
      <c r="E83" s="9">
        <v>189</v>
      </c>
      <c r="F83" s="9" t="s">
        <v>3328</v>
      </c>
      <c r="G83" s="9">
        <v>0</v>
      </c>
      <c r="H83" s="9" t="s">
        <v>3093</v>
      </c>
      <c r="I83" s="9">
        <v>77</v>
      </c>
      <c r="J83" s="9">
        <v>3</v>
      </c>
      <c r="K83" s="9" t="s">
        <v>1001</v>
      </c>
      <c r="L83" s="9" t="str">
        <f t="shared" si="0"/>
        <v>Y</v>
      </c>
    </row>
    <row r="84" spans="1:12">
      <c r="A84" s="9">
        <v>184</v>
      </c>
      <c r="B84" s="9">
        <v>109</v>
      </c>
      <c r="C84" s="9" t="s">
        <v>3329</v>
      </c>
      <c r="D84" s="9" t="s">
        <v>3330</v>
      </c>
      <c r="E84" s="9">
        <v>138</v>
      </c>
      <c r="F84" s="9" t="s">
        <v>3331</v>
      </c>
      <c r="G84" s="9">
        <v>0</v>
      </c>
      <c r="H84" s="9" t="s">
        <v>3093</v>
      </c>
      <c r="I84" s="9">
        <v>215</v>
      </c>
      <c r="J84" s="9">
        <v>1</v>
      </c>
      <c r="K84" s="9" t="s">
        <v>752</v>
      </c>
      <c r="L84" s="9" t="str">
        <f t="shared" si="0"/>
        <v>Y</v>
      </c>
    </row>
    <row r="85" spans="1:12">
      <c r="A85" s="9">
        <v>185</v>
      </c>
      <c r="B85" s="9">
        <v>109</v>
      </c>
      <c r="C85" s="9" t="s">
        <v>3332</v>
      </c>
      <c r="D85" s="9" t="s">
        <v>3333</v>
      </c>
      <c r="E85" s="9">
        <v>137</v>
      </c>
      <c r="F85" s="9" t="s">
        <v>3331</v>
      </c>
      <c r="G85" s="9">
        <v>0</v>
      </c>
      <c r="H85" s="9" t="s">
        <v>3093</v>
      </c>
      <c r="I85" s="9">
        <v>218</v>
      </c>
      <c r="J85" s="9">
        <v>0</v>
      </c>
      <c r="K85" s="9" t="s">
        <v>752</v>
      </c>
      <c r="L85" s="9" t="str">
        <f t="shared" si="0"/>
        <v>Y</v>
      </c>
    </row>
    <row r="86" spans="1:12">
      <c r="A86" s="9">
        <v>186</v>
      </c>
      <c r="B86" s="9">
        <v>116</v>
      </c>
      <c r="C86" s="9" t="s">
        <v>3334</v>
      </c>
      <c r="D86" s="9" t="s">
        <v>3335</v>
      </c>
      <c r="E86" s="9">
        <v>180</v>
      </c>
      <c r="F86" s="9" t="s">
        <v>3336</v>
      </c>
      <c r="G86" s="9">
        <v>1</v>
      </c>
      <c r="H86" s="9" t="s">
        <v>3093</v>
      </c>
      <c r="I86" s="9">
        <v>45</v>
      </c>
      <c r="J86" s="9">
        <v>0</v>
      </c>
      <c r="K86" s="9" t="s">
        <v>1504</v>
      </c>
      <c r="L86" s="9" t="str">
        <f t="shared" si="0"/>
        <v>Y</v>
      </c>
    </row>
    <row r="87" spans="1:12">
      <c r="A87" s="9">
        <v>187</v>
      </c>
      <c r="B87" s="9">
        <v>115</v>
      </c>
      <c r="C87" s="9" t="s">
        <v>3337</v>
      </c>
      <c r="D87" s="9" t="s">
        <v>3338</v>
      </c>
      <c r="E87" s="9">
        <v>176</v>
      </c>
      <c r="F87" s="9" t="s">
        <v>3339</v>
      </c>
      <c r="G87" s="9">
        <v>1</v>
      </c>
      <c r="H87" s="9" t="s">
        <v>3093</v>
      </c>
      <c r="I87" s="9">
        <v>227</v>
      </c>
      <c r="J87" s="9">
        <v>0</v>
      </c>
      <c r="K87" s="9" t="s">
        <v>3107</v>
      </c>
      <c r="L87" s="9" t="str">
        <f t="shared" si="0"/>
        <v>Y</v>
      </c>
    </row>
    <row r="88" spans="1:12">
      <c r="A88" s="9">
        <v>188</v>
      </c>
      <c r="B88" s="9">
        <v>116</v>
      </c>
      <c r="C88" s="9" t="s">
        <v>3340</v>
      </c>
      <c r="D88" s="9" t="s">
        <v>3341</v>
      </c>
      <c r="E88" s="9">
        <v>182</v>
      </c>
      <c r="F88" s="9" t="s">
        <v>3342</v>
      </c>
      <c r="G88" s="9">
        <v>0</v>
      </c>
      <c r="H88" s="9" t="s">
        <v>3093</v>
      </c>
      <c r="I88" s="9">
        <v>113</v>
      </c>
      <c r="J88" s="9">
        <v>0</v>
      </c>
      <c r="K88" s="9" t="s">
        <v>1400</v>
      </c>
      <c r="L88" s="9" t="str">
        <f t="shared" si="0"/>
        <v>Y</v>
      </c>
    </row>
    <row r="89" spans="1:12">
      <c r="A89" s="9">
        <v>189</v>
      </c>
      <c r="B89" s="9">
        <v>112</v>
      </c>
      <c r="C89" s="9" t="s">
        <v>3343</v>
      </c>
      <c r="D89" s="9" t="s">
        <v>3344</v>
      </c>
      <c r="E89" s="9">
        <v>155</v>
      </c>
      <c r="F89" s="9" t="s">
        <v>3345</v>
      </c>
      <c r="G89" s="9">
        <v>0</v>
      </c>
      <c r="H89" s="9" t="s">
        <v>3093</v>
      </c>
      <c r="I89" s="9">
        <v>218</v>
      </c>
      <c r="J89" s="9">
        <v>0</v>
      </c>
      <c r="K89" s="9" t="s">
        <v>752</v>
      </c>
      <c r="L89" s="9" t="str">
        <f t="shared" si="0"/>
        <v>Y</v>
      </c>
    </row>
    <row r="90" spans="1:12">
      <c r="A90" s="9">
        <v>190</v>
      </c>
      <c r="B90" s="9">
        <v>117</v>
      </c>
      <c r="C90" s="9" t="s">
        <v>3346</v>
      </c>
      <c r="D90" s="9" t="s">
        <v>3347</v>
      </c>
      <c r="E90" s="9">
        <v>188</v>
      </c>
      <c r="F90" s="9" t="s">
        <v>3348</v>
      </c>
      <c r="G90" s="9">
        <v>1</v>
      </c>
      <c r="H90" s="9" t="s">
        <v>3093</v>
      </c>
      <c r="I90" s="9">
        <v>86</v>
      </c>
      <c r="J90" s="9">
        <v>0</v>
      </c>
      <c r="K90" s="9" t="s">
        <v>1001</v>
      </c>
      <c r="L90" s="9" t="str">
        <f t="shared" si="0"/>
        <v>Y</v>
      </c>
    </row>
    <row r="91" spans="1:12">
      <c r="A91" s="9">
        <v>191</v>
      </c>
      <c r="B91" s="9">
        <v>112</v>
      </c>
      <c r="C91" s="9" t="s">
        <v>3349</v>
      </c>
      <c r="D91" s="9" t="s">
        <v>3350</v>
      </c>
      <c r="E91" s="9">
        <v>157</v>
      </c>
      <c r="F91" s="9" t="s">
        <v>3351</v>
      </c>
      <c r="G91" s="9">
        <v>1</v>
      </c>
      <c r="H91" s="9" t="s">
        <v>3093</v>
      </c>
      <c r="I91" s="9">
        <v>151</v>
      </c>
      <c r="J91" s="9">
        <v>0</v>
      </c>
      <c r="K91" s="9" t="s">
        <v>3140</v>
      </c>
      <c r="L91" s="9" t="str">
        <f t="shared" si="0"/>
        <v>Y</v>
      </c>
    </row>
    <row r="92" spans="1:12">
      <c r="A92" s="9">
        <v>192</v>
      </c>
      <c r="B92" s="9">
        <v>114</v>
      </c>
      <c r="C92" s="9" t="s">
        <v>3352</v>
      </c>
      <c r="D92" s="9" t="s">
        <v>3353</v>
      </c>
      <c r="E92" s="9">
        <v>167</v>
      </c>
      <c r="F92" s="9" t="s">
        <v>3354</v>
      </c>
      <c r="G92" s="9">
        <v>1</v>
      </c>
      <c r="H92" s="9" t="s">
        <v>3093</v>
      </c>
      <c r="I92" s="9">
        <v>146</v>
      </c>
      <c r="J92" s="9">
        <v>0</v>
      </c>
      <c r="K92" s="9" t="s">
        <v>3140</v>
      </c>
      <c r="L92" s="9" t="str">
        <f t="shared" si="0"/>
        <v>Y</v>
      </c>
    </row>
    <row r="93" spans="1:12">
      <c r="A93" s="9">
        <v>193</v>
      </c>
      <c r="B93" s="9">
        <v>116</v>
      </c>
      <c r="C93" s="9" t="s">
        <v>3355</v>
      </c>
      <c r="D93" s="9" t="s">
        <v>3356</v>
      </c>
      <c r="E93" s="9">
        <v>180</v>
      </c>
      <c r="F93" s="9" t="s">
        <v>3357</v>
      </c>
      <c r="G93" s="9">
        <v>1</v>
      </c>
      <c r="H93" s="9" t="s">
        <v>3093</v>
      </c>
      <c r="I93" s="9">
        <v>151</v>
      </c>
      <c r="J93" s="9">
        <v>0</v>
      </c>
      <c r="K93" s="9" t="s">
        <v>3140</v>
      </c>
      <c r="L93" s="9" t="str">
        <f t="shared" si="0"/>
        <v>Y</v>
      </c>
    </row>
    <row r="94" spans="1:12">
      <c r="A94" s="9">
        <v>194</v>
      </c>
      <c r="B94" s="9">
        <v>115</v>
      </c>
      <c r="C94" s="9" t="s">
        <v>3358</v>
      </c>
      <c r="D94" s="9" t="s">
        <v>3359</v>
      </c>
      <c r="E94" s="9">
        <v>173</v>
      </c>
      <c r="F94" s="9" t="s">
        <v>3360</v>
      </c>
      <c r="G94" s="9">
        <v>1</v>
      </c>
      <c r="H94" s="9" t="s">
        <v>3093</v>
      </c>
      <c r="I94" s="9">
        <v>168</v>
      </c>
      <c r="J94" s="9">
        <v>0</v>
      </c>
      <c r="K94" s="9" t="s">
        <v>3219</v>
      </c>
      <c r="L94" s="9" t="str">
        <f t="shared" si="0"/>
        <v>Y</v>
      </c>
    </row>
    <row r="95" spans="1:12">
      <c r="A95" s="9">
        <v>195</v>
      </c>
      <c r="B95" s="9">
        <v>112</v>
      </c>
      <c r="C95" s="9" t="s">
        <v>3361</v>
      </c>
      <c r="D95" s="9" t="s">
        <v>3362</v>
      </c>
      <c r="E95" s="9">
        <v>155</v>
      </c>
      <c r="F95" s="9" t="s">
        <v>3363</v>
      </c>
      <c r="G95" s="9">
        <v>0</v>
      </c>
      <c r="H95" s="9" t="s">
        <v>3093</v>
      </c>
      <c r="I95" s="9">
        <v>232</v>
      </c>
      <c r="J95" s="9">
        <v>0</v>
      </c>
      <c r="K95" s="9" t="s">
        <v>3107</v>
      </c>
      <c r="L95" s="9" t="str">
        <f t="shared" si="0"/>
        <v>Y</v>
      </c>
    </row>
    <row r="96" spans="1:12">
      <c r="A96" s="9">
        <v>196</v>
      </c>
      <c r="B96" s="9">
        <v>113</v>
      </c>
      <c r="C96" s="9" t="s">
        <v>3364</v>
      </c>
      <c r="D96" s="9" t="s">
        <v>3365</v>
      </c>
      <c r="E96" s="9">
        <v>161</v>
      </c>
      <c r="F96" s="9" t="s">
        <v>3366</v>
      </c>
      <c r="G96" s="9">
        <v>0</v>
      </c>
      <c r="H96" s="9" t="s">
        <v>3093</v>
      </c>
      <c r="I96" s="9">
        <v>218.22800000000001</v>
      </c>
      <c r="J96" s="9">
        <v>1</v>
      </c>
      <c r="K96" s="9" t="s">
        <v>3367</v>
      </c>
      <c r="L96" s="9" t="str">
        <f t="shared" si="0"/>
        <v>Y</v>
      </c>
    </row>
    <row r="97" spans="1:12">
      <c r="A97" s="9">
        <v>197</v>
      </c>
      <c r="B97" s="9">
        <v>115</v>
      </c>
      <c r="C97" s="9" t="s">
        <v>3368</v>
      </c>
      <c r="D97" s="9" t="s">
        <v>20</v>
      </c>
      <c r="E97" s="9">
        <v>174</v>
      </c>
      <c r="F97" s="9" t="s">
        <v>3369</v>
      </c>
      <c r="G97" s="9">
        <v>0</v>
      </c>
      <c r="H97" s="9" t="s">
        <v>3093</v>
      </c>
      <c r="I97" s="9">
        <v>47</v>
      </c>
      <c r="J97" s="9">
        <v>0</v>
      </c>
      <c r="K97" s="9" t="s">
        <v>699</v>
      </c>
      <c r="L97" s="9" t="str">
        <f t="shared" si="0"/>
        <v>N</v>
      </c>
    </row>
    <row r="98" spans="1:12">
      <c r="A98" s="9">
        <v>198</v>
      </c>
      <c r="B98" s="9">
        <v>117</v>
      </c>
      <c r="C98" s="9" t="s">
        <v>3370</v>
      </c>
      <c r="D98" s="9" t="s">
        <v>3371</v>
      </c>
      <c r="E98" s="9">
        <v>188</v>
      </c>
      <c r="F98" s="9" t="s">
        <v>141</v>
      </c>
      <c r="G98" s="9">
        <v>1</v>
      </c>
      <c r="H98" s="9" t="s">
        <v>3093</v>
      </c>
      <c r="I98" s="9">
        <v>77</v>
      </c>
      <c r="J98" s="9">
        <v>0</v>
      </c>
      <c r="K98" s="9" t="s">
        <v>1001</v>
      </c>
      <c r="L98" s="9" t="str">
        <f t="shared" si="0"/>
        <v>Y</v>
      </c>
    </row>
    <row r="99" spans="1:12">
      <c r="A99" s="9">
        <v>199</v>
      </c>
      <c r="B99" s="9">
        <v>110</v>
      </c>
      <c r="C99" s="9" t="s">
        <v>3372</v>
      </c>
      <c r="D99" s="9" t="s">
        <v>3373</v>
      </c>
      <c r="E99" s="9">
        <v>143</v>
      </c>
      <c r="F99" s="9" t="s">
        <v>141</v>
      </c>
      <c r="G99" s="9">
        <v>0</v>
      </c>
      <c r="H99" s="9" t="s">
        <v>3093</v>
      </c>
      <c r="I99" s="9">
        <v>69</v>
      </c>
      <c r="J99" s="9">
        <v>0</v>
      </c>
      <c r="K99" s="9" t="s">
        <v>1001</v>
      </c>
      <c r="L99" s="9" t="str">
        <f t="shared" si="0"/>
        <v>Y</v>
      </c>
    </row>
    <row r="100" spans="1:12">
      <c r="A100" s="9">
        <v>200</v>
      </c>
      <c r="B100" s="9">
        <v>113</v>
      </c>
      <c r="C100" s="9" t="s">
        <v>3374</v>
      </c>
      <c r="D100" s="9" t="s">
        <v>3375</v>
      </c>
      <c r="E100" s="9">
        <v>162</v>
      </c>
      <c r="F100" s="9" t="s">
        <v>3376</v>
      </c>
      <c r="G100" s="9">
        <v>1</v>
      </c>
      <c r="H100" s="9" t="s">
        <v>3093</v>
      </c>
      <c r="I100" s="9">
        <v>113</v>
      </c>
      <c r="J100" s="9">
        <v>1</v>
      </c>
      <c r="K100" s="9" t="s">
        <v>1400</v>
      </c>
      <c r="L100" s="9" t="str">
        <f t="shared" si="0"/>
        <v>Y</v>
      </c>
    </row>
    <row r="101" spans="1:12">
      <c r="A101" s="9">
        <v>201</v>
      </c>
      <c r="B101" s="9">
        <v>116</v>
      </c>
      <c r="C101" s="9" t="s">
        <v>3377</v>
      </c>
      <c r="D101" s="9" t="s">
        <v>3378</v>
      </c>
      <c r="E101" s="9">
        <v>180</v>
      </c>
      <c r="F101" s="9" t="s">
        <v>3379</v>
      </c>
      <c r="G101" s="9">
        <v>0</v>
      </c>
      <c r="H101" s="9" t="s">
        <v>3093</v>
      </c>
      <c r="I101" s="9">
        <v>229</v>
      </c>
      <c r="J101" s="9">
        <v>0</v>
      </c>
      <c r="K101" s="9" t="s">
        <v>3107</v>
      </c>
      <c r="L101" s="9" t="str">
        <f t="shared" si="0"/>
        <v>Y</v>
      </c>
    </row>
    <row r="102" spans="1:12">
      <c r="A102" s="9">
        <v>202</v>
      </c>
      <c r="B102" s="9">
        <v>114</v>
      </c>
      <c r="C102" s="9" t="s">
        <v>3380</v>
      </c>
      <c r="D102" s="9" t="s">
        <v>3381</v>
      </c>
      <c r="E102" s="9">
        <v>168</v>
      </c>
      <c r="F102" s="9" t="s">
        <v>263</v>
      </c>
      <c r="G102" s="9">
        <v>0</v>
      </c>
      <c r="H102" s="9" t="s">
        <v>3093</v>
      </c>
      <c r="I102" s="9">
        <v>224</v>
      </c>
      <c r="J102" s="9">
        <v>0</v>
      </c>
      <c r="K102" s="9" t="s">
        <v>3107</v>
      </c>
      <c r="L102" s="9" t="str">
        <f t="shared" si="0"/>
        <v>Y</v>
      </c>
    </row>
    <row r="103" spans="1:12">
      <c r="A103" s="9">
        <v>203</v>
      </c>
      <c r="B103" s="9">
        <v>115</v>
      </c>
      <c r="C103" s="9" t="s">
        <v>3382</v>
      </c>
      <c r="D103" s="9" t="s">
        <v>3383</v>
      </c>
      <c r="E103" s="9">
        <v>176</v>
      </c>
      <c r="F103" s="9" t="s">
        <v>3384</v>
      </c>
      <c r="G103" s="9">
        <v>1</v>
      </c>
      <c r="H103" s="9" t="s">
        <v>3093</v>
      </c>
      <c r="I103" s="9">
        <v>59</v>
      </c>
      <c r="J103" s="9">
        <v>0</v>
      </c>
      <c r="K103" s="9" t="s">
        <v>853</v>
      </c>
      <c r="L103" s="9" t="str">
        <f t="shared" si="0"/>
        <v>Y</v>
      </c>
    </row>
    <row r="104" spans="1:12">
      <c r="A104" s="9">
        <v>204</v>
      </c>
      <c r="B104" s="9">
        <v>115</v>
      </c>
      <c r="C104" s="9" t="s">
        <v>3385</v>
      </c>
      <c r="D104" s="9" t="s">
        <v>3386</v>
      </c>
      <c r="E104" s="9">
        <v>174</v>
      </c>
      <c r="F104" s="9" t="s">
        <v>3387</v>
      </c>
      <c r="G104" s="9">
        <v>1</v>
      </c>
      <c r="H104" s="9" t="s">
        <v>3093</v>
      </c>
      <c r="I104" s="9">
        <v>47</v>
      </c>
      <c r="J104" s="9">
        <v>2</v>
      </c>
      <c r="K104" s="9" t="s">
        <v>1504</v>
      </c>
      <c r="L104" s="9" t="str">
        <f t="shared" si="0"/>
        <v>Y</v>
      </c>
    </row>
    <row r="105" spans="1:12">
      <c r="A105" s="9">
        <v>205</v>
      </c>
      <c r="B105" s="9">
        <v>114</v>
      </c>
      <c r="C105" s="9" t="s">
        <v>3388</v>
      </c>
      <c r="D105" s="9" t="s">
        <v>3389</v>
      </c>
      <c r="E105" s="9">
        <v>169</v>
      </c>
      <c r="F105" s="9" t="s">
        <v>3390</v>
      </c>
      <c r="G105" s="9">
        <v>1</v>
      </c>
      <c r="H105" s="9" t="s">
        <v>3093</v>
      </c>
      <c r="I105" s="9">
        <v>147</v>
      </c>
      <c r="J105" s="9">
        <v>0</v>
      </c>
      <c r="K105" s="9" t="s">
        <v>3140</v>
      </c>
      <c r="L105" s="9" t="str">
        <f t="shared" si="0"/>
        <v>Y</v>
      </c>
    </row>
    <row r="106" spans="1:12">
      <c r="A106" s="9">
        <v>206</v>
      </c>
      <c r="B106" s="9">
        <v>113</v>
      </c>
      <c r="C106" s="9" t="s">
        <v>3391</v>
      </c>
      <c r="D106" s="9" t="s">
        <v>3392</v>
      </c>
      <c r="E106" s="9">
        <v>161</v>
      </c>
      <c r="F106" s="9" t="s">
        <v>3393</v>
      </c>
      <c r="G106" s="9">
        <v>1</v>
      </c>
      <c r="H106" s="9" t="s">
        <v>3394</v>
      </c>
      <c r="I106" s="9">
        <v>224</v>
      </c>
      <c r="J106" s="9">
        <v>11</v>
      </c>
      <c r="K106" s="9" t="s">
        <v>3107</v>
      </c>
      <c r="L106" s="9" t="str">
        <f t="shared" si="0"/>
        <v>Y</v>
      </c>
    </row>
    <row r="107" spans="1:12">
      <c r="A107" s="9">
        <v>207</v>
      </c>
      <c r="B107" s="9">
        <v>112</v>
      </c>
      <c r="C107" s="9" t="s">
        <v>3395</v>
      </c>
      <c r="D107" s="9" t="s">
        <v>3396</v>
      </c>
      <c r="E107" s="9">
        <v>155</v>
      </c>
      <c r="F107" s="9" t="s">
        <v>3393</v>
      </c>
      <c r="G107" s="9">
        <v>1</v>
      </c>
      <c r="H107" s="9" t="s">
        <v>3093</v>
      </c>
      <c r="I107" s="9">
        <v>86</v>
      </c>
      <c r="J107" s="9">
        <v>7</v>
      </c>
      <c r="K107" s="9" t="s">
        <v>1001</v>
      </c>
      <c r="L107" s="9" t="str">
        <f t="shared" si="0"/>
        <v>Y</v>
      </c>
    </row>
    <row r="108" spans="1:12">
      <c r="A108" s="9">
        <v>208</v>
      </c>
      <c r="B108" s="9">
        <v>115</v>
      </c>
      <c r="C108" s="9" t="s">
        <v>3397</v>
      </c>
      <c r="D108" s="9" t="s">
        <v>3398</v>
      </c>
      <c r="E108" s="9">
        <v>174</v>
      </c>
      <c r="F108" s="9" t="s">
        <v>3399</v>
      </c>
      <c r="G108" s="9">
        <v>0</v>
      </c>
      <c r="H108" s="9" t="s">
        <v>3093</v>
      </c>
      <c r="I108" s="9">
        <v>36</v>
      </c>
      <c r="J108" s="9">
        <v>0</v>
      </c>
      <c r="K108" s="9" t="s">
        <v>1504</v>
      </c>
      <c r="L108" s="9" t="str">
        <f t="shared" si="0"/>
        <v>Y</v>
      </c>
    </row>
    <row r="109" spans="1:12">
      <c r="A109" s="9">
        <v>209</v>
      </c>
      <c r="B109" s="9">
        <v>114</v>
      </c>
      <c r="C109" s="9" t="s">
        <v>3400</v>
      </c>
      <c r="D109" s="9" t="s">
        <v>3401</v>
      </c>
      <c r="E109" s="9">
        <v>168</v>
      </c>
      <c r="F109" s="9" t="s">
        <v>3399</v>
      </c>
      <c r="G109" s="9">
        <v>0</v>
      </c>
      <c r="H109" s="9" t="s">
        <v>3093</v>
      </c>
      <c r="I109" s="9">
        <v>218</v>
      </c>
      <c r="J109" s="9">
        <v>0</v>
      </c>
      <c r="K109" s="9" t="s">
        <v>752</v>
      </c>
      <c r="L109" s="9" t="str">
        <f t="shared" si="0"/>
        <v>Y</v>
      </c>
    </row>
    <row r="110" spans="1:12">
      <c r="A110" s="9">
        <v>210</v>
      </c>
      <c r="B110" s="9">
        <v>113</v>
      </c>
      <c r="C110" s="9" t="s">
        <v>3402</v>
      </c>
      <c r="D110" s="9" t="s">
        <v>3403</v>
      </c>
      <c r="E110" s="9">
        <v>162</v>
      </c>
      <c r="F110" s="9" t="s">
        <v>3404</v>
      </c>
      <c r="G110" s="9">
        <v>0</v>
      </c>
      <c r="H110" s="9" t="s">
        <v>3093</v>
      </c>
      <c r="I110" s="9">
        <v>192</v>
      </c>
      <c r="J110" s="9">
        <v>0</v>
      </c>
      <c r="K110" s="9" t="s">
        <v>3125</v>
      </c>
      <c r="L110" s="9" t="str">
        <f t="shared" si="0"/>
        <v>Y</v>
      </c>
    </row>
    <row r="111" spans="1:12">
      <c r="A111" s="9">
        <v>211</v>
      </c>
      <c r="B111" s="9">
        <v>112</v>
      </c>
      <c r="C111" s="9" t="s">
        <v>3405</v>
      </c>
      <c r="D111" s="9" t="s">
        <v>3406</v>
      </c>
      <c r="E111" s="9">
        <v>155</v>
      </c>
      <c r="F111" s="9" t="s">
        <v>3407</v>
      </c>
      <c r="G111" s="9">
        <v>0</v>
      </c>
      <c r="H111" s="9" t="s">
        <v>3093</v>
      </c>
      <c r="I111" s="9">
        <v>180</v>
      </c>
      <c r="J111" s="9">
        <v>0</v>
      </c>
      <c r="K111" s="9" t="s">
        <v>3169</v>
      </c>
      <c r="L111" s="9" t="str">
        <f t="shared" si="0"/>
        <v>Y</v>
      </c>
    </row>
    <row r="112" spans="1:12">
      <c r="A112" s="9">
        <v>212</v>
      </c>
      <c r="B112" s="9">
        <v>117</v>
      </c>
      <c r="C112" s="9" t="s">
        <v>3408</v>
      </c>
      <c r="D112" s="9" t="s">
        <v>3409</v>
      </c>
      <c r="E112" s="9">
        <v>188</v>
      </c>
      <c r="F112" s="9" t="s">
        <v>3410</v>
      </c>
      <c r="G112" s="9">
        <v>1</v>
      </c>
      <c r="H112" s="9" t="s">
        <v>3093</v>
      </c>
      <c r="I112" s="9">
        <v>168</v>
      </c>
      <c r="J112" s="9">
        <v>1</v>
      </c>
      <c r="K112" s="9" t="s">
        <v>3219</v>
      </c>
      <c r="L112" s="9" t="str">
        <f t="shared" si="0"/>
        <v>Y</v>
      </c>
    </row>
    <row r="113" spans="1:12">
      <c r="A113" s="9">
        <v>213</v>
      </c>
      <c r="B113" s="9">
        <v>109</v>
      </c>
      <c r="C113" s="9" t="s">
        <v>3411</v>
      </c>
      <c r="D113" s="9" t="s">
        <v>3412</v>
      </c>
      <c r="E113" s="9">
        <v>139</v>
      </c>
      <c r="F113" s="9" t="s">
        <v>3413</v>
      </c>
      <c r="G113" s="9">
        <v>0</v>
      </c>
      <c r="H113" s="9" t="s">
        <v>3093</v>
      </c>
      <c r="I113" s="9">
        <v>218</v>
      </c>
      <c r="J113" s="9">
        <v>0</v>
      </c>
      <c r="K113" s="9" t="s">
        <v>752</v>
      </c>
      <c r="L113" s="9" t="str">
        <f t="shared" si="0"/>
        <v>Y</v>
      </c>
    </row>
    <row r="114" spans="1:12">
      <c r="A114" s="9">
        <v>214</v>
      </c>
      <c r="B114" s="9">
        <v>109</v>
      </c>
      <c r="C114" s="9" t="s">
        <v>3414</v>
      </c>
      <c r="D114" s="9" t="s">
        <v>3415</v>
      </c>
      <c r="E114" s="9">
        <v>136</v>
      </c>
      <c r="F114" s="9" t="s">
        <v>3416</v>
      </c>
      <c r="G114" s="9">
        <v>0</v>
      </c>
      <c r="H114" s="9" t="s">
        <v>3093</v>
      </c>
      <c r="I114" s="9">
        <v>180</v>
      </c>
      <c r="J114" s="9">
        <v>0</v>
      </c>
      <c r="K114" s="9" t="s">
        <v>3169</v>
      </c>
      <c r="L114" s="9" t="str">
        <f t="shared" si="0"/>
        <v>Y</v>
      </c>
    </row>
    <row r="115" spans="1:12">
      <c r="A115" s="9">
        <v>215</v>
      </c>
      <c r="B115" s="9">
        <v>112</v>
      </c>
      <c r="C115" s="9" t="s">
        <v>3417</v>
      </c>
      <c r="D115" s="9" t="s">
        <v>3418</v>
      </c>
      <c r="E115" s="9">
        <v>155</v>
      </c>
      <c r="F115" s="9" t="s">
        <v>3419</v>
      </c>
      <c r="G115" s="9">
        <v>0</v>
      </c>
      <c r="H115" s="9" t="s">
        <v>3250</v>
      </c>
      <c r="I115" s="9">
        <v>225</v>
      </c>
      <c r="J115" s="9">
        <v>0</v>
      </c>
      <c r="K115" s="9" t="s">
        <v>3107</v>
      </c>
      <c r="L115" s="9" t="str">
        <f t="shared" si="0"/>
        <v>Y</v>
      </c>
    </row>
    <row r="116" spans="1:12">
      <c r="A116" s="9">
        <v>216</v>
      </c>
      <c r="B116" s="9">
        <v>114</v>
      </c>
      <c r="C116" s="9" t="s">
        <v>3420</v>
      </c>
      <c r="D116" s="9" t="s">
        <v>3421</v>
      </c>
      <c r="E116" s="9">
        <v>169</v>
      </c>
      <c r="F116" s="9" t="s">
        <v>3422</v>
      </c>
      <c r="G116" s="9">
        <v>1</v>
      </c>
      <c r="H116" s="9" t="s">
        <v>3093</v>
      </c>
      <c r="I116" s="9">
        <v>46</v>
      </c>
      <c r="J116" s="9">
        <v>3</v>
      </c>
      <c r="K116" s="9" t="s">
        <v>1504</v>
      </c>
      <c r="L116" s="9" t="str">
        <f t="shared" si="0"/>
        <v>Y</v>
      </c>
    </row>
    <row r="117" spans="1:12">
      <c r="A117" s="9">
        <v>217</v>
      </c>
      <c r="B117" s="9">
        <v>112</v>
      </c>
      <c r="C117" s="9" t="s">
        <v>3423</v>
      </c>
      <c r="D117" s="9" t="s">
        <v>3424</v>
      </c>
      <c r="E117" s="9">
        <v>158</v>
      </c>
      <c r="F117" s="9" t="s">
        <v>3422</v>
      </c>
      <c r="G117" s="9">
        <v>0</v>
      </c>
      <c r="H117" s="9" t="s">
        <v>3093</v>
      </c>
      <c r="I117" s="9">
        <v>77.191999999999993</v>
      </c>
      <c r="J117" s="9">
        <v>1</v>
      </c>
      <c r="K117" s="9" t="s">
        <v>3425</v>
      </c>
      <c r="L117" s="9" t="str">
        <f t="shared" si="0"/>
        <v>Y</v>
      </c>
    </row>
    <row r="118" spans="1:12">
      <c r="A118" s="9">
        <v>218</v>
      </c>
      <c r="B118" s="9">
        <v>113</v>
      </c>
      <c r="C118" s="9" t="s">
        <v>3426</v>
      </c>
      <c r="D118" s="9" t="s">
        <v>3427</v>
      </c>
      <c r="E118" s="9">
        <v>161</v>
      </c>
      <c r="F118" s="9" t="s">
        <v>3428</v>
      </c>
      <c r="G118" s="9">
        <v>0</v>
      </c>
      <c r="H118" s="9" t="s">
        <v>3093</v>
      </c>
      <c r="I118" s="9">
        <v>166</v>
      </c>
      <c r="J118" s="9">
        <v>1</v>
      </c>
      <c r="K118" s="9" t="s">
        <v>3219</v>
      </c>
      <c r="L118" s="9" t="str">
        <f t="shared" si="0"/>
        <v>Y</v>
      </c>
    </row>
    <row r="119" spans="1:12">
      <c r="A119" s="9">
        <v>219</v>
      </c>
      <c r="B119" s="9">
        <v>116</v>
      </c>
      <c r="C119" s="9" t="s">
        <v>3429</v>
      </c>
      <c r="D119" s="9" t="s">
        <v>3430</v>
      </c>
      <c r="E119" s="9">
        <v>179</v>
      </c>
      <c r="F119" s="9" t="s">
        <v>3431</v>
      </c>
      <c r="G119" s="9">
        <v>1</v>
      </c>
      <c r="H119" s="9" t="s">
        <v>3093</v>
      </c>
      <c r="I119" s="9">
        <v>36</v>
      </c>
      <c r="J119" s="9">
        <v>0</v>
      </c>
      <c r="K119" s="9" t="s">
        <v>1504</v>
      </c>
      <c r="L119" s="9" t="str">
        <f t="shared" si="0"/>
        <v>Y</v>
      </c>
    </row>
    <row r="120" spans="1:12">
      <c r="A120" s="9">
        <v>220</v>
      </c>
      <c r="B120" s="9">
        <v>114</v>
      </c>
      <c r="C120" s="9" t="s">
        <v>3432</v>
      </c>
      <c r="D120" s="9" t="s">
        <v>3433</v>
      </c>
      <c r="E120" s="9">
        <v>169</v>
      </c>
      <c r="F120" s="9" t="s">
        <v>3434</v>
      </c>
      <c r="G120" s="9">
        <v>1</v>
      </c>
      <c r="H120" s="9" t="s">
        <v>3093</v>
      </c>
      <c r="I120" s="9">
        <v>50</v>
      </c>
      <c r="J120" s="9">
        <v>3</v>
      </c>
      <c r="K120" s="9" t="s">
        <v>1504</v>
      </c>
      <c r="L120" s="9" t="str">
        <f t="shared" si="0"/>
        <v>Y</v>
      </c>
    </row>
    <row r="121" spans="1:12">
      <c r="A121" s="9">
        <v>221</v>
      </c>
      <c r="B121" s="9">
        <v>114</v>
      </c>
      <c r="C121" s="9" t="s">
        <v>3435</v>
      </c>
      <c r="D121" s="9" t="s">
        <v>3436</v>
      </c>
      <c r="E121" s="9">
        <v>168</v>
      </c>
      <c r="F121" s="9" t="s">
        <v>3437</v>
      </c>
      <c r="G121" s="9">
        <v>0</v>
      </c>
      <c r="H121" s="9" t="s">
        <v>3093</v>
      </c>
      <c r="I121" s="9">
        <v>127</v>
      </c>
      <c r="J121" s="9">
        <v>1</v>
      </c>
      <c r="K121" s="9" t="s">
        <v>3097</v>
      </c>
      <c r="L121" s="9" t="str">
        <f t="shared" si="0"/>
        <v>Y</v>
      </c>
    </row>
    <row r="122" spans="1:12">
      <c r="A122" s="9">
        <v>222</v>
      </c>
      <c r="B122" s="9">
        <v>115</v>
      </c>
      <c r="C122" s="9" t="s">
        <v>3438</v>
      </c>
      <c r="D122" s="9" t="s">
        <v>3439</v>
      </c>
      <c r="E122" s="9">
        <v>174</v>
      </c>
      <c r="F122" s="9" t="s">
        <v>3440</v>
      </c>
      <c r="G122" s="9">
        <v>1</v>
      </c>
      <c r="H122" s="9" t="s">
        <v>3093</v>
      </c>
      <c r="I122" s="9">
        <v>86</v>
      </c>
      <c r="J122" s="9">
        <v>2</v>
      </c>
      <c r="K122" s="9" t="s">
        <v>1001</v>
      </c>
      <c r="L122" s="9" t="str">
        <f t="shared" si="0"/>
        <v>Y</v>
      </c>
    </row>
    <row r="123" spans="1:12">
      <c r="A123" s="9">
        <v>223</v>
      </c>
      <c r="B123" s="9">
        <v>110</v>
      </c>
      <c r="C123" s="9" t="s">
        <v>3441</v>
      </c>
      <c r="D123" s="9" t="s">
        <v>3442</v>
      </c>
      <c r="E123" s="9">
        <v>142</v>
      </c>
      <c r="F123" s="9" t="s">
        <v>3443</v>
      </c>
      <c r="G123" s="9">
        <v>1</v>
      </c>
      <c r="H123" s="9" t="s">
        <v>3093</v>
      </c>
      <c r="I123" s="9">
        <v>47</v>
      </c>
      <c r="J123" s="9">
        <v>0</v>
      </c>
      <c r="K123" s="9" t="s">
        <v>1504</v>
      </c>
      <c r="L123" s="9" t="str">
        <f t="shared" si="0"/>
        <v>Y</v>
      </c>
    </row>
    <row r="124" spans="1:12">
      <c r="A124" s="9">
        <v>224</v>
      </c>
      <c r="B124" s="9">
        <v>112</v>
      </c>
      <c r="C124" s="9" t="s">
        <v>3444</v>
      </c>
      <c r="D124" s="9" t="s">
        <v>3445</v>
      </c>
      <c r="E124" s="9">
        <v>158</v>
      </c>
      <c r="F124" s="9" t="s">
        <v>251</v>
      </c>
      <c r="G124" s="9">
        <v>0</v>
      </c>
      <c r="H124" s="9" t="s">
        <v>3093</v>
      </c>
      <c r="I124" s="9">
        <v>72.78</v>
      </c>
      <c r="J124" s="9">
        <v>3</v>
      </c>
      <c r="K124" s="9" t="s">
        <v>1001</v>
      </c>
      <c r="L124" s="9" t="str">
        <f t="shared" si="0"/>
        <v>Y</v>
      </c>
    </row>
    <row r="125" spans="1:12">
      <c r="A125" s="9">
        <v>225</v>
      </c>
      <c r="B125" s="9">
        <v>114</v>
      </c>
      <c r="C125" s="9" t="s">
        <v>3446</v>
      </c>
      <c r="D125" s="9" t="s">
        <v>3447</v>
      </c>
      <c r="E125" s="9">
        <v>168</v>
      </c>
      <c r="F125" s="9" t="s">
        <v>3448</v>
      </c>
      <c r="G125" s="9">
        <v>0</v>
      </c>
      <c r="H125" s="9" t="s">
        <v>3093</v>
      </c>
      <c r="I125" s="9">
        <v>72</v>
      </c>
      <c r="J125" s="9">
        <v>3</v>
      </c>
      <c r="K125" s="9" t="s">
        <v>1001</v>
      </c>
      <c r="L125" s="9" t="str">
        <f t="shared" si="0"/>
        <v>Y</v>
      </c>
    </row>
    <row r="126" spans="1:12">
      <c r="A126" s="9">
        <v>226</v>
      </c>
      <c r="B126" s="9">
        <v>109</v>
      </c>
      <c r="C126" s="9" t="s">
        <v>3449</v>
      </c>
      <c r="D126" s="9" t="s">
        <v>20</v>
      </c>
      <c r="E126" s="9">
        <v>138</v>
      </c>
      <c r="F126" s="9" t="s">
        <v>3450</v>
      </c>
      <c r="G126" s="9">
        <v>0</v>
      </c>
      <c r="H126" s="9" t="s">
        <v>3093</v>
      </c>
      <c r="I126" s="9">
        <v>37</v>
      </c>
      <c r="J126" s="9">
        <v>0</v>
      </c>
      <c r="K126" s="9" t="s">
        <v>699</v>
      </c>
      <c r="L126" s="9" t="str">
        <f t="shared" si="0"/>
        <v>N</v>
      </c>
    </row>
    <row r="127" spans="1:12">
      <c r="A127" s="9">
        <v>227</v>
      </c>
      <c r="B127" s="9">
        <v>117</v>
      </c>
      <c r="C127" s="9" t="s">
        <v>3451</v>
      </c>
      <c r="D127" s="9" t="s">
        <v>3452</v>
      </c>
      <c r="E127" s="9">
        <v>188</v>
      </c>
      <c r="F127" s="9" t="s">
        <v>3450</v>
      </c>
      <c r="G127" s="9">
        <v>0</v>
      </c>
      <c r="H127" s="9" t="s">
        <v>3093</v>
      </c>
      <c r="I127" s="9">
        <v>220</v>
      </c>
      <c r="J127" s="9">
        <v>1</v>
      </c>
      <c r="K127" s="9" t="s">
        <v>752</v>
      </c>
      <c r="L127" s="9" t="str">
        <f t="shared" si="0"/>
        <v>Y</v>
      </c>
    </row>
    <row r="128" spans="1:12">
      <c r="A128" s="9">
        <v>228</v>
      </c>
      <c r="B128" s="9">
        <v>111</v>
      </c>
      <c r="C128" s="9" t="s">
        <v>3453</v>
      </c>
      <c r="D128" s="9" t="s">
        <v>3454</v>
      </c>
      <c r="E128" s="9">
        <v>189</v>
      </c>
      <c r="F128" s="9" t="s">
        <v>3455</v>
      </c>
      <c r="G128" s="9">
        <v>0</v>
      </c>
      <c r="H128" s="9" t="s">
        <v>3093</v>
      </c>
      <c r="I128" s="9">
        <v>224</v>
      </c>
      <c r="J128" s="9">
        <v>0</v>
      </c>
      <c r="K128" s="9" t="s">
        <v>3107</v>
      </c>
      <c r="L128" s="9" t="str">
        <f t="shared" si="0"/>
        <v>Y</v>
      </c>
    </row>
    <row r="129" spans="1:12">
      <c r="A129" s="9">
        <v>229</v>
      </c>
      <c r="B129" s="9">
        <v>111</v>
      </c>
      <c r="C129" s="9" t="s">
        <v>3456</v>
      </c>
      <c r="D129" s="9" t="s">
        <v>3457</v>
      </c>
      <c r="E129" s="9">
        <v>151</v>
      </c>
      <c r="F129" s="9" t="s">
        <v>3455</v>
      </c>
      <c r="G129" s="9">
        <v>1</v>
      </c>
      <c r="H129" s="9" t="s">
        <v>3093</v>
      </c>
      <c r="I129" s="9">
        <v>59</v>
      </c>
      <c r="J129" s="9">
        <v>0</v>
      </c>
      <c r="K129" s="9" t="s">
        <v>853</v>
      </c>
      <c r="L129" s="9" t="str">
        <f t="shared" si="0"/>
        <v>Y</v>
      </c>
    </row>
    <row r="130" spans="1:12">
      <c r="A130" s="9">
        <v>230</v>
      </c>
      <c r="B130" s="9">
        <v>115</v>
      </c>
      <c r="C130" s="9" t="s">
        <v>3458</v>
      </c>
      <c r="D130" s="9" t="s">
        <v>3459</v>
      </c>
      <c r="E130" s="9">
        <v>176</v>
      </c>
      <c r="F130" s="9" t="s">
        <v>3455</v>
      </c>
      <c r="G130" s="9">
        <v>1</v>
      </c>
      <c r="H130" s="9" t="s">
        <v>3093</v>
      </c>
      <c r="I130" s="9">
        <v>166</v>
      </c>
      <c r="J130" s="9">
        <v>0</v>
      </c>
      <c r="K130" s="9" t="s">
        <v>3219</v>
      </c>
      <c r="L130" s="9" t="str">
        <f t="shared" si="0"/>
        <v>Y</v>
      </c>
    </row>
    <row r="131" spans="1:12">
      <c r="A131" s="9">
        <v>231</v>
      </c>
      <c r="B131" s="9">
        <v>115</v>
      </c>
      <c r="C131" s="9" t="s">
        <v>3460</v>
      </c>
      <c r="D131" s="9" t="s">
        <v>3461</v>
      </c>
      <c r="E131" s="9">
        <v>174</v>
      </c>
      <c r="F131" s="9" t="s">
        <v>3462</v>
      </c>
      <c r="G131" s="9">
        <v>1</v>
      </c>
      <c r="H131" s="9" t="s">
        <v>3093</v>
      </c>
      <c r="I131" s="9">
        <v>81</v>
      </c>
      <c r="J131" s="9">
        <v>0</v>
      </c>
      <c r="K131" s="9" t="s">
        <v>1001</v>
      </c>
      <c r="L131" s="9" t="str">
        <f t="shared" si="0"/>
        <v>Y</v>
      </c>
    </row>
    <row r="132" spans="1:12">
      <c r="A132" s="9">
        <v>232</v>
      </c>
      <c r="B132" s="9">
        <v>114</v>
      </c>
      <c r="C132" s="9" t="s">
        <v>3463</v>
      </c>
      <c r="D132" s="9" t="s">
        <v>3464</v>
      </c>
      <c r="E132" s="9">
        <v>168</v>
      </c>
      <c r="F132" s="9" t="s">
        <v>3465</v>
      </c>
      <c r="G132" s="9">
        <v>0</v>
      </c>
      <c r="H132" s="9" t="s">
        <v>3093</v>
      </c>
      <c r="I132" s="9">
        <v>77</v>
      </c>
      <c r="J132" s="9">
        <v>0</v>
      </c>
      <c r="K132" s="9" t="s">
        <v>1001</v>
      </c>
      <c r="L132" s="9" t="str">
        <f t="shared" si="0"/>
        <v>Y</v>
      </c>
    </row>
    <row r="133" spans="1:12">
      <c r="A133" s="9">
        <v>233</v>
      </c>
      <c r="B133" s="9">
        <v>116</v>
      </c>
      <c r="C133" s="9" t="s">
        <v>3466</v>
      </c>
      <c r="D133" s="9" t="s">
        <v>3467</v>
      </c>
      <c r="E133" s="9">
        <v>179</v>
      </c>
      <c r="F133" s="9" t="s">
        <v>3465</v>
      </c>
      <c r="G133" s="9">
        <v>1</v>
      </c>
      <c r="H133" s="9" t="s">
        <v>3093</v>
      </c>
      <c r="I133" s="9">
        <v>79</v>
      </c>
      <c r="J133" s="9">
        <v>0</v>
      </c>
      <c r="K133" s="9" t="s">
        <v>1001</v>
      </c>
      <c r="L133" s="9" t="str">
        <f t="shared" si="0"/>
        <v>Y</v>
      </c>
    </row>
    <row r="134" spans="1:12">
      <c r="A134" s="9">
        <v>234</v>
      </c>
      <c r="B134" s="9">
        <v>117</v>
      </c>
      <c r="C134" s="9" t="s">
        <v>3468</v>
      </c>
      <c r="D134" s="9" t="s">
        <v>3469</v>
      </c>
      <c r="E134" s="9">
        <v>188</v>
      </c>
      <c r="F134" s="9" t="s">
        <v>3470</v>
      </c>
      <c r="G134" s="9">
        <v>0</v>
      </c>
      <c r="H134" s="9" t="s">
        <v>3093</v>
      </c>
      <c r="I134" s="9">
        <v>59</v>
      </c>
      <c r="J134" s="9">
        <v>0</v>
      </c>
      <c r="K134" s="9" t="s">
        <v>853</v>
      </c>
      <c r="L134" s="9" t="str">
        <f t="shared" si="0"/>
        <v>Y</v>
      </c>
    </row>
    <row r="135" spans="1:12">
      <c r="A135" s="9">
        <v>235</v>
      </c>
      <c r="B135" s="9">
        <v>115</v>
      </c>
      <c r="C135" s="9" t="s">
        <v>3471</v>
      </c>
      <c r="D135" s="9" t="s">
        <v>3472</v>
      </c>
      <c r="E135" s="9">
        <v>175</v>
      </c>
      <c r="F135" s="9" t="s">
        <v>3473</v>
      </c>
      <c r="G135" s="9">
        <v>1</v>
      </c>
      <c r="H135" s="9" t="s">
        <v>3093</v>
      </c>
      <c r="I135" s="9">
        <v>151</v>
      </c>
      <c r="J135" s="9">
        <v>0</v>
      </c>
      <c r="K135" s="9" t="s">
        <v>3140</v>
      </c>
      <c r="L135" s="9" t="str">
        <f t="shared" si="0"/>
        <v>Y</v>
      </c>
    </row>
    <row r="136" spans="1:12">
      <c r="A136" s="9">
        <v>236</v>
      </c>
      <c r="B136" s="9">
        <v>116</v>
      </c>
      <c r="C136" s="9" t="s">
        <v>3474</v>
      </c>
      <c r="D136" s="9" t="s">
        <v>3475</v>
      </c>
      <c r="E136" s="9">
        <v>182</v>
      </c>
      <c r="F136" s="9" t="s">
        <v>3476</v>
      </c>
      <c r="G136" s="9">
        <v>1</v>
      </c>
      <c r="H136" s="9" t="s">
        <v>3093</v>
      </c>
      <c r="I136" s="9">
        <v>47</v>
      </c>
      <c r="J136" s="9">
        <v>0</v>
      </c>
      <c r="K136" s="9" t="s">
        <v>1504</v>
      </c>
      <c r="L136" s="9" t="str">
        <f t="shared" si="0"/>
        <v>Y</v>
      </c>
    </row>
    <row r="137" spans="1:12">
      <c r="A137" s="9">
        <v>237</v>
      </c>
      <c r="B137" s="9">
        <v>115</v>
      </c>
      <c r="C137" s="9" t="s">
        <v>3477</v>
      </c>
      <c r="D137" s="9" t="s">
        <v>3478</v>
      </c>
      <c r="E137" s="9">
        <v>174</v>
      </c>
      <c r="F137" s="9" t="s">
        <v>3479</v>
      </c>
      <c r="G137" s="9">
        <v>1</v>
      </c>
      <c r="H137" s="9" t="s">
        <v>3093</v>
      </c>
      <c r="I137" s="9" t="s">
        <v>3480</v>
      </c>
      <c r="J137" s="9">
        <v>0</v>
      </c>
      <c r="K137" s="9" t="s">
        <v>3107</v>
      </c>
      <c r="L137" s="9" t="str">
        <f t="shared" si="0"/>
        <v>Y</v>
      </c>
    </row>
    <row r="138" spans="1:12">
      <c r="A138" s="9">
        <v>238</v>
      </c>
      <c r="B138" s="9">
        <v>110</v>
      </c>
      <c r="C138" s="9" t="s">
        <v>3481</v>
      </c>
      <c r="D138" s="9" t="s">
        <v>20</v>
      </c>
      <c r="E138" s="9">
        <v>142</v>
      </c>
      <c r="F138" s="9" t="s">
        <v>277</v>
      </c>
      <c r="G138" s="9">
        <v>0</v>
      </c>
      <c r="H138" s="9" t="s">
        <v>3093</v>
      </c>
      <c r="I138" s="9">
        <v>59</v>
      </c>
      <c r="J138" s="9">
        <v>0</v>
      </c>
      <c r="K138" s="9" t="s">
        <v>699</v>
      </c>
      <c r="L138" s="9" t="str">
        <f t="shared" si="0"/>
        <v>N</v>
      </c>
    </row>
    <row r="139" spans="1:12">
      <c r="A139" s="9">
        <v>239</v>
      </c>
      <c r="B139" s="9">
        <v>114</v>
      </c>
      <c r="C139" s="9" t="s">
        <v>3482</v>
      </c>
      <c r="D139" s="9" t="s">
        <v>3483</v>
      </c>
      <c r="E139" s="9">
        <v>168</v>
      </c>
      <c r="F139" s="9" t="s">
        <v>3484</v>
      </c>
      <c r="G139" s="9">
        <v>1</v>
      </c>
      <c r="H139" s="9" t="s">
        <v>3093</v>
      </c>
      <c r="I139" s="9">
        <v>79</v>
      </c>
      <c r="J139" s="9">
        <v>1</v>
      </c>
      <c r="K139" s="9" t="s">
        <v>1001</v>
      </c>
      <c r="L139" s="9" t="str">
        <f t="shared" si="0"/>
        <v>Y</v>
      </c>
    </row>
    <row r="140" spans="1:12">
      <c r="A140" s="9">
        <v>240</v>
      </c>
      <c r="B140" s="9">
        <v>115</v>
      </c>
      <c r="C140" s="9" t="s">
        <v>3485</v>
      </c>
      <c r="D140" s="9" t="s">
        <v>20</v>
      </c>
      <c r="E140" s="9">
        <v>174</v>
      </c>
      <c r="F140" s="9" t="s">
        <v>3486</v>
      </c>
      <c r="G140" s="9">
        <v>0</v>
      </c>
      <c r="H140" s="9" t="s">
        <v>3093</v>
      </c>
      <c r="I140" s="9">
        <v>225</v>
      </c>
      <c r="J140" s="9">
        <v>0</v>
      </c>
      <c r="K140" s="9" t="s">
        <v>699</v>
      </c>
      <c r="L140" s="9" t="str">
        <f t="shared" si="0"/>
        <v>N</v>
      </c>
    </row>
    <row r="141" spans="1:12">
      <c r="A141" s="9">
        <v>241</v>
      </c>
      <c r="B141" s="9">
        <v>117</v>
      </c>
      <c r="C141" s="9" t="s">
        <v>3487</v>
      </c>
      <c r="D141" s="9" t="s">
        <v>3488</v>
      </c>
      <c r="E141" s="9">
        <v>188</v>
      </c>
      <c r="F141" s="9" t="s">
        <v>3489</v>
      </c>
      <c r="G141" s="9">
        <v>1</v>
      </c>
      <c r="H141" s="9" t="s">
        <v>3093</v>
      </c>
      <c r="I141" s="9">
        <v>113</v>
      </c>
      <c r="J141" s="9">
        <v>0</v>
      </c>
      <c r="K141" s="9" t="s">
        <v>1400</v>
      </c>
      <c r="L141" s="9" t="str">
        <f t="shared" si="0"/>
        <v>Y</v>
      </c>
    </row>
    <row r="142" spans="1:12">
      <c r="A142" s="9">
        <v>242</v>
      </c>
      <c r="B142" s="9">
        <v>115</v>
      </c>
      <c r="C142" s="9" t="s">
        <v>3490</v>
      </c>
      <c r="D142" s="9" t="s">
        <v>3491</v>
      </c>
      <c r="E142" s="9">
        <v>176</v>
      </c>
      <c r="F142" s="9" t="s">
        <v>3492</v>
      </c>
      <c r="G142" s="9">
        <v>1</v>
      </c>
      <c r="H142" s="9" t="s">
        <v>3093</v>
      </c>
      <c r="I142" s="9">
        <v>151</v>
      </c>
      <c r="J142" s="9">
        <v>0</v>
      </c>
      <c r="K142" s="9" t="s">
        <v>3140</v>
      </c>
      <c r="L142" s="9" t="str">
        <f t="shared" si="0"/>
        <v>Y</v>
      </c>
    </row>
    <row r="143" spans="1:12">
      <c r="A143" s="9">
        <v>243</v>
      </c>
      <c r="B143" s="9">
        <v>116</v>
      </c>
      <c r="C143" s="9" t="s">
        <v>3493</v>
      </c>
      <c r="D143" s="9" t="s">
        <v>3494</v>
      </c>
      <c r="E143" s="9">
        <v>179</v>
      </c>
      <c r="F143" s="9" t="s">
        <v>728</v>
      </c>
      <c r="G143" s="9">
        <v>0</v>
      </c>
      <c r="H143" s="9" t="s">
        <v>3093</v>
      </c>
      <c r="I143" s="9">
        <v>131</v>
      </c>
      <c r="J143" s="9">
        <v>0</v>
      </c>
      <c r="K143" s="9" t="s">
        <v>3097</v>
      </c>
      <c r="L143" s="9" t="str">
        <f t="shared" si="0"/>
        <v>Y</v>
      </c>
    </row>
    <row r="144" spans="1:12">
      <c r="A144" s="9">
        <v>244</v>
      </c>
      <c r="B144" s="9">
        <v>117</v>
      </c>
      <c r="C144" s="9" t="s">
        <v>3495</v>
      </c>
      <c r="D144" s="9" t="s">
        <v>20</v>
      </c>
      <c r="E144" s="9">
        <v>187</v>
      </c>
      <c r="F144" s="9" t="s">
        <v>3496</v>
      </c>
      <c r="G144" s="9">
        <v>0</v>
      </c>
      <c r="H144" s="9" t="s">
        <v>3093</v>
      </c>
      <c r="I144" s="9">
        <v>47</v>
      </c>
      <c r="J144" s="9">
        <v>0</v>
      </c>
      <c r="K144" s="9" t="s">
        <v>699</v>
      </c>
      <c r="L144" s="9" t="str">
        <f t="shared" si="0"/>
        <v>N</v>
      </c>
    </row>
    <row r="145" spans="1:12">
      <c r="A145" s="9">
        <v>245</v>
      </c>
      <c r="B145" s="9">
        <v>112</v>
      </c>
      <c r="C145" s="9" t="s">
        <v>3497</v>
      </c>
      <c r="D145" s="9" t="s">
        <v>3498</v>
      </c>
      <c r="E145" s="9">
        <v>158</v>
      </c>
      <c r="F145" s="9" t="s">
        <v>3499</v>
      </c>
      <c r="G145" s="9">
        <v>0</v>
      </c>
      <c r="H145" s="9" t="s">
        <v>3093</v>
      </c>
      <c r="I145" s="9" t="s">
        <v>3500</v>
      </c>
      <c r="J145" s="9">
        <v>0</v>
      </c>
      <c r="K145" s="9" t="s">
        <v>3501</v>
      </c>
      <c r="L145" s="9" t="str">
        <f t="shared" si="0"/>
        <v>Y</v>
      </c>
    </row>
    <row r="146" spans="1:12">
      <c r="A146" s="9">
        <v>246</v>
      </c>
      <c r="B146" s="9">
        <v>116</v>
      </c>
      <c r="C146" s="9" t="s">
        <v>3502</v>
      </c>
      <c r="D146" s="9" t="s">
        <v>3503</v>
      </c>
      <c r="E146" s="9">
        <v>182</v>
      </c>
      <c r="F146" s="9" t="s">
        <v>3504</v>
      </c>
      <c r="G146" s="9">
        <v>0</v>
      </c>
      <c r="H146" s="9" t="s">
        <v>3093</v>
      </c>
      <c r="I146" s="9">
        <v>95</v>
      </c>
      <c r="J146" s="9">
        <v>0</v>
      </c>
      <c r="K146" s="9" t="s">
        <v>3505</v>
      </c>
      <c r="L146" s="9" t="str">
        <f t="shared" si="0"/>
        <v>Y</v>
      </c>
    </row>
    <row r="147" spans="1:12">
      <c r="A147" s="9">
        <v>247</v>
      </c>
      <c r="B147" s="9">
        <v>117</v>
      </c>
      <c r="C147" s="9" t="s">
        <v>3506</v>
      </c>
      <c r="D147" s="9" t="s">
        <v>3507</v>
      </c>
      <c r="E147" s="9">
        <v>188</v>
      </c>
      <c r="F147" s="9" t="s">
        <v>3508</v>
      </c>
      <c r="G147" s="9">
        <v>1</v>
      </c>
      <c r="H147" s="9" t="s">
        <v>3093</v>
      </c>
      <c r="I147" s="9">
        <v>95</v>
      </c>
      <c r="J147" s="9">
        <v>5</v>
      </c>
      <c r="K147" s="9" t="s">
        <v>3505</v>
      </c>
      <c r="L147" s="9" t="str">
        <f t="shared" si="0"/>
        <v>Y</v>
      </c>
    </row>
    <row r="148" spans="1:12">
      <c r="A148" s="9">
        <v>248</v>
      </c>
      <c r="B148" s="9">
        <v>117</v>
      </c>
      <c r="C148" s="9" t="s">
        <v>3509</v>
      </c>
      <c r="D148" s="9" t="s">
        <v>3510</v>
      </c>
      <c r="E148" s="9">
        <v>187</v>
      </c>
      <c r="F148" s="9" t="s">
        <v>3511</v>
      </c>
      <c r="G148" s="9">
        <v>1</v>
      </c>
      <c r="H148" s="9" t="s">
        <v>3093</v>
      </c>
      <c r="I148" s="9">
        <v>47</v>
      </c>
      <c r="J148" s="9">
        <v>0</v>
      </c>
      <c r="K148" s="9" t="s">
        <v>1504</v>
      </c>
      <c r="L148" s="9" t="str">
        <f t="shared" si="0"/>
        <v>Y</v>
      </c>
    </row>
    <row r="149" spans="1:12">
      <c r="A149" s="9">
        <v>249</v>
      </c>
      <c r="B149" s="9">
        <v>116</v>
      </c>
      <c r="C149" s="9" t="s">
        <v>3512</v>
      </c>
      <c r="D149" s="9" t="s">
        <v>3513</v>
      </c>
      <c r="E149" s="9">
        <v>182</v>
      </c>
      <c r="F149" s="9" t="s">
        <v>741</v>
      </c>
      <c r="G149" s="9">
        <v>1</v>
      </c>
      <c r="H149" s="9" t="s">
        <v>3093</v>
      </c>
      <c r="I149" s="9">
        <v>86</v>
      </c>
      <c r="J149" s="9">
        <v>4</v>
      </c>
      <c r="K149" s="9" t="s">
        <v>1001</v>
      </c>
      <c r="L149" s="9" t="str">
        <f t="shared" si="0"/>
        <v>Y</v>
      </c>
    </row>
    <row r="150" spans="1:12">
      <c r="A150" s="9">
        <v>250</v>
      </c>
      <c r="B150" s="9">
        <v>114</v>
      </c>
      <c r="C150" s="9" t="s">
        <v>3514</v>
      </c>
      <c r="D150" s="9" t="s">
        <v>3515</v>
      </c>
      <c r="E150" s="9">
        <v>168</v>
      </c>
      <c r="F150" s="9" t="s">
        <v>744</v>
      </c>
      <c r="G150" s="9">
        <v>1</v>
      </c>
      <c r="H150" s="9" t="s">
        <v>3093</v>
      </c>
      <c r="I150" s="9">
        <v>151</v>
      </c>
      <c r="J150" s="9">
        <v>0</v>
      </c>
      <c r="K150" s="9" t="s">
        <v>3140</v>
      </c>
      <c r="L150" s="9" t="str">
        <f t="shared" si="0"/>
        <v>Y</v>
      </c>
    </row>
    <row r="151" spans="1:12">
      <c r="A151" s="9">
        <v>251</v>
      </c>
      <c r="B151" s="9">
        <v>115</v>
      </c>
      <c r="C151" s="9" t="s">
        <v>3516</v>
      </c>
      <c r="D151" s="9" t="s">
        <v>3517</v>
      </c>
      <c r="E151" s="9">
        <v>174</v>
      </c>
      <c r="F151" s="9" t="s">
        <v>3518</v>
      </c>
      <c r="G151" s="9">
        <v>1</v>
      </c>
      <c r="H151" s="9" t="s">
        <v>3093</v>
      </c>
      <c r="I151" s="9">
        <v>202</v>
      </c>
      <c r="J151" s="9">
        <v>0</v>
      </c>
      <c r="K151" s="9" t="s">
        <v>3519</v>
      </c>
      <c r="L151" s="9" t="str">
        <f t="shared" si="0"/>
        <v>Y</v>
      </c>
    </row>
    <row r="152" spans="1:12">
      <c r="A152" s="9">
        <v>252</v>
      </c>
      <c r="B152" s="9">
        <v>117</v>
      </c>
      <c r="C152" s="9" t="s">
        <v>3520</v>
      </c>
      <c r="D152" s="9" t="s">
        <v>20</v>
      </c>
      <c r="E152" s="9">
        <v>188</v>
      </c>
      <c r="F152" s="9" t="s">
        <v>3521</v>
      </c>
      <c r="G152" s="9">
        <v>0</v>
      </c>
      <c r="H152" s="9" t="s">
        <v>3093</v>
      </c>
      <c r="I152" s="9">
        <v>104</v>
      </c>
      <c r="J152" s="9">
        <v>0</v>
      </c>
      <c r="K152" s="9" t="s">
        <v>699</v>
      </c>
      <c r="L152" s="9" t="str">
        <f t="shared" si="0"/>
        <v>N</v>
      </c>
    </row>
    <row r="153" spans="1:12">
      <c r="A153" s="9">
        <v>253</v>
      </c>
      <c r="B153" s="9">
        <v>114</v>
      </c>
      <c r="C153" s="9" t="s">
        <v>3522</v>
      </c>
      <c r="D153" s="9" t="s">
        <v>3523</v>
      </c>
      <c r="E153" s="9">
        <v>169</v>
      </c>
      <c r="F153" s="9" t="s">
        <v>3521</v>
      </c>
      <c r="G153" s="9">
        <v>0</v>
      </c>
      <c r="H153" s="9" t="s">
        <v>3093</v>
      </c>
      <c r="I153" s="9">
        <v>128</v>
      </c>
      <c r="J153" s="9">
        <v>0</v>
      </c>
      <c r="K153" s="9" t="s">
        <v>3097</v>
      </c>
      <c r="L153" s="9" t="str">
        <f t="shared" si="0"/>
        <v>Y</v>
      </c>
    </row>
    <row r="154" spans="1:12">
      <c r="A154" s="9">
        <v>254</v>
      </c>
      <c r="B154" s="9">
        <v>112</v>
      </c>
      <c r="C154" s="9" t="s">
        <v>3524</v>
      </c>
      <c r="D154" s="9" t="s">
        <v>3525</v>
      </c>
      <c r="E154" s="9">
        <v>158</v>
      </c>
      <c r="F154" s="9" t="s">
        <v>3526</v>
      </c>
      <c r="G154" s="9">
        <v>0</v>
      </c>
      <c r="H154" s="9" t="s">
        <v>3093</v>
      </c>
      <c r="I154" s="9">
        <v>220</v>
      </c>
      <c r="J154" s="9">
        <v>0</v>
      </c>
      <c r="K154" s="9" t="s">
        <v>752</v>
      </c>
      <c r="L154" s="9" t="str">
        <f t="shared" si="0"/>
        <v>Y</v>
      </c>
    </row>
    <row r="155" spans="1:12">
      <c r="A155" s="9">
        <v>255</v>
      </c>
      <c r="B155" s="9">
        <v>111</v>
      </c>
      <c r="C155" s="9" t="s">
        <v>3527</v>
      </c>
      <c r="D155" s="9" t="s">
        <v>3528</v>
      </c>
      <c r="E155" s="9">
        <v>150</v>
      </c>
      <c r="F155" s="9" t="s">
        <v>3529</v>
      </c>
      <c r="G155" s="9">
        <v>0</v>
      </c>
      <c r="H155" s="9" t="s">
        <v>3093</v>
      </c>
      <c r="I155" s="9">
        <v>224</v>
      </c>
      <c r="J155" s="9">
        <v>0</v>
      </c>
      <c r="K155" s="9" t="s">
        <v>3107</v>
      </c>
      <c r="L155" s="9" t="str">
        <f t="shared" si="0"/>
        <v>Y</v>
      </c>
    </row>
    <row r="156" spans="1:12">
      <c r="A156" s="9">
        <v>256</v>
      </c>
      <c r="B156" s="9">
        <v>110</v>
      </c>
      <c r="C156" s="9" t="s">
        <v>3530</v>
      </c>
      <c r="D156" s="9" t="s">
        <v>3531</v>
      </c>
      <c r="E156" s="9">
        <v>142</v>
      </c>
      <c r="F156" s="9" t="s">
        <v>3532</v>
      </c>
      <c r="G156" s="9">
        <v>1</v>
      </c>
      <c r="H156" s="9" t="s">
        <v>3093</v>
      </c>
      <c r="I156" s="9">
        <v>59</v>
      </c>
      <c r="J156" s="9">
        <v>0</v>
      </c>
      <c r="K156" s="9" t="s">
        <v>853</v>
      </c>
      <c r="L156" s="9" t="str">
        <f t="shared" si="0"/>
        <v>Y</v>
      </c>
    </row>
    <row r="157" spans="1:12">
      <c r="A157" s="9">
        <v>257</v>
      </c>
      <c r="B157" s="9">
        <v>116</v>
      </c>
      <c r="C157" s="9" t="s">
        <v>3533</v>
      </c>
      <c r="D157" s="9" t="s">
        <v>3534</v>
      </c>
      <c r="E157" s="9">
        <v>179</v>
      </c>
      <c r="F157" s="9" t="s">
        <v>756</v>
      </c>
      <c r="G157" s="9">
        <v>1</v>
      </c>
      <c r="H157" s="9" t="s">
        <v>3093</v>
      </c>
      <c r="I157" s="9">
        <v>232</v>
      </c>
      <c r="J157" s="9">
        <v>3</v>
      </c>
      <c r="K157" s="9" t="s">
        <v>3107</v>
      </c>
      <c r="L157" s="9" t="str">
        <f t="shared" si="0"/>
        <v>Y</v>
      </c>
    </row>
    <row r="158" spans="1:12">
      <c r="A158" s="9">
        <v>258</v>
      </c>
      <c r="B158" s="9">
        <v>114</v>
      </c>
      <c r="C158" s="9" t="s">
        <v>3535</v>
      </c>
      <c r="D158" s="9" t="s">
        <v>3536</v>
      </c>
      <c r="E158" s="9">
        <v>168</v>
      </c>
      <c r="F158" s="9" t="s">
        <v>3537</v>
      </c>
      <c r="G158" s="9">
        <v>0</v>
      </c>
      <c r="H158" s="9" t="s">
        <v>3093</v>
      </c>
      <c r="I158" s="9">
        <v>192</v>
      </c>
      <c r="J158" s="9">
        <v>0</v>
      </c>
      <c r="K158" s="9" t="s">
        <v>3125</v>
      </c>
      <c r="L158" s="9" t="str">
        <f t="shared" si="0"/>
        <v>Y</v>
      </c>
    </row>
    <row r="159" spans="1:12">
      <c r="A159" s="9">
        <v>259</v>
      </c>
      <c r="B159" s="9">
        <v>114</v>
      </c>
      <c r="C159" s="9" t="s">
        <v>3538</v>
      </c>
      <c r="D159" s="9" t="s">
        <v>3539</v>
      </c>
      <c r="E159" s="9">
        <v>169</v>
      </c>
      <c r="F159" s="9" t="s">
        <v>763</v>
      </c>
      <c r="G159" s="9">
        <v>1</v>
      </c>
      <c r="H159" s="9" t="s">
        <v>3093</v>
      </c>
      <c r="I159" s="9">
        <v>95</v>
      </c>
      <c r="J159" s="9">
        <v>0</v>
      </c>
      <c r="K159" s="9" t="s">
        <v>3505</v>
      </c>
      <c r="L159" s="9" t="str">
        <f t="shared" si="0"/>
        <v>Y</v>
      </c>
    </row>
    <row r="160" spans="1:12">
      <c r="A160" s="9">
        <v>260</v>
      </c>
      <c r="B160" s="9">
        <v>116</v>
      </c>
      <c r="C160" s="9" t="s">
        <v>3540</v>
      </c>
      <c r="D160" s="9" t="s">
        <v>3541</v>
      </c>
      <c r="E160" s="9">
        <v>182</v>
      </c>
      <c r="F160" s="9" t="s">
        <v>3542</v>
      </c>
      <c r="G160" s="9">
        <v>0</v>
      </c>
      <c r="H160" s="9" t="s">
        <v>3093</v>
      </c>
      <c r="I160" s="9">
        <v>125</v>
      </c>
      <c r="J160" s="9">
        <v>0</v>
      </c>
      <c r="K160" s="9" t="s">
        <v>3097</v>
      </c>
      <c r="L160" s="9" t="str">
        <f t="shared" si="0"/>
        <v>Y</v>
      </c>
    </row>
    <row r="161" spans="1:12">
      <c r="A161" s="9">
        <v>261</v>
      </c>
      <c r="B161" s="9">
        <v>117</v>
      </c>
      <c r="C161" s="9" t="s">
        <v>3543</v>
      </c>
      <c r="D161" s="9" t="s">
        <v>3544</v>
      </c>
      <c r="E161" s="9">
        <v>188</v>
      </c>
      <c r="F161" s="9" t="s">
        <v>765</v>
      </c>
      <c r="G161" s="9">
        <v>1</v>
      </c>
      <c r="H161" s="9" t="s">
        <v>3093</v>
      </c>
      <c r="I161" s="9">
        <v>104</v>
      </c>
      <c r="J161" s="9">
        <v>6</v>
      </c>
      <c r="K161" s="9" t="s">
        <v>1035</v>
      </c>
      <c r="L161" s="9" t="str">
        <f t="shared" si="0"/>
        <v>Y</v>
      </c>
    </row>
    <row r="162" spans="1:12">
      <c r="A162" s="9">
        <v>262</v>
      </c>
      <c r="B162" s="9">
        <v>114</v>
      </c>
      <c r="C162" s="9" t="s">
        <v>3545</v>
      </c>
      <c r="D162" s="9" t="s">
        <v>3546</v>
      </c>
      <c r="E162" s="9">
        <v>168</v>
      </c>
      <c r="F162" s="9" t="s">
        <v>3547</v>
      </c>
      <c r="G162" s="9">
        <v>1</v>
      </c>
      <c r="H162" s="9" t="s">
        <v>3093</v>
      </c>
      <c r="I162" s="9">
        <v>168</v>
      </c>
      <c r="J162" s="9">
        <v>0</v>
      </c>
      <c r="K162" s="9" t="s">
        <v>3219</v>
      </c>
      <c r="L162" s="9" t="str">
        <f t="shared" si="0"/>
        <v>Y</v>
      </c>
    </row>
    <row r="163" spans="1:12">
      <c r="A163" s="9">
        <v>263</v>
      </c>
      <c r="B163" s="9">
        <v>114</v>
      </c>
      <c r="C163" s="9" t="s">
        <v>3548</v>
      </c>
      <c r="D163" s="9" t="s">
        <v>3549</v>
      </c>
      <c r="E163" s="9">
        <v>169</v>
      </c>
      <c r="F163" s="9" t="s">
        <v>266</v>
      </c>
      <c r="G163" s="9">
        <v>0</v>
      </c>
      <c r="H163" s="9" t="s">
        <v>3093</v>
      </c>
      <c r="I163" s="9">
        <v>59</v>
      </c>
      <c r="J163" s="9">
        <v>0</v>
      </c>
      <c r="K163" s="9" t="s">
        <v>853</v>
      </c>
      <c r="L163" s="9" t="str">
        <f t="shared" si="0"/>
        <v>Y</v>
      </c>
    </row>
    <row r="164" spans="1:12">
      <c r="A164" s="9">
        <v>264</v>
      </c>
      <c r="B164" s="9">
        <v>116</v>
      </c>
      <c r="C164" s="9" t="s">
        <v>3550</v>
      </c>
      <c r="D164" s="9" t="s">
        <v>3551</v>
      </c>
      <c r="E164" s="9">
        <v>182</v>
      </c>
      <c r="F164" s="9" t="s">
        <v>774</v>
      </c>
      <c r="G164" s="9">
        <v>1</v>
      </c>
      <c r="H164" s="9" t="s">
        <v>3093</v>
      </c>
      <c r="I164" s="9">
        <v>141</v>
      </c>
      <c r="J164" s="9">
        <v>0</v>
      </c>
      <c r="K164" s="9" t="s">
        <v>3140</v>
      </c>
      <c r="L164" s="9" t="str">
        <f t="shared" si="0"/>
        <v>Y</v>
      </c>
    </row>
    <row r="165" spans="1:12">
      <c r="A165" s="9">
        <v>265</v>
      </c>
      <c r="B165" s="9">
        <v>114</v>
      </c>
      <c r="C165" s="9" t="s">
        <v>3552</v>
      </c>
      <c r="D165" s="9" t="s">
        <v>3553</v>
      </c>
      <c r="E165" s="9">
        <v>168</v>
      </c>
      <c r="F165" s="9" t="s">
        <v>3554</v>
      </c>
      <c r="G165" s="9">
        <v>0</v>
      </c>
      <c r="H165" s="9" t="s">
        <v>3093</v>
      </c>
      <c r="I165" s="9">
        <v>180</v>
      </c>
      <c r="J165" s="9">
        <v>0</v>
      </c>
      <c r="K165" s="9" t="s">
        <v>3169</v>
      </c>
      <c r="L165" s="9" t="str">
        <f t="shared" si="0"/>
        <v>Y</v>
      </c>
    </row>
    <row r="166" spans="1:12">
      <c r="A166" s="9">
        <v>266</v>
      </c>
      <c r="B166" s="9">
        <v>112</v>
      </c>
      <c r="C166" s="9" t="s">
        <v>3555</v>
      </c>
      <c r="D166" s="9" t="s">
        <v>3556</v>
      </c>
      <c r="E166" s="9">
        <v>158</v>
      </c>
      <c r="F166" s="9" t="s">
        <v>3557</v>
      </c>
      <c r="G166" s="9">
        <v>0</v>
      </c>
      <c r="H166" s="9" t="s">
        <v>3093</v>
      </c>
      <c r="I166" s="9">
        <v>220</v>
      </c>
      <c r="J166" s="9">
        <v>0</v>
      </c>
      <c r="K166" s="9" t="s">
        <v>752</v>
      </c>
      <c r="L166" s="9" t="str">
        <f t="shared" si="0"/>
        <v>Y</v>
      </c>
    </row>
    <row r="167" spans="1:12">
      <c r="A167" s="9">
        <v>267</v>
      </c>
      <c r="B167" s="9">
        <v>114</v>
      </c>
      <c r="C167" s="9" t="s">
        <v>3558</v>
      </c>
      <c r="D167" s="9" t="s">
        <v>3559</v>
      </c>
      <c r="E167" s="9">
        <v>169</v>
      </c>
      <c r="F167" s="9" t="s">
        <v>3560</v>
      </c>
      <c r="G167" s="9">
        <v>1</v>
      </c>
      <c r="H167" s="9" t="s">
        <v>3093</v>
      </c>
      <c r="I167" s="9">
        <v>86</v>
      </c>
      <c r="J167" s="9">
        <v>9</v>
      </c>
      <c r="K167" s="9" t="s">
        <v>1001</v>
      </c>
      <c r="L167" s="9" t="str">
        <f t="shared" si="0"/>
        <v>Y</v>
      </c>
    </row>
    <row r="168" spans="1:12">
      <c r="A168" s="9">
        <v>268</v>
      </c>
      <c r="B168" s="9">
        <v>117</v>
      </c>
      <c r="C168" s="9" t="s">
        <v>3561</v>
      </c>
      <c r="D168" s="9" t="s">
        <v>3562</v>
      </c>
      <c r="E168" s="9">
        <v>188</v>
      </c>
      <c r="F168" s="9" t="s">
        <v>3563</v>
      </c>
      <c r="G168" s="9">
        <v>1</v>
      </c>
      <c r="H168" s="9" t="s">
        <v>3093</v>
      </c>
      <c r="I168" s="9">
        <v>202</v>
      </c>
      <c r="J168" s="9">
        <v>0</v>
      </c>
      <c r="K168" s="9" t="s">
        <v>3519</v>
      </c>
      <c r="L168" s="9" t="str">
        <f t="shared" si="0"/>
        <v>Y</v>
      </c>
    </row>
    <row r="169" spans="1:12">
      <c r="A169" s="9">
        <v>269</v>
      </c>
      <c r="B169" s="9">
        <v>116</v>
      </c>
      <c r="C169" s="9" t="s">
        <v>3564</v>
      </c>
      <c r="D169" s="9" t="s">
        <v>3565</v>
      </c>
      <c r="E169" s="9">
        <v>182</v>
      </c>
      <c r="F169" s="9" t="s">
        <v>3566</v>
      </c>
      <c r="G169" s="9">
        <v>1</v>
      </c>
      <c r="H169" s="9" t="s">
        <v>3093</v>
      </c>
      <c r="I169" s="9">
        <v>166</v>
      </c>
      <c r="J169" s="9">
        <v>0</v>
      </c>
      <c r="K169" s="9" t="s">
        <v>3219</v>
      </c>
      <c r="L169" s="9" t="str">
        <f t="shared" si="0"/>
        <v>Y</v>
      </c>
    </row>
    <row r="170" spans="1:12">
      <c r="A170" s="9">
        <v>270</v>
      </c>
      <c r="B170" s="9">
        <v>117</v>
      </c>
      <c r="C170" s="9" t="s">
        <v>3567</v>
      </c>
      <c r="D170" s="9" t="s">
        <v>3568</v>
      </c>
      <c r="E170" s="9">
        <v>187</v>
      </c>
      <c r="F170" s="9" t="s">
        <v>3566</v>
      </c>
      <c r="G170" s="9">
        <v>1</v>
      </c>
      <c r="H170" s="9" t="s">
        <v>3093</v>
      </c>
      <c r="I170" s="9">
        <v>81</v>
      </c>
      <c r="J170" s="9">
        <v>0</v>
      </c>
      <c r="K170" s="9" t="s">
        <v>1001</v>
      </c>
      <c r="L170" s="9" t="str">
        <f t="shared" si="0"/>
        <v>Y</v>
      </c>
    </row>
    <row r="171" spans="1:12">
      <c r="A171" s="9">
        <v>271</v>
      </c>
      <c r="B171" s="9">
        <v>114</v>
      </c>
      <c r="C171" s="9" t="s">
        <v>3569</v>
      </c>
      <c r="D171" s="9" t="s">
        <v>3570</v>
      </c>
      <c r="E171" s="9">
        <v>168</v>
      </c>
      <c r="F171" s="9" t="s">
        <v>3571</v>
      </c>
      <c r="G171" s="9">
        <v>1</v>
      </c>
      <c r="H171" s="9" t="s">
        <v>3093</v>
      </c>
      <c r="I171" s="9">
        <v>228</v>
      </c>
      <c r="J171" s="9">
        <v>0</v>
      </c>
      <c r="K171" s="9" t="s">
        <v>3107</v>
      </c>
      <c r="L171" s="9" t="str">
        <f t="shared" si="0"/>
        <v>Y</v>
      </c>
    </row>
    <row r="172" spans="1:12">
      <c r="A172" s="9">
        <v>272</v>
      </c>
      <c r="B172" s="9">
        <v>112</v>
      </c>
      <c r="C172" s="9" t="s">
        <v>3572</v>
      </c>
      <c r="D172" s="9" t="s">
        <v>3573</v>
      </c>
      <c r="E172" s="9">
        <v>158</v>
      </c>
      <c r="F172" s="9" t="s">
        <v>3574</v>
      </c>
      <c r="G172" s="9">
        <v>1</v>
      </c>
      <c r="H172" s="9" t="s">
        <v>3093</v>
      </c>
      <c r="I172" s="9">
        <v>36</v>
      </c>
      <c r="J172" s="9">
        <v>0</v>
      </c>
      <c r="K172" s="9" t="s">
        <v>1504</v>
      </c>
      <c r="L172" s="9" t="str">
        <f t="shared" si="0"/>
        <v>Y</v>
      </c>
    </row>
    <row r="173" spans="1:12">
      <c r="A173" s="9">
        <v>273</v>
      </c>
      <c r="B173" s="9">
        <v>110</v>
      </c>
      <c r="C173" s="9" t="s">
        <v>3575</v>
      </c>
      <c r="D173" s="9" t="s">
        <v>3576</v>
      </c>
      <c r="E173" s="9">
        <v>142</v>
      </c>
      <c r="F173" s="9" t="s">
        <v>3577</v>
      </c>
      <c r="G173" s="9">
        <v>0</v>
      </c>
      <c r="H173" s="9" t="s">
        <v>3093</v>
      </c>
      <c r="I173" s="9">
        <v>95.103999999999999</v>
      </c>
      <c r="J173" s="9">
        <v>0</v>
      </c>
      <c r="K173" s="9" t="s">
        <v>973</v>
      </c>
      <c r="L173" s="9" t="str">
        <f t="shared" si="0"/>
        <v>Y</v>
      </c>
    </row>
    <row r="174" spans="1:12">
      <c r="A174" s="9">
        <v>274</v>
      </c>
      <c r="B174" s="9">
        <v>114</v>
      </c>
      <c r="C174" s="9" t="s">
        <v>3578</v>
      </c>
      <c r="D174" s="9" t="s">
        <v>3579</v>
      </c>
      <c r="E174" s="9">
        <v>169</v>
      </c>
      <c r="F174" s="9" t="s">
        <v>3580</v>
      </c>
      <c r="G174" s="9">
        <v>1</v>
      </c>
      <c r="H174" s="9" t="s">
        <v>3093</v>
      </c>
      <c r="I174" s="9">
        <v>156</v>
      </c>
      <c r="J174" s="9">
        <v>0</v>
      </c>
      <c r="K174" s="9" t="s">
        <v>3140</v>
      </c>
      <c r="L174" s="9" t="str">
        <f t="shared" si="0"/>
        <v>Y</v>
      </c>
    </row>
    <row r="175" spans="1:12">
      <c r="A175" s="9">
        <v>275</v>
      </c>
      <c r="B175" s="9">
        <v>115</v>
      </c>
      <c r="C175" s="9" t="s">
        <v>3581</v>
      </c>
      <c r="D175" s="9" t="s">
        <v>3582</v>
      </c>
      <c r="E175" s="9">
        <v>174</v>
      </c>
      <c r="F175" s="9" t="s">
        <v>3583</v>
      </c>
      <c r="G175" s="9">
        <v>1</v>
      </c>
      <c r="H175" s="9" t="s">
        <v>3093</v>
      </c>
      <c r="I175" s="9">
        <v>168</v>
      </c>
      <c r="J175" s="9">
        <v>0</v>
      </c>
      <c r="K175" s="9" t="s">
        <v>3219</v>
      </c>
      <c r="L175" s="9" t="str">
        <f t="shared" si="0"/>
        <v>Y</v>
      </c>
    </row>
    <row r="176" spans="1:12">
      <c r="A176" s="9">
        <v>276</v>
      </c>
      <c r="B176" s="9">
        <v>116</v>
      </c>
      <c r="C176" s="9" t="s">
        <v>3584</v>
      </c>
      <c r="D176" s="9" t="s">
        <v>3585</v>
      </c>
      <c r="E176" s="9">
        <v>182</v>
      </c>
      <c r="F176" s="9" t="s">
        <v>3586</v>
      </c>
      <c r="G176" s="9">
        <v>1</v>
      </c>
      <c r="H176" s="9" t="s">
        <v>3093</v>
      </c>
      <c r="I176" s="9">
        <v>202</v>
      </c>
      <c r="J176" s="9">
        <v>0</v>
      </c>
      <c r="K176" s="9" t="s">
        <v>3519</v>
      </c>
      <c r="L176" s="9" t="str">
        <f t="shared" si="0"/>
        <v>Y</v>
      </c>
    </row>
    <row r="177" spans="1:12">
      <c r="A177" s="9">
        <v>277</v>
      </c>
      <c r="B177" s="9">
        <v>115</v>
      </c>
      <c r="C177" s="9" t="s">
        <v>3587</v>
      </c>
      <c r="D177" s="9" t="s">
        <v>3588</v>
      </c>
      <c r="E177" s="9">
        <v>174</v>
      </c>
      <c r="F177" s="9" t="s">
        <v>3589</v>
      </c>
      <c r="G177" s="9">
        <v>1</v>
      </c>
      <c r="H177" s="9" t="s">
        <v>3093</v>
      </c>
      <c r="I177" s="9">
        <v>104</v>
      </c>
      <c r="J177" s="9">
        <v>0</v>
      </c>
      <c r="K177" s="9" t="s">
        <v>1035</v>
      </c>
      <c r="L177" s="9" t="str">
        <f t="shared" si="0"/>
        <v>Y</v>
      </c>
    </row>
    <row r="178" spans="1:12">
      <c r="A178" s="9">
        <v>278</v>
      </c>
      <c r="B178" s="9">
        <v>109</v>
      </c>
      <c r="C178" s="9" t="s">
        <v>3590</v>
      </c>
      <c r="D178" s="9" t="s">
        <v>3591</v>
      </c>
      <c r="E178" s="9">
        <v>135</v>
      </c>
      <c r="F178" s="9" t="s">
        <v>3592</v>
      </c>
      <c r="G178" s="9">
        <v>0</v>
      </c>
      <c r="H178" s="9" t="s">
        <v>3093</v>
      </c>
      <c r="I178" s="9">
        <v>127</v>
      </c>
      <c r="J178" s="9">
        <v>1</v>
      </c>
      <c r="K178" s="9" t="s">
        <v>3097</v>
      </c>
      <c r="L178" s="9" t="str">
        <f t="shared" si="0"/>
        <v>Y</v>
      </c>
    </row>
    <row r="179" spans="1:12">
      <c r="A179" s="9">
        <v>279</v>
      </c>
      <c r="B179" s="9">
        <v>117</v>
      </c>
      <c r="C179" s="9" t="s">
        <v>3593</v>
      </c>
      <c r="D179" s="9" t="s">
        <v>3594</v>
      </c>
      <c r="E179" s="9">
        <v>188</v>
      </c>
      <c r="F179" s="9" t="s">
        <v>3595</v>
      </c>
      <c r="G179" s="9">
        <v>1</v>
      </c>
      <c r="H179" s="9" t="s">
        <v>3093</v>
      </c>
      <c r="I179" s="9">
        <v>36</v>
      </c>
      <c r="J179" s="9">
        <v>0</v>
      </c>
      <c r="K179" s="9" t="s">
        <v>1504</v>
      </c>
      <c r="L179" s="9" t="str">
        <f t="shared" si="0"/>
        <v>Y</v>
      </c>
    </row>
    <row r="180" spans="1:12">
      <c r="A180" s="9">
        <v>280</v>
      </c>
      <c r="B180" s="9">
        <v>117</v>
      </c>
      <c r="C180" s="9" t="s">
        <v>3596</v>
      </c>
      <c r="D180" s="9" t="s">
        <v>3597</v>
      </c>
      <c r="E180" s="9">
        <v>188</v>
      </c>
      <c r="F180" s="9" t="s">
        <v>3598</v>
      </c>
      <c r="G180" s="9">
        <v>1</v>
      </c>
      <c r="H180" s="9" t="s">
        <v>3093</v>
      </c>
      <c r="I180" s="9">
        <v>73</v>
      </c>
      <c r="J180" s="9">
        <v>0</v>
      </c>
      <c r="K180" s="9" t="s">
        <v>1001</v>
      </c>
      <c r="L180" s="9" t="str">
        <f t="shared" si="0"/>
        <v>Y</v>
      </c>
    </row>
    <row r="181" spans="1:12">
      <c r="A181" s="9">
        <v>281</v>
      </c>
      <c r="B181" s="9">
        <v>109</v>
      </c>
      <c r="C181" s="9" t="s">
        <v>3599</v>
      </c>
      <c r="D181" s="9" t="s">
        <v>3600</v>
      </c>
      <c r="E181" s="9">
        <v>135</v>
      </c>
      <c r="F181" s="9" t="s">
        <v>3601</v>
      </c>
      <c r="G181" s="9">
        <v>0</v>
      </c>
      <c r="H181" s="9" t="s">
        <v>3093</v>
      </c>
      <c r="I181" s="9">
        <v>192</v>
      </c>
      <c r="J181" s="9">
        <v>0</v>
      </c>
      <c r="K181" s="9" t="s">
        <v>3125</v>
      </c>
      <c r="L181" s="9" t="str">
        <f t="shared" si="0"/>
        <v>Y</v>
      </c>
    </row>
    <row r="182" spans="1:12">
      <c r="A182" s="9">
        <v>282</v>
      </c>
      <c r="B182" s="9">
        <v>117</v>
      </c>
      <c r="C182" s="9" t="s">
        <v>3602</v>
      </c>
      <c r="D182" s="9" t="s">
        <v>3603</v>
      </c>
      <c r="E182" s="9">
        <v>188</v>
      </c>
      <c r="F182" s="9" t="s">
        <v>3604</v>
      </c>
      <c r="G182" s="9">
        <v>1</v>
      </c>
      <c r="H182" s="9" t="s">
        <v>3093</v>
      </c>
      <c r="I182" s="9">
        <v>192</v>
      </c>
      <c r="J182" s="9">
        <v>0</v>
      </c>
      <c r="K182" s="9" t="s">
        <v>3125</v>
      </c>
      <c r="L182" s="9" t="str">
        <f t="shared" si="0"/>
        <v>Y</v>
      </c>
    </row>
    <row r="183" spans="1:12">
      <c r="A183" s="9">
        <v>283</v>
      </c>
      <c r="B183" s="9">
        <v>111</v>
      </c>
      <c r="C183" s="9" t="s">
        <v>3605</v>
      </c>
      <c r="D183" s="9" t="s">
        <v>20</v>
      </c>
      <c r="E183" s="9">
        <v>149</v>
      </c>
      <c r="F183" s="9" t="s">
        <v>3606</v>
      </c>
      <c r="G183" s="9">
        <v>0</v>
      </c>
      <c r="H183" s="9" t="s">
        <v>3093</v>
      </c>
      <c r="I183" s="9">
        <v>84</v>
      </c>
      <c r="J183" s="9">
        <v>0</v>
      </c>
      <c r="K183" s="9" t="s">
        <v>699</v>
      </c>
      <c r="L183" s="9" t="str">
        <f t="shared" si="0"/>
        <v>N</v>
      </c>
    </row>
    <row r="184" spans="1:12">
      <c r="A184" s="9">
        <v>284</v>
      </c>
      <c r="B184" s="9">
        <v>112</v>
      </c>
      <c r="C184" s="9" t="s">
        <v>3607</v>
      </c>
      <c r="D184" s="9" t="s">
        <v>20</v>
      </c>
      <c r="E184" s="9">
        <v>158</v>
      </c>
      <c r="F184" s="9" t="s">
        <v>3608</v>
      </c>
      <c r="G184" s="9">
        <v>0</v>
      </c>
      <c r="H184" s="9" t="s">
        <v>3093</v>
      </c>
      <c r="I184" s="9">
        <v>95</v>
      </c>
      <c r="J184" s="9">
        <v>0</v>
      </c>
      <c r="K184" s="9" t="s">
        <v>699</v>
      </c>
      <c r="L184" s="9" t="str">
        <f t="shared" si="0"/>
        <v>N</v>
      </c>
    </row>
    <row r="185" spans="1:12">
      <c r="A185" s="9">
        <v>285</v>
      </c>
      <c r="B185" s="9">
        <v>111</v>
      </c>
      <c r="C185" s="9" t="s">
        <v>3609</v>
      </c>
      <c r="D185" s="9" t="s">
        <v>3610</v>
      </c>
      <c r="E185" s="9">
        <v>149</v>
      </c>
      <c r="F185" s="9" t="s">
        <v>3611</v>
      </c>
      <c r="G185" s="9">
        <v>0</v>
      </c>
      <c r="H185" s="9" t="s">
        <v>3093</v>
      </c>
      <c r="I185" s="9">
        <v>228</v>
      </c>
      <c r="J185" s="9">
        <v>0</v>
      </c>
      <c r="K185" s="9" t="s">
        <v>3107</v>
      </c>
      <c r="L185" s="9" t="str">
        <f t="shared" si="0"/>
        <v>Y</v>
      </c>
    </row>
    <row r="186" spans="1:12">
      <c r="A186" s="9">
        <v>286</v>
      </c>
      <c r="B186" s="9">
        <v>117</v>
      </c>
      <c r="C186" s="9" t="s">
        <v>3612</v>
      </c>
      <c r="D186" s="9" t="s">
        <v>20</v>
      </c>
      <c r="E186" s="9">
        <v>188</v>
      </c>
      <c r="F186" s="9" t="s">
        <v>3613</v>
      </c>
      <c r="G186" s="9">
        <v>0</v>
      </c>
      <c r="H186" s="9" t="s">
        <v>3093</v>
      </c>
      <c r="I186" s="9">
        <v>131</v>
      </c>
      <c r="J186" s="9">
        <v>0</v>
      </c>
      <c r="K186" s="9" t="s">
        <v>699</v>
      </c>
      <c r="L186" s="9" t="str">
        <f t="shared" si="0"/>
        <v>N</v>
      </c>
    </row>
    <row r="187" spans="1:12">
      <c r="A187" s="9">
        <v>287</v>
      </c>
      <c r="B187" s="9">
        <v>110</v>
      </c>
      <c r="C187" s="9" t="s">
        <v>3614</v>
      </c>
      <c r="D187" s="9" t="s">
        <v>3615</v>
      </c>
      <c r="E187" s="9">
        <v>144</v>
      </c>
      <c r="F187" s="9" t="s">
        <v>3616</v>
      </c>
      <c r="G187" s="9">
        <v>1</v>
      </c>
      <c r="H187" s="9" t="s">
        <v>3093</v>
      </c>
      <c r="I187" s="9">
        <v>190</v>
      </c>
      <c r="J187" s="9">
        <v>0</v>
      </c>
      <c r="K187" s="9" t="s">
        <v>3125</v>
      </c>
      <c r="L187" s="9" t="str">
        <f t="shared" si="0"/>
        <v>Y</v>
      </c>
    </row>
    <row r="188" spans="1:12">
      <c r="A188" s="9">
        <v>288</v>
      </c>
      <c r="B188" s="9">
        <v>112</v>
      </c>
      <c r="C188" s="9" t="s">
        <v>3617</v>
      </c>
      <c r="D188" s="9" t="s">
        <v>3618</v>
      </c>
      <c r="E188" s="9">
        <v>158</v>
      </c>
      <c r="F188" s="9" t="s">
        <v>3619</v>
      </c>
      <c r="G188" s="9">
        <v>0</v>
      </c>
      <c r="H188" s="9" t="s">
        <v>3093</v>
      </c>
      <c r="I188" s="9">
        <v>232</v>
      </c>
      <c r="J188" s="9">
        <v>0</v>
      </c>
      <c r="K188" s="9" t="s">
        <v>3107</v>
      </c>
      <c r="L188" s="9" t="str">
        <f t="shared" si="0"/>
        <v>Y</v>
      </c>
    </row>
    <row r="189" spans="1:12">
      <c r="A189" s="9">
        <v>289</v>
      </c>
      <c r="B189" s="9">
        <v>109</v>
      </c>
      <c r="C189" s="9" t="s">
        <v>3620</v>
      </c>
      <c r="D189" s="9" t="s">
        <v>3621</v>
      </c>
      <c r="E189" s="9">
        <v>135</v>
      </c>
      <c r="F189" s="9" t="s">
        <v>931</v>
      </c>
      <c r="G189" s="9">
        <v>0</v>
      </c>
      <c r="H189" s="9" t="s">
        <v>3093</v>
      </c>
      <c r="I189" s="9">
        <v>69</v>
      </c>
      <c r="J189" s="9">
        <v>1</v>
      </c>
      <c r="K189" s="9" t="s">
        <v>1001</v>
      </c>
      <c r="L189" s="9" t="str">
        <f t="shared" si="0"/>
        <v>Y</v>
      </c>
    </row>
    <row r="190" spans="1:12">
      <c r="A190" s="9">
        <v>290</v>
      </c>
      <c r="B190" s="9">
        <v>112</v>
      </c>
      <c r="C190" s="9" t="s">
        <v>3622</v>
      </c>
      <c r="D190" s="9" t="s">
        <v>3623</v>
      </c>
      <c r="E190" s="9">
        <v>156</v>
      </c>
      <c r="F190" s="9" t="s">
        <v>945</v>
      </c>
      <c r="G190" s="9">
        <v>0</v>
      </c>
      <c r="H190" s="9" t="s">
        <v>3093</v>
      </c>
      <c r="I190" s="9">
        <v>192</v>
      </c>
      <c r="J190" s="9">
        <v>0</v>
      </c>
      <c r="K190" s="9" t="s">
        <v>3125</v>
      </c>
      <c r="L190" s="9" t="str">
        <f t="shared" si="0"/>
        <v>Y</v>
      </c>
    </row>
    <row r="191" spans="1:12">
      <c r="A191" s="9">
        <v>291</v>
      </c>
      <c r="B191" s="9">
        <v>110</v>
      </c>
      <c r="C191" s="9" t="s">
        <v>3624</v>
      </c>
      <c r="D191" s="9" t="s">
        <v>3625</v>
      </c>
      <c r="E191" s="9">
        <v>145</v>
      </c>
      <c r="F191" s="9" t="s">
        <v>3626</v>
      </c>
      <c r="G191" s="9">
        <v>1</v>
      </c>
      <c r="H191" s="9" t="s">
        <v>3093</v>
      </c>
      <c r="I191" s="9">
        <v>202</v>
      </c>
      <c r="J191" s="9">
        <v>0</v>
      </c>
      <c r="K191" s="9" t="s">
        <v>3519</v>
      </c>
      <c r="L191" s="9" t="str">
        <f t="shared" si="0"/>
        <v>Y</v>
      </c>
    </row>
    <row r="192" spans="1:12">
      <c r="A192" s="9">
        <v>292</v>
      </c>
      <c r="B192" s="9">
        <v>115</v>
      </c>
      <c r="C192" s="9" t="s">
        <v>3627</v>
      </c>
      <c r="D192" s="9" t="s">
        <v>20</v>
      </c>
      <c r="E192" s="9">
        <v>174</v>
      </c>
      <c r="F192" s="9" t="s">
        <v>3628</v>
      </c>
      <c r="G192" s="9">
        <v>0</v>
      </c>
      <c r="H192" s="9" t="s">
        <v>3093</v>
      </c>
      <c r="I192" s="9">
        <v>37</v>
      </c>
      <c r="J192" s="9">
        <v>0</v>
      </c>
      <c r="K192" s="9" t="s">
        <v>699</v>
      </c>
      <c r="L192" s="9" t="str">
        <f t="shared" si="0"/>
        <v>N</v>
      </c>
    </row>
    <row r="193" spans="1:12">
      <c r="A193" s="9">
        <v>293</v>
      </c>
      <c r="B193" s="9">
        <v>115</v>
      </c>
      <c r="C193" s="9" t="s">
        <v>3629</v>
      </c>
      <c r="D193" s="9" t="s">
        <v>3630</v>
      </c>
      <c r="E193" s="9">
        <v>174</v>
      </c>
      <c r="F193" s="9" t="s">
        <v>979</v>
      </c>
      <c r="G193" s="9">
        <v>0</v>
      </c>
      <c r="H193" s="9" t="s">
        <v>3093</v>
      </c>
      <c r="I193" s="9">
        <v>37</v>
      </c>
      <c r="J193" s="9">
        <v>0</v>
      </c>
      <c r="K193" s="9" t="s">
        <v>1504</v>
      </c>
      <c r="L193" s="9" t="str">
        <f t="shared" si="0"/>
        <v>Y</v>
      </c>
    </row>
    <row r="194" spans="1:12">
      <c r="A194" s="9">
        <v>294</v>
      </c>
      <c r="B194" s="9">
        <v>109</v>
      </c>
      <c r="C194" s="9" t="s">
        <v>3631</v>
      </c>
      <c r="D194" s="9" t="s">
        <v>3632</v>
      </c>
      <c r="E194" s="9">
        <v>139</v>
      </c>
      <c r="F194" s="9" t="s">
        <v>3633</v>
      </c>
      <c r="G194" s="9">
        <v>0</v>
      </c>
      <c r="H194" s="9" t="s">
        <v>3093</v>
      </c>
      <c r="I194" s="9">
        <v>227</v>
      </c>
      <c r="J194" s="9">
        <v>9</v>
      </c>
      <c r="K194" s="9" t="s">
        <v>3107</v>
      </c>
      <c r="L194" s="9" t="str">
        <f t="shared" si="0"/>
        <v>Y</v>
      </c>
    </row>
    <row r="195" spans="1:12">
      <c r="A195" s="9">
        <v>295</v>
      </c>
      <c r="B195" s="9">
        <v>109</v>
      </c>
      <c r="C195" s="9" t="s">
        <v>3634</v>
      </c>
      <c r="D195" s="9" t="s">
        <v>3635</v>
      </c>
      <c r="E195" s="9">
        <v>139</v>
      </c>
      <c r="F195" s="9" t="s">
        <v>1055</v>
      </c>
      <c r="G195" s="9">
        <v>0</v>
      </c>
      <c r="H195" s="9" t="s">
        <v>3093</v>
      </c>
      <c r="I195" s="9">
        <v>229</v>
      </c>
      <c r="J195" s="9">
        <v>8</v>
      </c>
      <c r="K195" s="9" t="s">
        <v>3107</v>
      </c>
      <c r="L195" s="9" t="str">
        <f t="shared" si="0"/>
        <v>Y</v>
      </c>
    </row>
    <row r="196" spans="1:12">
      <c r="A196" s="9">
        <v>296</v>
      </c>
      <c r="B196" s="9">
        <v>117</v>
      </c>
      <c r="C196" s="9" t="s">
        <v>3636</v>
      </c>
      <c r="D196" s="9" t="s">
        <v>3637</v>
      </c>
      <c r="E196" s="9">
        <v>188</v>
      </c>
      <c r="F196" s="9" t="s">
        <v>1071</v>
      </c>
      <c r="G196" s="9">
        <v>1</v>
      </c>
      <c r="H196" s="9" t="s">
        <v>3093</v>
      </c>
      <c r="I196" s="9">
        <v>156</v>
      </c>
      <c r="J196" s="9">
        <v>0</v>
      </c>
      <c r="K196" s="9" t="s">
        <v>3140</v>
      </c>
      <c r="L196" s="9" t="str">
        <f t="shared" si="0"/>
        <v>Y</v>
      </c>
    </row>
    <row r="197" spans="1:12">
      <c r="A197" s="9">
        <v>297</v>
      </c>
      <c r="B197" s="9">
        <v>116</v>
      </c>
      <c r="C197" s="9" t="s">
        <v>3638</v>
      </c>
      <c r="D197" s="9" t="s">
        <v>3639</v>
      </c>
      <c r="E197" s="9">
        <v>182</v>
      </c>
      <c r="F197" s="9" t="s">
        <v>3640</v>
      </c>
      <c r="G197" s="9">
        <v>1</v>
      </c>
      <c r="H197" s="9" t="s">
        <v>3093</v>
      </c>
      <c r="I197" s="9">
        <v>59</v>
      </c>
      <c r="J197" s="9">
        <v>0</v>
      </c>
      <c r="K197" s="9" t="s">
        <v>853</v>
      </c>
      <c r="L197" s="9" t="str">
        <f t="shared" si="0"/>
        <v>Y</v>
      </c>
    </row>
    <row r="198" spans="1:12">
      <c r="A198" s="9">
        <v>298</v>
      </c>
      <c r="B198" s="9">
        <v>117</v>
      </c>
      <c r="C198" s="9" t="s">
        <v>3641</v>
      </c>
      <c r="D198" s="9" t="s">
        <v>3642</v>
      </c>
      <c r="E198" s="9">
        <v>188</v>
      </c>
      <c r="F198" s="9" t="s">
        <v>3643</v>
      </c>
      <c r="G198" s="9">
        <v>1</v>
      </c>
      <c r="H198" s="9" t="s">
        <v>3093</v>
      </c>
      <c r="I198" s="9">
        <v>146</v>
      </c>
      <c r="J198" s="9">
        <v>0</v>
      </c>
      <c r="K198" s="9" t="s">
        <v>3140</v>
      </c>
      <c r="L198" s="9" t="str">
        <f t="shared" si="0"/>
        <v>Y</v>
      </c>
    </row>
    <row r="199" spans="1:12">
      <c r="A199" s="9">
        <v>299</v>
      </c>
      <c r="B199" s="9">
        <v>117</v>
      </c>
      <c r="C199" s="9" t="s">
        <v>3644</v>
      </c>
      <c r="D199" s="9" t="s">
        <v>3645</v>
      </c>
      <c r="E199" s="9">
        <v>188</v>
      </c>
      <c r="F199" s="9" t="s">
        <v>3646</v>
      </c>
      <c r="G199" s="9">
        <v>1</v>
      </c>
      <c r="H199" s="9" t="s">
        <v>3093</v>
      </c>
      <c r="I199" s="9">
        <v>190</v>
      </c>
      <c r="J199" s="9">
        <v>0</v>
      </c>
      <c r="K199" s="9" t="s">
        <v>3125</v>
      </c>
      <c r="L199" s="9" t="str">
        <f t="shared" si="0"/>
        <v>Y</v>
      </c>
    </row>
    <row r="200" spans="1:12">
      <c r="A200" s="9">
        <v>300</v>
      </c>
      <c r="B200" s="9">
        <v>109</v>
      </c>
      <c r="C200" s="9" t="s">
        <v>3647</v>
      </c>
      <c r="D200" s="9" t="s">
        <v>3648</v>
      </c>
      <c r="E200" s="9">
        <v>139</v>
      </c>
      <c r="F200" s="9" t="s">
        <v>3649</v>
      </c>
      <c r="G200" s="9">
        <v>0</v>
      </c>
      <c r="H200" s="9" t="s">
        <v>3093</v>
      </c>
      <c r="I200" s="9" t="s">
        <v>3480</v>
      </c>
      <c r="J200" s="9">
        <v>8</v>
      </c>
      <c r="K200" s="9" t="s">
        <v>3107</v>
      </c>
      <c r="L200" s="9" t="str">
        <f t="shared" si="0"/>
        <v>Y</v>
      </c>
    </row>
    <row r="201" spans="1:12">
      <c r="A201" s="9">
        <v>301</v>
      </c>
      <c r="B201" s="9">
        <v>110</v>
      </c>
      <c r="C201" s="9" t="s">
        <v>3650</v>
      </c>
      <c r="D201" s="9" t="s">
        <v>20</v>
      </c>
      <c r="E201" s="9">
        <v>144</v>
      </c>
      <c r="F201" s="9" t="s">
        <v>3651</v>
      </c>
      <c r="G201" s="9">
        <v>0</v>
      </c>
      <c r="H201" s="9" t="s">
        <v>3093</v>
      </c>
      <c r="I201" s="9">
        <v>59</v>
      </c>
      <c r="J201" s="9">
        <v>0</v>
      </c>
      <c r="K201" s="9" t="s">
        <v>699</v>
      </c>
      <c r="L201" s="9" t="str">
        <f t="shared" si="0"/>
        <v>N</v>
      </c>
    </row>
    <row r="202" spans="1:12">
      <c r="A202" s="9">
        <v>302</v>
      </c>
      <c r="B202" s="9">
        <v>117</v>
      </c>
      <c r="C202" s="9" t="s">
        <v>3652</v>
      </c>
      <c r="D202" s="9" t="s">
        <v>3653</v>
      </c>
      <c r="E202" s="9">
        <v>188</v>
      </c>
      <c r="F202" s="9" t="s">
        <v>3654</v>
      </c>
      <c r="G202" s="9">
        <v>0</v>
      </c>
      <c r="H202" s="9" t="s">
        <v>3093</v>
      </c>
      <c r="I202" s="9">
        <v>218</v>
      </c>
      <c r="J202" s="9">
        <v>0</v>
      </c>
      <c r="K202" s="9" t="s">
        <v>752</v>
      </c>
      <c r="L202" s="9" t="str">
        <f t="shared" si="0"/>
        <v>Y</v>
      </c>
    </row>
    <row r="203" spans="1:12">
      <c r="A203" s="9">
        <v>303</v>
      </c>
      <c r="B203" s="9">
        <v>110</v>
      </c>
      <c r="C203" s="9" t="s">
        <v>3655</v>
      </c>
      <c r="D203" s="9" t="s">
        <v>20</v>
      </c>
      <c r="E203" s="9">
        <v>144</v>
      </c>
      <c r="F203" s="9" t="s">
        <v>3656</v>
      </c>
      <c r="G203" s="9">
        <v>0</v>
      </c>
      <c r="H203" s="9" t="s">
        <v>3093</v>
      </c>
      <c r="I203" s="9">
        <v>73</v>
      </c>
      <c r="J203" s="9">
        <v>0</v>
      </c>
      <c r="K203" s="9" t="s">
        <v>699</v>
      </c>
      <c r="L203" s="9" t="str">
        <f t="shared" si="0"/>
        <v>N</v>
      </c>
    </row>
    <row r="204" spans="1:12">
      <c r="A204" s="9">
        <v>304</v>
      </c>
      <c r="B204" s="9">
        <v>117</v>
      </c>
      <c r="C204" s="9" t="s">
        <v>3657</v>
      </c>
      <c r="D204" s="9" t="s">
        <v>3658</v>
      </c>
      <c r="E204" s="9">
        <v>188</v>
      </c>
      <c r="F204" s="9" t="s">
        <v>1141</v>
      </c>
      <c r="G204" s="9">
        <v>1</v>
      </c>
      <c r="H204" s="9" t="s">
        <v>3093</v>
      </c>
      <c r="I204" s="9">
        <v>224</v>
      </c>
      <c r="J204" s="9">
        <v>2</v>
      </c>
      <c r="K204" s="9" t="s">
        <v>3107</v>
      </c>
      <c r="L204" s="9" t="str">
        <f t="shared" si="0"/>
        <v>Y</v>
      </c>
    </row>
    <row r="205" spans="1:12">
      <c r="A205" s="9">
        <v>305</v>
      </c>
      <c r="B205" s="9">
        <v>110</v>
      </c>
      <c r="C205" s="9" t="s">
        <v>3659</v>
      </c>
      <c r="D205" s="9" t="s">
        <v>20</v>
      </c>
      <c r="E205" s="9">
        <v>144</v>
      </c>
      <c r="F205" s="9" t="s">
        <v>3660</v>
      </c>
      <c r="G205" s="9">
        <v>0</v>
      </c>
      <c r="H205" s="9" t="s">
        <v>3093</v>
      </c>
      <c r="I205" s="108">
        <v>73212</v>
      </c>
      <c r="J205" s="9">
        <v>0</v>
      </c>
      <c r="K205" s="9" t="s">
        <v>699</v>
      </c>
      <c r="L205" s="9" t="str">
        <f t="shared" si="0"/>
        <v>N</v>
      </c>
    </row>
    <row r="206" spans="1:12">
      <c r="A206" s="9">
        <v>306</v>
      </c>
      <c r="B206" s="9">
        <v>110</v>
      </c>
      <c r="C206" s="9" t="s">
        <v>3661</v>
      </c>
      <c r="D206" s="9" t="s">
        <v>3662</v>
      </c>
      <c r="E206" s="9">
        <v>144</v>
      </c>
      <c r="F206" s="9" t="s">
        <v>3663</v>
      </c>
      <c r="G206" s="9">
        <v>1</v>
      </c>
      <c r="H206" s="9" t="s">
        <v>3093</v>
      </c>
      <c r="I206" s="9">
        <v>212</v>
      </c>
      <c r="J206" s="9">
        <v>1</v>
      </c>
      <c r="K206" s="9" t="s">
        <v>752</v>
      </c>
      <c r="L206" s="9" t="str">
        <f t="shared" si="0"/>
        <v>Y</v>
      </c>
    </row>
    <row r="207" spans="1:12">
      <c r="A207" s="9">
        <v>307</v>
      </c>
      <c r="B207" s="9">
        <v>117</v>
      </c>
      <c r="C207" s="9" t="s">
        <v>3664</v>
      </c>
      <c r="D207" s="9" t="s">
        <v>3665</v>
      </c>
      <c r="E207" s="9">
        <v>188</v>
      </c>
      <c r="F207" s="9" t="s">
        <v>3666</v>
      </c>
      <c r="G207" s="9">
        <v>1</v>
      </c>
      <c r="H207" s="9" t="s">
        <v>3093</v>
      </c>
      <c r="I207" s="9">
        <v>230</v>
      </c>
      <c r="J207" s="9">
        <v>0</v>
      </c>
      <c r="K207" s="9" t="s">
        <v>3107</v>
      </c>
      <c r="L207" s="9" t="str">
        <f t="shared" si="0"/>
        <v>Y</v>
      </c>
    </row>
    <row r="208" spans="1:12">
      <c r="A208" s="9">
        <v>308</v>
      </c>
      <c r="B208" s="9">
        <v>115</v>
      </c>
      <c r="C208" s="9" t="s">
        <v>3667</v>
      </c>
      <c r="D208" s="9" t="s">
        <v>3668</v>
      </c>
      <c r="E208" s="9">
        <v>176</v>
      </c>
      <c r="F208" s="9" t="s">
        <v>3669</v>
      </c>
      <c r="G208" s="9">
        <v>1</v>
      </c>
      <c r="H208" s="9" t="s">
        <v>3093</v>
      </c>
      <c r="I208" s="9">
        <v>214</v>
      </c>
      <c r="J208" s="9">
        <v>0</v>
      </c>
      <c r="K208" s="9" t="s">
        <v>752</v>
      </c>
      <c r="L208" s="9" t="str">
        <f t="shared" si="0"/>
        <v>Y</v>
      </c>
    </row>
    <row r="209" spans="1:12">
      <c r="A209" s="9">
        <v>309</v>
      </c>
      <c r="B209" s="9">
        <v>117</v>
      </c>
      <c r="C209" s="9" t="s">
        <v>3670</v>
      </c>
      <c r="D209" s="9" t="s">
        <v>3671</v>
      </c>
      <c r="E209" s="9">
        <v>188</v>
      </c>
      <c r="F209" s="9" t="s">
        <v>3672</v>
      </c>
      <c r="G209" s="9">
        <v>1</v>
      </c>
      <c r="H209" s="9" t="s">
        <v>3093</v>
      </c>
      <c r="I209" s="9">
        <v>232</v>
      </c>
      <c r="J209" s="9">
        <v>1</v>
      </c>
      <c r="K209" s="9" t="s">
        <v>3107</v>
      </c>
      <c r="L209" s="9" t="str">
        <f t="shared" si="0"/>
        <v>Y</v>
      </c>
    </row>
    <row r="210" spans="1:12">
      <c r="A210" s="9">
        <v>310</v>
      </c>
      <c r="B210" s="9">
        <v>109</v>
      </c>
      <c r="C210" s="9" t="s">
        <v>3673</v>
      </c>
      <c r="D210" s="9" t="s">
        <v>3674</v>
      </c>
      <c r="E210" s="9">
        <v>135</v>
      </c>
      <c r="F210" s="9" t="s">
        <v>3675</v>
      </c>
      <c r="G210" s="9">
        <v>0</v>
      </c>
      <c r="H210" s="9" t="s">
        <v>3093</v>
      </c>
      <c r="I210" s="9">
        <v>230</v>
      </c>
      <c r="J210" s="9">
        <v>0</v>
      </c>
      <c r="K210" s="9" t="s">
        <v>3107</v>
      </c>
      <c r="L210" s="9" t="str">
        <f t="shared" si="0"/>
        <v>Y</v>
      </c>
    </row>
    <row r="211" spans="1:12">
      <c r="A211" s="9">
        <v>311</v>
      </c>
      <c r="B211" s="9">
        <v>117</v>
      </c>
      <c r="C211" s="9" t="s">
        <v>3676</v>
      </c>
      <c r="D211" s="9" t="s">
        <v>3677</v>
      </c>
      <c r="E211" s="9">
        <v>188</v>
      </c>
      <c r="F211" s="9" t="s">
        <v>3678</v>
      </c>
      <c r="G211" s="9">
        <v>1</v>
      </c>
      <c r="H211" s="9" t="s">
        <v>3093</v>
      </c>
      <c r="I211" s="9">
        <v>143</v>
      </c>
      <c r="J211" s="9">
        <v>0</v>
      </c>
      <c r="K211" s="9" t="s">
        <v>3140</v>
      </c>
      <c r="L211" s="9" t="str">
        <f t="shared" si="0"/>
        <v>Y</v>
      </c>
    </row>
    <row r="212" spans="1:12">
      <c r="A212" s="9">
        <v>312</v>
      </c>
      <c r="B212" s="9">
        <v>112</v>
      </c>
      <c r="C212" s="9" t="s">
        <v>3679</v>
      </c>
      <c r="D212" s="9" t="s">
        <v>3680</v>
      </c>
      <c r="E212" s="9">
        <v>158</v>
      </c>
      <c r="F212" s="9" t="s">
        <v>3681</v>
      </c>
      <c r="G212" s="9">
        <v>0</v>
      </c>
      <c r="H212" s="9" t="s">
        <v>3093</v>
      </c>
      <c r="I212" s="9">
        <v>69</v>
      </c>
      <c r="J212" s="9">
        <v>0</v>
      </c>
      <c r="K212" s="9" t="s">
        <v>1001</v>
      </c>
      <c r="L212" s="9" t="str">
        <f t="shared" si="0"/>
        <v>Y</v>
      </c>
    </row>
    <row r="213" spans="1:12">
      <c r="A213" s="9">
        <v>313</v>
      </c>
      <c r="B213" s="9">
        <v>115</v>
      </c>
      <c r="C213" s="9" t="s">
        <v>3682</v>
      </c>
      <c r="D213" s="9" t="s">
        <v>3683</v>
      </c>
      <c r="E213" s="9">
        <v>176</v>
      </c>
      <c r="F213" s="9" t="s">
        <v>3684</v>
      </c>
      <c r="G213" s="9">
        <v>1</v>
      </c>
      <c r="H213" s="9" t="s">
        <v>3093</v>
      </c>
      <c r="I213" s="9">
        <v>228</v>
      </c>
      <c r="J213" s="9">
        <v>0</v>
      </c>
      <c r="K213" s="9" t="s">
        <v>3107</v>
      </c>
      <c r="L213" s="9" t="str">
        <f t="shared" si="0"/>
        <v>Y</v>
      </c>
    </row>
    <row r="214" spans="1:12">
      <c r="A214" s="9">
        <v>314</v>
      </c>
      <c r="B214" s="9">
        <v>110</v>
      </c>
      <c r="C214" s="9" t="s">
        <v>3685</v>
      </c>
      <c r="D214" s="9" t="s">
        <v>3686</v>
      </c>
      <c r="E214" s="9">
        <v>144</v>
      </c>
      <c r="F214" s="9" t="s">
        <v>3687</v>
      </c>
      <c r="G214" s="9">
        <v>1</v>
      </c>
      <c r="H214" s="9" t="s">
        <v>3093</v>
      </c>
      <c r="I214" s="9">
        <v>166</v>
      </c>
      <c r="J214" s="9">
        <v>1</v>
      </c>
      <c r="K214" s="9" t="s">
        <v>3219</v>
      </c>
      <c r="L214" s="9" t="str">
        <f t="shared" si="0"/>
        <v>Y</v>
      </c>
    </row>
    <row r="215" spans="1:12">
      <c r="A215" s="9">
        <v>315</v>
      </c>
      <c r="B215" s="9">
        <v>113</v>
      </c>
      <c r="C215" s="9" t="s">
        <v>3688</v>
      </c>
      <c r="D215" s="9" t="s">
        <v>3689</v>
      </c>
      <c r="E215" s="9">
        <v>164</v>
      </c>
      <c r="F215" s="9" t="s">
        <v>3690</v>
      </c>
      <c r="G215" s="9">
        <v>0</v>
      </c>
      <c r="H215" s="9" t="s">
        <v>3093</v>
      </c>
      <c r="I215" s="9">
        <v>125</v>
      </c>
      <c r="J215" s="9">
        <v>3</v>
      </c>
      <c r="K215" s="9" t="s">
        <v>3097</v>
      </c>
      <c r="L215" s="9" t="str">
        <f t="shared" si="0"/>
        <v>Y</v>
      </c>
    </row>
    <row r="216" spans="1:12">
      <c r="A216" s="9">
        <v>316</v>
      </c>
      <c r="B216" s="9">
        <v>114</v>
      </c>
      <c r="C216" s="9" t="s">
        <v>3691</v>
      </c>
      <c r="D216" s="9" t="s">
        <v>3692</v>
      </c>
      <c r="E216" s="9">
        <v>169</v>
      </c>
      <c r="F216" s="9" t="s">
        <v>1319</v>
      </c>
      <c r="G216" s="9">
        <v>1</v>
      </c>
      <c r="H216" s="9" t="s">
        <v>3093</v>
      </c>
      <c r="I216" s="9">
        <v>202</v>
      </c>
      <c r="J216" s="9">
        <v>0</v>
      </c>
      <c r="K216" s="9" t="s">
        <v>3519</v>
      </c>
      <c r="L216" s="9" t="str">
        <f t="shared" si="0"/>
        <v>Y</v>
      </c>
    </row>
    <row r="217" spans="1:12">
      <c r="A217" s="9">
        <v>317</v>
      </c>
      <c r="B217" s="9">
        <v>117</v>
      </c>
      <c r="C217" s="9" t="s">
        <v>3693</v>
      </c>
      <c r="D217" s="9" t="s">
        <v>3694</v>
      </c>
      <c r="E217" s="9">
        <v>188</v>
      </c>
      <c r="F217" s="9" t="s">
        <v>3695</v>
      </c>
      <c r="G217" s="9">
        <v>0</v>
      </c>
      <c r="H217" s="9" t="s">
        <v>3093</v>
      </c>
      <c r="I217" s="9">
        <v>168</v>
      </c>
      <c r="J217" s="9">
        <v>0</v>
      </c>
      <c r="K217" s="9" t="s">
        <v>3219</v>
      </c>
      <c r="L217" s="9" t="str">
        <f t="shared" si="0"/>
        <v>Y</v>
      </c>
    </row>
    <row r="218" spans="1:12">
      <c r="A218" s="9">
        <v>318</v>
      </c>
      <c r="B218" s="9">
        <v>110</v>
      </c>
      <c r="C218" s="9" t="s">
        <v>3696</v>
      </c>
      <c r="D218" s="9" t="s">
        <v>3697</v>
      </c>
      <c r="E218" s="9">
        <v>144</v>
      </c>
      <c r="F218" s="9" t="s">
        <v>1339</v>
      </c>
      <c r="G218" s="9">
        <v>1</v>
      </c>
      <c r="H218" s="9" t="s">
        <v>3093</v>
      </c>
      <c r="I218" s="9">
        <v>151</v>
      </c>
      <c r="J218" s="9">
        <v>0</v>
      </c>
      <c r="K218" s="9" t="s">
        <v>3140</v>
      </c>
      <c r="L218" s="9" t="str">
        <f t="shared" si="0"/>
        <v>Y</v>
      </c>
    </row>
    <row r="219" spans="1:12">
      <c r="A219" s="9">
        <v>319</v>
      </c>
      <c r="B219" s="9">
        <v>114</v>
      </c>
      <c r="C219" s="9" t="s">
        <v>3698</v>
      </c>
      <c r="D219" s="9" t="s">
        <v>3699</v>
      </c>
      <c r="E219" s="9">
        <v>169</v>
      </c>
      <c r="F219" s="9" t="s">
        <v>3700</v>
      </c>
      <c r="G219" s="9">
        <v>0</v>
      </c>
      <c r="H219" s="9" t="s">
        <v>3093</v>
      </c>
      <c r="I219" s="9">
        <v>104</v>
      </c>
      <c r="J219" s="9">
        <v>0</v>
      </c>
      <c r="K219" s="9" t="s">
        <v>1035</v>
      </c>
      <c r="L219" s="9" t="str">
        <f t="shared" si="0"/>
        <v>Y</v>
      </c>
    </row>
    <row r="220" spans="1:12">
      <c r="A220" s="9">
        <v>320</v>
      </c>
      <c r="B220" s="9">
        <v>114</v>
      </c>
      <c r="C220" s="9" t="s">
        <v>3701</v>
      </c>
      <c r="D220" s="9" t="s">
        <v>3702</v>
      </c>
      <c r="E220" s="9">
        <v>169</v>
      </c>
      <c r="F220" s="9" t="s">
        <v>3703</v>
      </c>
      <c r="G220" s="9">
        <v>0</v>
      </c>
      <c r="H220" s="9" t="s">
        <v>3093</v>
      </c>
      <c r="I220" s="9">
        <v>113</v>
      </c>
      <c r="J220" s="9">
        <v>0</v>
      </c>
      <c r="K220" s="9" t="s">
        <v>1400</v>
      </c>
      <c r="L220" s="9" t="str">
        <f t="shared" si="0"/>
        <v>Y</v>
      </c>
    </row>
    <row r="221" spans="1:12">
      <c r="A221" s="9">
        <v>321</v>
      </c>
      <c r="B221" s="9">
        <v>112</v>
      </c>
      <c r="C221" s="9" t="s">
        <v>3704</v>
      </c>
      <c r="D221" s="9" t="s">
        <v>3705</v>
      </c>
      <c r="E221" s="9">
        <v>157</v>
      </c>
      <c r="F221" s="9" t="s">
        <v>3706</v>
      </c>
      <c r="G221" s="9">
        <v>1</v>
      </c>
      <c r="H221" s="9" t="s">
        <v>3093</v>
      </c>
      <c r="I221" s="9">
        <v>81</v>
      </c>
      <c r="J221" s="9">
        <v>6</v>
      </c>
      <c r="K221" s="9" t="s">
        <v>1001</v>
      </c>
      <c r="L221" s="9" t="str">
        <f t="shared" si="0"/>
        <v>Y</v>
      </c>
    </row>
    <row r="222" spans="1:12">
      <c r="A222" s="9">
        <v>322</v>
      </c>
      <c r="B222" s="9">
        <v>110</v>
      </c>
      <c r="C222" s="9" t="s">
        <v>3707</v>
      </c>
      <c r="D222" s="9" t="s">
        <v>3708</v>
      </c>
      <c r="E222" s="9">
        <v>144</v>
      </c>
      <c r="F222" s="9" t="s">
        <v>1364</v>
      </c>
      <c r="G222" s="9">
        <v>1</v>
      </c>
      <c r="H222" s="9" t="s">
        <v>3093</v>
      </c>
      <c r="I222" s="9">
        <v>95</v>
      </c>
      <c r="J222" s="9">
        <v>0</v>
      </c>
      <c r="K222" s="9" t="s">
        <v>3505</v>
      </c>
      <c r="L222" s="9" t="str">
        <f t="shared" si="0"/>
        <v>Y</v>
      </c>
    </row>
    <row r="223" spans="1:12">
      <c r="A223" s="9">
        <v>323</v>
      </c>
      <c r="B223" s="9">
        <v>114</v>
      </c>
      <c r="C223" s="9" t="s">
        <v>3709</v>
      </c>
      <c r="D223" s="9" t="s">
        <v>3710</v>
      </c>
      <c r="E223" s="9">
        <v>169</v>
      </c>
      <c r="F223" s="9" t="s">
        <v>3711</v>
      </c>
      <c r="G223" s="9">
        <v>1</v>
      </c>
      <c r="H223" s="9" t="s">
        <v>3093</v>
      </c>
      <c r="I223" s="9">
        <v>166.16800000000001</v>
      </c>
      <c r="J223" s="9">
        <v>0</v>
      </c>
      <c r="K223" s="9" t="s">
        <v>3219</v>
      </c>
      <c r="L223" s="9" t="str">
        <f t="shared" si="0"/>
        <v>Y</v>
      </c>
    </row>
    <row r="224" spans="1:12">
      <c r="A224" s="9">
        <v>324</v>
      </c>
      <c r="B224" s="9">
        <v>113</v>
      </c>
      <c r="C224" s="9" t="s">
        <v>3712</v>
      </c>
      <c r="D224" s="9" t="s">
        <v>3713</v>
      </c>
      <c r="E224" s="9">
        <v>162</v>
      </c>
      <c r="F224" s="9" t="s">
        <v>3714</v>
      </c>
      <c r="G224" s="9">
        <v>0</v>
      </c>
      <c r="H224" s="9" t="s">
        <v>3093</v>
      </c>
      <c r="I224" s="9">
        <v>180</v>
      </c>
      <c r="J224" s="9">
        <v>0</v>
      </c>
      <c r="K224" s="9" t="s">
        <v>3169</v>
      </c>
      <c r="L224" s="9" t="str">
        <f t="shared" si="0"/>
        <v>Y</v>
      </c>
    </row>
    <row r="225" spans="1:12">
      <c r="A225" s="9">
        <v>325</v>
      </c>
      <c r="B225" s="9">
        <v>109</v>
      </c>
      <c r="C225" s="9" t="s">
        <v>3715</v>
      </c>
      <c r="D225" s="9" t="s">
        <v>3716</v>
      </c>
      <c r="E225" s="9">
        <v>135</v>
      </c>
      <c r="F225" s="9" t="s">
        <v>3717</v>
      </c>
      <c r="G225" s="9">
        <v>1</v>
      </c>
      <c r="H225" s="9" t="s">
        <v>3093</v>
      </c>
      <c r="I225" s="9">
        <v>151</v>
      </c>
      <c r="J225" s="9">
        <v>0</v>
      </c>
      <c r="K225" s="9" t="s">
        <v>3140</v>
      </c>
      <c r="L225" s="9" t="str">
        <f t="shared" si="0"/>
        <v>Y</v>
      </c>
    </row>
    <row r="226" spans="1:12">
      <c r="A226" s="9">
        <v>326</v>
      </c>
      <c r="B226" s="9">
        <v>114</v>
      </c>
      <c r="C226" s="9" t="s">
        <v>3718</v>
      </c>
      <c r="D226" s="9" t="s">
        <v>3719</v>
      </c>
      <c r="E226" s="9">
        <v>169</v>
      </c>
      <c r="F226" s="9" t="s">
        <v>3720</v>
      </c>
      <c r="G226" s="9">
        <v>1</v>
      </c>
      <c r="H226" s="9" t="s">
        <v>3093</v>
      </c>
      <c r="I226" s="9">
        <v>178.18</v>
      </c>
      <c r="J226" s="9">
        <v>1</v>
      </c>
      <c r="K226" s="9" t="s">
        <v>3169</v>
      </c>
      <c r="L226" s="9" t="str">
        <f t="shared" si="0"/>
        <v>Y</v>
      </c>
    </row>
    <row r="227" spans="1:12">
      <c r="A227" s="9">
        <v>327</v>
      </c>
      <c r="B227" s="9">
        <v>112</v>
      </c>
      <c r="C227" s="9" t="s">
        <v>3721</v>
      </c>
      <c r="D227" s="9" t="s">
        <v>3722</v>
      </c>
      <c r="E227" s="9">
        <v>155</v>
      </c>
      <c r="F227" s="9" t="s">
        <v>3723</v>
      </c>
      <c r="G227" s="9">
        <v>0</v>
      </c>
      <c r="H227" s="9" t="s">
        <v>3093</v>
      </c>
      <c r="I227" s="9">
        <v>214</v>
      </c>
      <c r="J227" s="9">
        <v>0</v>
      </c>
      <c r="K227" s="9" t="s">
        <v>752</v>
      </c>
      <c r="L227" s="9" t="str">
        <f t="shared" si="0"/>
        <v>Y</v>
      </c>
    </row>
    <row r="228" spans="1:12">
      <c r="A228" s="9">
        <v>328</v>
      </c>
      <c r="B228" s="9">
        <v>117</v>
      </c>
      <c r="C228" s="9" t="s">
        <v>3724</v>
      </c>
      <c r="D228" s="9" t="s">
        <v>3725</v>
      </c>
      <c r="E228" s="9">
        <v>188</v>
      </c>
      <c r="F228" s="9" t="s">
        <v>1422</v>
      </c>
      <c r="G228" s="9">
        <v>1</v>
      </c>
      <c r="H228" s="9" t="s">
        <v>3093</v>
      </c>
      <c r="I228" s="9">
        <v>153</v>
      </c>
      <c r="J228" s="9">
        <v>0</v>
      </c>
      <c r="K228" s="9" t="s">
        <v>3140</v>
      </c>
      <c r="L228" s="9" t="str">
        <f t="shared" si="0"/>
        <v>Y</v>
      </c>
    </row>
    <row r="229" spans="1:12">
      <c r="A229" s="9">
        <v>329</v>
      </c>
      <c r="B229" s="9">
        <v>114</v>
      </c>
      <c r="C229" s="9" t="s">
        <v>3726</v>
      </c>
      <c r="D229" s="9" t="s">
        <v>3727</v>
      </c>
      <c r="E229" s="9">
        <v>169</v>
      </c>
      <c r="F229" s="9" t="s">
        <v>1438</v>
      </c>
      <c r="G229" s="9">
        <v>1</v>
      </c>
      <c r="H229" s="9" t="s">
        <v>3093</v>
      </c>
      <c r="I229" s="9">
        <v>141</v>
      </c>
      <c r="J229" s="9">
        <v>0</v>
      </c>
      <c r="K229" s="9" t="s">
        <v>3140</v>
      </c>
      <c r="L229" s="9" t="str">
        <f t="shared" si="0"/>
        <v>Y</v>
      </c>
    </row>
    <row r="230" spans="1:12">
      <c r="A230" s="9">
        <v>330</v>
      </c>
      <c r="B230" s="9">
        <v>112</v>
      </c>
      <c r="C230" s="9" t="s">
        <v>3728</v>
      </c>
      <c r="D230" s="9" t="s">
        <v>3729</v>
      </c>
      <c r="E230" s="9">
        <v>157</v>
      </c>
      <c r="F230" s="9" t="s">
        <v>3730</v>
      </c>
      <c r="G230" s="9">
        <v>0</v>
      </c>
      <c r="H230" s="9" t="s">
        <v>3093</v>
      </c>
      <c r="I230" s="9">
        <v>227.22900000000001</v>
      </c>
      <c r="J230" s="9">
        <v>6</v>
      </c>
      <c r="K230" s="9" t="s">
        <v>3107</v>
      </c>
      <c r="L230" s="9" t="str">
        <f t="shared" si="0"/>
        <v>Y</v>
      </c>
    </row>
    <row r="231" spans="1:12">
      <c r="A231" s="9">
        <v>331</v>
      </c>
      <c r="B231" s="9">
        <v>114</v>
      </c>
      <c r="C231" s="9" t="s">
        <v>3731</v>
      </c>
      <c r="D231" s="9" t="s">
        <v>3732</v>
      </c>
      <c r="E231" s="9">
        <v>169</v>
      </c>
      <c r="F231" s="9" t="s">
        <v>3733</v>
      </c>
      <c r="G231" s="9">
        <v>1</v>
      </c>
      <c r="H231" s="9" t="s">
        <v>3093</v>
      </c>
      <c r="I231" s="9">
        <v>190.19200000000001</v>
      </c>
      <c r="J231" s="9">
        <v>1</v>
      </c>
      <c r="K231" s="9" t="s">
        <v>3125</v>
      </c>
      <c r="L231" s="9" t="str">
        <f t="shared" si="0"/>
        <v>Y</v>
      </c>
    </row>
    <row r="232" spans="1:12">
      <c r="A232" s="9">
        <v>332</v>
      </c>
      <c r="B232" s="9">
        <v>113</v>
      </c>
      <c r="C232" s="9" t="s">
        <v>3734</v>
      </c>
      <c r="D232" s="9" t="s">
        <v>3735</v>
      </c>
      <c r="E232" s="9">
        <v>162</v>
      </c>
      <c r="F232" s="9" t="s">
        <v>3736</v>
      </c>
      <c r="G232" s="9">
        <v>1</v>
      </c>
      <c r="H232" s="9" t="s">
        <v>3093</v>
      </c>
      <c r="I232" s="9">
        <v>147</v>
      </c>
      <c r="J232" s="9">
        <v>0</v>
      </c>
      <c r="K232" s="9" t="s">
        <v>3140</v>
      </c>
      <c r="L232" s="9" t="str">
        <f t="shared" si="0"/>
        <v>Y</v>
      </c>
    </row>
    <row r="233" spans="1:12">
      <c r="A233" s="9">
        <v>333</v>
      </c>
      <c r="B233" s="9">
        <v>114</v>
      </c>
      <c r="C233" s="9" t="s">
        <v>3737</v>
      </c>
      <c r="D233" s="9" t="s">
        <v>3738</v>
      </c>
      <c r="E233" s="9">
        <v>169</v>
      </c>
      <c r="F233" s="9" t="s">
        <v>3739</v>
      </c>
      <c r="G233" s="9">
        <v>1</v>
      </c>
      <c r="H233" s="9" t="s">
        <v>3093</v>
      </c>
      <c r="I233" s="9">
        <v>153</v>
      </c>
      <c r="J233" s="9">
        <v>0</v>
      </c>
      <c r="K233" s="9" t="s">
        <v>3140</v>
      </c>
      <c r="L233" s="9" t="str">
        <f t="shared" si="0"/>
        <v>Y</v>
      </c>
    </row>
    <row r="234" spans="1:12">
      <c r="A234" s="9">
        <v>334</v>
      </c>
      <c r="B234" s="9">
        <v>114</v>
      </c>
      <c r="C234" s="9" t="s">
        <v>3740</v>
      </c>
      <c r="D234" s="9" t="s">
        <v>3741</v>
      </c>
      <c r="E234" s="9">
        <v>169</v>
      </c>
      <c r="F234" s="9" t="s">
        <v>1546</v>
      </c>
      <c r="G234" s="9">
        <v>0</v>
      </c>
      <c r="H234" s="9" t="s">
        <v>3093</v>
      </c>
      <c r="I234" s="9">
        <v>74</v>
      </c>
      <c r="J234" s="9">
        <v>3</v>
      </c>
      <c r="K234" s="9" t="s">
        <v>1001</v>
      </c>
      <c r="L234" s="9" t="str">
        <f t="shared" si="0"/>
        <v>Y</v>
      </c>
    </row>
    <row r="235" spans="1:12">
      <c r="A235" s="9">
        <v>335</v>
      </c>
      <c r="B235" s="9">
        <v>112</v>
      </c>
      <c r="C235" s="9" t="s">
        <v>3742</v>
      </c>
      <c r="D235" s="9" t="s">
        <v>3743</v>
      </c>
      <c r="E235" s="9">
        <v>157</v>
      </c>
      <c r="F235" s="9" t="s">
        <v>1581</v>
      </c>
      <c r="G235" s="9">
        <v>0</v>
      </c>
      <c r="H235" s="9" t="s">
        <v>3093</v>
      </c>
      <c r="I235" s="9">
        <v>178</v>
      </c>
      <c r="J235" s="9">
        <v>2</v>
      </c>
      <c r="K235" s="9" t="s">
        <v>3169</v>
      </c>
      <c r="L235" s="9" t="str">
        <f t="shared" si="0"/>
        <v>Y</v>
      </c>
    </row>
    <row r="236" spans="1:12">
      <c r="A236" s="9">
        <v>336</v>
      </c>
      <c r="B236" s="9">
        <v>112</v>
      </c>
      <c r="C236" s="9" t="s">
        <v>3744</v>
      </c>
      <c r="D236" s="9" t="s">
        <v>3745</v>
      </c>
      <c r="E236" s="9">
        <v>155</v>
      </c>
      <c r="F236" s="9" t="s">
        <v>3746</v>
      </c>
      <c r="G236" s="9">
        <v>1</v>
      </c>
      <c r="H236" s="9" t="s">
        <v>3093</v>
      </c>
      <c r="I236" s="9">
        <v>79</v>
      </c>
      <c r="J236" s="9">
        <v>0</v>
      </c>
      <c r="K236" s="9" t="s">
        <v>1001</v>
      </c>
      <c r="L236" s="9" t="str">
        <f t="shared" si="0"/>
        <v>Y</v>
      </c>
    </row>
    <row r="237" spans="1:12">
      <c r="A237" s="9">
        <v>337</v>
      </c>
      <c r="B237" s="9">
        <v>112</v>
      </c>
      <c r="C237" s="9" t="s">
        <v>3747</v>
      </c>
      <c r="D237" s="9" t="s">
        <v>3748</v>
      </c>
      <c r="E237" s="9">
        <v>155</v>
      </c>
      <c r="F237" s="9" t="s">
        <v>3749</v>
      </c>
      <c r="G237" s="9">
        <v>1</v>
      </c>
      <c r="H237" s="9" t="s">
        <v>3093</v>
      </c>
      <c r="I237" s="9">
        <v>79</v>
      </c>
      <c r="J237" s="9">
        <v>0</v>
      </c>
      <c r="K237" s="9" t="s">
        <v>1001</v>
      </c>
      <c r="L237" s="9" t="str">
        <f t="shared" si="0"/>
        <v>Y</v>
      </c>
    </row>
    <row r="238" spans="1:12">
      <c r="A238" s="9">
        <v>338</v>
      </c>
      <c r="B238" s="9">
        <v>114</v>
      </c>
      <c r="C238" s="9" t="s">
        <v>3750</v>
      </c>
      <c r="D238" s="9" t="s">
        <v>20</v>
      </c>
      <c r="E238" s="9">
        <v>169</v>
      </c>
      <c r="F238" s="9" t="s">
        <v>371</v>
      </c>
      <c r="G238" s="9">
        <v>0</v>
      </c>
      <c r="H238" s="9" t="s">
        <v>3093</v>
      </c>
      <c r="I238" s="9">
        <v>113</v>
      </c>
      <c r="J238" s="9">
        <v>0</v>
      </c>
      <c r="K238" s="9" t="s">
        <v>699</v>
      </c>
      <c r="L238" s="9" t="str">
        <f t="shared" si="0"/>
        <v>N</v>
      </c>
    </row>
    <row r="239" spans="1:12">
      <c r="A239" s="9">
        <v>339</v>
      </c>
      <c r="B239" s="9">
        <v>112</v>
      </c>
      <c r="C239" s="9" t="s">
        <v>3751</v>
      </c>
      <c r="D239" s="9" t="s">
        <v>3752</v>
      </c>
      <c r="E239" s="9">
        <v>155</v>
      </c>
      <c r="F239" s="9" t="s">
        <v>3753</v>
      </c>
      <c r="G239" s="9">
        <v>1</v>
      </c>
      <c r="H239" s="9" t="s">
        <v>3093</v>
      </c>
      <c r="I239" s="9">
        <v>44</v>
      </c>
      <c r="J239" s="9">
        <v>0</v>
      </c>
      <c r="K239" s="9" t="s">
        <v>1504</v>
      </c>
      <c r="L239" s="9" t="str">
        <f t="shared" si="0"/>
        <v>Y</v>
      </c>
    </row>
    <row r="240" spans="1:12">
      <c r="A240" s="9">
        <v>340</v>
      </c>
      <c r="B240" s="9">
        <v>112</v>
      </c>
      <c r="C240" s="9" t="s">
        <v>3754</v>
      </c>
      <c r="D240" s="9" t="s">
        <v>3755</v>
      </c>
      <c r="E240" s="9">
        <v>157</v>
      </c>
      <c r="F240" s="9" t="s">
        <v>1611</v>
      </c>
      <c r="G240" s="9">
        <v>1</v>
      </c>
      <c r="H240" s="9" t="s">
        <v>3093</v>
      </c>
      <c r="I240" s="9">
        <v>125</v>
      </c>
      <c r="J240" s="9">
        <v>0</v>
      </c>
      <c r="K240" s="9" t="s">
        <v>3097</v>
      </c>
      <c r="L240" s="9" t="str">
        <f t="shared" si="0"/>
        <v>Y</v>
      </c>
    </row>
    <row r="241" spans="1:12">
      <c r="A241" s="9">
        <v>341</v>
      </c>
      <c r="B241" s="9">
        <v>112</v>
      </c>
      <c r="C241" s="9" t="s">
        <v>3756</v>
      </c>
      <c r="D241" s="9" t="s">
        <v>3757</v>
      </c>
      <c r="E241" s="9">
        <v>155</v>
      </c>
      <c r="F241" s="9" t="s">
        <v>3758</v>
      </c>
      <c r="G241" s="9">
        <v>1</v>
      </c>
      <c r="H241" s="9" t="s">
        <v>3093</v>
      </c>
      <c r="I241" s="9">
        <v>131</v>
      </c>
      <c r="J241" s="9">
        <v>0</v>
      </c>
      <c r="K241" s="9" t="s">
        <v>3097</v>
      </c>
      <c r="L241" s="9" t="str">
        <f t="shared" si="0"/>
        <v>Y</v>
      </c>
    </row>
    <row r="242" spans="1:12">
      <c r="A242" s="9">
        <v>342</v>
      </c>
      <c r="B242" s="9">
        <v>112</v>
      </c>
      <c r="C242" s="9" t="s">
        <v>3759</v>
      </c>
      <c r="D242" s="9" t="s">
        <v>3760</v>
      </c>
      <c r="E242" s="9">
        <v>158</v>
      </c>
      <c r="F242" s="9" t="s">
        <v>3761</v>
      </c>
      <c r="G242" s="9">
        <v>0</v>
      </c>
      <c r="H242" s="9" t="s">
        <v>3093</v>
      </c>
      <c r="I242" s="9">
        <v>220</v>
      </c>
      <c r="J242" s="9">
        <v>0</v>
      </c>
      <c r="K242" s="9" t="s">
        <v>752</v>
      </c>
      <c r="L242" s="9" t="str">
        <f t="shared" si="0"/>
        <v>Y</v>
      </c>
    </row>
    <row r="243" spans="1:12">
      <c r="A243" s="9">
        <v>343</v>
      </c>
      <c r="B243" s="9">
        <v>112</v>
      </c>
      <c r="C243" s="9" t="s">
        <v>3762</v>
      </c>
      <c r="D243" s="9" t="s">
        <v>3763</v>
      </c>
      <c r="E243" s="9">
        <v>157</v>
      </c>
      <c r="F243" s="9" t="s">
        <v>3764</v>
      </c>
      <c r="G243" s="9">
        <v>1</v>
      </c>
      <c r="H243" s="9" t="s">
        <v>3093</v>
      </c>
      <c r="I243" s="9">
        <v>166.16800000000001</v>
      </c>
      <c r="J243" s="9">
        <v>2</v>
      </c>
      <c r="K243" s="9" t="s">
        <v>3219</v>
      </c>
      <c r="L243" s="9" t="str">
        <f t="shared" si="0"/>
        <v>Y</v>
      </c>
    </row>
    <row r="244" spans="1:12">
      <c r="A244" s="9">
        <v>344</v>
      </c>
      <c r="B244" s="9">
        <v>115</v>
      </c>
      <c r="C244" s="9" t="s">
        <v>3765</v>
      </c>
      <c r="D244" s="9" t="s">
        <v>3766</v>
      </c>
      <c r="E244" s="9">
        <v>175</v>
      </c>
      <c r="F244" s="9" t="s">
        <v>3767</v>
      </c>
      <c r="G244" s="9">
        <v>1</v>
      </c>
      <c r="H244" s="9" t="s">
        <v>3093</v>
      </c>
      <c r="I244" s="9">
        <v>180</v>
      </c>
      <c r="J244" s="9">
        <v>0</v>
      </c>
      <c r="K244" s="9" t="s">
        <v>3169</v>
      </c>
      <c r="L244" s="9" t="str">
        <f t="shared" si="0"/>
        <v>Y</v>
      </c>
    </row>
    <row r="245" spans="1:12">
      <c r="A245" s="9">
        <v>345</v>
      </c>
      <c r="B245" s="9">
        <v>112</v>
      </c>
      <c r="C245" s="9" t="s">
        <v>3768</v>
      </c>
      <c r="D245" s="9" t="s">
        <v>3769</v>
      </c>
      <c r="E245" s="9">
        <v>155</v>
      </c>
      <c r="F245" s="9" t="s">
        <v>3770</v>
      </c>
      <c r="G245" s="9">
        <v>0</v>
      </c>
      <c r="H245" s="9" t="s">
        <v>3093</v>
      </c>
      <c r="I245" s="9">
        <v>73</v>
      </c>
      <c r="J245" s="9">
        <v>0</v>
      </c>
      <c r="K245" s="9" t="s">
        <v>1001</v>
      </c>
      <c r="L245" s="9" t="str">
        <f t="shared" si="0"/>
        <v>Y</v>
      </c>
    </row>
    <row r="246" spans="1:12">
      <c r="A246" s="9">
        <v>346</v>
      </c>
      <c r="B246" s="9">
        <v>110</v>
      </c>
      <c r="C246" s="9" t="s">
        <v>3771</v>
      </c>
      <c r="D246" s="9" t="s">
        <v>3772</v>
      </c>
      <c r="E246" s="9">
        <v>144</v>
      </c>
      <c r="F246" s="9" t="s">
        <v>3773</v>
      </c>
      <c r="G246" s="9">
        <v>1</v>
      </c>
      <c r="H246" s="9" t="s">
        <v>3093</v>
      </c>
      <c r="I246" s="9">
        <v>147</v>
      </c>
      <c r="J246" s="9">
        <v>0</v>
      </c>
      <c r="K246" s="9" t="s">
        <v>3140</v>
      </c>
      <c r="L246" s="9" t="str">
        <f t="shared" si="0"/>
        <v>Y</v>
      </c>
    </row>
    <row r="247" spans="1:12">
      <c r="A247" s="9">
        <v>347</v>
      </c>
      <c r="B247" s="9">
        <v>112</v>
      </c>
      <c r="C247" s="9" t="s">
        <v>3774</v>
      </c>
      <c r="D247" s="9" t="s">
        <v>3775</v>
      </c>
      <c r="E247" s="9">
        <v>158</v>
      </c>
      <c r="F247" s="9" t="s">
        <v>1657</v>
      </c>
      <c r="G247" s="9">
        <v>0</v>
      </c>
      <c r="H247" s="9" t="s">
        <v>3093</v>
      </c>
      <c r="I247" s="9">
        <v>84</v>
      </c>
      <c r="J247" s="9">
        <v>0</v>
      </c>
      <c r="K247" s="9" t="s">
        <v>1001</v>
      </c>
      <c r="L247" s="9" t="str">
        <f t="shared" si="0"/>
        <v>Y</v>
      </c>
    </row>
    <row r="248" spans="1:12">
      <c r="A248" s="9">
        <v>348</v>
      </c>
      <c r="B248" s="9">
        <v>112</v>
      </c>
      <c r="C248" s="9" t="s">
        <v>3776</v>
      </c>
      <c r="D248" s="9" t="s">
        <v>3777</v>
      </c>
      <c r="E248" s="9">
        <v>155</v>
      </c>
      <c r="F248" s="9" t="s">
        <v>1662</v>
      </c>
      <c r="G248" s="9">
        <v>0</v>
      </c>
      <c r="H248" s="9" t="s">
        <v>3093</v>
      </c>
      <c r="I248" s="9">
        <v>156</v>
      </c>
      <c r="J248" s="9">
        <v>0</v>
      </c>
      <c r="K248" s="9" t="s">
        <v>3140</v>
      </c>
      <c r="L248" s="9" t="str">
        <f t="shared" si="0"/>
        <v>Y</v>
      </c>
    </row>
    <row r="249" spans="1:12">
      <c r="A249" s="9">
        <v>349</v>
      </c>
      <c r="B249" s="9">
        <v>110</v>
      </c>
      <c r="C249" s="9" t="s">
        <v>3778</v>
      </c>
      <c r="D249" s="9" t="s">
        <v>3779</v>
      </c>
      <c r="E249" s="9">
        <v>144</v>
      </c>
      <c r="F249" s="9" t="s">
        <v>1665</v>
      </c>
      <c r="G249" s="9">
        <v>1</v>
      </c>
      <c r="H249" s="9" t="s">
        <v>3093</v>
      </c>
      <c r="I249" s="9">
        <v>178</v>
      </c>
      <c r="J249" s="9">
        <v>1</v>
      </c>
      <c r="K249" s="9" t="s">
        <v>3169</v>
      </c>
      <c r="L249" s="9" t="str">
        <f t="shared" si="0"/>
        <v>Y</v>
      </c>
    </row>
    <row r="250" spans="1:12">
      <c r="A250" s="9">
        <v>350</v>
      </c>
      <c r="B250" s="9">
        <v>114</v>
      </c>
      <c r="C250" s="9" t="s">
        <v>3780</v>
      </c>
      <c r="D250" s="9" t="s">
        <v>20</v>
      </c>
      <c r="E250" s="9">
        <v>169</v>
      </c>
      <c r="F250" s="9" t="s">
        <v>3781</v>
      </c>
      <c r="G250" s="9">
        <v>0</v>
      </c>
      <c r="H250" s="9" t="s">
        <v>3093</v>
      </c>
      <c r="I250" s="9">
        <v>143</v>
      </c>
      <c r="J250" s="9">
        <v>0</v>
      </c>
      <c r="K250" s="9" t="s">
        <v>699</v>
      </c>
      <c r="L250" s="9" t="str">
        <f t="shared" si="0"/>
        <v>N</v>
      </c>
    </row>
    <row r="251" spans="1:12">
      <c r="A251" s="9">
        <v>351</v>
      </c>
      <c r="B251" s="9">
        <v>110</v>
      </c>
      <c r="C251" s="9" t="s">
        <v>3782</v>
      </c>
      <c r="D251" s="9" t="s">
        <v>3783</v>
      </c>
      <c r="E251" s="9">
        <v>144</v>
      </c>
      <c r="F251" s="9" t="s">
        <v>3784</v>
      </c>
      <c r="G251" s="9">
        <v>1</v>
      </c>
      <c r="H251" s="9" t="s">
        <v>3093</v>
      </c>
      <c r="I251" s="9">
        <v>72</v>
      </c>
      <c r="J251" s="9">
        <v>4</v>
      </c>
      <c r="K251" s="9" t="s">
        <v>1001</v>
      </c>
      <c r="L251" s="9" t="str">
        <f t="shared" si="0"/>
        <v>Y</v>
      </c>
    </row>
    <row r="252" spans="1:12">
      <c r="A252" s="9">
        <v>352</v>
      </c>
      <c r="B252" s="9">
        <v>112</v>
      </c>
      <c r="C252" s="9" t="s">
        <v>3785</v>
      </c>
      <c r="D252" s="9" t="s">
        <v>3786</v>
      </c>
      <c r="E252" s="9">
        <v>158</v>
      </c>
      <c r="F252" s="9" t="s">
        <v>3787</v>
      </c>
      <c r="G252" s="9">
        <v>1</v>
      </c>
      <c r="H252" s="9" t="s">
        <v>3093</v>
      </c>
      <c r="I252" s="9">
        <v>168</v>
      </c>
      <c r="J252" s="9">
        <v>2</v>
      </c>
      <c r="K252" s="9" t="s">
        <v>3219</v>
      </c>
      <c r="L252" s="9" t="str">
        <f t="shared" si="0"/>
        <v>Y</v>
      </c>
    </row>
    <row r="253" spans="1:12">
      <c r="A253" s="9">
        <v>353</v>
      </c>
      <c r="B253" s="9">
        <v>112</v>
      </c>
      <c r="C253" s="9" t="s">
        <v>3788</v>
      </c>
      <c r="D253" s="9" t="s">
        <v>3789</v>
      </c>
      <c r="E253" s="9">
        <v>158</v>
      </c>
      <c r="F253" s="9" t="s">
        <v>3790</v>
      </c>
      <c r="G253" s="9">
        <v>1</v>
      </c>
      <c r="H253" s="9" t="s">
        <v>3093</v>
      </c>
      <c r="I253" s="9">
        <v>168</v>
      </c>
      <c r="J253" s="9">
        <v>2</v>
      </c>
      <c r="K253" s="9" t="s">
        <v>3219</v>
      </c>
      <c r="L253" s="9" t="str">
        <f t="shared" si="0"/>
        <v>Y</v>
      </c>
    </row>
    <row r="254" spans="1:12">
      <c r="A254" s="9">
        <v>354</v>
      </c>
      <c r="B254" s="9">
        <v>115</v>
      </c>
      <c r="C254" s="9" t="s">
        <v>3791</v>
      </c>
      <c r="D254" s="9" t="s">
        <v>3792</v>
      </c>
      <c r="E254" s="9">
        <v>175</v>
      </c>
      <c r="F254" s="9" t="s">
        <v>3793</v>
      </c>
      <c r="G254" s="9">
        <v>1</v>
      </c>
      <c r="H254" s="9" t="s">
        <v>3093</v>
      </c>
      <c r="I254" s="9">
        <v>218</v>
      </c>
      <c r="J254" s="9">
        <v>0</v>
      </c>
      <c r="K254" s="9" t="s">
        <v>752</v>
      </c>
      <c r="L254" s="9" t="str">
        <f t="shared" si="0"/>
        <v>Y</v>
      </c>
    </row>
    <row r="255" spans="1:12">
      <c r="A255" s="9">
        <v>355</v>
      </c>
      <c r="B255" s="9">
        <v>110</v>
      </c>
      <c r="C255" s="9" t="s">
        <v>3794</v>
      </c>
      <c r="D255" s="9" t="s">
        <v>3795</v>
      </c>
      <c r="E255" s="9">
        <v>144</v>
      </c>
      <c r="F255" s="9" t="s">
        <v>3796</v>
      </c>
      <c r="G255" s="9">
        <v>1</v>
      </c>
      <c r="H255" s="9" t="s">
        <v>3093</v>
      </c>
      <c r="I255" s="9">
        <v>73</v>
      </c>
      <c r="J255" s="9">
        <v>2</v>
      </c>
      <c r="K255" s="9" t="s">
        <v>1001</v>
      </c>
      <c r="L255" s="9" t="str">
        <f t="shared" si="0"/>
        <v>Y</v>
      </c>
    </row>
    <row r="256" spans="1:12">
      <c r="A256" s="9">
        <v>356</v>
      </c>
      <c r="B256" s="9">
        <v>109</v>
      </c>
      <c r="C256" s="9" t="s">
        <v>3797</v>
      </c>
      <c r="D256" s="9" t="s">
        <v>3798</v>
      </c>
      <c r="E256" s="9">
        <v>135</v>
      </c>
      <c r="F256" s="9" t="s">
        <v>3799</v>
      </c>
      <c r="G256" s="9">
        <v>1</v>
      </c>
      <c r="H256" s="9" t="s">
        <v>3093</v>
      </c>
      <c r="I256" s="9">
        <v>225</v>
      </c>
      <c r="J256" s="9">
        <v>1</v>
      </c>
      <c r="K256" s="9" t="s">
        <v>3107</v>
      </c>
      <c r="L256" s="9" t="str">
        <f t="shared" si="0"/>
        <v>Y</v>
      </c>
    </row>
    <row r="257" spans="1:12">
      <c r="A257" s="9">
        <v>357</v>
      </c>
      <c r="B257" s="9">
        <v>117</v>
      </c>
      <c r="C257" s="9" t="s">
        <v>3800</v>
      </c>
      <c r="D257" s="9" t="s">
        <v>3801</v>
      </c>
      <c r="E257" s="9">
        <v>186</v>
      </c>
      <c r="F257" s="9" t="s">
        <v>3802</v>
      </c>
      <c r="G257" s="9">
        <v>1</v>
      </c>
      <c r="H257" s="9" t="s">
        <v>3093</v>
      </c>
      <c r="I257" s="9">
        <v>178</v>
      </c>
      <c r="J257" s="9">
        <v>0</v>
      </c>
      <c r="K257" s="9" t="s">
        <v>3169</v>
      </c>
      <c r="L257" s="9" t="str">
        <f t="shared" ref="L257:L511" si="1">IF(D257="\N","N","Y")</f>
        <v>Y</v>
      </c>
    </row>
    <row r="258" spans="1:12">
      <c r="A258" s="9">
        <v>358</v>
      </c>
      <c r="B258" s="9">
        <v>110</v>
      </c>
      <c r="C258" s="9" t="s">
        <v>3803</v>
      </c>
      <c r="D258" s="9" t="s">
        <v>3804</v>
      </c>
      <c r="E258" s="9">
        <v>144</v>
      </c>
      <c r="F258" s="9" t="s">
        <v>3805</v>
      </c>
      <c r="G258" s="9">
        <v>0</v>
      </c>
      <c r="H258" s="9" t="s">
        <v>3093</v>
      </c>
      <c r="I258" s="9">
        <v>81</v>
      </c>
      <c r="J258" s="9">
        <v>0</v>
      </c>
      <c r="K258" s="9" t="s">
        <v>1001</v>
      </c>
      <c r="L258" s="9" t="str">
        <f t="shared" si="1"/>
        <v>Y</v>
      </c>
    </row>
    <row r="259" spans="1:12">
      <c r="A259" s="9">
        <v>359</v>
      </c>
      <c r="B259" s="9">
        <v>111</v>
      </c>
      <c r="C259" s="9" t="s">
        <v>3806</v>
      </c>
      <c r="D259" s="9" t="s">
        <v>20</v>
      </c>
      <c r="E259" s="9">
        <v>189</v>
      </c>
      <c r="F259" s="9" t="s">
        <v>3807</v>
      </c>
      <c r="G259" s="9">
        <v>0</v>
      </c>
      <c r="H259" s="9" t="s">
        <v>3093</v>
      </c>
      <c r="I259" s="9">
        <v>232</v>
      </c>
      <c r="J259" s="9">
        <v>0</v>
      </c>
      <c r="K259" s="9" t="s">
        <v>699</v>
      </c>
      <c r="L259" s="9" t="str">
        <f t="shared" si="1"/>
        <v>N</v>
      </c>
    </row>
    <row r="260" spans="1:12">
      <c r="A260" s="9">
        <v>360</v>
      </c>
      <c r="B260" s="9">
        <v>117</v>
      </c>
      <c r="C260" s="9" t="s">
        <v>3808</v>
      </c>
      <c r="D260" s="9" t="s">
        <v>3809</v>
      </c>
      <c r="E260" s="9">
        <v>188</v>
      </c>
      <c r="F260" s="9" t="s">
        <v>1741</v>
      </c>
      <c r="G260" s="9">
        <v>1</v>
      </c>
      <c r="H260" s="9" t="s">
        <v>3093</v>
      </c>
      <c r="I260" s="9">
        <v>125</v>
      </c>
      <c r="J260" s="9">
        <v>1</v>
      </c>
      <c r="K260" s="9" t="s">
        <v>3097</v>
      </c>
      <c r="L260" s="9" t="str">
        <f t="shared" si="1"/>
        <v>Y</v>
      </c>
    </row>
    <row r="261" spans="1:12">
      <c r="A261" s="9">
        <v>361</v>
      </c>
      <c r="B261" s="9">
        <v>114</v>
      </c>
      <c r="C261" s="9" t="s">
        <v>3810</v>
      </c>
      <c r="D261" s="9" t="s">
        <v>3811</v>
      </c>
      <c r="E261" s="9">
        <v>167</v>
      </c>
      <c r="F261" s="9" t="s">
        <v>3812</v>
      </c>
      <c r="G261" s="9">
        <v>1</v>
      </c>
      <c r="H261" s="9" t="s">
        <v>3093</v>
      </c>
      <c r="I261" s="9">
        <v>230</v>
      </c>
      <c r="J261" s="9">
        <v>0</v>
      </c>
      <c r="K261" s="9" t="s">
        <v>3107</v>
      </c>
      <c r="L261" s="9" t="str">
        <f t="shared" si="1"/>
        <v>Y</v>
      </c>
    </row>
    <row r="262" spans="1:12">
      <c r="A262" s="9">
        <v>362</v>
      </c>
      <c r="B262" s="9">
        <v>115</v>
      </c>
      <c r="C262" s="9" t="s">
        <v>3813</v>
      </c>
      <c r="D262" s="9" t="s">
        <v>3814</v>
      </c>
      <c r="E262" s="9">
        <v>175</v>
      </c>
      <c r="F262" s="9" t="s">
        <v>122</v>
      </c>
      <c r="G262" s="9">
        <v>1</v>
      </c>
      <c r="H262" s="9" t="s">
        <v>3093</v>
      </c>
      <c r="I262" s="9">
        <v>72</v>
      </c>
      <c r="J262" s="9">
        <v>3</v>
      </c>
      <c r="K262" s="9" t="s">
        <v>1001</v>
      </c>
      <c r="L262" s="9" t="str">
        <f t="shared" si="1"/>
        <v>Y</v>
      </c>
    </row>
    <row r="263" spans="1:12">
      <c r="A263" s="9">
        <v>363</v>
      </c>
      <c r="B263" s="9">
        <v>110</v>
      </c>
      <c r="C263" s="9" t="s">
        <v>3815</v>
      </c>
      <c r="D263" s="9" t="s">
        <v>20</v>
      </c>
      <c r="E263" s="9">
        <v>144</v>
      </c>
      <c r="F263" s="9" t="s">
        <v>3816</v>
      </c>
      <c r="G263" s="9">
        <v>0</v>
      </c>
      <c r="H263" s="9" t="s">
        <v>3093</v>
      </c>
      <c r="I263" s="9">
        <v>79.201999999999998</v>
      </c>
      <c r="J263" s="9">
        <v>0</v>
      </c>
      <c r="K263" s="9" t="s">
        <v>699</v>
      </c>
      <c r="L263" s="9" t="str">
        <f t="shared" si="1"/>
        <v>N</v>
      </c>
    </row>
    <row r="264" spans="1:12">
      <c r="A264" s="9">
        <v>364</v>
      </c>
      <c r="B264" s="9">
        <v>112</v>
      </c>
      <c r="C264" s="9" t="s">
        <v>3817</v>
      </c>
      <c r="D264" s="9" t="s">
        <v>3818</v>
      </c>
      <c r="E264" s="9">
        <v>158</v>
      </c>
      <c r="F264" s="9" t="s">
        <v>3819</v>
      </c>
      <c r="G264" s="9">
        <v>1</v>
      </c>
      <c r="H264" s="9" t="s">
        <v>3093</v>
      </c>
      <c r="I264" s="9">
        <v>131</v>
      </c>
      <c r="J264" s="9">
        <v>0</v>
      </c>
      <c r="K264" s="9" t="s">
        <v>3097</v>
      </c>
      <c r="L264" s="9" t="str">
        <f t="shared" si="1"/>
        <v>Y</v>
      </c>
    </row>
    <row r="265" spans="1:12">
      <c r="A265" s="9">
        <v>365</v>
      </c>
      <c r="B265" s="9">
        <v>121</v>
      </c>
      <c r="C265" s="9" t="s">
        <v>3820</v>
      </c>
      <c r="D265" s="9" t="s">
        <v>3821</v>
      </c>
      <c r="E265" s="9">
        <v>215</v>
      </c>
      <c r="F265" s="9" t="s">
        <v>3822</v>
      </c>
      <c r="G265" s="9">
        <v>1</v>
      </c>
      <c r="H265" s="9" t="s">
        <v>3093</v>
      </c>
      <c r="I265" s="9">
        <v>172</v>
      </c>
      <c r="J265" s="9">
        <v>0</v>
      </c>
      <c r="K265" s="9" t="s">
        <v>1885</v>
      </c>
      <c r="L265" s="9" t="str">
        <f t="shared" si="1"/>
        <v>Y</v>
      </c>
    </row>
    <row r="266" spans="1:12">
      <c r="A266" s="9">
        <v>366</v>
      </c>
      <c r="B266" s="9">
        <v>118</v>
      </c>
      <c r="C266" s="9" t="s">
        <v>3823</v>
      </c>
      <c r="D266" s="9" t="s">
        <v>3824</v>
      </c>
      <c r="E266" s="9">
        <v>195</v>
      </c>
      <c r="F266" s="9" t="s">
        <v>3825</v>
      </c>
      <c r="G266" s="9">
        <v>1</v>
      </c>
      <c r="H266" s="9" t="s">
        <v>3093</v>
      </c>
      <c r="I266" s="9">
        <v>88.9</v>
      </c>
      <c r="J266" s="9">
        <v>0</v>
      </c>
      <c r="K266" s="9" t="s">
        <v>1826</v>
      </c>
      <c r="L266" s="9" t="str">
        <f t="shared" si="1"/>
        <v>Y</v>
      </c>
    </row>
    <row r="267" spans="1:12">
      <c r="A267" s="9">
        <v>367</v>
      </c>
      <c r="B267" s="9">
        <v>122</v>
      </c>
      <c r="C267" s="9" t="s">
        <v>3826</v>
      </c>
      <c r="D267" s="9" t="s">
        <v>3827</v>
      </c>
      <c r="E267" s="9">
        <v>221</v>
      </c>
      <c r="F267" s="9" t="s">
        <v>3828</v>
      </c>
      <c r="G267" s="9">
        <v>0</v>
      </c>
      <c r="H267" s="9" t="s">
        <v>3093</v>
      </c>
      <c r="I267" s="9">
        <v>211</v>
      </c>
      <c r="J267" s="9">
        <v>0</v>
      </c>
      <c r="K267" s="9" t="s">
        <v>752</v>
      </c>
      <c r="L267" s="9" t="str">
        <f t="shared" si="1"/>
        <v>Y</v>
      </c>
    </row>
    <row r="268" spans="1:12">
      <c r="A268" s="9">
        <v>368</v>
      </c>
      <c r="B268" s="9">
        <v>120</v>
      </c>
      <c r="C268" s="9" t="s">
        <v>3829</v>
      </c>
      <c r="D268" s="9" t="s">
        <v>3830</v>
      </c>
      <c r="E268" s="9">
        <v>208</v>
      </c>
      <c r="F268" s="9" t="s">
        <v>3831</v>
      </c>
      <c r="G268" s="9">
        <v>0</v>
      </c>
      <c r="H268" s="9" t="s">
        <v>3093</v>
      </c>
      <c r="I268" s="9">
        <v>35</v>
      </c>
      <c r="J268" s="9">
        <v>1</v>
      </c>
      <c r="K268" s="9" t="s">
        <v>2145</v>
      </c>
      <c r="L268" s="9" t="str">
        <f t="shared" si="1"/>
        <v>Y</v>
      </c>
    </row>
    <row r="269" spans="1:12">
      <c r="A269" s="9">
        <v>369</v>
      </c>
      <c r="B269" s="9">
        <v>126</v>
      </c>
      <c r="C269" s="9" t="s">
        <v>3832</v>
      </c>
      <c r="D269" s="9" t="s">
        <v>3833</v>
      </c>
      <c r="E269" s="9">
        <v>247</v>
      </c>
      <c r="F269" s="9" t="s">
        <v>3834</v>
      </c>
      <c r="G269" s="9">
        <v>1</v>
      </c>
      <c r="H269" s="9" t="s">
        <v>3093</v>
      </c>
      <c r="I269" s="9">
        <v>49</v>
      </c>
      <c r="J269" s="9">
        <v>2</v>
      </c>
      <c r="K269" s="9" t="s">
        <v>3835</v>
      </c>
      <c r="L269" s="9" t="str">
        <f t="shared" si="1"/>
        <v>Y</v>
      </c>
    </row>
    <row r="270" spans="1:12">
      <c r="A270" s="9">
        <v>370</v>
      </c>
      <c r="B270" s="9">
        <v>120</v>
      </c>
      <c r="C270" s="9" t="s">
        <v>3836</v>
      </c>
      <c r="D270" s="9" t="s">
        <v>3837</v>
      </c>
      <c r="E270" s="9">
        <v>209</v>
      </c>
      <c r="F270" s="9" t="s">
        <v>3838</v>
      </c>
      <c r="G270" s="9">
        <v>0</v>
      </c>
      <c r="H270" s="9" t="s">
        <v>3093</v>
      </c>
      <c r="I270" s="9">
        <v>90</v>
      </c>
      <c r="J270" s="9">
        <v>0</v>
      </c>
      <c r="K270" s="9" t="s">
        <v>1826</v>
      </c>
      <c r="L270" s="9" t="str">
        <f t="shared" si="1"/>
        <v>Y</v>
      </c>
    </row>
    <row r="271" spans="1:12">
      <c r="A271" s="9">
        <v>371</v>
      </c>
      <c r="B271" s="9">
        <v>118</v>
      </c>
      <c r="C271" s="9" t="s">
        <v>3839</v>
      </c>
      <c r="D271" s="9" t="s">
        <v>3840</v>
      </c>
      <c r="E271" s="9">
        <v>193</v>
      </c>
      <c r="F271" s="9" t="s">
        <v>3838</v>
      </c>
      <c r="G271" s="9">
        <v>1</v>
      </c>
      <c r="H271" s="9" t="s">
        <v>3093</v>
      </c>
      <c r="I271" s="9">
        <v>204</v>
      </c>
      <c r="J271" s="9">
        <v>1</v>
      </c>
      <c r="K271" s="9" t="s">
        <v>752</v>
      </c>
      <c r="L271" s="9" t="str">
        <f t="shared" si="1"/>
        <v>Y</v>
      </c>
    </row>
    <row r="272" spans="1:12">
      <c r="A272" s="9">
        <v>372</v>
      </c>
      <c r="B272" s="9">
        <v>121</v>
      </c>
      <c r="C272" s="9" t="s">
        <v>3841</v>
      </c>
      <c r="D272" s="9" t="s">
        <v>3842</v>
      </c>
      <c r="E272" s="9">
        <v>215</v>
      </c>
      <c r="F272" s="9" t="s">
        <v>3843</v>
      </c>
      <c r="G272" s="9">
        <v>1</v>
      </c>
      <c r="H272" s="9" t="s">
        <v>3093</v>
      </c>
      <c r="I272" s="9">
        <v>176</v>
      </c>
      <c r="J272" s="9">
        <v>0</v>
      </c>
      <c r="K272" s="9" t="s">
        <v>1885</v>
      </c>
      <c r="L272" s="9" t="str">
        <f t="shared" si="1"/>
        <v>Y</v>
      </c>
    </row>
    <row r="273" spans="1:12">
      <c r="A273" s="9">
        <v>373</v>
      </c>
      <c r="B273" s="9">
        <v>120</v>
      </c>
      <c r="C273" s="9" t="s">
        <v>3844</v>
      </c>
      <c r="D273" s="9" t="s">
        <v>3845</v>
      </c>
      <c r="E273" s="9">
        <v>207</v>
      </c>
      <c r="F273" s="9" t="s">
        <v>3846</v>
      </c>
      <c r="G273" s="9">
        <v>0</v>
      </c>
      <c r="H273" s="9" t="s">
        <v>3093</v>
      </c>
      <c r="I273" s="9">
        <v>68</v>
      </c>
      <c r="J273" s="9">
        <v>1</v>
      </c>
      <c r="K273" s="9" t="s">
        <v>3847</v>
      </c>
      <c r="L273" s="9" t="str">
        <f t="shared" si="1"/>
        <v>Y</v>
      </c>
    </row>
    <row r="274" spans="1:12">
      <c r="A274" s="9">
        <v>374</v>
      </c>
      <c r="B274" s="9">
        <v>125</v>
      </c>
      <c r="C274" s="9" t="s">
        <v>3848</v>
      </c>
      <c r="D274" s="9" t="s">
        <v>3849</v>
      </c>
      <c r="E274" s="9">
        <v>240</v>
      </c>
      <c r="F274" s="9" t="s">
        <v>3846</v>
      </c>
      <c r="G274" s="9">
        <v>0</v>
      </c>
      <c r="H274" s="9" t="s">
        <v>3093</v>
      </c>
      <c r="I274" s="9">
        <v>22</v>
      </c>
      <c r="J274" s="9">
        <v>0</v>
      </c>
      <c r="K274" s="9" t="s">
        <v>1763</v>
      </c>
      <c r="L274" s="9" t="str">
        <f t="shared" si="1"/>
        <v>Y</v>
      </c>
    </row>
    <row r="275" spans="1:12">
      <c r="A275" s="9">
        <v>375</v>
      </c>
      <c r="B275" s="9">
        <v>123</v>
      </c>
      <c r="C275" s="9" t="s">
        <v>3850</v>
      </c>
      <c r="D275" s="9" t="s">
        <v>3851</v>
      </c>
      <c r="E275" s="9">
        <v>227</v>
      </c>
      <c r="F275" s="9" t="s">
        <v>3852</v>
      </c>
      <c r="G275" s="9">
        <v>1</v>
      </c>
      <c r="H275" s="9" t="s">
        <v>3093</v>
      </c>
      <c r="I275" s="9">
        <v>49</v>
      </c>
      <c r="J275" s="9">
        <v>0</v>
      </c>
      <c r="K275" s="9" t="s">
        <v>3835</v>
      </c>
      <c r="L275" s="9" t="str">
        <f t="shared" si="1"/>
        <v>Y</v>
      </c>
    </row>
    <row r="276" spans="1:12">
      <c r="A276" s="9">
        <v>376</v>
      </c>
      <c r="B276" s="9">
        <v>118</v>
      </c>
      <c r="C276" s="9" t="s">
        <v>3853</v>
      </c>
      <c r="D276" s="9" t="s">
        <v>3854</v>
      </c>
      <c r="E276" s="9">
        <v>196</v>
      </c>
      <c r="F276" s="9" t="s">
        <v>3855</v>
      </c>
      <c r="G276" s="9">
        <v>0</v>
      </c>
      <c r="H276" s="9" t="s">
        <v>3093</v>
      </c>
      <c r="I276" s="9">
        <v>51</v>
      </c>
      <c r="J276" s="9">
        <v>2</v>
      </c>
      <c r="K276" s="9" t="s">
        <v>3835</v>
      </c>
      <c r="L276" s="9" t="str">
        <f t="shared" si="1"/>
        <v>Y</v>
      </c>
    </row>
    <row r="277" spans="1:12">
      <c r="A277" s="9">
        <v>377</v>
      </c>
      <c r="B277" s="9">
        <v>120</v>
      </c>
      <c r="C277" s="9" t="s">
        <v>3856</v>
      </c>
      <c r="D277" s="9" t="s">
        <v>20</v>
      </c>
      <c r="E277" s="9">
        <v>208</v>
      </c>
      <c r="F277" s="9" t="s">
        <v>3857</v>
      </c>
      <c r="G277" s="9">
        <v>0</v>
      </c>
      <c r="H277" s="9" t="s">
        <v>3093</v>
      </c>
      <c r="I277" s="9">
        <v>49</v>
      </c>
      <c r="J277" s="9">
        <v>0</v>
      </c>
      <c r="K277" s="9" t="s">
        <v>699</v>
      </c>
      <c r="L277" s="9" t="str">
        <f t="shared" si="1"/>
        <v>N</v>
      </c>
    </row>
    <row r="278" spans="1:12">
      <c r="A278" s="9">
        <v>378</v>
      </c>
      <c r="B278" s="9">
        <v>121</v>
      </c>
      <c r="C278" s="9" t="s">
        <v>3858</v>
      </c>
      <c r="D278" s="9" t="s">
        <v>3859</v>
      </c>
      <c r="E278" s="9">
        <v>215</v>
      </c>
      <c r="F278" s="9" t="s">
        <v>3857</v>
      </c>
      <c r="G278" s="9">
        <v>0</v>
      </c>
      <c r="H278" s="9" t="s">
        <v>3093</v>
      </c>
      <c r="I278" s="9">
        <v>208</v>
      </c>
      <c r="J278" s="9">
        <v>0</v>
      </c>
      <c r="K278" s="9" t="s">
        <v>752</v>
      </c>
      <c r="L278" s="9" t="str">
        <f t="shared" si="1"/>
        <v>Y</v>
      </c>
    </row>
    <row r="279" spans="1:12">
      <c r="A279" s="9">
        <v>379</v>
      </c>
      <c r="B279" s="9">
        <v>123</v>
      </c>
      <c r="C279" s="9" t="s">
        <v>3860</v>
      </c>
      <c r="D279" s="9" t="s">
        <v>3861</v>
      </c>
      <c r="E279" s="9">
        <v>226</v>
      </c>
      <c r="F279" s="9" t="s">
        <v>3862</v>
      </c>
      <c r="G279" s="9">
        <v>1</v>
      </c>
      <c r="H279" s="9" t="s">
        <v>3093</v>
      </c>
      <c r="I279" s="9">
        <v>70</v>
      </c>
      <c r="J279" s="9">
        <v>0</v>
      </c>
      <c r="K279" s="9" t="s">
        <v>3847</v>
      </c>
      <c r="L279" s="9" t="str">
        <f t="shared" si="1"/>
        <v>Y</v>
      </c>
    </row>
    <row r="280" spans="1:12">
      <c r="A280" s="9">
        <v>380</v>
      </c>
      <c r="B280" s="9">
        <v>126</v>
      </c>
      <c r="C280" s="9" t="s">
        <v>3863</v>
      </c>
      <c r="D280" s="9" t="s">
        <v>3864</v>
      </c>
      <c r="E280" s="9">
        <v>247</v>
      </c>
      <c r="F280" s="9" t="s">
        <v>3865</v>
      </c>
      <c r="G280" s="9">
        <v>1</v>
      </c>
      <c r="H280" s="9" t="s">
        <v>3093</v>
      </c>
      <c r="I280" s="9">
        <v>22</v>
      </c>
      <c r="J280" s="9">
        <v>0</v>
      </c>
      <c r="K280" s="9" t="s">
        <v>1763</v>
      </c>
      <c r="L280" s="9" t="str">
        <f t="shared" si="1"/>
        <v>Y</v>
      </c>
    </row>
    <row r="281" spans="1:12">
      <c r="A281" s="9">
        <v>381</v>
      </c>
      <c r="B281" s="9">
        <v>126</v>
      </c>
      <c r="C281" s="9" t="s">
        <v>3866</v>
      </c>
      <c r="D281" s="9" t="s">
        <v>3867</v>
      </c>
      <c r="E281" s="9">
        <v>245</v>
      </c>
      <c r="F281" s="9" t="s">
        <v>3868</v>
      </c>
      <c r="G281" s="9">
        <v>0</v>
      </c>
      <c r="H281" s="9" t="s">
        <v>3093</v>
      </c>
      <c r="I281" s="9">
        <v>49</v>
      </c>
      <c r="J281" s="9">
        <v>0</v>
      </c>
      <c r="K281" s="9" t="s">
        <v>3835</v>
      </c>
      <c r="L281" s="9" t="str">
        <f t="shared" si="1"/>
        <v>Y</v>
      </c>
    </row>
    <row r="282" spans="1:12">
      <c r="A282" s="9">
        <v>382</v>
      </c>
      <c r="B282" s="9">
        <v>125</v>
      </c>
      <c r="C282" s="9" t="s">
        <v>3869</v>
      </c>
      <c r="D282" s="9" t="s">
        <v>3870</v>
      </c>
      <c r="E282" s="9">
        <v>240</v>
      </c>
      <c r="F282" s="9" t="s">
        <v>3871</v>
      </c>
      <c r="G282" s="9">
        <v>0</v>
      </c>
      <c r="H282" s="9" t="s">
        <v>3093</v>
      </c>
      <c r="I282" s="9">
        <v>35</v>
      </c>
      <c r="J282" s="9">
        <v>0</v>
      </c>
      <c r="K282" s="9" t="s">
        <v>2145</v>
      </c>
      <c r="L282" s="9" t="str">
        <f t="shared" si="1"/>
        <v>Y</v>
      </c>
    </row>
    <row r="283" spans="1:12">
      <c r="A283" s="9">
        <v>383</v>
      </c>
      <c r="B283" s="9">
        <v>119</v>
      </c>
      <c r="C283" s="9" t="s">
        <v>3872</v>
      </c>
      <c r="D283" s="9" t="s">
        <v>3873</v>
      </c>
      <c r="E283" s="9">
        <v>203</v>
      </c>
      <c r="F283" s="9" t="s">
        <v>614</v>
      </c>
      <c r="G283" s="9">
        <v>0</v>
      </c>
      <c r="H283" s="9" t="s">
        <v>3093</v>
      </c>
      <c r="I283" s="9">
        <v>219</v>
      </c>
      <c r="J283" s="9">
        <v>0</v>
      </c>
      <c r="K283" s="9" t="s">
        <v>3874</v>
      </c>
      <c r="L283" s="9" t="str">
        <f t="shared" si="1"/>
        <v>Y</v>
      </c>
    </row>
    <row r="284" spans="1:12">
      <c r="A284" s="9">
        <v>384</v>
      </c>
      <c r="B284" s="9">
        <v>123</v>
      </c>
      <c r="C284" s="9" t="s">
        <v>3875</v>
      </c>
      <c r="D284" s="9" t="s">
        <v>3876</v>
      </c>
      <c r="E284" s="9">
        <v>227</v>
      </c>
      <c r="F284" s="9" t="s">
        <v>3877</v>
      </c>
      <c r="G284" s="9">
        <v>1</v>
      </c>
      <c r="H284" s="9" t="s">
        <v>3093</v>
      </c>
      <c r="I284" s="9">
        <v>90</v>
      </c>
      <c r="J284" s="9">
        <v>0</v>
      </c>
      <c r="K284" s="9" t="s">
        <v>1826</v>
      </c>
      <c r="L284" s="9" t="str">
        <f t="shared" si="1"/>
        <v>Y</v>
      </c>
    </row>
    <row r="285" spans="1:12">
      <c r="A285" s="9">
        <v>385</v>
      </c>
      <c r="B285" s="9">
        <v>119</v>
      </c>
      <c r="C285" s="9" t="s">
        <v>3878</v>
      </c>
      <c r="D285" s="9" t="s">
        <v>3879</v>
      </c>
      <c r="E285" s="9">
        <v>204</v>
      </c>
      <c r="F285" s="9" t="s">
        <v>3877</v>
      </c>
      <c r="G285" s="9">
        <v>0</v>
      </c>
      <c r="H285" s="9" t="s">
        <v>3093</v>
      </c>
      <c r="I285" s="9">
        <v>71</v>
      </c>
      <c r="J285" s="9">
        <v>0</v>
      </c>
      <c r="K285" s="9" t="s">
        <v>3847</v>
      </c>
      <c r="L285" s="9" t="str">
        <f t="shared" si="1"/>
        <v>Y</v>
      </c>
    </row>
    <row r="286" spans="1:12">
      <c r="A286" s="9">
        <v>386</v>
      </c>
      <c r="B286" s="9">
        <v>118</v>
      </c>
      <c r="C286" s="9" t="s">
        <v>3880</v>
      </c>
      <c r="D286" s="9" t="s">
        <v>3881</v>
      </c>
      <c r="E286" s="9">
        <v>194</v>
      </c>
      <c r="F286" s="9" t="s">
        <v>3882</v>
      </c>
      <c r="G286" s="9">
        <v>0</v>
      </c>
      <c r="H286" s="9" t="s">
        <v>3093</v>
      </c>
      <c r="I286" s="9">
        <v>203</v>
      </c>
      <c r="J286" s="9">
        <v>0</v>
      </c>
      <c r="K286" s="9" t="s">
        <v>752</v>
      </c>
      <c r="L286" s="9" t="str">
        <f t="shared" si="1"/>
        <v>Y</v>
      </c>
    </row>
    <row r="287" spans="1:12">
      <c r="A287" s="9">
        <v>387</v>
      </c>
      <c r="B287" s="9">
        <v>118</v>
      </c>
      <c r="C287" s="9" t="s">
        <v>3883</v>
      </c>
      <c r="D287" s="9" t="s">
        <v>3884</v>
      </c>
      <c r="E287" s="9">
        <v>193</v>
      </c>
      <c r="F287" s="9" t="s">
        <v>3885</v>
      </c>
      <c r="G287" s="9">
        <v>1</v>
      </c>
      <c r="H287" s="9" t="s">
        <v>3093</v>
      </c>
      <c r="I287" s="9">
        <v>207</v>
      </c>
      <c r="J287" s="9">
        <v>0</v>
      </c>
      <c r="K287" s="9" t="s">
        <v>752</v>
      </c>
      <c r="L287" s="9" t="str">
        <f t="shared" si="1"/>
        <v>Y</v>
      </c>
    </row>
    <row r="288" spans="1:12">
      <c r="A288" s="9">
        <v>388</v>
      </c>
      <c r="B288" s="9">
        <v>119</v>
      </c>
      <c r="C288" s="9" t="s">
        <v>3886</v>
      </c>
      <c r="D288" s="9" t="s">
        <v>20</v>
      </c>
      <c r="E288" s="9">
        <v>200</v>
      </c>
      <c r="F288" s="9" t="s">
        <v>3885</v>
      </c>
      <c r="G288" s="9">
        <v>0</v>
      </c>
      <c r="H288" s="9" t="s">
        <v>3093</v>
      </c>
      <c r="I288" s="9">
        <v>50</v>
      </c>
      <c r="J288" s="9">
        <v>0</v>
      </c>
      <c r="K288" s="9" t="s">
        <v>699</v>
      </c>
      <c r="L288" s="9" t="str">
        <f t="shared" si="1"/>
        <v>N</v>
      </c>
    </row>
    <row r="289" spans="1:12">
      <c r="A289" s="9">
        <v>389</v>
      </c>
      <c r="B289" s="9">
        <v>118</v>
      </c>
      <c r="C289" s="9" t="s">
        <v>3887</v>
      </c>
      <c r="D289" s="9" t="s">
        <v>3888</v>
      </c>
      <c r="E289" s="9">
        <v>195</v>
      </c>
      <c r="F289" s="9" t="s">
        <v>3889</v>
      </c>
      <c r="G289" s="9">
        <v>0</v>
      </c>
      <c r="H289" s="9" t="s">
        <v>3093</v>
      </c>
      <c r="I289" s="9" t="s">
        <v>3890</v>
      </c>
      <c r="J289" s="9">
        <v>0</v>
      </c>
      <c r="K289" s="9" t="s">
        <v>3891</v>
      </c>
      <c r="L289" s="9" t="str">
        <f t="shared" si="1"/>
        <v>Y</v>
      </c>
    </row>
    <row r="290" spans="1:12">
      <c r="A290" s="9">
        <v>390</v>
      </c>
      <c r="B290" s="9">
        <v>126</v>
      </c>
      <c r="C290" s="9" t="s">
        <v>3892</v>
      </c>
      <c r="D290" s="9" t="s">
        <v>3893</v>
      </c>
      <c r="E290" s="9">
        <v>247</v>
      </c>
      <c r="F290" s="9" t="s">
        <v>3889</v>
      </c>
      <c r="G290" s="9">
        <v>0</v>
      </c>
      <c r="H290" s="9" t="s">
        <v>3093</v>
      </c>
      <c r="I290" s="9">
        <v>70</v>
      </c>
      <c r="J290" s="9">
        <v>0</v>
      </c>
      <c r="K290" s="9" t="s">
        <v>3847</v>
      </c>
      <c r="L290" s="9" t="str">
        <f t="shared" si="1"/>
        <v>Y</v>
      </c>
    </row>
    <row r="291" spans="1:12">
      <c r="A291" s="9">
        <v>391</v>
      </c>
      <c r="B291" s="9">
        <v>125</v>
      </c>
      <c r="C291" s="9" t="s">
        <v>3894</v>
      </c>
      <c r="D291" s="9" t="s">
        <v>3895</v>
      </c>
      <c r="E291" s="9">
        <v>239</v>
      </c>
      <c r="F291" s="9" t="s">
        <v>3896</v>
      </c>
      <c r="G291" s="9">
        <v>0</v>
      </c>
      <c r="H291" s="9" t="s">
        <v>3093</v>
      </c>
      <c r="I291" s="9">
        <v>219</v>
      </c>
      <c r="J291" s="9">
        <v>0</v>
      </c>
      <c r="K291" s="9" t="s">
        <v>3874</v>
      </c>
      <c r="L291" s="9" t="str">
        <f t="shared" si="1"/>
        <v>Y</v>
      </c>
    </row>
    <row r="292" spans="1:12">
      <c r="A292" s="9">
        <v>392</v>
      </c>
      <c r="B292" s="9">
        <v>118</v>
      </c>
      <c r="C292" s="9" t="s">
        <v>3897</v>
      </c>
      <c r="D292" s="9" t="s">
        <v>3898</v>
      </c>
      <c r="E292" s="9">
        <v>196</v>
      </c>
      <c r="F292" s="9" t="s">
        <v>3896</v>
      </c>
      <c r="G292" s="9">
        <v>1</v>
      </c>
      <c r="H292" s="9" t="s">
        <v>3093</v>
      </c>
      <c r="I292" s="9">
        <v>111</v>
      </c>
      <c r="J292" s="9">
        <v>0</v>
      </c>
      <c r="K292" s="9" t="s">
        <v>1802</v>
      </c>
      <c r="L292" s="9" t="str">
        <f t="shared" si="1"/>
        <v>Y</v>
      </c>
    </row>
    <row r="293" spans="1:12">
      <c r="A293" s="9">
        <v>393</v>
      </c>
      <c r="B293" s="9">
        <v>120</v>
      </c>
      <c r="C293" s="9" t="s">
        <v>3899</v>
      </c>
      <c r="D293" s="9" t="s">
        <v>20</v>
      </c>
      <c r="E293" s="9">
        <v>207</v>
      </c>
      <c r="F293" s="9" t="s">
        <v>3900</v>
      </c>
      <c r="G293" s="9">
        <v>0</v>
      </c>
      <c r="H293" s="9" t="s">
        <v>3093</v>
      </c>
      <c r="I293" s="9">
        <v>159</v>
      </c>
      <c r="J293" s="9">
        <v>0</v>
      </c>
      <c r="K293" s="9" t="s">
        <v>699</v>
      </c>
      <c r="L293" s="9" t="str">
        <f t="shared" si="1"/>
        <v>N</v>
      </c>
    </row>
    <row r="294" spans="1:12">
      <c r="A294" s="9">
        <v>394</v>
      </c>
      <c r="B294" s="9">
        <v>125</v>
      </c>
      <c r="C294" s="9" t="s">
        <v>3901</v>
      </c>
      <c r="D294" s="9" t="s">
        <v>20</v>
      </c>
      <c r="E294" s="9">
        <v>240</v>
      </c>
      <c r="F294" s="9" t="s">
        <v>3902</v>
      </c>
      <c r="G294" s="9">
        <v>0</v>
      </c>
      <c r="H294" s="9" t="s">
        <v>3093</v>
      </c>
      <c r="I294" s="9">
        <v>49</v>
      </c>
      <c r="J294" s="9">
        <v>0</v>
      </c>
      <c r="K294" s="9" t="s">
        <v>699</v>
      </c>
      <c r="L294" s="9" t="str">
        <f t="shared" si="1"/>
        <v>N</v>
      </c>
    </row>
    <row r="295" spans="1:12">
      <c r="A295" s="9">
        <v>395</v>
      </c>
      <c r="B295" s="9">
        <v>120</v>
      </c>
      <c r="C295" s="9" t="s">
        <v>3903</v>
      </c>
      <c r="D295" s="9" t="s">
        <v>3904</v>
      </c>
      <c r="E295" s="9">
        <v>209</v>
      </c>
      <c r="F295" s="9" t="s">
        <v>3905</v>
      </c>
      <c r="G295" s="9">
        <v>0</v>
      </c>
      <c r="H295" s="9" t="s">
        <v>3093</v>
      </c>
      <c r="I295" s="9">
        <v>191</v>
      </c>
      <c r="J295" s="9">
        <v>0</v>
      </c>
      <c r="K295" s="9" t="s">
        <v>1793</v>
      </c>
      <c r="L295" s="9" t="str">
        <f t="shared" si="1"/>
        <v>Y</v>
      </c>
    </row>
    <row r="296" spans="1:12">
      <c r="A296" s="9">
        <v>396</v>
      </c>
      <c r="B296" s="9">
        <v>126</v>
      </c>
      <c r="C296" s="9" t="s">
        <v>3906</v>
      </c>
      <c r="D296" s="9" t="s">
        <v>3907</v>
      </c>
      <c r="E296" s="9">
        <v>246</v>
      </c>
      <c r="F296" s="9" t="s">
        <v>3908</v>
      </c>
      <c r="G296" s="9">
        <v>0</v>
      </c>
      <c r="H296" s="9" t="s">
        <v>3093</v>
      </c>
      <c r="I296" s="9">
        <v>49.68</v>
      </c>
      <c r="J296" s="9">
        <v>0</v>
      </c>
      <c r="K296" s="9" t="s">
        <v>3909</v>
      </c>
      <c r="L296" s="9" t="str">
        <f t="shared" si="1"/>
        <v>Y</v>
      </c>
    </row>
    <row r="297" spans="1:12">
      <c r="A297" s="9">
        <v>397</v>
      </c>
      <c r="B297" s="9">
        <v>121</v>
      </c>
      <c r="C297" s="9" t="s">
        <v>3910</v>
      </c>
      <c r="D297" s="9" t="s">
        <v>3911</v>
      </c>
      <c r="E297" s="9">
        <v>215</v>
      </c>
      <c r="F297" s="9" t="s">
        <v>3908</v>
      </c>
      <c r="G297" s="9">
        <v>0</v>
      </c>
      <c r="H297" s="9" t="s">
        <v>3093</v>
      </c>
      <c r="I297" s="9">
        <v>35</v>
      </c>
      <c r="J297" s="9">
        <v>0</v>
      </c>
      <c r="K297" s="9" t="s">
        <v>2145</v>
      </c>
      <c r="L297" s="9" t="str">
        <f t="shared" si="1"/>
        <v>Y</v>
      </c>
    </row>
    <row r="298" spans="1:12">
      <c r="A298" s="9">
        <v>398</v>
      </c>
      <c r="B298" s="9">
        <v>122</v>
      </c>
      <c r="C298" s="9" t="s">
        <v>3912</v>
      </c>
      <c r="D298" s="9" t="s">
        <v>3913</v>
      </c>
      <c r="E298" s="9">
        <v>221</v>
      </c>
      <c r="F298" s="9" t="s">
        <v>3914</v>
      </c>
      <c r="G298" s="9">
        <v>1</v>
      </c>
      <c r="H298" s="9" t="s">
        <v>3093</v>
      </c>
      <c r="I298" s="9">
        <v>190</v>
      </c>
      <c r="J298" s="9">
        <v>0</v>
      </c>
      <c r="K298" s="9" t="s">
        <v>1793</v>
      </c>
      <c r="L298" s="9" t="str">
        <f t="shared" si="1"/>
        <v>Y</v>
      </c>
    </row>
    <row r="299" spans="1:12">
      <c r="A299" s="9">
        <v>399</v>
      </c>
      <c r="B299" s="9">
        <v>122</v>
      </c>
      <c r="C299" s="9" t="s">
        <v>3915</v>
      </c>
      <c r="D299" s="9" t="s">
        <v>3916</v>
      </c>
      <c r="E299" s="9">
        <v>222</v>
      </c>
      <c r="F299" s="9" t="s">
        <v>3917</v>
      </c>
      <c r="G299" s="9">
        <v>1</v>
      </c>
      <c r="H299" s="9" t="s">
        <v>3093</v>
      </c>
      <c r="I299" s="9">
        <v>204</v>
      </c>
      <c r="J299" s="9">
        <v>1</v>
      </c>
      <c r="K299" s="9" t="s">
        <v>752</v>
      </c>
      <c r="L299" s="9" t="str">
        <f t="shared" si="1"/>
        <v>Y</v>
      </c>
    </row>
    <row r="300" spans="1:12">
      <c r="A300" s="9">
        <v>400</v>
      </c>
      <c r="B300" s="9">
        <v>121</v>
      </c>
      <c r="C300" s="9" t="s">
        <v>3918</v>
      </c>
      <c r="D300" s="9" t="s">
        <v>3919</v>
      </c>
      <c r="E300" s="9">
        <v>217</v>
      </c>
      <c r="F300" s="9" t="s">
        <v>3920</v>
      </c>
      <c r="G300" s="9">
        <v>0</v>
      </c>
      <c r="H300" s="9" t="s">
        <v>3093</v>
      </c>
      <c r="I300" s="9">
        <v>35</v>
      </c>
      <c r="J300" s="9">
        <v>0</v>
      </c>
      <c r="K300" s="9" t="s">
        <v>2145</v>
      </c>
      <c r="L300" s="9" t="str">
        <f t="shared" si="1"/>
        <v>Y</v>
      </c>
    </row>
    <row r="301" spans="1:12">
      <c r="A301" s="9">
        <v>401</v>
      </c>
      <c r="B301" s="9">
        <v>123</v>
      </c>
      <c r="C301" s="9" t="s">
        <v>3921</v>
      </c>
      <c r="D301" s="9" t="s">
        <v>3922</v>
      </c>
      <c r="E301" s="9">
        <v>227</v>
      </c>
      <c r="F301" s="9" t="s">
        <v>3923</v>
      </c>
      <c r="G301" s="9">
        <v>0</v>
      </c>
      <c r="H301" s="9" t="s">
        <v>3093</v>
      </c>
      <c r="I301" s="9">
        <v>126</v>
      </c>
      <c r="J301" s="9">
        <v>0</v>
      </c>
      <c r="K301" s="9" t="s">
        <v>1779</v>
      </c>
      <c r="L301" s="9" t="str">
        <f t="shared" si="1"/>
        <v>Y</v>
      </c>
    </row>
    <row r="302" spans="1:12">
      <c r="A302" s="9">
        <v>402</v>
      </c>
      <c r="B302" s="9">
        <v>118</v>
      </c>
      <c r="C302" s="9" t="s">
        <v>3924</v>
      </c>
      <c r="D302" s="9" t="s">
        <v>3925</v>
      </c>
      <c r="E302" s="9">
        <v>195</v>
      </c>
      <c r="F302" s="9" t="s">
        <v>3926</v>
      </c>
      <c r="G302" s="9">
        <v>0</v>
      </c>
      <c r="H302" s="9" t="s">
        <v>3093</v>
      </c>
      <c r="I302" s="9">
        <v>212</v>
      </c>
      <c r="J302" s="9">
        <v>0</v>
      </c>
      <c r="K302" s="9" t="s">
        <v>752</v>
      </c>
      <c r="L302" s="9" t="str">
        <f t="shared" si="1"/>
        <v>Y</v>
      </c>
    </row>
    <row r="303" spans="1:12">
      <c r="A303" s="9">
        <v>403</v>
      </c>
      <c r="B303" s="9">
        <v>118</v>
      </c>
      <c r="C303" s="9" t="s">
        <v>3927</v>
      </c>
      <c r="D303" s="9" t="s">
        <v>3928</v>
      </c>
      <c r="E303" s="9">
        <v>196</v>
      </c>
      <c r="F303" s="9" t="s">
        <v>3929</v>
      </c>
      <c r="G303" s="9">
        <v>1</v>
      </c>
      <c r="H303" s="9" t="s">
        <v>3093</v>
      </c>
      <c r="I303" s="9">
        <v>194</v>
      </c>
      <c r="J303" s="9">
        <v>0</v>
      </c>
      <c r="K303" s="9" t="s">
        <v>1793</v>
      </c>
      <c r="L303" s="9" t="str">
        <f t="shared" si="1"/>
        <v>Y</v>
      </c>
    </row>
    <row r="304" spans="1:12">
      <c r="A304" s="9">
        <v>404</v>
      </c>
      <c r="B304" s="9">
        <v>121</v>
      </c>
      <c r="C304" s="9" t="s">
        <v>3930</v>
      </c>
      <c r="D304" s="9" t="s">
        <v>20</v>
      </c>
      <c r="E304" s="9">
        <v>215</v>
      </c>
      <c r="F304" s="9" t="s">
        <v>3929</v>
      </c>
      <c r="G304" s="9">
        <v>0</v>
      </c>
      <c r="H304" s="9" t="s">
        <v>3093</v>
      </c>
      <c r="I304" s="9">
        <v>52</v>
      </c>
      <c r="J304" s="9">
        <v>0</v>
      </c>
      <c r="K304" s="9" t="s">
        <v>699</v>
      </c>
      <c r="L304" s="9" t="str">
        <f t="shared" si="1"/>
        <v>N</v>
      </c>
    </row>
    <row r="305" spans="1:12">
      <c r="A305" s="9">
        <v>405</v>
      </c>
      <c r="B305" s="9">
        <v>120</v>
      </c>
      <c r="C305" s="9" t="s">
        <v>3931</v>
      </c>
      <c r="D305" s="9" t="s">
        <v>3932</v>
      </c>
      <c r="E305" s="9">
        <v>209</v>
      </c>
      <c r="F305" s="9" t="s">
        <v>3933</v>
      </c>
      <c r="G305" s="9">
        <v>0</v>
      </c>
      <c r="H305" s="9" t="s">
        <v>3093</v>
      </c>
      <c r="I305" s="9">
        <v>203</v>
      </c>
      <c r="J305" s="9">
        <v>0</v>
      </c>
      <c r="K305" s="9" t="s">
        <v>752</v>
      </c>
      <c r="L305" s="9" t="str">
        <f t="shared" si="1"/>
        <v>Y</v>
      </c>
    </row>
    <row r="306" spans="1:12">
      <c r="A306" s="9">
        <v>406</v>
      </c>
      <c r="B306" s="9">
        <v>118</v>
      </c>
      <c r="C306" s="9" t="s">
        <v>3934</v>
      </c>
      <c r="D306" s="9" t="s">
        <v>3935</v>
      </c>
      <c r="E306" s="9">
        <v>193</v>
      </c>
      <c r="F306" s="9" t="s">
        <v>3936</v>
      </c>
      <c r="G306" s="9">
        <v>0</v>
      </c>
      <c r="H306" s="9" t="s">
        <v>3093</v>
      </c>
      <c r="I306" s="9">
        <v>171</v>
      </c>
      <c r="J306" s="9">
        <v>0</v>
      </c>
      <c r="K306" s="9" t="s">
        <v>1885</v>
      </c>
      <c r="L306" s="9" t="str">
        <f t="shared" si="1"/>
        <v>Y</v>
      </c>
    </row>
    <row r="307" spans="1:12">
      <c r="A307" s="9">
        <v>407</v>
      </c>
      <c r="B307" s="9">
        <v>122</v>
      </c>
      <c r="C307" s="9" t="s">
        <v>3937</v>
      </c>
      <c r="D307" s="9" t="s">
        <v>3938</v>
      </c>
      <c r="E307" s="9">
        <v>220</v>
      </c>
      <c r="F307" s="9" t="s">
        <v>600</v>
      </c>
      <c r="G307" s="9">
        <v>1</v>
      </c>
      <c r="H307" s="9" t="s">
        <v>3093</v>
      </c>
      <c r="I307" s="9">
        <v>70</v>
      </c>
      <c r="J307" s="9">
        <v>0</v>
      </c>
      <c r="K307" s="9" t="s">
        <v>3847</v>
      </c>
      <c r="L307" s="9" t="str">
        <f t="shared" si="1"/>
        <v>Y</v>
      </c>
    </row>
    <row r="308" spans="1:12">
      <c r="A308" s="9">
        <v>408</v>
      </c>
      <c r="B308" s="9">
        <v>118</v>
      </c>
      <c r="C308" s="9" t="s">
        <v>3939</v>
      </c>
      <c r="D308" s="9" t="s">
        <v>3940</v>
      </c>
      <c r="E308" s="9">
        <v>194</v>
      </c>
      <c r="F308" s="9" t="s">
        <v>3941</v>
      </c>
      <c r="G308" s="9">
        <v>0</v>
      </c>
      <c r="H308" s="9" t="s">
        <v>3093</v>
      </c>
      <c r="I308" s="9">
        <v>211</v>
      </c>
      <c r="J308" s="9">
        <v>0</v>
      </c>
      <c r="K308" s="9" t="s">
        <v>752</v>
      </c>
      <c r="L308" s="9" t="str">
        <f t="shared" si="1"/>
        <v>Y</v>
      </c>
    </row>
    <row r="309" spans="1:12">
      <c r="A309" s="9">
        <v>409</v>
      </c>
      <c r="B309" s="9">
        <v>126</v>
      </c>
      <c r="C309" s="9" t="s">
        <v>3942</v>
      </c>
      <c r="D309" s="9" t="s">
        <v>3943</v>
      </c>
      <c r="E309" s="9">
        <v>247</v>
      </c>
      <c r="F309" s="9" t="s">
        <v>3944</v>
      </c>
      <c r="G309" s="9">
        <v>0</v>
      </c>
      <c r="H309" s="9" t="s">
        <v>3093</v>
      </c>
      <c r="I309" s="9">
        <v>126</v>
      </c>
      <c r="J309" s="9">
        <v>0</v>
      </c>
      <c r="K309" s="9" t="s">
        <v>1779</v>
      </c>
      <c r="L309" s="9" t="str">
        <f t="shared" si="1"/>
        <v>Y</v>
      </c>
    </row>
    <row r="310" spans="1:12">
      <c r="A310" s="9">
        <v>410</v>
      </c>
      <c r="B310" s="9">
        <v>126</v>
      </c>
      <c r="C310" s="9" t="s">
        <v>3945</v>
      </c>
      <c r="D310" s="9" t="s">
        <v>3946</v>
      </c>
      <c r="E310" s="9">
        <v>245</v>
      </c>
      <c r="F310" s="9" t="s">
        <v>3944</v>
      </c>
      <c r="G310" s="9">
        <v>0</v>
      </c>
      <c r="H310" s="9" t="s">
        <v>3093</v>
      </c>
      <c r="I310" s="9">
        <v>51</v>
      </c>
      <c r="J310" s="9">
        <v>0</v>
      </c>
      <c r="K310" s="9" t="s">
        <v>3835</v>
      </c>
      <c r="L310" s="9" t="str">
        <f t="shared" si="1"/>
        <v>Y</v>
      </c>
    </row>
    <row r="311" spans="1:12">
      <c r="A311" s="9">
        <v>411</v>
      </c>
      <c r="B311" s="9">
        <v>125</v>
      </c>
      <c r="C311" s="9" t="s">
        <v>3947</v>
      </c>
      <c r="D311" s="9" t="s">
        <v>20</v>
      </c>
      <c r="E311" s="9">
        <v>238</v>
      </c>
      <c r="F311" s="9" t="s">
        <v>3948</v>
      </c>
      <c r="G311" s="9">
        <v>0</v>
      </c>
      <c r="H311" s="9" t="s">
        <v>3093</v>
      </c>
      <c r="I311" s="9">
        <v>49</v>
      </c>
      <c r="J311" s="9">
        <v>0</v>
      </c>
      <c r="K311" s="9" t="s">
        <v>699</v>
      </c>
      <c r="L311" s="9" t="str">
        <f t="shared" si="1"/>
        <v>N</v>
      </c>
    </row>
    <row r="312" spans="1:12">
      <c r="A312" s="9">
        <v>412</v>
      </c>
      <c r="B312" s="9">
        <v>120</v>
      </c>
      <c r="C312" s="9" t="s">
        <v>3949</v>
      </c>
      <c r="D312" s="9" t="s">
        <v>3950</v>
      </c>
      <c r="E312" s="9">
        <v>208</v>
      </c>
      <c r="F312" s="9" t="s">
        <v>1752</v>
      </c>
      <c r="G312" s="9">
        <v>0</v>
      </c>
      <c r="H312" s="9" t="s">
        <v>3093</v>
      </c>
      <c r="I312" s="9">
        <v>88</v>
      </c>
      <c r="J312" s="9">
        <v>0</v>
      </c>
      <c r="K312" s="9" t="s">
        <v>1826</v>
      </c>
      <c r="L312" s="9" t="str">
        <f t="shared" si="1"/>
        <v>Y</v>
      </c>
    </row>
    <row r="313" spans="1:12">
      <c r="A313" s="9">
        <v>413</v>
      </c>
      <c r="B313" s="9">
        <v>119</v>
      </c>
      <c r="C313" s="9" t="s">
        <v>3951</v>
      </c>
      <c r="D313" s="9" t="s">
        <v>3952</v>
      </c>
      <c r="E313" s="9">
        <v>201</v>
      </c>
      <c r="F313" s="9" t="s">
        <v>1752</v>
      </c>
      <c r="G313" s="9">
        <v>0</v>
      </c>
      <c r="H313" s="9" t="s">
        <v>3093</v>
      </c>
      <c r="I313" s="9">
        <v>12</v>
      </c>
      <c r="J313" s="9">
        <v>1</v>
      </c>
      <c r="K313" s="9" t="s">
        <v>699</v>
      </c>
      <c r="L313" s="9" t="str">
        <f t="shared" si="1"/>
        <v>Y</v>
      </c>
    </row>
    <row r="314" spans="1:12">
      <c r="A314" s="9">
        <v>414</v>
      </c>
      <c r="B314" s="9">
        <v>119</v>
      </c>
      <c r="C314" s="9" t="s">
        <v>3953</v>
      </c>
      <c r="D314" s="9" t="s">
        <v>3954</v>
      </c>
      <c r="E314" s="9">
        <v>204</v>
      </c>
      <c r="F314" s="9" t="s">
        <v>3955</v>
      </c>
      <c r="G314" s="9">
        <v>0</v>
      </c>
      <c r="H314" s="9" t="s">
        <v>3093</v>
      </c>
      <c r="I314" s="9">
        <v>51</v>
      </c>
      <c r="J314" s="9">
        <v>0</v>
      </c>
      <c r="K314" s="9" t="s">
        <v>3835</v>
      </c>
      <c r="L314" s="9" t="str">
        <f t="shared" si="1"/>
        <v>Y</v>
      </c>
    </row>
    <row r="315" spans="1:12">
      <c r="A315" s="9">
        <v>415</v>
      </c>
      <c r="B315" s="9">
        <v>118</v>
      </c>
      <c r="C315" s="9" t="s">
        <v>3956</v>
      </c>
      <c r="D315" s="9" t="s">
        <v>3957</v>
      </c>
      <c r="E315" s="9">
        <v>193</v>
      </c>
      <c r="F315" s="9" t="s">
        <v>3958</v>
      </c>
      <c r="G315" s="9">
        <v>1</v>
      </c>
      <c r="H315" s="9" t="s">
        <v>3093</v>
      </c>
      <c r="I315" s="9">
        <v>176</v>
      </c>
      <c r="J315" s="9">
        <v>1</v>
      </c>
      <c r="K315" s="9" t="s">
        <v>1885</v>
      </c>
      <c r="L315" s="9" t="str">
        <f t="shared" si="1"/>
        <v>Y</v>
      </c>
    </row>
    <row r="316" spans="1:12">
      <c r="A316" s="9">
        <v>416</v>
      </c>
      <c r="B316" s="9">
        <v>119</v>
      </c>
      <c r="C316" s="9" t="s">
        <v>3959</v>
      </c>
      <c r="D316" s="9" t="s">
        <v>3960</v>
      </c>
      <c r="E316" s="9">
        <v>203</v>
      </c>
      <c r="F316" s="9" t="s">
        <v>3961</v>
      </c>
      <c r="G316" s="9">
        <v>0</v>
      </c>
      <c r="H316" s="9" t="s">
        <v>3962</v>
      </c>
      <c r="I316" s="9">
        <v>159</v>
      </c>
      <c r="J316" s="9">
        <v>15</v>
      </c>
      <c r="K316" s="9" t="s">
        <v>699</v>
      </c>
      <c r="L316" s="9" t="str">
        <f t="shared" si="1"/>
        <v>Y</v>
      </c>
    </row>
    <row r="317" spans="1:12">
      <c r="A317" s="9">
        <v>417</v>
      </c>
      <c r="B317" s="9">
        <v>122</v>
      </c>
      <c r="C317" s="9" t="s">
        <v>3963</v>
      </c>
      <c r="D317" s="9" t="s">
        <v>3964</v>
      </c>
      <c r="E317" s="9">
        <v>222</v>
      </c>
      <c r="F317" s="9" t="s">
        <v>3965</v>
      </c>
      <c r="G317" s="9">
        <v>1</v>
      </c>
      <c r="H317" s="9" t="s">
        <v>3093</v>
      </c>
      <c r="I317" s="9">
        <v>204</v>
      </c>
      <c r="J317" s="9">
        <v>1</v>
      </c>
      <c r="K317" s="9" t="s">
        <v>752</v>
      </c>
      <c r="L317" s="9" t="str">
        <f t="shared" si="1"/>
        <v>Y</v>
      </c>
    </row>
    <row r="318" spans="1:12">
      <c r="A318" s="9">
        <v>418</v>
      </c>
      <c r="B318" s="9">
        <v>126</v>
      </c>
      <c r="C318" s="9" t="s">
        <v>3966</v>
      </c>
      <c r="D318" s="9" t="s">
        <v>3967</v>
      </c>
      <c r="E318" s="9">
        <v>246</v>
      </c>
      <c r="F318" s="9" t="s">
        <v>1756</v>
      </c>
      <c r="G318" s="9">
        <v>0</v>
      </c>
      <c r="H318" s="9" t="s">
        <v>3093</v>
      </c>
      <c r="I318" s="9">
        <v>90</v>
      </c>
      <c r="J318" s="9">
        <v>0</v>
      </c>
      <c r="K318" s="9" t="s">
        <v>1826</v>
      </c>
      <c r="L318" s="9" t="str">
        <f t="shared" si="1"/>
        <v>Y</v>
      </c>
    </row>
    <row r="319" spans="1:12">
      <c r="A319" s="9">
        <v>419</v>
      </c>
      <c r="B319" s="9">
        <v>123</v>
      </c>
      <c r="C319" s="9" t="s">
        <v>3968</v>
      </c>
      <c r="D319" s="9" t="s">
        <v>20</v>
      </c>
      <c r="E319" s="9">
        <v>226</v>
      </c>
      <c r="F319" s="9" t="s">
        <v>3969</v>
      </c>
      <c r="G319" s="9">
        <v>0</v>
      </c>
      <c r="H319" s="9" t="s">
        <v>3093</v>
      </c>
      <c r="I319" s="9">
        <v>172</v>
      </c>
      <c r="J319" s="9">
        <v>0</v>
      </c>
      <c r="K319" s="9" t="s">
        <v>699</v>
      </c>
      <c r="L319" s="9" t="str">
        <f t="shared" si="1"/>
        <v>N</v>
      </c>
    </row>
    <row r="320" spans="1:12">
      <c r="A320" s="9">
        <v>420</v>
      </c>
      <c r="B320" s="9">
        <v>120</v>
      </c>
      <c r="C320" s="9" t="s">
        <v>3970</v>
      </c>
      <c r="D320" s="9" t="s">
        <v>3971</v>
      </c>
      <c r="E320" s="9">
        <v>208</v>
      </c>
      <c r="F320" s="9" t="s">
        <v>3972</v>
      </c>
      <c r="G320" s="9">
        <v>0</v>
      </c>
      <c r="H320" s="9" t="s">
        <v>3093</v>
      </c>
      <c r="I320" s="9">
        <v>111</v>
      </c>
      <c r="J320" s="9">
        <v>1</v>
      </c>
      <c r="K320" s="9" t="s">
        <v>1802</v>
      </c>
      <c r="L320" s="9" t="str">
        <f t="shared" si="1"/>
        <v>Y</v>
      </c>
    </row>
    <row r="321" spans="1:12">
      <c r="A321" s="9">
        <v>421</v>
      </c>
      <c r="B321" s="9">
        <v>118</v>
      </c>
      <c r="C321" s="9" t="s">
        <v>3973</v>
      </c>
      <c r="D321" s="9" t="s">
        <v>3974</v>
      </c>
      <c r="E321" s="9">
        <v>194</v>
      </c>
      <c r="F321" s="9" t="s">
        <v>3972</v>
      </c>
      <c r="G321" s="9">
        <v>1</v>
      </c>
      <c r="H321" s="9" t="s">
        <v>3093</v>
      </c>
      <c r="I321" s="9">
        <v>159</v>
      </c>
      <c r="J321" s="9">
        <v>7</v>
      </c>
      <c r="K321" s="9" t="s">
        <v>699</v>
      </c>
      <c r="L321" s="9" t="str">
        <f t="shared" si="1"/>
        <v>Y</v>
      </c>
    </row>
    <row r="322" spans="1:12">
      <c r="A322" s="9">
        <v>422</v>
      </c>
      <c r="B322" s="9">
        <v>121</v>
      </c>
      <c r="C322" s="9" t="s">
        <v>3975</v>
      </c>
      <c r="D322" s="9" t="s">
        <v>3976</v>
      </c>
      <c r="E322" s="9">
        <v>215</v>
      </c>
      <c r="F322" s="9" t="s">
        <v>3977</v>
      </c>
      <c r="G322" s="9">
        <v>1</v>
      </c>
      <c r="H322" s="9" t="s">
        <v>3093</v>
      </c>
      <c r="I322" s="9">
        <v>70</v>
      </c>
      <c r="J322" s="9">
        <v>1</v>
      </c>
      <c r="K322" s="9" t="s">
        <v>3847</v>
      </c>
      <c r="L322" s="9" t="str">
        <f t="shared" si="1"/>
        <v>Y</v>
      </c>
    </row>
    <row r="323" spans="1:12">
      <c r="A323" s="9">
        <v>423</v>
      </c>
      <c r="B323" s="9">
        <v>118</v>
      </c>
      <c r="C323" s="9" t="s">
        <v>3978</v>
      </c>
      <c r="D323" s="9" t="s">
        <v>3979</v>
      </c>
      <c r="E323" s="9">
        <v>195</v>
      </c>
      <c r="F323" s="9" t="s">
        <v>3980</v>
      </c>
      <c r="G323" s="9">
        <v>0</v>
      </c>
      <c r="H323" s="9" t="s">
        <v>3093</v>
      </c>
      <c r="I323" s="9">
        <v>70</v>
      </c>
      <c r="J323" s="9">
        <v>0</v>
      </c>
      <c r="K323" s="9" t="s">
        <v>3847</v>
      </c>
      <c r="L323" s="9" t="str">
        <f t="shared" si="1"/>
        <v>Y</v>
      </c>
    </row>
    <row r="324" spans="1:12">
      <c r="A324" s="9">
        <v>424</v>
      </c>
      <c r="B324" s="9">
        <v>126</v>
      </c>
      <c r="C324" s="9" t="s">
        <v>3981</v>
      </c>
      <c r="D324" s="9" t="s">
        <v>3982</v>
      </c>
      <c r="E324" s="9">
        <v>247</v>
      </c>
      <c r="F324" s="9" t="s">
        <v>3980</v>
      </c>
      <c r="G324" s="9">
        <v>1</v>
      </c>
      <c r="H324" s="9" t="s">
        <v>3093</v>
      </c>
      <c r="I324" s="9">
        <v>176</v>
      </c>
      <c r="J324" s="9">
        <v>0</v>
      </c>
      <c r="K324" s="9" t="s">
        <v>1885</v>
      </c>
      <c r="L324" s="9" t="str">
        <f t="shared" si="1"/>
        <v>Y</v>
      </c>
    </row>
    <row r="325" spans="1:12">
      <c r="A325" s="9">
        <v>425</v>
      </c>
      <c r="B325" s="9">
        <v>122</v>
      </c>
      <c r="C325" s="9" t="s">
        <v>3983</v>
      </c>
      <c r="D325" s="9" t="s">
        <v>20</v>
      </c>
      <c r="E325" s="9">
        <v>220</v>
      </c>
      <c r="F325" s="9" t="s">
        <v>3980</v>
      </c>
      <c r="G325" s="9">
        <v>0</v>
      </c>
      <c r="H325" s="9" t="s">
        <v>3093</v>
      </c>
      <c r="I325" s="9">
        <v>108</v>
      </c>
      <c r="J325" s="9">
        <v>0</v>
      </c>
      <c r="K325" s="9" t="s">
        <v>699</v>
      </c>
      <c r="L325" s="9" t="str">
        <f t="shared" si="1"/>
        <v>N</v>
      </c>
    </row>
    <row r="326" spans="1:12">
      <c r="A326" s="9">
        <v>426</v>
      </c>
      <c r="B326" s="9">
        <v>121</v>
      </c>
      <c r="C326" s="9" t="s">
        <v>3984</v>
      </c>
      <c r="D326" s="9" t="s">
        <v>20</v>
      </c>
      <c r="E326" s="9">
        <v>216</v>
      </c>
      <c r="F326" s="9" t="s">
        <v>3985</v>
      </c>
      <c r="G326" s="9">
        <v>0</v>
      </c>
      <c r="H326" s="9" t="s">
        <v>3093</v>
      </c>
      <c r="I326" s="9">
        <v>71</v>
      </c>
      <c r="J326" s="9">
        <v>0</v>
      </c>
      <c r="K326" s="9" t="s">
        <v>699</v>
      </c>
      <c r="L326" s="9" t="str">
        <f t="shared" si="1"/>
        <v>N</v>
      </c>
    </row>
    <row r="327" spans="1:12">
      <c r="A327" s="9">
        <v>427</v>
      </c>
      <c r="B327" s="9">
        <v>126</v>
      </c>
      <c r="C327" s="9" t="s">
        <v>3986</v>
      </c>
      <c r="D327" s="9" t="s">
        <v>3987</v>
      </c>
      <c r="E327" s="9">
        <v>245</v>
      </c>
      <c r="F327" s="9" t="s">
        <v>1766</v>
      </c>
      <c r="G327" s="9">
        <v>1</v>
      </c>
      <c r="H327" s="9" t="s">
        <v>3093</v>
      </c>
      <c r="I327" s="9">
        <v>88</v>
      </c>
      <c r="J327" s="9">
        <v>0</v>
      </c>
      <c r="K327" s="9" t="s">
        <v>1826</v>
      </c>
      <c r="L327" s="9" t="str">
        <f t="shared" si="1"/>
        <v>Y</v>
      </c>
    </row>
    <row r="328" spans="1:12">
      <c r="A328" s="9">
        <v>428</v>
      </c>
      <c r="B328" s="9">
        <v>121</v>
      </c>
      <c r="C328" s="9" t="s">
        <v>3988</v>
      </c>
      <c r="D328" s="9" t="s">
        <v>3989</v>
      </c>
      <c r="E328" s="9">
        <v>215</v>
      </c>
      <c r="F328" s="9" t="s">
        <v>3990</v>
      </c>
      <c r="G328" s="9">
        <v>0</v>
      </c>
      <c r="H328" s="9" t="s">
        <v>3093</v>
      </c>
      <c r="I328" s="9">
        <v>204</v>
      </c>
      <c r="J328" s="9">
        <v>1</v>
      </c>
      <c r="K328" s="9" t="s">
        <v>752</v>
      </c>
      <c r="L328" s="9" t="str">
        <f t="shared" si="1"/>
        <v>Y</v>
      </c>
    </row>
    <row r="329" spans="1:12">
      <c r="A329" s="9">
        <v>429</v>
      </c>
      <c r="B329" s="9">
        <v>123</v>
      </c>
      <c r="C329" s="9" t="s">
        <v>3991</v>
      </c>
      <c r="D329" s="9" t="s">
        <v>3992</v>
      </c>
      <c r="E329" s="9">
        <v>227</v>
      </c>
      <c r="F329" s="9" t="s">
        <v>3990</v>
      </c>
      <c r="G329" s="9">
        <v>0</v>
      </c>
      <c r="H329" s="9" t="s">
        <v>3093</v>
      </c>
      <c r="I329" s="9">
        <v>190</v>
      </c>
      <c r="J329" s="9">
        <v>0</v>
      </c>
      <c r="K329" s="9" t="s">
        <v>1793</v>
      </c>
      <c r="L329" s="9" t="str">
        <f t="shared" si="1"/>
        <v>Y</v>
      </c>
    </row>
    <row r="330" spans="1:12">
      <c r="A330" s="9">
        <v>430</v>
      </c>
      <c r="B330" s="9">
        <v>125</v>
      </c>
      <c r="C330" s="9" t="s">
        <v>3993</v>
      </c>
      <c r="D330" s="9" t="s">
        <v>3994</v>
      </c>
      <c r="E330" s="9">
        <v>240</v>
      </c>
      <c r="F330" s="9" t="s">
        <v>3995</v>
      </c>
      <c r="G330" s="9">
        <v>1</v>
      </c>
      <c r="H330" s="9" t="s">
        <v>3093</v>
      </c>
      <c r="I330" s="9">
        <v>49</v>
      </c>
      <c r="J330" s="9">
        <v>3</v>
      </c>
      <c r="K330" s="9" t="s">
        <v>3835</v>
      </c>
      <c r="L330" s="9" t="str">
        <f t="shared" si="1"/>
        <v>Y</v>
      </c>
    </row>
    <row r="331" spans="1:12">
      <c r="A331" s="9">
        <v>431</v>
      </c>
      <c r="B331" s="9">
        <v>120</v>
      </c>
      <c r="C331" s="9" t="s">
        <v>3996</v>
      </c>
      <c r="D331" s="9" t="s">
        <v>3997</v>
      </c>
      <c r="E331" s="9">
        <v>208</v>
      </c>
      <c r="F331" s="9" t="s">
        <v>3995</v>
      </c>
      <c r="G331" s="9">
        <v>0</v>
      </c>
      <c r="H331" s="9" t="s">
        <v>3093</v>
      </c>
      <c r="I331" s="9">
        <v>147</v>
      </c>
      <c r="J331" s="9">
        <v>1</v>
      </c>
      <c r="K331" s="9" t="s">
        <v>699</v>
      </c>
      <c r="L331" s="9" t="str">
        <f t="shared" si="1"/>
        <v>Y</v>
      </c>
    </row>
    <row r="332" spans="1:12">
      <c r="A332" s="9">
        <v>432</v>
      </c>
      <c r="B332" s="9">
        <v>122</v>
      </c>
      <c r="C332" s="9" t="s">
        <v>3998</v>
      </c>
      <c r="D332" s="9" t="s">
        <v>3999</v>
      </c>
      <c r="E332" s="9">
        <v>221</v>
      </c>
      <c r="F332" s="9" t="s">
        <v>4000</v>
      </c>
      <c r="G332" s="9">
        <v>1</v>
      </c>
      <c r="H332" s="9" t="s">
        <v>3093</v>
      </c>
      <c r="I332" s="9">
        <v>96</v>
      </c>
      <c r="J332" s="9">
        <v>0</v>
      </c>
      <c r="K332" s="9" t="s">
        <v>1826</v>
      </c>
      <c r="L332" s="9" t="str">
        <f t="shared" si="1"/>
        <v>Y</v>
      </c>
    </row>
    <row r="333" spans="1:12">
      <c r="A333" s="9">
        <v>433</v>
      </c>
      <c r="B333" s="9">
        <v>119</v>
      </c>
      <c r="C333" s="9" t="s">
        <v>4001</v>
      </c>
      <c r="D333" s="9" t="s">
        <v>4002</v>
      </c>
      <c r="E333" s="9">
        <v>201</v>
      </c>
      <c r="F333" s="9" t="s">
        <v>4003</v>
      </c>
      <c r="G333" s="9">
        <v>0</v>
      </c>
      <c r="H333" s="9" t="s">
        <v>3313</v>
      </c>
      <c r="I333" s="9">
        <v>91</v>
      </c>
      <c r="J333" s="9">
        <v>0</v>
      </c>
      <c r="K333" s="9" t="s">
        <v>1826</v>
      </c>
      <c r="L333" s="9" t="str">
        <f t="shared" si="1"/>
        <v>Y</v>
      </c>
    </row>
    <row r="334" spans="1:12">
      <c r="A334" s="9">
        <v>434</v>
      </c>
      <c r="B334" s="9">
        <v>125</v>
      </c>
      <c r="C334" s="9" t="s">
        <v>4004</v>
      </c>
      <c r="D334" s="9" t="s">
        <v>20</v>
      </c>
      <c r="E334" s="9">
        <v>238</v>
      </c>
      <c r="F334" s="9" t="s">
        <v>4005</v>
      </c>
      <c r="G334" s="9">
        <v>0</v>
      </c>
      <c r="H334" s="9" t="s">
        <v>3093</v>
      </c>
      <c r="I334" s="9">
        <v>49.109000000000002</v>
      </c>
      <c r="J334" s="9">
        <v>0</v>
      </c>
      <c r="K334" s="9" t="s">
        <v>699</v>
      </c>
      <c r="L334" s="9" t="str">
        <f t="shared" si="1"/>
        <v>N</v>
      </c>
    </row>
    <row r="335" spans="1:12">
      <c r="A335" s="9">
        <v>435</v>
      </c>
      <c r="B335" s="9">
        <v>118</v>
      </c>
      <c r="C335" s="9" t="s">
        <v>4006</v>
      </c>
      <c r="D335" s="9" t="s">
        <v>4007</v>
      </c>
      <c r="E335" s="9">
        <v>193</v>
      </c>
      <c r="F335" s="9" t="s">
        <v>4005</v>
      </c>
      <c r="G335" s="9">
        <v>0</v>
      </c>
      <c r="H335" s="9" t="s">
        <v>3093</v>
      </c>
      <c r="I335" s="9">
        <v>70.19</v>
      </c>
      <c r="J335" s="9">
        <v>0</v>
      </c>
      <c r="K335" s="9" t="s">
        <v>4008</v>
      </c>
      <c r="L335" s="9" t="str">
        <f t="shared" si="1"/>
        <v>Y</v>
      </c>
    </row>
    <row r="336" spans="1:12">
      <c r="A336" s="9">
        <v>436</v>
      </c>
      <c r="B336" s="9">
        <v>123</v>
      </c>
      <c r="C336" s="9" t="s">
        <v>4009</v>
      </c>
      <c r="D336" s="9" t="s">
        <v>20</v>
      </c>
      <c r="E336" s="9">
        <v>226</v>
      </c>
      <c r="F336" s="9" t="s">
        <v>4010</v>
      </c>
      <c r="G336" s="9">
        <v>0</v>
      </c>
      <c r="H336" s="9" t="s">
        <v>3093</v>
      </c>
      <c r="I336" s="9">
        <v>172.208</v>
      </c>
      <c r="J336" s="9">
        <v>0</v>
      </c>
      <c r="K336" s="9" t="s">
        <v>699</v>
      </c>
      <c r="L336" s="9" t="str">
        <f t="shared" si="1"/>
        <v>N</v>
      </c>
    </row>
    <row r="337" spans="1:12">
      <c r="A337" s="9">
        <v>437</v>
      </c>
      <c r="B337" s="9">
        <v>120</v>
      </c>
      <c r="C337" s="9" t="s">
        <v>4011</v>
      </c>
      <c r="D337" s="9" t="s">
        <v>4012</v>
      </c>
      <c r="E337" s="9">
        <v>207</v>
      </c>
      <c r="F337" s="9" t="s">
        <v>4013</v>
      </c>
      <c r="G337" s="9">
        <v>0</v>
      </c>
      <c r="H337" s="9" t="s">
        <v>3093</v>
      </c>
      <c r="I337" s="9">
        <v>159</v>
      </c>
      <c r="J337" s="9">
        <v>2</v>
      </c>
      <c r="K337" s="9" t="s">
        <v>699</v>
      </c>
      <c r="L337" s="9" t="str">
        <f t="shared" si="1"/>
        <v>Y</v>
      </c>
    </row>
    <row r="338" spans="1:12">
      <c r="A338" s="9">
        <v>438</v>
      </c>
      <c r="B338" s="9">
        <v>118</v>
      </c>
      <c r="C338" s="9" t="s">
        <v>4014</v>
      </c>
      <c r="D338" s="9" t="s">
        <v>4015</v>
      </c>
      <c r="E338" s="9">
        <v>195</v>
      </c>
      <c r="F338" s="9" t="s">
        <v>4013</v>
      </c>
      <c r="G338" s="9">
        <v>0</v>
      </c>
      <c r="H338" s="9" t="s">
        <v>3093</v>
      </c>
      <c r="I338" s="9">
        <v>176</v>
      </c>
      <c r="J338" s="9">
        <v>0</v>
      </c>
      <c r="K338" s="9" t="s">
        <v>1885</v>
      </c>
      <c r="L338" s="9" t="str">
        <f t="shared" si="1"/>
        <v>Y</v>
      </c>
    </row>
    <row r="339" spans="1:12">
      <c r="A339" s="9">
        <v>439</v>
      </c>
      <c r="B339" s="9">
        <v>126</v>
      </c>
      <c r="C339" s="9" t="s">
        <v>4016</v>
      </c>
      <c r="D339" s="9" t="s">
        <v>4017</v>
      </c>
      <c r="E339" s="9">
        <v>246</v>
      </c>
      <c r="F339" s="9" t="s">
        <v>4018</v>
      </c>
      <c r="G339" s="9">
        <v>0</v>
      </c>
      <c r="H339" s="9" t="s">
        <v>3093</v>
      </c>
      <c r="I339" s="9">
        <v>219</v>
      </c>
      <c r="J339" s="9">
        <v>0</v>
      </c>
      <c r="K339" s="9" t="s">
        <v>3874</v>
      </c>
      <c r="L339" s="9" t="str">
        <f t="shared" si="1"/>
        <v>Y</v>
      </c>
    </row>
    <row r="340" spans="1:12">
      <c r="A340" s="9">
        <v>440</v>
      </c>
      <c r="B340" s="9">
        <v>126</v>
      </c>
      <c r="C340" s="9" t="s">
        <v>4019</v>
      </c>
      <c r="D340" s="9" t="s">
        <v>4020</v>
      </c>
      <c r="E340" s="9">
        <v>247</v>
      </c>
      <c r="F340" s="9" t="s">
        <v>4021</v>
      </c>
      <c r="G340" s="9">
        <v>1</v>
      </c>
      <c r="H340" s="9" t="s">
        <v>3093</v>
      </c>
      <c r="I340" s="9">
        <v>190</v>
      </c>
      <c r="J340" s="9">
        <v>0</v>
      </c>
      <c r="K340" s="9" t="s">
        <v>1793</v>
      </c>
      <c r="L340" s="9" t="str">
        <f t="shared" si="1"/>
        <v>Y</v>
      </c>
    </row>
    <row r="341" spans="1:12">
      <c r="A341" s="9">
        <v>441</v>
      </c>
      <c r="B341" s="9">
        <v>119</v>
      </c>
      <c r="C341" s="9" t="s">
        <v>4022</v>
      </c>
      <c r="D341" s="9" t="s">
        <v>4023</v>
      </c>
      <c r="E341" s="9">
        <v>204</v>
      </c>
      <c r="F341" s="9" t="s">
        <v>4024</v>
      </c>
      <c r="G341" s="9">
        <v>0</v>
      </c>
      <c r="H341" s="9" t="s">
        <v>3093</v>
      </c>
      <c r="I341" s="9">
        <v>90</v>
      </c>
      <c r="J341" s="9">
        <v>0</v>
      </c>
      <c r="K341" s="9" t="s">
        <v>1826</v>
      </c>
      <c r="L341" s="9" t="str">
        <f t="shared" si="1"/>
        <v>Y</v>
      </c>
    </row>
    <row r="342" spans="1:12">
      <c r="A342" s="9">
        <v>442</v>
      </c>
      <c r="B342" s="9">
        <v>119</v>
      </c>
      <c r="C342" s="9" t="s">
        <v>4025</v>
      </c>
      <c r="D342" s="9" t="s">
        <v>4026</v>
      </c>
      <c r="E342" s="9">
        <v>201</v>
      </c>
      <c r="F342" s="9" t="s">
        <v>4027</v>
      </c>
      <c r="G342" s="9">
        <v>0</v>
      </c>
      <c r="H342" s="9" t="s">
        <v>3093</v>
      </c>
      <c r="I342" s="9">
        <v>211</v>
      </c>
      <c r="J342" s="9">
        <v>0</v>
      </c>
      <c r="K342" s="9" t="s">
        <v>752</v>
      </c>
      <c r="L342" s="9" t="str">
        <f t="shared" si="1"/>
        <v>Y</v>
      </c>
    </row>
    <row r="343" spans="1:12">
      <c r="A343" s="9">
        <v>443</v>
      </c>
      <c r="B343" s="9">
        <v>120</v>
      </c>
      <c r="C343" s="9" t="s">
        <v>4028</v>
      </c>
      <c r="D343" s="9" t="s">
        <v>4029</v>
      </c>
      <c r="E343" s="9">
        <v>208</v>
      </c>
      <c r="F343" s="9" t="s">
        <v>4030</v>
      </c>
      <c r="G343" s="9">
        <v>0</v>
      </c>
      <c r="H343" s="9" t="s">
        <v>3093</v>
      </c>
      <c r="I343" s="9">
        <v>159</v>
      </c>
      <c r="J343" s="9">
        <v>5</v>
      </c>
      <c r="K343" s="9" t="s">
        <v>699</v>
      </c>
      <c r="L343" s="9" t="str">
        <f t="shared" si="1"/>
        <v>Y</v>
      </c>
    </row>
    <row r="344" spans="1:12">
      <c r="A344" s="9">
        <v>444</v>
      </c>
      <c r="B344" s="9">
        <v>126</v>
      </c>
      <c r="C344" s="9" t="s">
        <v>4031</v>
      </c>
      <c r="D344" s="9" t="s">
        <v>4032</v>
      </c>
      <c r="E344" s="9">
        <v>245</v>
      </c>
      <c r="F344" s="9" t="s">
        <v>4033</v>
      </c>
      <c r="G344" s="9">
        <v>1</v>
      </c>
      <c r="H344" s="9" t="s">
        <v>3093</v>
      </c>
      <c r="I344" s="9">
        <v>91</v>
      </c>
      <c r="J344" s="9">
        <v>0</v>
      </c>
      <c r="K344" s="9" t="s">
        <v>1826</v>
      </c>
      <c r="L344" s="9" t="str">
        <f t="shared" si="1"/>
        <v>Y</v>
      </c>
    </row>
    <row r="345" spans="1:12">
      <c r="A345" s="9">
        <v>445</v>
      </c>
      <c r="B345" s="9">
        <v>126</v>
      </c>
      <c r="C345" s="9" t="s">
        <v>4034</v>
      </c>
      <c r="D345" s="9" t="s">
        <v>4035</v>
      </c>
      <c r="E345" s="9">
        <v>246</v>
      </c>
      <c r="F345" s="9" t="s">
        <v>4033</v>
      </c>
      <c r="G345" s="9">
        <v>0</v>
      </c>
      <c r="H345" s="9" t="s">
        <v>3093</v>
      </c>
      <c r="I345" s="9">
        <v>96</v>
      </c>
      <c r="J345" s="9">
        <v>0</v>
      </c>
      <c r="K345" s="9" t="s">
        <v>1826</v>
      </c>
      <c r="L345" s="9" t="str">
        <f t="shared" si="1"/>
        <v>Y</v>
      </c>
    </row>
    <row r="346" spans="1:12">
      <c r="A346" s="9">
        <v>446</v>
      </c>
      <c r="B346" s="9">
        <v>125</v>
      </c>
      <c r="C346" s="9" t="s">
        <v>4036</v>
      </c>
      <c r="D346" s="9" t="s">
        <v>4037</v>
      </c>
      <c r="E346" s="9">
        <v>240</v>
      </c>
      <c r="F346" s="9" t="s">
        <v>4038</v>
      </c>
      <c r="G346" s="9">
        <v>0</v>
      </c>
      <c r="H346" s="9" t="s">
        <v>3093</v>
      </c>
      <c r="I346" s="9">
        <v>68</v>
      </c>
      <c r="J346" s="9">
        <v>0</v>
      </c>
      <c r="K346" s="9" t="s">
        <v>3847</v>
      </c>
      <c r="L346" s="9" t="str">
        <f t="shared" si="1"/>
        <v>Y</v>
      </c>
    </row>
    <row r="347" spans="1:12">
      <c r="A347" s="9">
        <v>447</v>
      </c>
      <c r="B347" s="9">
        <v>126</v>
      </c>
      <c r="C347" s="9" t="s">
        <v>4039</v>
      </c>
      <c r="D347" s="9" t="s">
        <v>4040</v>
      </c>
      <c r="E347" s="9">
        <v>247</v>
      </c>
      <c r="F347" s="9" t="s">
        <v>4041</v>
      </c>
      <c r="G347" s="9">
        <v>1</v>
      </c>
      <c r="H347" s="9" t="s">
        <v>3093</v>
      </c>
      <c r="I347" s="9">
        <v>207</v>
      </c>
      <c r="J347" s="9">
        <v>0</v>
      </c>
      <c r="K347" s="9" t="s">
        <v>752</v>
      </c>
      <c r="L347" s="9" t="str">
        <f t="shared" si="1"/>
        <v>Y</v>
      </c>
    </row>
    <row r="348" spans="1:12">
      <c r="A348" s="9">
        <v>448</v>
      </c>
      <c r="B348" s="9">
        <v>125</v>
      </c>
      <c r="C348" s="9" t="s">
        <v>4042</v>
      </c>
      <c r="D348" s="9" t="s">
        <v>4043</v>
      </c>
      <c r="E348" s="9">
        <v>238</v>
      </c>
      <c r="F348" s="9" t="s">
        <v>4044</v>
      </c>
      <c r="G348" s="9">
        <v>0</v>
      </c>
      <c r="H348" s="9" t="s">
        <v>3093</v>
      </c>
      <c r="I348" s="9">
        <v>109</v>
      </c>
      <c r="J348" s="9">
        <v>0</v>
      </c>
      <c r="K348" s="9" t="s">
        <v>1802</v>
      </c>
      <c r="L348" s="9" t="str">
        <f t="shared" si="1"/>
        <v>Y</v>
      </c>
    </row>
    <row r="349" spans="1:12">
      <c r="A349" s="9">
        <v>449</v>
      </c>
      <c r="B349" s="9">
        <v>122</v>
      </c>
      <c r="C349" s="9" t="s">
        <v>4045</v>
      </c>
      <c r="D349" s="9" t="s">
        <v>4046</v>
      </c>
      <c r="E349" s="9">
        <v>220</v>
      </c>
      <c r="F349" s="9" t="s">
        <v>4044</v>
      </c>
      <c r="G349" s="9">
        <v>1</v>
      </c>
      <c r="H349" s="9" t="s">
        <v>3093</v>
      </c>
      <c r="I349" s="9">
        <v>111</v>
      </c>
      <c r="J349" s="9">
        <v>0</v>
      </c>
      <c r="K349" s="9" t="s">
        <v>1802</v>
      </c>
      <c r="L349" s="9" t="str">
        <f t="shared" si="1"/>
        <v>Y</v>
      </c>
    </row>
    <row r="350" spans="1:12">
      <c r="A350" s="9">
        <v>450</v>
      </c>
      <c r="B350" s="9">
        <v>126</v>
      </c>
      <c r="C350" s="9" t="s">
        <v>4047</v>
      </c>
      <c r="D350" s="9" t="s">
        <v>4048</v>
      </c>
      <c r="E350" s="9">
        <v>246</v>
      </c>
      <c r="F350" s="9" t="s">
        <v>4049</v>
      </c>
      <c r="G350" s="9">
        <v>1</v>
      </c>
      <c r="H350" s="9" t="s">
        <v>3093</v>
      </c>
      <c r="I350" s="9">
        <v>109</v>
      </c>
      <c r="J350" s="9">
        <v>0</v>
      </c>
      <c r="K350" s="9" t="s">
        <v>1802</v>
      </c>
      <c r="L350" s="9" t="str">
        <f t="shared" si="1"/>
        <v>Y</v>
      </c>
    </row>
    <row r="351" spans="1:12">
      <c r="A351" s="9">
        <v>451</v>
      </c>
      <c r="B351" s="9">
        <v>123</v>
      </c>
      <c r="C351" s="9" t="s">
        <v>4050</v>
      </c>
      <c r="D351" s="9" t="s">
        <v>20</v>
      </c>
      <c r="E351" s="9">
        <v>226</v>
      </c>
      <c r="F351" s="9" t="s">
        <v>4051</v>
      </c>
      <c r="G351" s="9">
        <v>0</v>
      </c>
      <c r="H351" s="9" t="s">
        <v>3093</v>
      </c>
      <c r="I351" s="9" t="s">
        <v>4052</v>
      </c>
      <c r="J351" s="9">
        <v>0</v>
      </c>
      <c r="K351" s="9" t="s">
        <v>699</v>
      </c>
      <c r="L351" s="9" t="str">
        <f t="shared" si="1"/>
        <v>N</v>
      </c>
    </row>
    <row r="352" spans="1:12">
      <c r="A352" s="9">
        <v>452</v>
      </c>
      <c r="B352" s="9">
        <v>118</v>
      </c>
      <c r="C352" s="9" t="s">
        <v>4053</v>
      </c>
      <c r="D352" s="9" t="s">
        <v>4054</v>
      </c>
      <c r="E352" s="9">
        <v>195</v>
      </c>
      <c r="F352" s="9" t="s">
        <v>4055</v>
      </c>
      <c r="G352" s="9">
        <v>1</v>
      </c>
      <c r="H352" s="9" t="s">
        <v>3093</v>
      </c>
      <c r="I352" s="9">
        <v>190</v>
      </c>
      <c r="J352" s="9">
        <v>0</v>
      </c>
      <c r="K352" s="9" t="s">
        <v>1793</v>
      </c>
      <c r="L352" s="9" t="str">
        <f t="shared" si="1"/>
        <v>Y</v>
      </c>
    </row>
    <row r="353" spans="1:12">
      <c r="A353" s="9">
        <v>453</v>
      </c>
      <c r="B353" s="9">
        <v>126</v>
      </c>
      <c r="C353" s="9" t="s">
        <v>4056</v>
      </c>
      <c r="D353" s="9" t="s">
        <v>4057</v>
      </c>
      <c r="E353" s="9">
        <v>247</v>
      </c>
      <c r="F353" s="9" t="s">
        <v>4058</v>
      </c>
      <c r="G353" s="9">
        <v>1</v>
      </c>
      <c r="H353" s="9" t="s">
        <v>3093</v>
      </c>
      <c r="I353" s="9">
        <v>204</v>
      </c>
      <c r="J353" s="9">
        <v>0</v>
      </c>
      <c r="K353" s="9" t="s">
        <v>752</v>
      </c>
      <c r="L353" s="9" t="str">
        <f t="shared" si="1"/>
        <v>Y</v>
      </c>
    </row>
    <row r="354" spans="1:12">
      <c r="A354" s="9">
        <v>454</v>
      </c>
      <c r="B354" s="9">
        <v>126</v>
      </c>
      <c r="C354" s="9" t="s">
        <v>4059</v>
      </c>
      <c r="D354" s="9" t="s">
        <v>4060</v>
      </c>
      <c r="E354" s="9">
        <v>245</v>
      </c>
      <c r="F354" s="9" t="s">
        <v>4061</v>
      </c>
      <c r="G354" s="9">
        <v>1</v>
      </c>
      <c r="H354" s="9" t="s">
        <v>3093</v>
      </c>
      <c r="I354" s="9">
        <v>109</v>
      </c>
      <c r="J354" s="9">
        <v>0</v>
      </c>
      <c r="K354" s="9" t="s">
        <v>1802</v>
      </c>
      <c r="L354" s="9" t="str">
        <f t="shared" si="1"/>
        <v>Y</v>
      </c>
    </row>
    <row r="355" spans="1:12">
      <c r="A355" s="9">
        <v>455</v>
      </c>
      <c r="B355" s="9">
        <v>121</v>
      </c>
      <c r="C355" s="9" t="s">
        <v>4062</v>
      </c>
      <c r="D355" s="9" t="s">
        <v>20</v>
      </c>
      <c r="E355" s="9">
        <v>216</v>
      </c>
      <c r="F355" s="9" t="s">
        <v>4063</v>
      </c>
      <c r="G355" s="9">
        <v>0</v>
      </c>
      <c r="H355" s="9" t="s">
        <v>3093</v>
      </c>
      <c r="I355" s="9">
        <v>71.19</v>
      </c>
      <c r="J355" s="9">
        <v>0</v>
      </c>
      <c r="K355" s="9" t="s">
        <v>699</v>
      </c>
      <c r="L355" s="9" t="str">
        <f t="shared" si="1"/>
        <v>N</v>
      </c>
    </row>
    <row r="356" spans="1:12">
      <c r="A356" s="9">
        <v>456</v>
      </c>
      <c r="B356" s="9">
        <v>120</v>
      </c>
      <c r="C356" s="9" t="s">
        <v>4064</v>
      </c>
      <c r="D356" s="9" t="s">
        <v>4065</v>
      </c>
      <c r="E356" s="9">
        <v>208</v>
      </c>
      <c r="F356" s="9" t="s">
        <v>4066</v>
      </c>
      <c r="G356" s="9">
        <v>0</v>
      </c>
      <c r="H356" s="9" t="s">
        <v>3093</v>
      </c>
      <c r="I356" s="9">
        <v>203</v>
      </c>
      <c r="J356" s="9">
        <v>0</v>
      </c>
      <c r="K356" s="9" t="s">
        <v>752</v>
      </c>
      <c r="L356" s="9" t="str">
        <f t="shared" si="1"/>
        <v>Y</v>
      </c>
    </row>
    <row r="357" spans="1:12">
      <c r="A357" s="9">
        <v>457</v>
      </c>
      <c r="B357" s="9">
        <v>125</v>
      </c>
      <c r="C357" s="9" t="s">
        <v>4067</v>
      </c>
      <c r="D357" s="9" t="s">
        <v>4068</v>
      </c>
      <c r="E357" s="9">
        <v>240</v>
      </c>
      <c r="F357" s="9" t="s">
        <v>4069</v>
      </c>
      <c r="G357" s="9">
        <v>0</v>
      </c>
      <c r="H357" s="9" t="s">
        <v>3093</v>
      </c>
      <c r="I357" s="9">
        <v>49</v>
      </c>
      <c r="J357" s="9">
        <v>0</v>
      </c>
      <c r="K357" s="9" t="s">
        <v>3835</v>
      </c>
      <c r="L357" s="9" t="str">
        <f t="shared" si="1"/>
        <v>Y</v>
      </c>
    </row>
    <row r="358" spans="1:12">
      <c r="A358" s="9">
        <v>458</v>
      </c>
      <c r="B358" s="9">
        <v>123</v>
      </c>
      <c r="C358" s="9" t="s">
        <v>4070</v>
      </c>
      <c r="D358" s="9" t="s">
        <v>4071</v>
      </c>
      <c r="E358" s="9">
        <v>226</v>
      </c>
      <c r="F358" s="9" t="s">
        <v>4072</v>
      </c>
      <c r="G358" s="9">
        <v>0</v>
      </c>
      <c r="H358" s="9" t="s">
        <v>3093</v>
      </c>
      <c r="I358" s="9" t="s">
        <v>4052</v>
      </c>
      <c r="J358" s="9">
        <v>0</v>
      </c>
      <c r="K358" s="9" t="s">
        <v>4073</v>
      </c>
      <c r="L358" s="9" t="str">
        <f t="shared" si="1"/>
        <v>Y</v>
      </c>
    </row>
    <row r="359" spans="1:12">
      <c r="A359" s="9">
        <v>459</v>
      </c>
      <c r="B359" s="9">
        <v>120</v>
      </c>
      <c r="C359" s="9" t="s">
        <v>4074</v>
      </c>
      <c r="D359" s="9" t="s">
        <v>4075</v>
      </c>
      <c r="E359" s="9">
        <v>207</v>
      </c>
      <c r="F359" s="9" t="s">
        <v>4076</v>
      </c>
      <c r="G359" s="9">
        <v>0</v>
      </c>
      <c r="H359" s="9" t="s">
        <v>3093</v>
      </c>
      <c r="I359" s="9">
        <v>49</v>
      </c>
      <c r="J359" s="9">
        <v>0</v>
      </c>
      <c r="K359" s="9" t="s">
        <v>3835</v>
      </c>
      <c r="L359" s="9" t="str">
        <f t="shared" si="1"/>
        <v>Y</v>
      </c>
    </row>
    <row r="360" spans="1:12">
      <c r="A360" s="9">
        <v>460</v>
      </c>
      <c r="B360" s="9">
        <v>122</v>
      </c>
      <c r="C360" s="9" t="s">
        <v>4077</v>
      </c>
      <c r="D360" s="9" t="s">
        <v>4078</v>
      </c>
      <c r="E360" s="9">
        <v>221</v>
      </c>
      <c r="F360" s="9" t="s">
        <v>1769</v>
      </c>
      <c r="G360" s="9">
        <v>0</v>
      </c>
      <c r="H360" s="9" t="s">
        <v>3093</v>
      </c>
      <c r="I360" s="9">
        <v>51</v>
      </c>
      <c r="J360" s="9">
        <v>0</v>
      </c>
      <c r="K360" s="9" t="s">
        <v>3835</v>
      </c>
      <c r="L360" s="9" t="str">
        <f t="shared" si="1"/>
        <v>Y</v>
      </c>
    </row>
    <row r="361" spans="1:12">
      <c r="A361" s="9">
        <v>461</v>
      </c>
      <c r="B361" s="9">
        <v>122</v>
      </c>
      <c r="C361" s="9" t="s">
        <v>4079</v>
      </c>
      <c r="D361" s="9" t="s">
        <v>4080</v>
      </c>
      <c r="E361" s="9">
        <v>222</v>
      </c>
      <c r="F361" s="9" t="s">
        <v>483</v>
      </c>
      <c r="G361" s="9">
        <v>1</v>
      </c>
      <c r="H361" s="9" t="s">
        <v>3093</v>
      </c>
      <c r="I361" s="9">
        <v>51</v>
      </c>
      <c r="J361" s="9">
        <v>0</v>
      </c>
      <c r="K361" s="9" t="s">
        <v>3835</v>
      </c>
      <c r="L361" s="9" t="str">
        <f t="shared" si="1"/>
        <v>Y</v>
      </c>
    </row>
    <row r="362" spans="1:12">
      <c r="A362" s="9">
        <v>462</v>
      </c>
      <c r="B362" s="9">
        <v>126</v>
      </c>
      <c r="C362" s="9" t="s">
        <v>4081</v>
      </c>
      <c r="D362" s="9" t="s">
        <v>4082</v>
      </c>
      <c r="E362" s="9">
        <v>245</v>
      </c>
      <c r="F362" s="9" t="s">
        <v>483</v>
      </c>
      <c r="G362" s="9">
        <v>1</v>
      </c>
      <c r="H362" s="9" t="s">
        <v>3093</v>
      </c>
      <c r="I362" s="9">
        <v>111</v>
      </c>
      <c r="J362" s="9">
        <v>0</v>
      </c>
      <c r="K362" s="9" t="s">
        <v>1802</v>
      </c>
      <c r="L362" s="9" t="str">
        <f t="shared" si="1"/>
        <v>Y</v>
      </c>
    </row>
    <row r="363" spans="1:12">
      <c r="A363" s="9">
        <v>463</v>
      </c>
      <c r="B363" s="9">
        <v>126</v>
      </c>
      <c r="C363" s="9" t="s">
        <v>4083</v>
      </c>
      <c r="D363" s="9" t="s">
        <v>4084</v>
      </c>
      <c r="E363" s="9">
        <v>247</v>
      </c>
      <c r="F363" s="9" t="s">
        <v>588</v>
      </c>
      <c r="G363" s="9">
        <v>1</v>
      </c>
      <c r="H363" s="9" t="s">
        <v>3093</v>
      </c>
      <c r="I363" s="9">
        <v>171</v>
      </c>
      <c r="J363" s="9">
        <v>0</v>
      </c>
      <c r="K363" s="9" t="s">
        <v>1885</v>
      </c>
      <c r="L363" s="9" t="str">
        <f t="shared" si="1"/>
        <v>Y</v>
      </c>
    </row>
    <row r="364" spans="1:12">
      <c r="A364" s="9">
        <v>464</v>
      </c>
      <c r="B364" s="9">
        <v>118</v>
      </c>
      <c r="C364" s="9" t="s">
        <v>4085</v>
      </c>
      <c r="D364" s="9" t="s">
        <v>4086</v>
      </c>
      <c r="E364" s="9">
        <v>194</v>
      </c>
      <c r="F364" s="9" t="s">
        <v>588</v>
      </c>
      <c r="G364" s="9">
        <v>0</v>
      </c>
      <c r="H364" s="9" t="s">
        <v>3093</v>
      </c>
      <c r="I364" s="9">
        <v>176.20400000000001</v>
      </c>
      <c r="J364" s="9">
        <v>0</v>
      </c>
      <c r="K364" s="9" t="s">
        <v>4087</v>
      </c>
      <c r="L364" s="9" t="str">
        <f t="shared" si="1"/>
        <v>Y</v>
      </c>
    </row>
    <row r="365" spans="1:12">
      <c r="A365" s="9">
        <v>465</v>
      </c>
      <c r="B365" s="9">
        <v>121</v>
      </c>
      <c r="C365" s="9" t="s">
        <v>4088</v>
      </c>
      <c r="D365" s="9" t="s">
        <v>4089</v>
      </c>
      <c r="E365" s="9">
        <v>216</v>
      </c>
      <c r="F365" s="9" t="s">
        <v>4090</v>
      </c>
      <c r="G365" s="9">
        <v>0</v>
      </c>
      <c r="H365" s="9" t="s">
        <v>3093</v>
      </c>
      <c r="I365" s="9">
        <v>190</v>
      </c>
      <c r="J365" s="9">
        <v>0</v>
      </c>
      <c r="K365" s="9" t="s">
        <v>1793</v>
      </c>
      <c r="L365" s="9" t="str">
        <f t="shared" si="1"/>
        <v>Y</v>
      </c>
    </row>
    <row r="366" spans="1:12">
      <c r="A366" s="9">
        <v>466</v>
      </c>
      <c r="B366" s="9">
        <v>121</v>
      </c>
      <c r="C366" s="9" t="s">
        <v>4091</v>
      </c>
      <c r="D366" s="9" t="s">
        <v>4092</v>
      </c>
      <c r="E366" s="9">
        <v>217</v>
      </c>
      <c r="F366" s="9" t="s">
        <v>4090</v>
      </c>
      <c r="G366" s="9">
        <v>0</v>
      </c>
      <c r="H366" s="9" t="s">
        <v>3093</v>
      </c>
      <c r="I366" s="9">
        <v>96</v>
      </c>
      <c r="J366" s="9">
        <v>0</v>
      </c>
      <c r="K366" s="9" t="s">
        <v>1826</v>
      </c>
      <c r="L366" s="9" t="str">
        <f t="shared" si="1"/>
        <v>Y</v>
      </c>
    </row>
    <row r="367" spans="1:12">
      <c r="A367" s="9">
        <v>467</v>
      </c>
      <c r="B367" s="9">
        <v>126</v>
      </c>
      <c r="C367" s="9" t="s">
        <v>4093</v>
      </c>
      <c r="D367" s="9" t="s">
        <v>4094</v>
      </c>
      <c r="E367" s="9">
        <v>244</v>
      </c>
      <c r="F367" s="9" t="s">
        <v>4095</v>
      </c>
      <c r="G367" s="9">
        <v>1</v>
      </c>
      <c r="H367" s="9" t="s">
        <v>3093</v>
      </c>
      <c r="I367" s="9">
        <v>53</v>
      </c>
      <c r="J367" s="9">
        <v>0</v>
      </c>
      <c r="K367" s="9" t="s">
        <v>3835</v>
      </c>
      <c r="L367" s="9" t="str">
        <f t="shared" si="1"/>
        <v>Y</v>
      </c>
    </row>
    <row r="368" spans="1:12">
      <c r="A368" s="9">
        <v>468</v>
      </c>
      <c r="B368" s="9">
        <v>120</v>
      </c>
      <c r="C368" s="9" t="s">
        <v>4096</v>
      </c>
      <c r="D368" s="9" t="s">
        <v>4097</v>
      </c>
      <c r="E368" s="9">
        <v>208</v>
      </c>
      <c r="F368" s="9" t="s">
        <v>4095</v>
      </c>
      <c r="G368" s="9">
        <v>0</v>
      </c>
      <c r="H368" s="9" t="s">
        <v>3093</v>
      </c>
      <c r="I368" s="9">
        <v>208</v>
      </c>
      <c r="J368" s="9">
        <v>0</v>
      </c>
      <c r="K368" s="9" t="s">
        <v>752</v>
      </c>
      <c r="L368" s="9" t="str">
        <f t="shared" si="1"/>
        <v>Y</v>
      </c>
    </row>
    <row r="369" spans="1:12">
      <c r="A369" s="9">
        <v>469</v>
      </c>
      <c r="B369" s="9">
        <v>122</v>
      </c>
      <c r="C369" s="9" t="s">
        <v>4098</v>
      </c>
      <c r="D369" s="9" t="s">
        <v>4099</v>
      </c>
      <c r="E369" s="9">
        <v>220</v>
      </c>
      <c r="F369" s="9" t="s">
        <v>4100</v>
      </c>
      <c r="G369" s="9">
        <v>1</v>
      </c>
      <c r="H369" s="9" t="s">
        <v>3093</v>
      </c>
      <c r="I369" s="9">
        <v>142</v>
      </c>
      <c r="J369" s="9">
        <v>0</v>
      </c>
      <c r="K369" s="9" t="s">
        <v>1893</v>
      </c>
      <c r="L369" s="9" t="str">
        <f t="shared" si="1"/>
        <v>Y</v>
      </c>
    </row>
    <row r="370" spans="1:12">
      <c r="A370" s="9">
        <v>470</v>
      </c>
      <c r="B370" s="9">
        <v>118</v>
      </c>
      <c r="C370" s="9" t="s">
        <v>4101</v>
      </c>
      <c r="D370" s="9" t="s">
        <v>4102</v>
      </c>
      <c r="E370" s="9">
        <v>193</v>
      </c>
      <c r="F370" s="9" t="s">
        <v>4103</v>
      </c>
      <c r="G370" s="9">
        <v>0</v>
      </c>
      <c r="H370" s="9" t="s">
        <v>3093</v>
      </c>
      <c r="I370" s="9">
        <v>211</v>
      </c>
      <c r="J370" s="9">
        <v>0</v>
      </c>
      <c r="K370" s="9" t="s">
        <v>752</v>
      </c>
      <c r="L370" s="9" t="str">
        <f t="shared" si="1"/>
        <v>Y</v>
      </c>
    </row>
    <row r="371" spans="1:12">
      <c r="A371" s="9">
        <v>471</v>
      </c>
      <c r="B371" s="9">
        <v>119</v>
      </c>
      <c r="C371" s="9" t="s">
        <v>4104</v>
      </c>
      <c r="D371" s="9" t="s">
        <v>4105</v>
      </c>
      <c r="E371" s="9">
        <v>204</v>
      </c>
      <c r="F371" s="9" t="s">
        <v>4106</v>
      </c>
      <c r="G371" s="9">
        <v>0</v>
      </c>
      <c r="H371" s="9" t="s">
        <v>3250</v>
      </c>
      <c r="I371" s="9">
        <v>207</v>
      </c>
      <c r="J371" s="9">
        <v>0</v>
      </c>
      <c r="K371" s="9" t="s">
        <v>752</v>
      </c>
      <c r="L371" s="9" t="str">
        <f t="shared" si="1"/>
        <v>Y</v>
      </c>
    </row>
    <row r="372" spans="1:12">
      <c r="A372" s="9">
        <v>472</v>
      </c>
      <c r="B372" s="9">
        <v>120</v>
      </c>
      <c r="C372" s="9" t="s">
        <v>4107</v>
      </c>
      <c r="D372" s="9" t="s">
        <v>20</v>
      </c>
      <c r="E372" s="9">
        <v>207</v>
      </c>
      <c r="F372" s="9" t="s">
        <v>4108</v>
      </c>
      <c r="G372" s="9">
        <v>0</v>
      </c>
      <c r="H372" s="9" t="s">
        <v>3093</v>
      </c>
      <c r="I372" s="9">
        <v>129</v>
      </c>
      <c r="J372" s="9">
        <v>0</v>
      </c>
      <c r="K372" s="9" t="s">
        <v>699</v>
      </c>
      <c r="L372" s="9" t="str">
        <f t="shared" si="1"/>
        <v>N</v>
      </c>
    </row>
    <row r="373" spans="1:12">
      <c r="A373" s="9">
        <v>473</v>
      </c>
      <c r="B373" s="9">
        <v>125</v>
      </c>
      <c r="C373" s="9" t="s">
        <v>4109</v>
      </c>
      <c r="D373" s="9" t="s">
        <v>4110</v>
      </c>
      <c r="E373" s="9">
        <v>240</v>
      </c>
      <c r="F373" s="9" t="s">
        <v>4108</v>
      </c>
      <c r="G373" s="9">
        <v>0</v>
      </c>
      <c r="H373" s="9" t="s">
        <v>3093</v>
      </c>
      <c r="I373" s="9">
        <v>67</v>
      </c>
      <c r="J373" s="9">
        <v>1</v>
      </c>
      <c r="K373" s="9" t="s">
        <v>3847</v>
      </c>
      <c r="L373" s="9" t="str">
        <f t="shared" si="1"/>
        <v>Y</v>
      </c>
    </row>
    <row r="374" spans="1:12">
      <c r="A374" s="9">
        <v>474</v>
      </c>
      <c r="B374" s="9">
        <v>126</v>
      </c>
      <c r="C374" s="9" t="s">
        <v>4111</v>
      </c>
      <c r="D374" s="9" t="s">
        <v>4112</v>
      </c>
      <c r="E374" s="9">
        <v>247</v>
      </c>
      <c r="F374" s="9" t="s">
        <v>4113</v>
      </c>
      <c r="G374" s="9">
        <v>1</v>
      </c>
      <c r="H374" s="9" t="s">
        <v>3093</v>
      </c>
      <c r="I374" s="9">
        <v>171</v>
      </c>
      <c r="J374" s="9">
        <v>0</v>
      </c>
      <c r="K374" s="9" t="s">
        <v>1885</v>
      </c>
      <c r="L374" s="9" t="str">
        <f t="shared" si="1"/>
        <v>Y</v>
      </c>
    </row>
    <row r="375" spans="1:12">
      <c r="A375" s="9">
        <v>475</v>
      </c>
      <c r="B375" s="9">
        <v>120</v>
      </c>
      <c r="C375" s="9" t="s">
        <v>4114</v>
      </c>
      <c r="D375" s="9" t="s">
        <v>4115</v>
      </c>
      <c r="E375" s="9">
        <v>208</v>
      </c>
      <c r="F375" s="9" t="s">
        <v>4113</v>
      </c>
      <c r="G375" s="9">
        <v>0</v>
      </c>
      <c r="H375" s="9" t="s">
        <v>3093</v>
      </c>
      <c r="I375" s="9">
        <v>211</v>
      </c>
      <c r="J375" s="9">
        <v>0</v>
      </c>
      <c r="K375" s="9" t="s">
        <v>752</v>
      </c>
      <c r="L375" s="9" t="str">
        <f t="shared" si="1"/>
        <v>Y</v>
      </c>
    </row>
    <row r="376" spans="1:12">
      <c r="A376" s="9">
        <v>476</v>
      </c>
      <c r="B376" s="9">
        <v>125</v>
      </c>
      <c r="C376" s="9" t="s">
        <v>4116</v>
      </c>
      <c r="D376" s="9" t="s">
        <v>4117</v>
      </c>
      <c r="E376" s="9">
        <v>238</v>
      </c>
      <c r="F376" s="9" t="s">
        <v>4118</v>
      </c>
      <c r="G376" s="9">
        <v>0</v>
      </c>
      <c r="H376" s="9" t="s">
        <v>3093</v>
      </c>
      <c r="I376" s="9">
        <v>142</v>
      </c>
      <c r="J376" s="9">
        <v>0</v>
      </c>
      <c r="K376" s="9" t="s">
        <v>1893</v>
      </c>
      <c r="L376" s="9" t="str">
        <f t="shared" si="1"/>
        <v>Y</v>
      </c>
    </row>
    <row r="377" spans="1:12">
      <c r="A377" s="9">
        <v>477</v>
      </c>
      <c r="B377" s="9">
        <v>119</v>
      </c>
      <c r="C377" s="9" t="s">
        <v>4119</v>
      </c>
      <c r="D377" s="9" t="s">
        <v>4120</v>
      </c>
      <c r="E377" s="9">
        <v>200</v>
      </c>
      <c r="F377" s="9" t="s">
        <v>4118</v>
      </c>
      <c r="G377" s="9">
        <v>0</v>
      </c>
      <c r="H377" s="9" t="s">
        <v>3093</v>
      </c>
      <c r="I377" s="9">
        <v>52</v>
      </c>
      <c r="J377" s="9">
        <v>0</v>
      </c>
      <c r="K377" s="9" t="s">
        <v>3835</v>
      </c>
      <c r="L377" s="9" t="str">
        <f t="shared" si="1"/>
        <v>Y</v>
      </c>
    </row>
    <row r="378" spans="1:12">
      <c r="A378" s="9">
        <v>478</v>
      </c>
      <c r="B378" s="9">
        <v>121</v>
      </c>
      <c r="C378" s="9" t="s">
        <v>4121</v>
      </c>
      <c r="D378" s="9" t="s">
        <v>4122</v>
      </c>
      <c r="E378" s="9">
        <v>217</v>
      </c>
      <c r="F378" s="9" t="s">
        <v>4123</v>
      </c>
      <c r="G378" s="9">
        <v>0</v>
      </c>
      <c r="H378" s="9" t="s">
        <v>3093</v>
      </c>
      <c r="I378" s="9">
        <v>90</v>
      </c>
      <c r="J378" s="9">
        <v>0</v>
      </c>
      <c r="K378" s="9" t="s">
        <v>1826</v>
      </c>
      <c r="L378" s="9" t="str">
        <f t="shared" si="1"/>
        <v>Y</v>
      </c>
    </row>
    <row r="379" spans="1:12">
      <c r="A379" s="9">
        <v>479</v>
      </c>
      <c r="B379" s="9">
        <v>122</v>
      </c>
      <c r="C379" s="9" t="s">
        <v>4124</v>
      </c>
      <c r="D379" s="9" t="s">
        <v>4125</v>
      </c>
      <c r="E379" s="9">
        <v>220</v>
      </c>
      <c r="F379" s="9" t="s">
        <v>1784</v>
      </c>
      <c r="G379" s="9">
        <v>0</v>
      </c>
      <c r="H379" s="9" t="s">
        <v>3093</v>
      </c>
      <c r="I379" s="9">
        <v>171</v>
      </c>
      <c r="J379" s="9">
        <v>0</v>
      </c>
      <c r="K379" s="9" t="s">
        <v>1885</v>
      </c>
      <c r="L379" s="9" t="str">
        <f t="shared" si="1"/>
        <v>Y</v>
      </c>
    </row>
    <row r="380" spans="1:12">
      <c r="A380" s="9">
        <v>480</v>
      </c>
      <c r="B380" s="9">
        <v>120</v>
      </c>
      <c r="C380" s="9" t="s">
        <v>4126</v>
      </c>
      <c r="D380" s="9" t="s">
        <v>4127</v>
      </c>
      <c r="E380" s="9">
        <v>211</v>
      </c>
      <c r="F380" s="9" t="s">
        <v>4128</v>
      </c>
      <c r="G380" s="9">
        <v>0</v>
      </c>
      <c r="H380" s="9" t="s">
        <v>3962</v>
      </c>
      <c r="I380" s="9" t="s">
        <v>4129</v>
      </c>
      <c r="J380" s="9">
        <v>4</v>
      </c>
      <c r="K380" s="9" t="s">
        <v>1779</v>
      </c>
      <c r="L380" s="9" t="str">
        <f t="shared" si="1"/>
        <v>Y</v>
      </c>
    </row>
    <row r="381" spans="1:12">
      <c r="A381" s="9">
        <v>481</v>
      </c>
      <c r="B381" s="9">
        <v>125</v>
      </c>
      <c r="C381" s="9" t="s">
        <v>4130</v>
      </c>
      <c r="D381" s="9" t="s">
        <v>4131</v>
      </c>
      <c r="E381" s="9">
        <v>241</v>
      </c>
      <c r="F381" s="9" t="s">
        <v>4132</v>
      </c>
      <c r="G381" s="9">
        <v>0</v>
      </c>
      <c r="H381" s="9" t="s">
        <v>3093</v>
      </c>
      <c r="I381" s="9">
        <v>68</v>
      </c>
      <c r="J381" s="9">
        <v>0</v>
      </c>
      <c r="K381" s="9" t="s">
        <v>3847</v>
      </c>
      <c r="L381" s="9" t="str">
        <f t="shared" si="1"/>
        <v>Y</v>
      </c>
    </row>
    <row r="382" spans="1:12">
      <c r="A382" s="9">
        <v>482</v>
      </c>
      <c r="B382" s="9">
        <v>126</v>
      </c>
      <c r="C382" s="9" t="s">
        <v>4133</v>
      </c>
      <c r="D382" s="9" t="s">
        <v>4134</v>
      </c>
      <c r="E382" s="9">
        <v>247</v>
      </c>
      <c r="F382" s="9" t="s">
        <v>4135</v>
      </c>
      <c r="G382" s="9">
        <v>0</v>
      </c>
      <c r="H382" s="9" t="s">
        <v>3093</v>
      </c>
      <c r="I382" s="9">
        <v>156</v>
      </c>
      <c r="J382" s="9">
        <v>0</v>
      </c>
      <c r="K382" s="9" t="s">
        <v>2292</v>
      </c>
      <c r="L382" s="9" t="str">
        <f t="shared" si="1"/>
        <v>Y</v>
      </c>
    </row>
    <row r="383" spans="1:12">
      <c r="A383" s="9">
        <v>483</v>
      </c>
      <c r="B383" s="9">
        <v>123</v>
      </c>
      <c r="C383" s="9" t="s">
        <v>4136</v>
      </c>
      <c r="D383" s="9" t="s">
        <v>20</v>
      </c>
      <c r="E383" s="9">
        <v>227</v>
      </c>
      <c r="F383" s="9" t="s">
        <v>4137</v>
      </c>
      <c r="G383" s="9">
        <v>0</v>
      </c>
      <c r="H383" s="9" t="s">
        <v>3093</v>
      </c>
      <c r="I383" s="9">
        <v>172</v>
      </c>
      <c r="J383" s="9">
        <v>0</v>
      </c>
      <c r="K383" s="9" t="s">
        <v>699</v>
      </c>
      <c r="L383" s="9" t="str">
        <f t="shared" si="1"/>
        <v>N</v>
      </c>
    </row>
    <row r="384" spans="1:12">
      <c r="A384" s="9">
        <v>484</v>
      </c>
      <c r="B384" s="9">
        <v>119</v>
      </c>
      <c r="C384" s="9" t="s">
        <v>4138</v>
      </c>
      <c r="D384" s="9" t="s">
        <v>4139</v>
      </c>
      <c r="E384" s="9">
        <v>204</v>
      </c>
      <c r="F384" s="9" t="s">
        <v>4137</v>
      </c>
      <c r="G384" s="9">
        <v>0</v>
      </c>
      <c r="H384" s="9" t="s">
        <v>3250</v>
      </c>
      <c r="I384" s="9">
        <v>204</v>
      </c>
      <c r="J384" s="9">
        <v>0</v>
      </c>
      <c r="K384" s="9" t="s">
        <v>752</v>
      </c>
      <c r="L384" s="9" t="str">
        <f t="shared" si="1"/>
        <v>Y</v>
      </c>
    </row>
    <row r="385" spans="1:12">
      <c r="A385" s="9">
        <v>485</v>
      </c>
      <c r="B385" s="9">
        <v>120</v>
      </c>
      <c r="C385" s="9" t="s">
        <v>4140</v>
      </c>
      <c r="D385" s="9" t="s">
        <v>4141</v>
      </c>
      <c r="E385" s="9">
        <v>208</v>
      </c>
      <c r="F385" s="9" t="s">
        <v>4142</v>
      </c>
      <c r="G385" s="9">
        <v>0</v>
      </c>
      <c r="H385" s="9" t="s">
        <v>3093</v>
      </c>
      <c r="I385" s="9">
        <v>71</v>
      </c>
      <c r="J385" s="9">
        <v>0</v>
      </c>
      <c r="K385" s="9" t="s">
        <v>3847</v>
      </c>
      <c r="L385" s="9" t="str">
        <f t="shared" si="1"/>
        <v>Y</v>
      </c>
    </row>
    <row r="386" spans="1:12">
      <c r="A386" s="9">
        <v>486</v>
      </c>
      <c r="B386" s="9">
        <v>125</v>
      </c>
      <c r="C386" s="9" t="s">
        <v>4143</v>
      </c>
      <c r="D386" s="9" t="s">
        <v>4144</v>
      </c>
      <c r="E386" s="9">
        <v>240</v>
      </c>
      <c r="F386" s="9" t="s">
        <v>4145</v>
      </c>
      <c r="G386" s="9">
        <v>1</v>
      </c>
      <c r="H386" s="9" t="s">
        <v>3093</v>
      </c>
      <c r="I386" s="9">
        <v>88</v>
      </c>
      <c r="J386" s="9">
        <v>1</v>
      </c>
      <c r="K386" s="9" t="s">
        <v>1826</v>
      </c>
      <c r="L386" s="9" t="str">
        <f t="shared" si="1"/>
        <v>Y</v>
      </c>
    </row>
    <row r="387" spans="1:12">
      <c r="A387" s="9">
        <v>487</v>
      </c>
      <c r="B387" s="9">
        <v>126</v>
      </c>
      <c r="C387" s="9" t="s">
        <v>4146</v>
      </c>
      <c r="D387" s="9" t="s">
        <v>4147</v>
      </c>
      <c r="E387" s="9">
        <v>244</v>
      </c>
      <c r="F387" s="9" t="s">
        <v>4148</v>
      </c>
      <c r="G387" s="9">
        <v>0</v>
      </c>
      <c r="H387" s="9" t="s">
        <v>3093</v>
      </c>
      <c r="I387" s="9">
        <v>125</v>
      </c>
      <c r="J387" s="9">
        <v>0</v>
      </c>
      <c r="K387" s="9" t="s">
        <v>1779</v>
      </c>
      <c r="L387" s="9" t="str">
        <f t="shared" si="1"/>
        <v>Y</v>
      </c>
    </row>
    <row r="388" spans="1:12">
      <c r="A388" s="9">
        <v>488</v>
      </c>
      <c r="B388" s="9">
        <v>125</v>
      </c>
      <c r="C388" s="9" t="s">
        <v>4149</v>
      </c>
      <c r="D388" s="9" t="s">
        <v>4150</v>
      </c>
      <c r="E388" s="9">
        <v>238</v>
      </c>
      <c r="F388" s="9" t="s">
        <v>4151</v>
      </c>
      <c r="G388" s="9">
        <v>0</v>
      </c>
      <c r="H388" s="9" t="s">
        <v>3093</v>
      </c>
      <c r="I388" s="9">
        <v>203</v>
      </c>
      <c r="J388" s="9">
        <v>0</v>
      </c>
      <c r="K388" s="9" t="s">
        <v>752</v>
      </c>
      <c r="L388" s="9" t="str">
        <f t="shared" si="1"/>
        <v>Y</v>
      </c>
    </row>
    <row r="389" spans="1:12">
      <c r="A389" s="9">
        <v>489</v>
      </c>
      <c r="B389" s="9">
        <v>122</v>
      </c>
      <c r="C389" s="9" t="s">
        <v>4152</v>
      </c>
      <c r="D389" s="9" t="s">
        <v>20</v>
      </c>
      <c r="E389" s="9">
        <v>222</v>
      </c>
      <c r="F389" s="9" t="s">
        <v>4153</v>
      </c>
      <c r="G389" s="9">
        <v>0</v>
      </c>
      <c r="H389" s="9" t="s">
        <v>3093</v>
      </c>
      <c r="I389" s="9">
        <v>177</v>
      </c>
      <c r="J389" s="9">
        <v>0</v>
      </c>
      <c r="K389" s="9" t="s">
        <v>699</v>
      </c>
      <c r="L389" s="9" t="str">
        <f t="shared" si="1"/>
        <v>N</v>
      </c>
    </row>
    <row r="390" spans="1:12">
      <c r="A390" s="9">
        <v>490</v>
      </c>
      <c r="B390" s="9">
        <v>125</v>
      </c>
      <c r="C390" s="9" t="s">
        <v>4154</v>
      </c>
      <c r="D390" s="9" t="s">
        <v>4155</v>
      </c>
      <c r="E390" s="9">
        <v>241</v>
      </c>
      <c r="F390" s="9" t="s">
        <v>4156</v>
      </c>
      <c r="G390" s="9">
        <v>1</v>
      </c>
      <c r="H390" s="9" t="s">
        <v>3093</v>
      </c>
      <c r="I390" s="9">
        <v>88</v>
      </c>
      <c r="J390" s="9">
        <v>0</v>
      </c>
      <c r="K390" s="9" t="s">
        <v>1826</v>
      </c>
      <c r="L390" s="9" t="str">
        <f t="shared" si="1"/>
        <v>Y</v>
      </c>
    </row>
    <row r="391" spans="1:12">
      <c r="A391" s="9">
        <v>491</v>
      </c>
      <c r="B391" s="9">
        <v>126</v>
      </c>
      <c r="C391" s="9" t="s">
        <v>4157</v>
      </c>
      <c r="D391" s="9" t="s">
        <v>4158</v>
      </c>
      <c r="E391" s="9">
        <v>247</v>
      </c>
      <c r="F391" s="9" t="s">
        <v>4159</v>
      </c>
      <c r="G391" s="9">
        <v>1</v>
      </c>
      <c r="H391" s="9" t="s">
        <v>3093</v>
      </c>
      <c r="I391" s="9">
        <v>172</v>
      </c>
      <c r="J391" s="9">
        <v>0</v>
      </c>
      <c r="K391" s="9" t="s">
        <v>1885</v>
      </c>
      <c r="L391" s="9" t="str">
        <f t="shared" si="1"/>
        <v>Y</v>
      </c>
    </row>
    <row r="392" spans="1:12">
      <c r="A392" s="9">
        <v>492</v>
      </c>
      <c r="B392" s="9">
        <v>122</v>
      </c>
      <c r="C392" s="9" t="s">
        <v>4160</v>
      </c>
      <c r="D392" s="9" t="s">
        <v>4161</v>
      </c>
      <c r="E392" s="9">
        <v>220</v>
      </c>
      <c r="F392" s="9" t="s">
        <v>4162</v>
      </c>
      <c r="G392" s="9">
        <v>0</v>
      </c>
      <c r="H392" s="9" t="s">
        <v>3093</v>
      </c>
      <c r="I392" s="9">
        <v>207</v>
      </c>
      <c r="J392" s="9">
        <v>0</v>
      </c>
      <c r="K392" s="9" t="s">
        <v>752</v>
      </c>
      <c r="L392" s="9" t="str">
        <f t="shared" si="1"/>
        <v>Y</v>
      </c>
    </row>
    <row r="393" spans="1:12">
      <c r="A393" s="9">
        <v>493</v>
      </c>
      <c r="B393" s="9">
        <v>120</v>
      </c>
      <c r="C393" s="9" t="s">
        <v>4163</v>
      </c>
      <c r="D393" s="9" t="s">
        <v>4164</v>
      </c>
      <c r="E393" s="9">
        <v>208</v>
      </c>
      <c r="F393" s="9" t="s">
        <v>4162</v>
      </c>
      <c r="G393" s="9">
        <v>0</v>
      </c>
      <c r="H393" s="9" t="s">
        <v>3093</v>
      </c>
      <c r="I393" s="9">
        <v>52.53</v>
      </c>
      <c r="J393" s="9">
        <v>0</v>
      </c>
      <c r="K393" s="9" t="s">
        <v>3835</v>
      </c>
      <c r="L393" s="9" t="str">
        <f t="shared" si="1"/>
        <v>Y</v>
      </c>
    </row>
    <row r="394" spans="1:12">
      <c r="A394" s="9">
        <v>494</v>
      </c>
      <c r="B394" s="9">
        <v>125</v>
      </c>
      <c r="C394" s="9" t="s">
        <v>4165</v>
      </c>
      <c r="D394" s="9" t="s">
        <v>4166</v>
      </c>
      <c r="E394" s="9">
        <v>241</v>
      </c>
      <c r="F394" s="9" t="s">
        <v>4167</v>
      </c>
      <c r="G394" s="9">
        <v>0</v>
      </c>
      <c r="H394" s="9" t="s">
        <v>3093</v>
      </c>
      <c r="I394" s="9">
        <v>125</v>
      </c>
      <c r="J394" s="9">
        <v>0</v>
      </c>
      <c r="K394" s="9" t="s">
        <v>1779</v>
      </c>
      <c r="L394" s="9" t="str">
        <f t="shared" si="1"/>
        <v>Y</v>
      </c>
    </row>
    <row r="395" spans="1:12">
      <c r="A395" s="9">
        <v>495</v>
      </c>
      <c r="B395" s="9">
        <v>121</v>
      </c>
      <c r="C395" s="9" t="s">
        <v>4168</v>
      </c>
      <c r="D395" s="9" t="s">
        <v>20</v>
      </c>
      <c r="E395" s="9">
        <v>216</v>
      </c>
      <c r="F395" s="9" t="s">
        <v>1787</v>
      </c>
      <c r="G395" s="9">
        <v>0</v>
      </c>
      <c r="H395" s="9" t="s">
        <v>3093</v>
      </c>
      <c r="I395" s="9">
        <v>142</v>
      </c>
      <c r="J395" s="9">
        <v>0</v>
      </c>
      <c r="K395" s="9" t="s">
        <v>699</v>
      </c>
      <c r="L395" s="9" t="str">
        <f t="shared" si="1"/>
        <v>N</v>
      </c>
    </row>
    <row r="396" spans="1:12">
      <c r="A396" s="9">
        <v>496</v>
      </c>
      <c r="B396" s="9">
        <v>125</v>
      </c>
      <c r="C396" s="9" t="s">
        <v>4169</v>
      </c>
      <c r="D396" s="9" t="s">
        <v>4170</v>
      </c>
      <c r="E396" s="9">
        <v>240</v>
      </c>
      <c r="F396" s="9" t="s">
        <v>4171</v>
      </c>
      <c r="G396" s="9">
        <v>0</v>
      </c>
      <c r="H396" s="9" t="s">
        <v>3093</v>
      </c>
      <c r="I396" s="9">
        <v>90</v>
      </c>
      <c r="J396" s="9">
        <v>0</v>
      </c>
      <c r="K396" s="9" t="s">
        <v>1826</v>
      </c>
      <c r="L396" s="9" t="str">
        <f t="shared" si="1"/>
        <v>Y</v>
      </c>
    </row>
    <row r="397" spans="1:12">
      <c r="A397" s="9">
        <v>497</v>
      </c>
      <c r="B397" s="9">
        <v>122</v>
      </c>
      <c r="C397" s="9" t="s">
        <v>4172</v>
      </c>
      <c r="D397" s="9" t="s">
        <v>4173</v>
      </c>
      <c r="E397" s="9">
        <v>222</v>
      </c>
      <c r="F397" s="9" t="s">
        <v>4174</v>
      </c>
      <c r="G397" s="9">
        <v>1</v>
      </c>
      <c r="H397" s="9" t="s">
        <v>3093</v>
      </c>
      <c r="I397" s="9">
        <v>177</v>
      </c>
      <c r="J397" s="9">
        <v>0</v>
      </c>
      <c r="K397" s="9" t="s">
        <v>1885</v>
      </c>
      <c r="L397" s="9" t="str">
        <f t="shared" si="1"/>
        <v>Y</v>
      </c>
    </row>
    <row r="398" spans="1:12">
      <c r="A398" s="9">
        <v>498</v>
      </c>
      <c r="B398" s="9">
        <v>126</v>
      </c>
      <c r="C398" s="9" t="s">
        <v>4175</v>
      </c>
      <c r="D398" s="9" t="s">
        <v>4176</v>
      </c>
      <c r="E398" s="9">
        <v>247</v>
      </c>
      <c r="F398" s="9" t="s">
        <v>4177</v>
      </c>
      <c r="G398" s="9">
        <v>1</v>
      </c>
      <c r="H398" s="9" t="s">
        <v>3093</v>
      </c>
      <c r="I398" s="9">
        <v>212</v>
      </c>
      <c r="J398" s="9">
        <v>0</v>
      </c>
      <c r="K398" s="9" t="s">
        <v>752</v>
      </c>
      <c r="L398" s="9" t="str">
        <f t="shared" si="1"/>
        <v>Y</v>
      </c>
    </row>
    <row r="399" spans="1:12">
      <c r="A399" s="9">
        <v>499</v>
      </c>
      <c r="B399" s="9">
        <v>126</v>
      </c>
      <c r="C399" s="9" t="s">
        <v>4178</v>
      </c>
      <c r="D399" s="9" t="s">
        <v>4179</v>
      </c>
      <c r="E399" s="9">
        <v>245</v>
      </c>
      <c r="F399" s="9" t="s">
        <v>4180</v>
      </c>
      <c r="G399" s="9">
        <v>1</v>
      </c>
      <c r="H399" s="9" t="s">
        <v>3093</v>
      </c>
      <c r="I399" s="9">
        <v>176</v>
      </c>
      <c r="J399" s="9">
        <v>0</v>
      </c>
      <c r="K399" s="9" t="s">
        <v>1885</v>
      </c>
      <c r="L399" s="9" t="str">
        <f t="shared" si="1"/>
        <v>Y</v>
      </c>
    </row>
    <row r="400" spans="1:12">
      <c r="A400" s="9">
        <v>500</v>
      </c>
      <c r="B400" s="9">
        <v>121</v>
      </c>
      <c r="C400" s="9" t="s">
        <v>4181</v>
      </c>
      <c r="D400" s="9" t="s">
        <v>4182</v>
      </c>
      <c r="E400" s="9">
        <v>216</v>
      </c>
      <c r="F400" s="9" t="s">
        <v>4180</v>
      </c>
      <c r="G400" s="9">
        <v>0</v>
      </c>
      <c r="H400" s="9" t="s">
        <v>3093</v>
      </c>
      <c r="I400" s="9">
        <v>142</v>
      </c>
      <c r="J400" s="9">
        <v>1</v>
      </c>
      <c r="K400" s="9" t="s">
        <v>1893</v>
      </c>
      <c r="L400" s="9" t="str">
        <f t="shared" si="1"/>
        <v>Y</v>
      </c>
    </row>
    <row r="401" spans="1:12">
      <c r="A401" s="9">
        <v>501</v>
      </c>
      <c r="B401" s="9">
        <v>120</v>
      </c>
      <c r="C401" s="9" t="s">
        <v>4183</v>
      </c>
      <c r="D401" s="9" t="s">
        <v>20</v>
      </c>
      <c r="E401" s="9">
        <v>207</v>
      </c>
      <c r="F401" s="9" t="s">
        <v>4184</v>
      </c>
      <c r="G401" s="9">
        <v>0</v>
      </c>
      <c r="H401" s="9" t="s">
        <v>3093</v>
      </c>
      <c r="I401" s="9">
        <v>129.20400000000001</v>
      </c>
      <c r="J401" s="9">
        <v>0</v>
      </c>
      <c r="K401" s="9" t="s">
        <v>699</v>
      </c>
      <c r="L401" s="9" t="str">
        <f t="shared" si="1"/>
        <v>N</v>
      </c>
    </row>
    <row r="402" spans="1:12">
      <c r="A402" s="9">
        <v>502</v>
      </c>
      <c r="B402" s="9">
        <v>124</v>
      </c>
      <c r="C402" s="9" t="s">
        <v>4185</v>
      </c>
      <c r="D402" s="9" t="s">
        <v>4186</v>
      </c>
      <c r="E402" s="9">
        <v>234</v>
      </c>
      <c r="F402" s="9" t="s">
        <v>4187</v>
      </c>
      <c r="G402" s="9">
        <v>1</v>
      </c>
      <c r="H402" s="9" t="s">
        <v>3093</v>
      </c>
      <c r="I402" s="9">
        <v>51</v>
      </c>
      <c r="J402" s="9">
        <v>0</v>
      </c>
      <c r="K402" s="9" t="s">
        <v>3835</v>
      </c>
      <c r="L402" s="9" t="str">
        <f t="shared" si="1"/>
        <v>Y</v>
      </c>
    </row>
    <row r="403" spans="1:12">
      <c r="A403" s="9">
        <v>503</v>
      </c>
      <c r="B403" s="9">
        <v>120</v>
      </c>
      <c r="C403" s="9" t="s">
        <v>4188</v>
      </c>
      <c r="D403" s="9" t="s">
        <v>4189</v>
      </c>
      <c r="E403" s="9">
        <v>207</v>
      </c>
      <c r="F403" s="9" t="s">
        <v>4190</v>
      </c>
      <c r="G403" s="9">
        <v>0</v>
      </c>
      <c r="H403" s="9" t="s">
        <v>3093</v>
      </c>
      <c r="I403" s="9">
        <v>204</v>
      </c>
      <c r="J403" s="9">
        <v>0</v>
      </c>
      <c r="K403" s="9" t="s">
        <v>752</v>
      </c>
      <c r="L403" s="9" t="str">
        <f t="shared" si="1"/>
        <v>Y</v>
      </c>
    </row>
    <row r="404" spans="1:12">
      <c r="A404" s="9">
        <v>504</v>
      </c>
      <c r="B404" s="9">
        <v>122</v>
      </c>
      <c r="C404" s="9" t="s">
        <v>4191</v>
      </c>
      <c r="D404" s="9" t="s">
        <v>4192</v>
      </c>
      <c r="E404" s="9">
        <v>221</v>
      </c>
      <c r="F404" s="9" t="s">
        <v>4193</v>
      </c>
      <c r="G404" s="9">
        <v>1</v>
      </c>
      <c r="H404" s="9" t="s">
        <v>3093</v>
      </c>
      <c r="I404" s="9">
        <v>142</v>
      </c>
      <c r="J404" s="9">
        <v>0</v>
      </c>
      <c r="K404" s="9" t="s">
        <v>1893</v>
      </c>
      <c r="L404" s="9" t="str">
        <f t="shared" si="1"/>
        <v>Y</v>
      </c>
    </row>
    <row r="405" spans="1:12">
      <c r="A405" s="9">
        <v>505</v>
      </c>
      <c r="B405" s="9">
        <v>118</v>
      </c>
      <c r="C405" s="9" t="s">
        <v>4194</v>
      </c>
      <c r="D405" s="9" t="s">
        <v>4195</v>
      </c>
      <c r="E405" s="9">
        <v>195</v>
      </c>
      <c r="F405" s="9" t="s">
        <v>4196</v>
      </c>
      <c r="G405" s="9">
        <v>1</v>
      </c>
      <c r="H405" s="9" t="s">
        <v>3093</v>
      </c>
      <c r="I405" s="9">
        <v>159</v>
      </c>
      <c r="J405" s="9">
        <v>12</v>
      </c>
      <c r="K405" s="9" t="s">
        <v>699</v>
      </c>
      <c r="L405" s="9" t="str">
        <f t="shared" si="1"/>
        <v>Y</v>
      </c>
    </row>
    <row r="406" spans="1:12">
      <c r="A406" s="9">
        <v>506</v>
      </c>
      <c r="B406" s="9">
        <v>119</v>
      </c>
      <c r="C406" s="9" t="s">
        <v>4197</v>
      </c>
      <c r="D406" s="9" t="s">
        <v>4198</v>
      </c>
      <c r="E406" s="9">
        <v>204</v>
      </c>
      <c r="F406" s="9" t="s">
        <v>4196</v>
      </c>
      <c r="G406" s="9">
        <v>0</v>
      </c>
      <c r="H406" s="9" t="s">
        <v>3093</v>
      </c>
      <c r="I406" s="9">
        <v>96</v>
      </c>
      <c r="J406" s="9">
        <v>0</v>
      </c>
      <c r="K406" s="9" t="s">
        <v>1826</v>
      </c>
      <c r="L406" s="9" t="str">
        <f t="shared" si="1"/>
        <v>Y</v>
      </c>
    </row>
    <row r="407" spans="1:12">
      <c r="A407" s="9">
        <v>507</v>
      </c>
      <c r="B407" s="9">
        <v>125</v>
      </c>
      <c r="C407" s="9" t="s">
        <v>4199</v>
      </c>
      <c r="D407" s="9" t="s">
        <v>4200</v>
      </c>
      <c r="E407" s="9">
        <v>240</v>
      </c>
      <c r="F407" s="9" t="s">
        <v>4201</v>
      </c>
      <c r="G407" s="9">
        <v>0</v>
      </c>
      <c r="H407" s="9" t="s">
        <v>3093</v>
      </c>
      <c r="I407" s="9">
        <v>124</v>
      </c>
      <c r="J407" s="9">
        <v>0</v>
      </c>
      <c r="K407" s="9" t="s">
        <v>1779</v>
      </c>
      <c r="L407" s="9" t="str">
        <f t="shared" si="1"/>
        <v>Y</v>
      </c>
    </row>
    <row r="408" spans="1:12">
      <c r="A408" s="9">
        <v>508</v>
      </c>
      <c r="B408" s="9">
        <v>121</v>
      </c>
      <c r="C408" s="9" t="s">
        <v>4202</v>
      </c>
      <c r="D408" s="9" t="s">
        <v>4203</v>
      </c>
      <c r="E408" s="9">
        <v>217</v>
      </c>
      <c r="F408" s="9" t="s">
        <v>664</v>
      </c>
      <c r="G408" s="9">
        <v>0</v>
      </c>
      <c r="H408" s="9" t="s">
        <v>3093</v>
      </c>
      <c r="I408" s="9">
        <v>171</v>
      </c>
      <c r="J408" s="9">
        <v>0</v>
      </c>
      <c r="K408" s="9" t="s">
        <v>1885</v>
      </c>
      <c r="L408" s="9" t="str">
        <f t="shared" si="1"/>
        <v>Y</v>
      </c>
    </row>
    <row r="409" spans="1:12">
      <c r="A409" s="9">
        <v>509</v>
      </c>
      <c r="B409" s="9">
        <v>126</v>
      </c>
      <c r="C409" s="9" t="s">
        <v>4204</v>
      </c>
      <c r="D409" s="9" t="s">
        <v>20</v>
      </c>
      <c r="E409" s="9">
        <v>247</v>
      </c>
      <c r="F409" s="9" t="s">
        <v>1799</v>
      </c>
      <c r="G409" s="9">
        <v>0</v>
      </c>
      <c r="H409" s="9" t="s">
        <v>3093</v>
      </c>
      <c r="I409" s="9">
        <v>143</v>
      </c>
      <c r="J409" s="9">
        <v>0</v>
      </c>
      <c r="K409" s="9" t="s">
        <v>699</v>
      </c>
      <c r="L409" s="9" t="str">
        <f t="shared" si="1"/>
        <v>N</v>
      </c>
    </row>
    <row r="410" spans="1:12">
      <c r="A410" s="9">
        <v>510</v>
      </c>
      <c r="B410" s="9">
        <v>122</v>
      </c>
      <c r="C410" s="9" t="s">
        <v>4205</v>
      </c>
      <c r="D410" s="9" t="s">
        <v>4206</v>
      </c>
      <c r="E410" s="9">
        <v>221</v>
      </c>
      <c r="F410" s="9" t="s">
        <v>4207</v>
      </c>
      <c r="G410" s="9">
        <v>0</v>
      </c>
      <c r="H410" s="9" t="s">
        <v>3093</v>
      </c>
      <c r="I410" s="9">
        <v>176</v>
      </c>
      <c r="J410" s="9">
        <v>0</v>
      </c>
      <c r="K410" s="9" t="s">
        <v>1885</v>
      </c>
      <c r="L410" s="9" t="str">
        <f t="shared" si="1"/>
        <v>Y</v>
      </c>
    </row>
    <row r="411" spans="1:12">
      <c r="A411" s="9">
        <v>511</v>
      </c>
      <c r="B411" s="9">
        <v>124</v>
      </c>
      <c r="C411" s="9" t="s">
        <v>4208</v>
      </c>
      <c r="D411" s="9" t="s">
        <v>4209</v>
      </c>
      <c r="E411" s="9">
        <v>234</v>
      </c>
      <c r="F411" s="9" t="s">
        <v>4207</v>
      </c>
      <c r="G411" s="9">
        <v>1</v>
      </c>
      <c r="H411" s="9" t="s">
        <v>3093</v>
      </c>
      <c r="I411" s="9">
        <v>51</v>
      </c>
      <c r="J411" s="9">
        <v>0</v>
      </c>
      <c r="K411" s="9" t="s">
        <v>3835</v>
      </c>
      <c r="L411" s="9" t="str">
        <f t="shared" si="1"/>
        <v>Y</v>
      </c>
    </row>
    <row r="412" spans="1:12">
      <c r="A412" s="9">
        <v>512</v>
      </c>
      <c r="B412" s="9">
        <v>121</v>
      </c>
      <c r="C412" s="9" t="s">
        <v>4210</v>
      </c>
      <c r="D412" s="9" t="s">
        <v>4211</v>
      </c>
      <c r="E412" s="9">
        <v>217</v>
      </c>
      <c r="F412" s="9" t="s">
        <v>4212</v>
      </c>
      <c r="G412" s="9">
        <v>0</v>
      </c>
      <c r="H412" s="9" t="s">
        <v>3093</v>
      </c>
      <c r="I412" s="9">
        <v>176</v>
      </c>
      <c r="J412" s="9">
        <v>0</v>
      </c>
      <c r="K412" s="9" t="s">
        <v>1885</v>
      </c>
      <c r="L412" s="9" t="str">
        <f t="shared" si="1"/>
        <v>Y</v>
      </c>
    </row>
    <row r="413" spans="1:12">
      <c r="A413" s="9">
        <v>513</v>
      </c>
      <c r="B413" s="9">
        <v>126</v>
      </c>
      <c r="C413" s="9" t="s">
        <v>4213</v>
      </c>
      <c r="D413" s="9" t="s">
        <v>4214</v>
      </c>
      <c r="E413" s="9">
        <v>245</v>
      </c>
      <c r="F413" s="9" t="s">
        <v>1808</v>
      </c>
      <c r="G413" s="9">
        <v>0</v>
      </c>
      <c r="H413" s="9" t="s">
        <v>3093</v>
      </c>
      <c r="I413" s="9">
        <v>35</v>
      </c>
      <c r="J413" s="9">
        <v>1</v>
      </c>
      <c r="K413" s="9" t="s">
        <v>2145</v>
      </c>
      <c r="L413" s="9" t="str">
        <f t="shared" si="1"/>
        <v>Y</v>
      </c>
    </row>
    <row r="414" spans="1:12">
      <c r="A414" s="9">
        <v>514</v>
      </c>
      <c r="B414" s="9">
        <v>126</v>
      </c>
      <c r="C414" s="9" t="s">
        <v>4215</v>
      </c>
      <c r="D414" s="9" t="s">
        <v>4216</v>
      </c>
      <c r="E414" s="9">
        <v>247</v>
      </c>
      <c r="F414" s="9" t="s">
        <v>4217</v>
      </c>
      <c r="G414" s="9">
        <v>1</v>
      </c>
      <c r="H414" s="9" t="s">
        <v>3093</v>
      </c>
      <c r="I414" s="9">
        <v>205</v>
      </c>
      <c r="J414" s="9">
        <v>0</v>
      </c>
      <c r="K414" s="9" t="s">
        <v>752</v>
      </c>
      <c r="L414" s="9" t="str">
        <f t="shared" si="1"/>
        <v>Y</v>
      </c>
    </row>
    <row r="415" spans="1:12">
      <c r="A415" s="9">
        <v>515</v>
      </c>
      <c r="B415" s="9">
        <v>123</v>
      </c>
      <c r="C415" s="9" t="s">
        <v>4218</v>
      </c>
      <c r="D415" s="9" t="s">
        <v>4219</v>
      </c>
      <c r="E415" s="9">
        <v>229</v>
      </c>
      <c r="F415" s="9" t="s">
        <v>4217</v>
      </c>
      <c r="G415" s="9">
        <v>1</v>
      </c>
      <c r="H415" s="9" t="s">
        <v>3093</v>
      </c>
      <c r="I415" s="9">
        <v>208</v>
      </c>
      <c r="J415" s="9">
        <v>0</v>
      </c>
      <c r="K415" s="9" t="s">
        <v>752</v>
      </c>
      <c r="L415" s="9" t="str">
        <f t="shared" si="1"/>
        <v>Y</v>
      </c>
    </row>
    <row r="416" spans="1:12">
      <c r="A416" s="9">
        <v>516</v>
      </c>
      <c r="B416" s="9">
        <v>118</v>
      </c>
      <c r="C416" s="9" t="s">
        <v>4220</v>
      </c>
      <c r="D416" s="9" t="s">
        <v>4221</v>
      </c>
      <c r="E416" s="9">
        <v>195</v>
      </c>
      <c r="F416" s="9" t="s">
        <v>4222</v>
      </c>
      <c r="G416" s="9">
        <v>0</v>
      </c>
      <c r="H416" s="9" t="s">
        <v>3093</v>
      </c>
      <c r="I416" s="9">
        <v>211</v>
      </c>
      <c r="J416" s="9">
        <v>0</v>
      </c>
      <c r="K416" s="9" t="s">
        <v>752</v>
      </c>
      <c r="L416" s="9" t="str">
        <f t="shared" si="1"/>
        <v>Y</v>
      </c>
    </row>
    <row r="417" spans="1:12">
      <c r="A417" s="9">
        <v>517</v>
      </c>
      <c r="B417" s="9">
        <v>122</v>
      </c>
      <c r="C417" s="9" t="s">
        <v>4223</v>
      </c>
      <c r="D417" s="9" t="s">
        <v>4224</v>
      </c>
      <c r="E417" s="9">
        <v>221</v>
      </c>
      <c r="F417" s="9" t="s">
        <v>1814</v>
      </c>
      <c r="G417" s="9">
        <v>1</v>
      </c>
      <c r="H417" s="9" t="s">
        <v>3093</v>
      </c>
      <c r="I417" s="9">
        <v>159</v>
      </c>
      <c r="J417" s="9">
        <v>7</v>
      </c>
      <c r="K417" s="9" t="s">
        <v>699</v>
      </c>
      <c r="L417" s="9" t="str">
        <f t="shared" si="1"/>
        <v>Y</v>
      </c>
    </row>
    <row r="418" spans="1:12">
      <c r="A418" s="9">
        <v>518</v>
      </c>
      <c r="B418" s="9">
        <v>120</v>
      </c>
      <c r="C418" s="9" t="s">
        <v>4225</v>
      </c>
      <c r="D418" s="9" t="s">
        <v>4226</v>
      </c>
      <c r="E418" s="9">
        <v>208</v>
      </c>
      <c r="F418" s="9" t="s">
        <v>4227</v>
      </c>
      <c r="G418" s="9">
        <v>0</v>
      </c>
      <c r="H418" s="9" t="s">
        <v>3093</v>
      </c>
      <c r="I418" s="9">
        <v>147</v>
      </c>
      <c r="J418" s="9">
        <v>1</v>
      </c>
      <c r="K418" s="9" t="s">
        <v>699</v>
      </c>
      <c r="L418" s="9" t="str">
        <f t="shared" si="1"/>
        <v>Y</v>
      </c>
    </row>
    <row r="419" spans="1:12">
      <c r="A419" s="9">
        <v>519</v>
      </c>
      <c r="B419" s="9">
        <v>126</v>
      </c>
      <c r="C419" s="9" t="s">
        <v>4228</v>
      </c>
      <c r="D419" s="9" t="s">
        <v>4229</v>
      </c>
      <c r="E419" s="9">
        <v>245</v>
      </c>
      <c r="F419" s="9" t="s">
        <v>4230</v>
      </c>
      <c r="G419" s="9">
        <v>1</v>
      </c>
      <c r="H419" s="9" t="s">
        <v>3093</v>
      </c>
      <c r="I419" s="9">
        <v>142</v>
      </c>
      <c r="J419" s="9">
        <v>0</v>
      </c>
      <c r="K419" s="9" t="s">
        <v>1893</v>
      </c>
      <c r="L419" s="9" t="str">
        <f t="shared" si="1"/>
        <v>Y</v>
      </c>
    </row>
    <row r="420" spans="1:12">
      <c r="A420" s="9">
        <v>520</v>
      </c>
      <c r="B420" s="9">
        <v>119</v>
      </c>
      <c r="C420" s="9" t="s">
        <v>4231</v>
      </c>
      <c r="D420" s="9" t="s">
        <v>4232</v>
      </c>
      <c r="E420" s="9">
        <v>201</v>
      </c>
      <c r="F420" s="9" t="s">
        <v>4233</v>
      </c>
      <c r="G420" s="9">
        <v>0</v>
      </c>
      <c r="H420" s="9" t="s">
        <v>3093</v>
      </c>
      <c r="I420" s="9">
        <v>204</v>
      </c>
      <c r="J420" s="9">
        <v>0</v>
      </c>
      <c r="K420" s="9" t="s">
        <v>752</v>
      </c>
      <c r="L420" s="9" t="str">
        <f t="shared" si="1"/>
        <v>Y</v>
      </c>
    </row>
    <row r="421" spans="1:12">
      <c r="A421" s="9">
        <v>521</v>
      </c>
      <c r="B421" s="9">
        <v>119</v>
      </c>
      <c r="C421" s="9" t="s">
        <v>4234</v>
      </c>
      <c r="D421" s="9" t="s">
        <v>20</v>
      </c>
      <c r="E421" s="9">
        <v>204</v>
      </c>
      <c r="F421" s="9" t="s">
        <v>4235</v>
      </c>
      <c r="G421" s="9">
        <v>0</v>
      </c>
      <c r="H421" s="9" t="s">
        <v>3093</v>
      </c>
      <c r="I421" s="9">
        <v>116</v>
      </c>
      <c r="J421" s="9">
        <v>0</v>
      </c>
      <c r="K421" s="9" t="s">
        <v>699</v>
      </c>
      <c r="L421" s="9" t="str">
        <f t="shared" si="1"/>
        <v>N</v>
      </c>
    </row>
    <row r="422" spans="1:12">
      <c r="A422" s="9">
        <v>522</v>
      </c>
      <c r="B422" s="9">
        <v>123</v>
      </c>
      <c r="C422" s="9" t="s">
        <v>4236</v>
      </c>
      <c r="D422" s="9" t="s">
        <v>4237</v>
      </c>
      <c r="E422" s="9">
        <v>227</v>
      </c>
      <c r="F422" s="9" t="s">
        <v>4238</v>
      </c>
      <c r="G422" s="9">
        <v>0</v>
      </c>
      <c r="H422" s="9" t="s">
        <v>3093</v>
      </c>
      <c r="I422" s="9">
        <v>176.19</v>
      </c>
      <c r="J422" s="9">
        <v>0</v>
      </c>
      <c r="K422" s="9" t="s">
        <v>4239</v>
      </c>
      <c r="L422" s="9" t="str">
        <f t="shared" si="1"/>
        <v>Y</v>
      </c>
    </row>
    <row r="423" spans="1:12">
      <c r="A423" s="9">
        <v>523</v>
      </c>
      <c r="B423" s="9">
        <v>121</v>
      </c>
      <c r="C423" s="9" t="s">
        <v>4240</v>
      </c>
      <c r="D423" s="9" t="s">
        <v>4241</v>
      </c>
      <c r="E423" s="9">
        <v>216</v>
      </c>
      <c r="F423" s="9" t="s">
        <v>4238</v>
      </c>
      <c r="G423" s="9">
        <v>0</v>
      </c>
      <c r="H423" s="9" t="s">
        <v>3093</v>
      </c>
      <c r="I423" s="9">
        <v>88</v>
      </c>
      <c r="J423" s="9">
        <v>1</v>
      </c>
      <c r="K423" s="9" t="s">
        <v>1826</v>
      </c>
      <c r="L423" s="9" t="str">
        <f t="shared" si="1"/>
        <v>Y</v>
      </c>
    </row>
    <row r="424" spans="1:12">
      <c r="A424" s="9">
        <v>524</v>
      </c>
      <c r="B424" s="9">
        <v>126</v>
      </c>
      <c r="C424" s="9" t="s">
        <v>4242</v>
      </c>
      <c r="D424" s="9" t="s">
        <v>20</v>
      </c>
      <c r="E424" s="9">
        <v>247</v>
      </c>
      <c r="F424" s="9" t="s">
        <v>4243</v>
      </c>
      <c r="G424" s="9">
        <v>0</v>
      </c>
      <c r="H424" s="9" t="s">
        <v>3093</v>
      </c>
      <c r="I424" s="9">
        <v>116</v>
      </c>
      <c r="J424" s="9">
        <v>0</v>
      </c>
      <c r="K424" s="9" t="s">
        <v>699</v>
      </c>
      <c r="L424" s="9" t="str">
        <f t="shared" si="1"/>
        <v>N</v>
      </c>
    </row>
    <row r="425" spans="1:12">
      <c r="A425" s="9">
        <v>525</v>
      </c>
      <c r="B425" s="9">
        <v>120</v>
      </c>
      <c r="C425" s="9" t="s">
        <v>4244</v>
      </c>
      <c r="D425" s="9" t="s">
        <v>4245</v>
      </c>
      <c r="E425" s="9">
        <v>210</v>
      </c>
      <c r="F425" s="9" t="s">
        <v>4246</v>
      </c>
      <c r="G425" s="9">
        <v>0</v>
      </c>
      <c r="H425" s="9" t="s">
        <v>3093</v>
      </c>
      <c r="I425" s="9">
        <v>147</v>
      </c>
      <c r="J425" s="9">
        <v>0</v>
      </c>
      <c r="K425" s="9" t="s">
        <v>699</v>
      </c>
      <c r="L425" s="9" t="str">
        <f t="shared" si="1"/>
        <v>Y</v>
      </c>
    </row>
    <row r="426" spans="1:12">
      <c r="A426" s="9">
        <v>526</v>
      </c>
      <c r="B426" s="9">
        <v>126</v>
      </c>
      <c r="C426" s="9" t="s">
        <v>4247</v>
      </c>
      <c r="D426" s="9" t="s">
        <v>4248</v>
      </c>
      <c r="E426" s="9">
        <v>245</v>
      </c>
      <c r="F426" s="9" t="s">
        <v>4249</v>
      </c>
      <c r="G426" s="9">
        <v>1</v>
      </c>
      <c r="H426" s="9" t="s">
        <v>3093</v>
      </c>
      <c r="I426" s="9">
        <v>143</v>
      </c>
      <c r="J426" s="9">
        <v>0</v>
      </c>
      <c r="K426" s="9" t="s">
        <v>1893</v>
      </c>
      <c r="L426" s="9" t="str">
        <f t="shared" si="1"/>
        <v>Y</v>
      </c>
    </row>
    <row r="427" spans="1:12">
      <c r="A427" s="9">
        <v>527</v>
      </c>
      <c r="B427" s="9">
        <v>118</v>
      </c>
      <c r="C427" s="9" t="s">
        <v>4250</v>
      </c>
      <c r="D427" s="9" t="s">
        <v>4251</v>
      </c>
      <c r="E427" s="9">
        <v>195</v>
      </c>
      <c r="F427" s="9" t="s">
        <v>4252</v>
      </c>
      <c r="G427" s="9">
        <v>0</v>
      </c>
      <c r="H427" s="9" t="s">
        <v>3093</v>
      </c>
      <c r="I427" s="9">
        <v>203</v>
      </c>
      <c r="J427" s="9">
        <v>0</v>
      </c>
      <c r="K427" s="9" t="s">
        <v>752</v>
      </c>
      <c r="L427" s="9" t="str">
        <f t="shared" si="1"/>
        <v>Y</v>
      </c>
    </row>
    <row r="428" spans="1:12">
      <c r="A428" s="9">
        <v>528</v>
      </c>
      <c r="B428" s="9">
        <v>126</v>
      </c>
      <c r="C428" s="9" t="s">
        <v>4253</v>
      </c>
      <c r="D428" s="9" t="s">
        <v>4254</v>
      </c>
      <c r="E428" s="9">
        <v>246</v>
      </c>
      <c r="F428" s="9" t="s">
        <v>4255</v>
      </c>
      <c r="G428" s="9">
        <v>1</v>
      </c>
      <c r="H428" s="9" t="s">
        <v>3093</v>
      </c>
      <c r="I428" s="9">
        <v>177</v>
      </c>
      <c r="J428" s="9">
        <v>0</v>
      </c>
      <c r="K428" s="9" t="s">
        <v>1885</v>
      </c>
      <c r="L428" s="9" t="str">
        <f t="shared" si="1"/>
        <v>Y</v>
      </c>
    </row>
    <row r="429" spans="1:12">
      <c r="A429" s="9">
        <v>529</v>
      </c>
      <c r="B429" s="9">
        <v>121</v>
      </c>
      <c r="C429" s="9" t="s">
        <v>4256</v>
      </c>
      <c r="D429" s="9" t="s">
        <v>4257</v>
      </c>
      <c r="E429" s="9">
        <v>214</v>
      </c>
      <c r="F429" s="9" t="s">
        <v>4258</v>
      </c>
      <c r="G429" s="9">
        <v>0</v>
      </c>
      <c r="H429" s="9" t="s">
        <v>3093</v>
      </c>
      <c r="I429" s="9">
        <v>88</v>
      </c>
      <c r="J429" s="9">
        <v>0</v>
      </c>
      <c r="K429" s="9" t="s">
        <v>1826</v>
      </c>
      <c r="L429" s="9" t="str">
        <f t="shared" si="1"/>
        <v>Y</v>
      </c>
    </row>
    <row r="430" spans="1:12">
      <c r="A430" s="9">
        <v>530</v>
      </c>
      <c r="B430" s="9">
        <v>123</v>
      </c>
      <c r="C430" s="9" t="s">
        <v>4259</v>
      </c>
      <c r="D430" s="9" t="s">
        <v>20</v>
      </c>
      <c r="E430" s="9">
        <v>229</v>
      </c>
      <c r="F430" s="9" t="s">
        <v>4260</v>
      </c>
      <c r="G430" s="9">
        <v>0</v>
      </c>
      <c r="H430" s="9" t="s">
        <v>3093</v>
      </c>
      <c r="I430" s="9">
        <v>12</v>
      </c>
      <c r="J430" s="9">
        <v>0</v>
      </c>
      <c r="K430" s="9" t="s">
        <v>699</v>
      </c>
      <c r="L430" s="9" t="str">
        <f t="shared" si="1"/>
        <v>N</v>
      </c>
    </row>
    <row r="431" spans="1:12">
      <c r="A431" s="9">
        <v>531</v>
      </c>
      <c r="B431" s="9">
        <v>121</v>
      </c>
      <c r="C431" s="9" t="s">
        <v>4261</v>
      </c>
      <c r="D431" s="9" t="s">
        <v>4262</v>
      </c>
      <c r="E431" s="9">
        <v>217</v>
      </c>
      <c r="F431" s="9" t="s">
        <v>1829</v>
      </c>
      <c r="G431" s="9">
        <v>0</v>
      </c>
      <c r="H431" s="9" t="s">
        <v>3093</v>
      </c>
      <c r="I431" s="9">
        <v>219</v>
      </c>
      <c r="J431" s="9">
        <v>0</v>
      </c>
      <c r="K431" s="9" t="s">
        <v>3874</v>
      </c>
      <c r="L431" s="9" t="str">
        <f t="shared" si="1"/>
        <v>Y</v>
      </c>
    </row>
    <row r="432" spans="1:12">
      <c r="A432" s="9">
        <v>532</v>
      </c>
      <c r="B432" s="9">
        <v>120</v>
      </c>
      <c r="C432" s="9" t="s">
        <v>4263</v>
      </c>
      <c r="D432" s="9" t="s">
        <v>4264</v>
      </c>
      <c r="E432" s="9">
        <v>208</v>
      </c>
      <c r="F432" s="9" t="s">
        <v>4265</v>
      </c>
      <c r="G432" s="9">
        <v>0</v>
      </c>
      <c r="H432" s="9" t="s">
        <v>3093</v>
      </c>
      <c r="I432" s="9">
        <v>141</v>
      </c>
      <c r="J432" s="9">
        <v>0</v>
      </c>
      <c r="K432" s="9" t="s">
        <v>1893</v>
      </c>
      <c r="L432" s="9" t="str">
        <f t="shared" si="1"/>
        <v>Y</v>
      </c>
    </row>
    <row r="433" spans="1:12">
      <c r="A433" s="9">
        <v>533</v>
      </c>
      <c r="B433" s="9">
        <v>119</v>
      </c>
      <c r="C433" s="9" t="s">
        <v>4266</v>
      </c>
      <c r="D433" s="9" t="s">
        <v>20</v>
      </c>
      <c r="E433" s="9">
        <v>204</v>
      </c>
      <c r="F433" s="9" t="s">
        <v>4265</v>
      </c>
      <c r="G433" s="9">
        <v>0</v>
      </c>
      <c r="H433" s="9" t="s">
        <v>3093</v>
      </c>
      <c r="I433" s="9">
        <v>53.116</v>
      </c>
      <c r="J433" s="9">
        <v>0</v>
      </c>
      <c r="K433" s="9" t="s">
        <v>699</v>
      </c>
      <c r="L433" s="9" t="str">
        <f t="shared" si="1"/>
        <v>N</v>
      </c>
    </row>
    <row r="434" spans="1:12">
      <c r="A434" s="9">
        <v>534</v>
      </c>
      <c r="B434" s="9">
        <v>120</v>
      </c>
      <c r="C434" s="9" t="s">
        <v>4267</v>
      </c>
      <c r="D434" s="9" t="s">
        <v>4268</v>
      </c>
      <c r="E434" s="9">
        <v>210</v>
      </c>
      <c r="F434" s="9" t="s">
        <v>1845</v>
      </c>
      <c r="G434" s="9">
        <v>0</v>
      </c>
      <c r="H434" s="9" t="s">
        <v>3093</v>
      </c>
      <c r="I434" s="9">
        <v>176</v>
      </c>
      <c r="J434" s="9">
        <v>1</v>
      </c>
      <c r="K434" s="9" t="s">
        <v>1885</v>
      </c>
      <c r="L434" s="9" t="str">
        <f t="shared" si="1"/>
        <v>Y</v>
      </c>
    </row>
    <row r="435" spans="1:12">
      <c r="A435" s="9">
        <v>535</v>
      </c>
      <c r="B435" s="9">
        <v>122</v>
      </c>
      <c r="C435" s="9" t="s">
        <v>4269</v>
      </c>
      <c r="D435" s="9" t="s">
        <v>4270</v>
      </c>
      <c r="E435" s="9">
        <v>222</v>
      </c>
      <c r="F435" s="9" t="s">
        <v>1847</v>
      </c>
      <c r="G435" s="9">
        <v>1</v>
      </c>
      <c r="H435" s="9" t="s">
        <v>3093</v>
      </c>
      <c r="I435" s="9">
        <v>125</v>
      </c>
      <c r="J435" s="9">
        <v>0</v>
      </c>
      <c r="K435" s="9" t="s">
        <v>1779</v>
      </c>
      <c r="L435" s="9" t="str">
        <f t="shared" si="1"/>
        <v>Y</v>
      </c>
    </row>
    <row r="436" spans="1:12">
      <c r="A436" s="9">
        <v>536</v>
      </c>
      <c r="B436" s="9">
        <v>118</v>
      </c>
      <c r="C436" s="9" t="s">
        <v>4271</v>
      </c>
      <c r="D436" s="9" t="s">
        <v>4272</v>
      </c>
      <c r="E436" s="9">
        <v>195</v>
      </c>
      <c r="F436" s="9" t="s">
        <v>4273</v>
      </c>
      <c r="G436" s="9">
        <v>0</v>
      </c>
      <c r="H436" s="9" t="s">
        <v>3093</v>
      </c>
      <c r="I436" s="9">
        <v>159</v>
      </c>
      <c r="J436" s="9">
        <v>0</v>
      </c>
      <c r="K436" s="9" t="s">
        <v>699</v>
      </c>
      <c r="L436" s="9" t="str">
        <f t="shared" si="1"/>
        <v>Y</v>
      </c>
    </row>
    <row r="437" spans="1:12">
      <c r="A437" s="9">
        <v>537</v>
      </c>
      <c r="B437" s="9">
        <v>123</v>
      </c>
      <c r="C437" s="9" t="s">
        <v>4274</v>
      </c>
      <c r="D437" s="9" t="s">
        <v>4275</v>
      </c>
      <c r="E437" s="9">
        <v>229</v>
      </c>
      <c r="F437" s="9" t="s">
        <v>4276</v>
      </c>
      <c r="G437" s="9">
        <v>0</v>
      </c>
      <c r="H437" s="9" t="s">
        <v>3093</v>
      </c>
      <c r="I437" s="9">
        <v>211</v>
      </c>
      <c r="J437" s="9">
        <v>0</v>
      </c>
      <c r="K437" s="9" t="s">
        <v>752</v>
      </c>
      <c r="L437" s="9" t="str">
        <f t="shared" si="1"/>
        <v>Y</v>
      </c>
    </row>
    <row r="438" spans="1:12">
      <c r="A438" s="9">
        <v>538</v>
      </c>
      <c r="B438" s="9">
        <v>119</v>
      </c>
      <c r="C438" s="9" t="s">
        <v>4277</v>
      </c>
      <c r="D438" s="9" t="s">
        <v>20</v>
      </c>
      <c r="E438" s="9">
        <v>204</v>
      </c>
      <c r="F438" s="9" t="s">
        <v>1860</v>
      </c>
      <c r="G438" s="9">
        <v>0</v>
      </c>
      <c r="H438" s="9" t="s">
        <v>3093</v>
      </c>
      <c r="I438" s="9">
        <v>53.116</v>
      </c>
      <c r="J438" s="9">
        <v>0</v>
      </c>
      <c r="K438" s="9" t="s">
        <v>699</v>
      </c>
      <c r="L438" s="9" t="str">
        <f t="shared" si="1"/>
        <v>N</v>
      </c>
    </row>
    <row r="439" spans="1:12">
      <c r="A439" s="9">
        <v>539</v>
      </c>
      <c r="B439" s="9">
        <v>119</v>
      </c>
      <c r="C439" s="9" t="s">
        <v>4278</v>
      </c>
      <c r="D439" s="9" t="s">
        <v>20</v>
      </c>
      <c r="E439" s="9">
        <v>204</v>
      </c>
      <c r="F439" s="9" t="s">
        <v>4279</v>
      </c>
      <c r="G439" s="9">
        <v>0</v>
      </c>
      <c r="H439" s="9" t="s">
        <v>3093</v>
      </c>
      <c r="I439" s="9">
        <v>53.116</v>
      </c>
      <c r="J439" s="9">
        <v>0</v>
      </c>
      <c r="K439" s="9" t="s">
        <v>699</v>
      </c>
      <c r="L439" s="9" t="str">
        <f t="shared" si="1"/>
        <v>N</v>
      </c>
    </row>
    <row r="440" spans="1:12">
      <c r="A440" s="9">
        <v>540</v>
      </c>
      <c r="B440" s="9">
        <v>123</v>
      </c>
      <c r="C440" s="9" t="s">
        <v>4280</v>
      </c>
      <c r="D440" s="9" t="s">
        <v>4281</v>
      </c>
      <c r="E440" s="9">
        <v>229</v>
      </c>
      <c r="F440" s="9" t="s">
        <v>4279</v>
      </c>
      <c r="G440" s="9">
        <v>1</v>
      </c>
      <c r="H440" s="9" t="s">
        <v>3093</v>
      </c>
      <c r="I440" s="9">
        <v>111</v>
      </c>
      <c r="J440" s="9">
        <v>0</v>
      </c>
      <c r="K440" s="9" t="s">
        <v>1802</v>
      </c>
      <c r="L440" s="9" t="str">
        <f t="shared" si="1"/>
        <v>Y</v>
      </c>
    </row>
    <row r="441" spans="1:12">
      <c r="A441" s="9">
        <v>541</v>
      </c>
      <c r="B441" s="9">
        <v>118</v>
      </c>
      <c r="C441" s="9" t="s">
        <v>4282</v>
      </c>
      <c r="D441" s="9" t="s">
        <v>20</v>
      </c>
      <c r="E441" s="9">
        <v>195</v>
      </c>
      <c r="F441" s="9" t="s">
        <v>4283</v>
      </c>
      <c r="G441" s="9">
        <v>0</v>
      </c>
      <c r="H441" s="9" t="s">
        <v>3093</v>
      </c>
      <c r="I441" s="9">
        <v>143</v>
      </c>
      <c r="J441" s="9">
        <v>0</v>
      </c>
      <c r="K441" s="9" t="s">
        <v>699</v>
      </c>
      <c r="L441" s="9" t="str">
        <f t="shared" si="1"/>
        <v>N</v>
      </c>
    </row>
    <row r="442" spans="1:12">
      <c r="A442" s="9">
        <v>542</v>
      </c>
      <c r="B442" s="9">
        <v>120</v>
      </c>
      <c r="C442" s="9" t="s">
        <v>4284</v>
      </c>
      <c r="D442" s="9" t="s">
        <v>4285</v>
      </c>
      <c r="E442" s="9">
        <v>208</v>
      </c>
      <c r="F442" s="9" t="s">
        <v>4286</v>
      </c>
      <c r="G442" s="9">
        <v>0</v>
      </c>
      <c r="H442" s="9" t="s">
        <v>3093</v>
      </c>
      <c r="I442" s="9">
        <v>207</v>
      </c>
      <c r="J442" s="9">
        <v>0</v>
      </c>
      <c r="K442" s="9" t="s">
        <v>752</v>
      </c>
      <c r="L442" s="9" t="str">
        <f t="shared" si="1"/>
        <v>Y</v>
      </c>
    </row>
    <row r="443" spans="1:12">
      <c r="A443" s="9">
        <v>543</v>
      </c>
      <c r="B443" s="9">
        <v>122</v>
      </c>
      <c r="C443" s="9" t="s">
        <v>4287</v>
      </c>
      <c r="D443" s="9" t="s">
        <v>4288</v>
      </c>
      <c r="E443" s="9">
        <v>222</v>
      </c>
      <c r="F443" s="9" t="s">
        <v>4289</v>
      </c>
      <c r="G443" s="9">
        <v>1</v>
      </c>
      <c r="H443" s="9" t="s">
        <v>3093</v>
      </c>
      <c r="I443" s="9">
        <v>156</v>
      </c>
      <c r="J443" s="9">
        <v>1</v>
      </c>
      <c r="K443" s="9" t="s">
        <v>2292</v>
      </c>
      <c r="L443" s="9" t="str">
        <f t="shared" si="1"/>
        <v>Y</v>
      </c>
    </row>
    <row r="444" spans="1:12">
      <c r="A444" s="9">
        <v>544</v>
      </c>
      <c r="B444" s="9">
        <v>120</v>
      </c>
      <c r="C444" s="9" t="s">
        <v>4290</v>
      </c>
      <c r="D444" s="9" t="s">
        <v>4291</v>
      </c>
      <c r="E444" s="9">
        <v>210</v>
      </c>
      <c r="F444" s="9" t="s">
        <v>4292</v>
      </c>
      <c r="G444" s="9">
        <v>0</v>
      </c>
      <c r="H444" s="9" t="s">
        <v>3093</v>
      </c>
      <c r="I444" s="9">
        <v>177</v>
      </c>
      <c r="J444" s="9">
        <v>0</v>
      </c>
      <c r="K444" s="9" t="s">
        <v>1885</v>
      </c>
      <c r="L444" s="9" t="str">
        <f t="shared" si="1"/>
        <v>Y</v>
      </c>
    </row>
    <row r="445" spans="1:12">
      <c r="A445" s="9">
        <v>545</v>
      </c>
      <c r="B445" s="9">
        <v>118</v>
      </c>
      <c r="C445" s="9" t="s">
        <v>4293</v>
      </c>
      <c r="D445" s="9" t="s">
        <v>4294</v>
      </c>
      <c r="E445" s="9">
        <v>195</v>
      </c>
      <c r="F445" s="9" t="s">
        <v>4295</v>
      </c>
      <c r="G445" s="9">
        <v>1</v>
      </c>
      <c r="H445" s="9" t="s">
        <v>3093</v>
      </c>
      <c r="I445" s="9">
        <v>176</v>
      </c>
      <c r="J445" s="9">
        <v>1</v>
      </c>
      <c r="K445" s="9" t="s">
        <v>1885</v>
      </c>
      <c r="L445" s="9" t="str">
        <f t="shared" si="1"/>
        <v>Y</v>
      </c>
    </row>
    <row r="446" spans="1:12">
      <c r="A446" s="9">
        <v>546</v>
      </c>
      <c r="B446" s="9">
        <v>124</v>
      </c>
      <c r="C446" s="9" t="s">
        <v>4296</v>
      </c>
      <c r="D446" s="9" t="s">
        <v>4297</v>
      </c>
      <c r="E446" s="9">
        <v>232</v>
      </c>
      <c r="F446" s="9" t="s">
        <v>4295</v>
      </c>
      <c r="G446" s="9">
        <v>0</v>
      </c>
      <c r="H446" s="9" t="s">
        <v>3093</v>
      </c>
      <c r="I446" s="9">
        <v>51</v>
      </c>
      <c r="J446" s="9">
        <v>0</v>
      </c>
      <c r="K446" s="9" t="s">
        <v>3835</v>
      </c>
      <c r="L446" s="9" t="str">
        <f t="shared" si="1"/>
        <v>Y</v>
      </c>
    </row>
    <row r="447" spans="1:12">
      <c r="A447" s="9">
        <v>547</v>
      </c>
      <c r="B447" s="9">
        <v>120</v>
      </c>
      <c r="C447" s="9" t="s">
        <v>4298</v>
      </c>
      <c r="D447" s="9" t="s">
        <v>4299</v>
      </c>
      <c r="E447" s="9">
        <v>208</v>
      </c>
      <c r="F447" s="9" t="s">
        <v>4300</v>
      </c>
      <c r="G447" s="9">
        <v>0</v>
      </c>
      <c r="H447" s="9" t="s">
        <v>3093</v>
      </c>
      <c r="I447" s="9" t="s">
        <v>4301</v>
      </c>
      <c r="J447" s="9">
        <v>0</v>
      </c>
      <c r="K447" s="9" t="s">
        <v>752</v>
      </c>
      <c r="L447" s="9" t="str">
        <f t="shared" si="1"/>
        <v>Y</v>
      </c>
    </row>
    <row r="448" spans="1:12">
      <c r="A448" s="9">
        <v>548</v>
      </c>
      <c r="B448" s="9">
        <v>126</v>
      </c>
      <c r="C448" s="9" t="s">
        <v>4302</v>
      </c>
      <c r="D448" s="9" t="s">
        <v>4303</v>
      </c>
      <c r="E448" s="9">
        <v>246</v>
      </c>
      <c r="F448" s="9" t="s">
        <v>1905</v>
      </c>
      <c r="G448" s="9">
        <v>0</v>
      </c>
      <c r="H448" s="9" t="s">
        <v>3093</v>
      </c>
      <c r="I448" s="9" t="s">
        <v>4304</v>
      </c>
      <c r="J448" s="9">
        <v>0</v>
      </c>
      <c r="K448" s="9" t="s">
        <v>4087</v>
      </c>
      <c r="L448" s="9" t="str">
        <f t="shared" si="1"/>
        <v>Y</v>
      </c>
    </row>
    <row r="449" spans="1:12">
      <c r="A449" s="9">
        <v>549</v>
      </c>
      <c r="B449" s="9">
        <v>118</v>
      </c>
      <c r="C449" s="9" t="s">
        <v>4305</v>
      </c>
      <c r="D449" s="9" t="s">
        <v>4306</v>
      </c>
      <c r="E449" s="9">
        <v>195</v>
      </c>
      <c r="F449" s="9" t="s">
        <v>4307</v>
      </c>
      <c r="G449" s="9">
        <v>0</v>
      </c>
      <c r="H449" s="9" t="s">
        <v>3093</v>
      </c>
      <c r="I449" s="9">
        <v>203</v>
      </c>
      <c r="J449" s="9">
        <v>0</v>
      </c>
      <c r="K449" s="9" t="s">
        <v>752</v>
      </c>
      <c r="L449" s="9" t="str">
        <f t="shared" si="1"/>
        <v>Y</v>
      </c>
    </row>
    <row r="450" spans="1:12">
      <c r="A450" s="9">
        <v>550</v>
      </c>
      <c r="B450" s="9">
        <v>120</v>
      </c>
      <c r="C450" s="9" t="s">
        <v>4308</v>
      </c>
      <c r="D450" s="9" t="s">
        <v>4309</v>
      </c>
      <c r="E450" s="9">
        <v>208</v>
      </c>
      <c r="F450" s="9" t="s">
        <v>4310</v>
      </c>
      <c r="G450" s="9">
        <v>0</v>
      </c>
      <c r="H450" s="9" t="s">
        <v>3962</v>
      </c>
      <c r="I450" s="9">
        <v>219</v>
      </c>
      <c r="J450" s="9">
        <v>1</v>
      </c>
      <c r="K450" s="9" t="s">
        <v>3874</v>
      </c>
      <c r="L450" s="9" t="str">
        <f t="shared" si="1"/>
        <v>Y</v>
      </c>
    </row>
    <row r="451" spans="1:12">
      <c r="A451" s="9">
        <v>551</v>
      </c>
      <c r="B451" s="9">
        <v>119</v>
      </c>
      <c r="C451" s="9" t="s">
        <v>4311</v>
      </c>
      <c r="D451" s="9" t="s">
        <v>4312</v>
      </c>
      <c r="E451" s="9">
        <v>204</v>
      </c>
      <c r="F451" s="9" t="s">
        <v>4313</v>
      </c>
      <c r="G451" s="9">
        <v>0</v>
      </c>
      <c r="H451" s="9" t="s">
        <v>3250</v>
      </c>
      <c r="I451" s="9">
        <v>17</v>
      </c>
      <c r="J451" s="9">
        <v>0</v>
      </c>
      <c r="K451" s="9" t="s">
        <v>699</v>
      </c>
      <c r="L451" s="9" t="str">
        <f t="shared" si="1"/>
        <v>Y</v>
      </c>
    </row>
    <row r="452" spans="1:12">
      <c r="A452" s="9">
        <v>552</v>
      </c>
      <c r="B452" s="9">
        <v>126</v>
      </c>
      <c r="C452" s="9" t="s">
        <v>4314</v>
      </c>
      <c r="D452" s="9" t="s">
        <v>4315</v>
      </c>
      <c r="E452" s="9">
        <v>246</v>
      </c>
      <c r="F452" s="9" t="s">
        <v>623</v>
      </c>
      <c r="G452" s="9">
        <v>1</v>
      </c>
      <c r="H452" s="9" t="s">
        <v>3093</v>
      </c>
      <c r="I452" s="9">
        <v>208</v>
      </c>
      <c r="J452" s="9">
        <v>0</v>
      </c>
      <c r="K452" s="9" t="s">
        <v>752</v>
      </c>
      <c r="L452" s="9" t="str">
        <f t="shared" si="1"/>
        <v>Y</v>
      </c>
    </row>
    <row r="453" spans="1:12">
      <c r="A453" s="9">
        <v>553</v>
      </c>
      <c r="B453" s="9">
        <v>126</v>
      </c>
      <c r="C453" s="9" t="s">
        <v>4316</v>
      </c>
      <c r="D453" s="9" t="s">
        <v>4317</v>
      </c>
      <c r="E453" s="9">
        <v>246</v>
      </c>
      <c r="F453" s="9" t="s">
        <v>4318</v>
      </c>
      <c r="G453" s="9">
        <v>0</v>
      </c>
      <c r="H453" s="9" t="s">
        <v>3093</v>
      </c>
      <c r="I453" s="9">
        <v>52</v>
      </c>
      <c r="J453" s="9">
        <v>0</v>
      </c>
      <c r="K453" s="9" t="s">
        <v>3835</v>
      </c>
      <c r="L453" s="9" t="str">
        <f t="shared" si="1"/>
        <v>Y</v>
      </c>
    </row>
    <row r="454" spans="1:12">
      <c r="A454" s="9">
        <v>554</v>
      </c>
      <c r="B454" s="9">
        <v>126</v>
      </c>
      <c r="C454" s="9" t="s">
        <v>4319</v>
      </c>
      <c r="D454" s="9" t="s">
        <v>4320</v>
      </c>
      <c r="E454" s="9">
        <v>246</v>
      </c>
      <c r="F454" s="9" t="s">
        <v>490</v>
      </c>
      <c r="G454" s="9">
        <v>1</v>
      </c>
      <c r="H454" s="9" t="s">
        <v>3093</v>
      </c>
      <c r="I454" s="9">
        <v>112</v>
      </c>
      <c r="J454" s="9">
        <v>0</v>
      </c>
      <c r="K454" s="9" t="s">
        <v>1802</v>
      </c>
      <c r="L454" s="9" t="str">
        <f t="shared" si="1"/>
        <v>Y</v>
      </c>
    </row>
    <row r="455" spans="1:12">
      <c r="A455" s="9">
        <v>555</v>
      </c>
      <c r="B455" s="9">
        <v>126</v>
      </c>
      <c r="C455" s="9" t="s">
        <v>4321</v>
      </c>
      <c r="D455" s="9" t="s">
        <v>20</v>
      </c>
      <c r="E455" s="9">
        <v>246</v>
      </c>
      <c r="F455" s="9" t="s">
        <v>4322</v>
      </c>
      <c r="G455" s="9">
        <v>0</v>
      </c>
      <c r="H455" s="9" t="s">
        <v>3093</v>
      </c>
      <c r="I455" s="9">
        <v>194</v>
      </c>
      <c r="J455" s="9">
        <v>0</v>
      </c>
      <c r="K455" s="9" t="s">
        <v>699</v>
      </c>
      <c r="L455" s="9" t="str">
        <f t="shared" si="1"/>
        <v>N</v>
      </c>
    </row>
    <row r="456" spans="1:12">
      <c r="A456" s="9">
        <v>556</v>
      </c>
      <c r="B456" s="9">
        <v>123</v>
      </c>
      <c r="C456" s="9" t="s">
        <v>4323</v>
      </c>
      <c r="D456" s="9" t="s">
        <v>4324</v>
      </c>
      <c r="E456" s="9">
        <v>229</v>
      </c>
      <c r="F456" s="9" t="s">
        <v>1997</v>
      </c>
      <c r="G456" s="9">
        <v>1</v>
      </c>
      <c r="H456" s="9" t="s">
        <v>3093</v>
      </c>
      <c r="I456" s="9">
        <v>52</v>
      </c>
      <c r="J456" s="9">
        <v>0</v>
      </c>
      <c r="K456" s="9" t="s">
        <v>3835</v>
      </c>
      <c r="L456" s="9" t="str">
        <f t="shared" si="1"/>
        <v>Y</v>
      </c>
    </row>
    <row r="457" spans="1:12">
      <c r="A457" s="9">
        <v>557</v>
      </c>
      <c r="B457" s="9">
        <v>118</v>
      </c>
      <c r="C457" s="9" t="s">
        <v>4325</v>
      </c>
      <c r="D457" s="9" t="s">
        <v>4326</v>
      </c>
      <c r="E457" s="9">
        <v>195</v>
      </c>
      <c r="F457" s="9" t="s">
        <v>4327</v>
      </c>
      <c r="G457" s="9">
        <v>0</v>
      </c>
      <c r="H457" s="9" t="s">
        <v>3093</v>
      </c>
      <c r="I457" s="9">
        <v>176</v>
      </c>
      <c r="J457" s="9">
        <v>0</v>
      </c>
      <c r="K457" s="9" t="s">
        <v>1885</v>
      </c>
      <c r="L457" s="9" t="str">
        <f t="shared" si="1"/>
        <v>Y</v>
      </c>
    </row>
    <row r="458" spans="1:12">
      <c r="A458" s="9">
        <v>558</v>
      </c>
      <c r="B458" s="9">
        <v>126</v>
      </c>
      <c r="C458" s="9" t="s">
        <v>4328</v>
      </c>
      <c r="D458" s="9" t="s">
        <v>4329</v>
      </c>
      <c r="E458" s="9">
        <v>246</v>
      </c>
      <c r="F458" s="9" t="s">
        <v>2022</v>
      </c>
      <c r="G458" s="9">
        <v>1</v>
      </c>
      <c r="H458" s="9" t="s">
        <v>3093</v>
      </c>
      <c r="I458" s="9">
        <v>194</v>
      </c>
      <c r="J458" s="9">
        <v>0</v>
      </c>
      <c r="K458" s="9" t="s">
        <v>1793</v>
      </c>
      <c r="L458" s="9" t="str">
        <f t="shared" si="1"/>
        <v>Y</v>
      </c>
    </row>
    <row r="459" spans="1:12">
      <c r="A459" s="9">
        <v>559</v>
      </c>
      <c r="B459" s="9">
        <v>122</v>
      </c>
      <c r="C459" s="9" t="s">
        <v>4330</v>
      </c>
      <c r="D459" s="9" t="s">
        <v>4331</v>
      </c>
      <c r="E459" s="9">
        <v>223</v>
      </c>
      <c r="F459" s="9" t="s">
        <v>2022</v>
      </c>
      <c r="G459" s="9">
        <v>1</v>
      </c>
      <c r="H459" s="9" t="s">
        <v>3093</v>
      </c>
      <c r="I459" s="9">
        <v>22</v>
      </c>
      <c r="J459" s="9">
        <v>0</v>
      </c>
      <c r="K459" s="9" t="s">
        <v>1763</v>
      </c>
      <c r="L459" s="9" t="str">
        <f t="shared" si="1"/>
        <v>Y</v>
      </c>
    </row>
    <row r="460" spans="1:12">
      <c r="A460" s="9">
        <v>560</v>
      </c>
      <c r="B460" s="9">
        <v>122</v>
      </c>
      <c r="C460" s="9" t="s">
        <v>4332</v>
      </c>
      <c r="D460" s="9" t="s">
        <v>4333</v>
      </c>
      <c r="E460" s="9">
        <v>223</v>
      </c>
      <c r="F460" s="9" t="s">
        <v>2038</v>
      </c>
      <c r="G460" s="9">
        <v>0</v>
      </c>
      <c r="H460" s="9" t="s">
        <v>3093</v>
      </c>
      <c r="I460" s="9">
        <v>35</v>
      </c>
      <c r="J460" s="9">
        <v>1</v>
      </c>
      <c r="K460" s="9" t="s">
        <v>2145</v>
      </c>
      <c r="L460" s="9" t="str">
        <f t="shared" si="1"/>
        <v>Y</v>
      </c>
    </row>
    <row r="461" spans="1:12">
      <c r="A461" s="9">
        <v>561</v>
      </c>
      <c r="B461" s="9">
        <v>126</v>
      </c>
      <c r="C461" s="9" t="s">
        <v>4334</v>
      </c>
      <c r="D461" s="9" t="s">
        <v>4335</v>
      </c>
      <c r="E461" s="9">
        <v>246</v>
      </c>
      <c r="F461" s="9" t="s">
        <v>4336</v>
      </c>
      <c r="G461" s="9">
        <v>1</v>
      </c>
      <c r="H461" s="9" t="s">
        <v>3093</v>
      </c>
      <c r="I461" s="9">
        <v>180</v>
      </c>
      <c r="J461" s="9">
        <v>0</v>
      </c>
      <c r="K461" s="9" t="s">
        <v>1885</v>
      </c>
      <c r="L461" s="9" t="str">
        <f t="shared" si="1"/>
        <v>Y</v>
      </c>
    </row>
    <row r="462" spans="1:12">
      <c r="A462" s="9">
        <v>562</v>
      </c>
      <c r="B462" s="9">
        <v>119</v>
      </c>
      <c r="C462" s="9" t="s">
        <v>4337</v>
      </c>
      <c r="D462" s="9" t="s">
        <v>4338</v>
      </c>
      <c r="E462" s="9">
        <v>204</v>
      </c>
      <c r="F462" s="9" t="s">
        <v>4339</v>
      </c>
      <c r="G462" s="9">
        <v>0</v>
      </c>
      <c r="H462" s="9" t="s">
        <v>3313</v>
      </c>
      <c r="I462" s="9">
        <v>147</v>
      </c>
      <c r="J462" s="9">
        <v>0</v>
      </c>
      <c r="K462" s="9" t="s">
        <v>699</v>
      </c>
      <c r="L462" s="9" t="str">
        <f t="shared" si="1"/>
        <v>Y</v>
      </c>
    </row>
    <row r="463" spans="1:12">
      <c r="A463" s="9">
        <v>563</v>
      </c>
      <c r="B463" s="9">
        <v>120</v>
      </c>
      <c r="C463" s="9" t="s">
        <v>4340</v>
      </c>
      <c r="D463" s="9" t="s">
        <v>4341</v>
      </c>
      <c r="E463" s="9">
        <v>208</v>
      </c>
      <c r="F463" s="9" t="s">
        <v>2046</v>
      </c>
      <c r="G463" s="9">
        <v>0</v>
      </c>
      <c r="H463" s="9" t="s">
        <v>3093</v>
      </c>
      <c r="I463" s="9">
        <v>125</v>
      </c>
      <c r="J463" s="9">
        <v>0</v>
      </c>
      <c r="K463" s="9" t="s">
        <v>1779</v>
      </c>
      <c r="L463" s="9" t="str">
        <f t="shared" si="1"/>
        <v>Y</v>
      </c>
    </row>
    <row r="464" spans="1:12">
      <c r="A464" s="9">
        <v>564</v>
      </c>
      <c r="B464" s="9">
        <v>122</v>
      </c>
      <c r="C464" s="9" t="s">
        <v>4342</v>
      </c>
      <c r="D464" s="9" t="s">
        <v>4343</v>
      </c>
      <c r="E464" s="9">
        <v>223</v>
      </c>
      <c r="F464" s="9" t="s">
        <v>4344</v>
      </c>
      <c r="G464" s="9">
        <v>1</v>
      </c>
      <c r="H464" s="9" t="s">
        <v>3093</v>
      </c>
      <c r="I464" s="9">
        <v>53</v>
      </c>
      <c r="J464" s="9">
        <v>1</v>
      </c>
      <c r="K464" s="9" t="s">
        <v>3835</v>
      </c>
      <c r="L464" s="9" t="str">
        <f t="shared" si="1"/>
        <v>Y</v>
      </c>
    </row>
    <row r="465" spans="1:12">
      <c r="A465" s="9">
        <v>565</v>
      </c>
      <c r="B465" s="9">
        <v>121</v>
      </c>
      <c r="C465" s="9" t="s">
        <v>4345</v>
      </c>
      <c r="D465" s="9" t="s">
        <v>20</v>
      </c>
      <c r="E465" s="9">
        <v>216</v>
      </c>
      <c r="F465" s="9" t="s">
        <v>4346</v>
      </c>
      <c r="G465" s="9">
        <v>0</v>
      </c>
      <c r="H465" s="9" t="s">
        <v>3093</v>
      </c>
      <c r="I465" s="9">
        <v>177</v>
      </c>
      <c r="J465" s="9">
        <v>0</v>
      </c>
      <c r="K465" s="9" t="s">
        <v>699</v>
      </c>
      <c r="L465" s="9" t="str">
        <f t="shared" si="1"/>
        <v>N</v>
      </c>
    </row>
    <row r="466" spans="1:12">
      <c r="A466" s="9">
        <v>566</v>
      </c>
      <c r="B466" s="9">
        <v>122</v>
      </c>
      <c r="C466" s="9" t="s">
        <v>4347</v>
      </c>
      <c r="D466" s="9" t="s">
        <v>4348</v>
      </c>
      <c r="E466" s="9">
        <v>223</v>
      </c>
      <c r="F466" s="9" t="s">
        <v>4349</v>
      </c>
      <c r="G466" s="9">
        <v>0</v>
      </c>
      <c r="H466" s="9" t="s">
        <v>3093</v>
      </c>
      <c r="I466" s="9">
        <v>52</v>
      </c>
      <c r="J466" s="9">
        <v>0</v>
      </c>
      <c r="K466" s="9" t="s">
        <v>3835</v>
      </c>
      <c r="L466" s="9" t="str">
        <f t="shared" si="1"/>
        <v>Y</v>
      </c>
    </row>
    <row r="467" spans="1:12">
      <c r="A467" s="9">
        <v>567</v>
      </c>
      <c r="B467" s="9">
        <v>121</v>
      </c>
      <c r="C467" s="9" t="s">
        <v>4350</v>
      </c>
      <c r="D467" s="9" t="s">
        <v>4351</v>
      </c>
      <c r="E467" s="9">
        <v>216</v>
      </c>
      <c r="F467" s="9" t="s">
        <v>4352</v>
      </c>
      <c r="G467" s="9">
        <v>1</v>
      </c>
      <c r="H467" s="9" t="s">
        <v>3394</v>
      </c>
      <c r="I467" s="9">
        <v>177</v>
      </c>
      <c r="J467" s="9">
        <v>3</v>
      </c>
      <c r="K467" s="9" t="s">
        <v>1885</v>
      </c>
      <c r="L467" s="9" t="str">
        <f t="shared" si="1"/>
        <v>Y</v>
      </c>
    </row>
    <row r="468" spans="1:12">
      <c r="A468" s="9">
        <v>568</v>
      </c>
      <c r="B468" s="9">
        <v>122</v>
      </c>
      <c r="C468" s="9" t="s">
        <v>4353</v>
      </c>
      <c r="D468" s="9" t="s">
        <v>4354</v>
      </c>
      <c r="E468" s="9">
        <v>223</v>
      </c>
      <c r="F468" s="9" t="s">
        <v>4355</v>
      </c>
      <c r="G468" s="9">
        <v>1</v>
      </c>
      <c r="H468" s="9" t="s">
        <v>3093</v>
      </c>
      <c r="I468" s="9">
        <v>72</v>
      </c>
      <c r="J468" s="9">
        <v>0</v>
      </c>
      <c r="K468" s="9" t="s">
        <v>3847</v>
      </c>
      <c r="L468" s="9" t="str">
        <f t="shared" si="1"/>
        <v>Y</v>
      </c>
    </row>
    <row r="469" spans="1:12">
      <c r="A469" s="9">
        <v>569</v>
      </c>
      <c r="B469" s="9">
        <v>124</v>
      </c>
      <c r="C469" s="9" t="s">
        <v>4356</v>
      </c>
      <c r="D469" s="9" t="s">
        <v>4357</v>
      </c>
      <c r="E469" s="9">
        <v>234</v>
      </c>
      <c r="F469" s="9" t="s">
        <v>2107</v>
      </c>
      <c r="G469" s="9">
        <v>1</v>
      </c>
      <c r="H469" s="9" t="s">
        <v>3093</v>
      </c>
      <c r="I469" s="9">
        <v>70</v>
      </c>
      <c r="J469" s="9">
        <v>0</v>
      </c>
      <c r="K469" s="9" t="s">
        <v>3847</v>
      </c>
      <c r="L469" s="9" t="str">
        <f t="shared" si="1"/>
        <v>Y</v>
      </c>
    </row>
    <row r="470" spans="1:12">
      <c r="A470" s="9">
        <v>570</v>
      </c>
      <c r="B470" s="9">
        <v>122</v>
      </c>
      <c r="C470" s="9" t="s">
        <v>4358</v>
      </c>
      <c r="D470" s="9" t="s">
        <v>4359</v>
      </c>
      <c r="E470" s="9">
        <v>223</v>
      </c>
      <c r="F470" s="9" t="s">
        <v>4360</v>
      </c>
      <c r="G470" s="9">
        <v>1</v>
      </c>
      <c r="H470" s="9" t="s">
        <v>3093</v>
      </c>
      <c r="I470" s="9">
        <v>147</v>
      </c>
      <c r="J470" s="9">
        <v>0</v>
      </c>
      <c r="K470" s="9" t="s">
        <v>699</v>
      </c>
      <c r="L470" s="9" t="str">
        <f t="shared" si="1"/>
        <v>Y</v>
      </c>
    </row>
    <row r="471" spans="1:12">
      <c r="A471" s="9">
        <v>571</v>
      </c>
      <c r="B471" s="9">
        <v>121</v>
      </c>
      <c r="C471" s="9" t="s">
        <v>4361</v>
      </c>
      <c r="D471" s="9" t="s">
        <v>4362</v>
      </c>
      <c r="E471" s="9">
        <v>214</v>
      </c>
      <c r="F471" s="9" t="s">
        <v>2112</v>
      </c>
      <c r="G471" s="9">
        <v>1</v>
      </c>
      <c r="H471" s="9" t="s">
        <v>3093</v>
      </c>
      <c r="I471" s="9">
        <v>51</v>
      </c>
      <c r="J471" s="9">
        <v>0</v>
      </c>
      <c r="K471" s="9" t="s">
        <v>3835</v>
      </c>
      <c r="L471" s="9" t="str">
        <f t="shared" si="1"/>
        <v>Y</v>
      </c>
    </row>
    <row r="472" spans="1:12">
      <c r="A472" s="9">
        <v>572</v>
      </c>
      <c r="B472" s="9">
        <v>121</v>
      </c>
      <c r="C472" s="9" t="s">
        <v>4363</v>
      </c>
      <c r="D472" s="9" t="s">
        <v>4364</v>
      </c>
      <c r="E472" s="9">
        <v>216</v>
      </c>
      <c r="F472" s="9" t="s">
        <v>2115</v>
      </c>
      <c r="G472" s="9">
        <v>1</v>
      </c>
      <c r="H472" s="9" t="s">
        <v>3394</v>
      </c>
      <c r="I472" s="9">
        <v>180</v>
      </c>
      <c r="J472" s="9">
        <v>2</v>
      </c>
      <c r="K472" s="9" t="s">
        <v>1885</v>
      </c>
      <c r="L472" s="9" t="str">
        <f t="shared" si="1"/>
        <v>Y</v>
      </c>
    </row>
    <row r="473" spans="1:12">
      <c r="A473" s="9">
        <v>573</v>
      </c>
      <c r="B473" s="9">
        <v>120</v>
      </c>
      <c r="C473" s="9" t="s">
        <v>4365</v>
      </c>
      <c r="D473" s="9" t="s">
        <v>4366</v>
      </c>
      <c r="E473" s="9">
        <v>210</v>
      </c>
      <c r="F473" s="9" t="s">
        <v>4367</v>
      </c>
      <c r="G473" s="9">
        <v>0</v>
      </c>
      <c r="H473" s="9" t="s">
        <v>3093</v>
      </c>
      <c r="I473" s="9">
        <v>194</v>
      </c>
      <c r="J473" s="9">
        <v>0</v>
      </c>
      <c r="K473" s="9" t="s">
        <v>1793</v>
      </c>
      <c r="L473" s="9" t="str">
        <f t="shared" si="1"/>
        <v>Y</v>
      </c>
    </row>
    <row r="474" spans="1:12">
      <c r="A474" s="9">
        <v>574</v>
      </c>
      <c r="B474" s="9">
        <v>124</v>
      </c>
      <c r="C474" s="9" t="s">
        <v>4368</v>
      </c>
      <c r="D474" s="9" t="s">
        <v>4369</v>
      </c>
      <c r="E474" s="9">
        <v>234</v>
      </c>
      <c r="F474" s="9" t="s">
        <v>2125</v>
      </c>
      <c r="G474" s="9">
        <v>1</v>
      </c>
      <c r="H474" s="9" t="s">
        <v>3394</v>
      </c>
      <c r="I474" s="9">
        <v>176</v>
      </c>
      <c r="J474" s="9">
        <v>2</v>
      </c>
      <c r="K474" s="9" t="s">
        <v>1885</v>
      </c>
      <c r="L474" s="9" t="str">
        <f t="shared" si="1"/>
        <v>Y</v>
      </c>
    </row>
    <row r="475" spans="1:12">
      <c r="A475" s="9">
        <v>575</v>
      </c>
      <c r="B475" s="9">
        <v>124</v>
      </c>
      <c r="C475" s="9" t="s">
        <v>4370</v>
      </c>
      <c r="D475" s="9" t="s">
        <v>4371</v>
      </c>
      <c r="E475" s="9">
        <v>234</v>
      </c>
      <c r="F475" s="9" t="s">
        <v>2151</v>
      </c>
      <c r="G475" s="9">
        <v>0</v>
      </c>
      <c r="H475" s="9" t="s">
        <v>3093</v>
      </c>
      <c r="I475" s="9">
        <v>204</v>
      </c>
      <c r="J475" s="9">
        <v>1</v>
      </c>
      <c r="K475" s="9" t="s">
        <v>752</v>
      </c>
      <c r="L475" s="9" t="str">
        <f t="shared" si="1"/>
        <v>Y</v>
      </c>
    </row>
    <row r="476" spans="1:12">
      <c r="A476" s="9">
        <v>576</v>
      </c>
      <c r="B476" s="9">
        <v>123</v>
      </c>
      <c r="C476" s="9" t="s">
        <v>4372</v>
      </c>
      <c r="D476" s="9" t="s">
        <v>4373</v>
      </c>
      <c r="E476" s="9">
        <v>229</v>
      </c>
      <c r="F476" s="9" t="s">
        <v>4374</v>
      </c>
      <c r="G476" s="9">
        <v>1</v>
      </c>
      <c r="H476" s="9" t="s">
        <v>3093</v>
      </c>
      <c r="I476" s="9">
        <v>159</v>
      </c>
      <c r="J476" s="9">
        <v>6</v>
      </c>
      <c r="K476" s="9" t="s">
        <v>699</v>
      </c>
      <c r="L476" s="9" t="str">
        <f t="shared" si="1"/>
        <v>Y</v>
      </c>
    </row>
    <row r="477" spans="1:12">
      <c r="A477" s="9">
        <v>577</v>
      </c>
      <c r="B477" s="9">
        <v>118</v>
      </c>
      <c r="C477" s="9" t="s">
        <v>4375</v>
      </c>
      <c r="D477" s="9" t="s">
        <v>4376</v>
      </c>
      <c r="E477" s="9">
        <v>193</v>
      </c>
      <c r="F477" s="9" t="s">
        <v>4377</v>
      </c>
      <c r="G477" s="9">
        <v>0</v>
      </c>
      <c r="H477" s="9" t="s">
        <v>3093</v>
      </c>
      <c r="I477" s="9">
        <v>49</v>
      </c>
      <c r="J477" s="9">
        <v>0</v>
      </c>
      <c r="K477" s="9" t="s">
        <v>3835</v>
      </c>
      <c r="L477" s="9" t="str">
        <f t="shared" si="1"/>
        <v>Y</v>
      </c>
    </row>
    <row r="478" spans="1:12">
      <c r="A478" s="9">
        <v>578</v>
      </c>
      <c r="B478" s="9">
        <v>124</v>
      </c>
      <c r="C478" s="9" t="s">
        <v>4378</v>
      </c>
      <c r="D478" s="9" t="s">
        <v>4379</v>
      </c>
      <c r="E478" s="9">
        <v>234</v>
      </c>
      <c r="F478" s="9" t="s">
        <v>4380</v>
      </c>
      <c r="G478" s="9">
        <v>0</v>
      </c>
      <c r="H478" s="9" t="s">
        <v>3093</v>
      </c>
      <c r="I478" s="9">
        <v>204</v>
      </c>
      <c r="J478" s="9">
        <v>0</v>
      </c>
      <c r="K478" s="9" t="s">
        <v>752</v>
      </c>
      <c r="L478" s="9" t="str">
        <f t="shared" si="1"/>
        <v>Y</v>
      </c>
    </row>
    <row r="479" spans="1:12">
      <c r="A479" s="9">
        <v>579</v>
      </c>
      <c r="B479" s="9">
        <v>118</v>
      </c>
      <c r="C479" s="9" t="s">
        <v>4381</v>
      </c>
      <c r="D479" s="9" t="s">
        <v>4382</v>
      </c>
      <c r="E479" s="9">
        <v>193</v>
      </c>
      <c r="F479" s="9" t="s">
        <v>2192</v>
      </c>
      <c r="G479" s="9">
        <v>1</v>
      </c>
      <c r="H479" s="9" t="s">
        <v>3093</v>
      </c>
      <c r="I479" s="9">
        <v>111</v>
      </c>
      <c r="J479" s="9">
        <v>0</v>
      </c>
      <c r="K479" s="9" t="s">
        <v>1802</v>
      </c>
      <c r="L479" s="9" t="str">
        <f t="shared" si="1"/>
        <v>Y</v>
      </c>
    </row>
    <row r="480" spans="1:12">
      <c r="A480" s="9">
        <v>580</v>
      </c>
      <c r="B480" s="9">
        <v>122</v>
      </c>
      <c r="C480" s="9" t="s">
        <v>4383</v>
      </c>
      <c r="D480" s="9" t="s">
        <v>4384</v>
      </c>
      <c r="E480" s="9">
        <v>223</v>
      </c>
      <c r="F480" s="9" t="s">
        <v>2204</v>
      </c>
      <c r="G480" s="9">
        <v>1</v>
      </c>
      <c r="H480" s="9" t="s">
        <v>3093</v>
      </c>
      <c r="I480" s="9">
        <v>219</v>
      </c>
      <c r="J480" s="9">
        <v>1</v>
      </c>
      <c r="K480" s="9" t="s">
        <v>3874</v>
      </c>
      <c r="L480" s="9" t="str">
        <f t="shared" si="1"/>
        <v>Y</v>
      </c>
    </row>
    <row r="481" spans="1:12">
      <c r="A481" s="9">
        <v>581</v>
      </c>
      <c r="B481" s="9">
        <v>118</v>
      </c>
      <c r="C481" s="9" t="s">
        <v>4385</v>
      </c>
      <c r="D481" s="9" t="s">
        <v>20</v>
      </c>
      <c r="E481" s="9">
        <v>193</v>
      </c>
      <c r="F481" s="9" t="s">
        <v>4386</v>
      </c>
      <c r="G481" s="9">
        <v>0</v>
      </c>
      <c r="H481" s="9" t="s">
        <v>3093</v>
      </c>
      <c r="I481" s="9">
        <v>143</v>
      </c>
      <c r="J481" s="9">
        <v>0</v>
      </c>
      <c r="K481" s="9" t="s">
        <v>699</v>
      </c>
      <c r="L481" s="9" t="str">
        <f t="shared" si="1"/>
        <v>N</v>
      </c>
    </row>
    <row r="482" spans="1:12">
      <c r="A482" s="9">
        <v>582</v>
      </c>
      <c r="B482" s="9">
        <v>119</v>
      </c>
      <c r="C482" s="9" t="s">
        <v>4387</v>
      </c>
      <c r="D482" s="9" t="s">
        <v>4388</v>
      </c>
      <c r="E482" s="9">
        <v>201</v>
      </c>
      <c r="F482" s="9" t="s">
        <v>4389</v>
      </c>
      <c r="G482" s="9">
        <v>0</v>
      </c>
      <c r="H482" s="9" t="s">
        <v>3093</v>
      </c>
      <c r="I482" s="9">
        <v>68</v>
      </c>
      <c r="J482" s="9">
        <v>0</v>
      </c>
      <c r="K482" s="9" t="s">
        <v>3847</v>
      </c>
      <c r="L482" s="9" t="str">
        <f t="shared" si="1"/>
        <v>Y</v>
      </c>
    </row>
    <row r="483" spans="1:12">
      <c r="A483" s="9">
        <v>583</v>
      </c>
      <c r="B483" s="9">
        <v>122</v>
      </c>
      <c r="C483" s="9" t="s">
        <v>4390</v>
      </c>
      <c r="D483" s="9" t="s">
        <v>4391</v>
      </c>
      <c r="E483" s="9">
        <v>223</v>
      </c>
      <c r="F483" s="9" t="s">
        <v>4392</v>
      </c>
      <c r="G483" s="9">
        <v>1</v>
      </c>
      <c r="H483" s="9" t="s">
        <v>3093</v>
      </c>
      <c r="I483" s="9">
        <v>88</v>
      </c>
      <c r="J483" s="9">
        <v>0</v>
      </c>
      <c r="K483" s="9" t="s">
        <v>1826</v>
      </c>
      <c r="L483" s="9" t="str">
        <f t="shared" si="1"/>
        <v>Y</v>
      </c>
    </row>
    <row r="484" spans="1:12">
      <c r="A484" s="9">
        <v>584</v>
      </c>
      <c r="B484" s="9">
        <v>120</v>
      </c>
      <c r="C484" s="9" t="s">
        <v>4393</v>
      </c>
      <c r="D484" s="9" t="s">
        <v>4394</v>
      </c>
      <c r="E484" s="9">
        <v>209</v>
      </c>
      <c r="F484" s="9" t="s">
        <v>4395</v>
      </c>
      <c r="G484" s="9">
        <v>0</v>
      </c>
      <c r="H484" s="9" t="s">
        <v>3093</v>
      </c>
      <c r="I484" s="9">
        <v>142</v>
      </c>
      <c r="J484" s="9">
        <v>0</v>
      </c>
      <c r="K484" s="9" t="s">
        <v>1893</v>
      </c>
      <c r="L484" s="9" t="str">
        <f t="shared" si="1"/>
        <v>Y</v>
      </c>
    </row>
    <row r="485" spans="1:12">
      <c r="A485" s="9">
        <v>585</v>
      </c>
      <c r="B485" s="9">
        <v>119</v>
      </c>
      <c r="C485" s="9" t="s">
        <v>4396</v>
      </c>
      <c r="D485" s="9" t="s">
        <v>4397</v>
      </c>
      <c r="E485" s="9">
        <v>201</v>
      </c>
      <c r="F485" s="9" t="s">
        <v>4395</v>
      </c>
      <c r="G485" s="9">
        <v>0</v>
      </c>
      <c r="H485" s="9" t="s">
        <v>3093</v>
      </c>
      <c r="I485" s="9">
        <v>49</v>
      </c>
      <c r="J485" s="9">
        <v>0</v>
      </c>
      <c r="K485" s="9" t="s">
        <v>3835</v>
      </c>
      <c r="L485" s="9" t="str">
        <f t="shared" si="1"/>
        <v>Y</v>
      </c>
    </row>
    <row r="486" spans="1:12">
      <c r="A486" s="9">
        <v>586</v>
      </c>
      <c r="B486" s="9">
        <v>119</v>
      </c>
      <c r="C486" s="9" t="s">
        <v>4398</v>
      </c>
      <c r="D486" s="9" t="s">
        <v>4399</v>
      </c>
      <c r="E486" s="9">
        <v>201</v>
      </c>
      <c r="F486" s="9" t="s">
        <v>2272</v>
      </c>
      <c r="G486" s="9">
        <v>0</v>
      </c>
      <c r="H486" s="9" t="s">
        <v>3313</v>
      </c>
      <c r="I486" s="9">
        <v>88</v>
      </c>
      <c r="J486" s="9">
        <v>0</v>
      </c>
      <c r="K486" s="9" t="s">
        <v>1826</v>
      </c>
      <c r="L486" s="9" t="str">
        <f t="shared" si="1"/>
        <v>Y</v>
      </c>
    </row>
    <row r="487" spans="1:12">
      <c r="A487" s="9">
        <v>587</v>
      </c>
      <c r="B487" s="9">
        <v>119</v>
      </c>
      <c r="C487" s="9" t="s">
        <v>4400</v>
      </c>
      <c r="D487" s="9" t="s">
        <v>20</v>
      </c>
      <c r="E487" s="9">
        <v>203</v>
      </c>
      <c r="F487" s="9" t="s">
        <v>4401</v>
      </c>
      <c r="G487" s="9">
        <v>0</v>
      </c>
      <c r="H487" s="9" t="s">
        <v>3093</v>
      </c>
      <c r="I487" s="9">
        <v>156</v>
      </c>
      <c r="J487" s="9">
        <v>0</v>
      </c>
      <c r="K487" s="9" t="s">
        <v>699</v>
      </c>
      <c r="L487" s="9" t="str">
        <f t="shared" si="1"/>
        <v>N</v>
      </c>
    </row>
    <row r="488" spans="1:12">
      <c r="A488" s="9">
        <v>588</v>
      </c>
      <c r="B488" s="9">
        <v>122</v>
      </c>
      <c r="C488" s="9" t="s">
        <v>4402</v>
      </c>
      <c r="D488" s="9" t="s">
        <v>4403</v>
      </c>
      <c r="E488" s="9">
        <v>223</v>
      </c>
      <c r="F488" s="9" t="s">
        <v>2300</v>
      </c>
      <c r="G488" s="9">
        <v>1</v>
      </c>
      <c r="H488" s="9" t="s">
        <v>3093</v>
      </c>
      <c r="I488" s="9" t="s">
        <v>4404</v>
      </c>
      <c r="J488" s="9">
        <v>0</v>
      </c>
      <c r="K488" s="9" t="s">
        <v>1893</v>
      </c>
      <c r="L488" s="9" t="str">
        <f t="shared" si="1"/>
        <v>Y</v>
      </c>
    </row>
    <row r="489" spans="1:12">
      <c r="A489" s="9">
        <v>589</v>
      </c>
      <c r="B489" s="9">
        <v>122</v>
      </c>
      <c r="C489" s="9" t="s">
        <v>4405</v>
      </c>
      <c r="D489" s="9" t="s">
        <v>4406</v>
      </c>
      <c r="E489" s="9">
        <v>221</v>
      </c>
      <c r="F489" s="9" t="s">
        <v>4407</v>
      </c>
      <c r="G489" s="9">
        <v>0</v>
      </c>
      <c r="H489" s="9" t="s">
        <v>3093</v>
      </c>
      <c r="I489" s="9">
        <v>205</v>
      </c>
      <c r="J489" s="9">
        <v>0</v>
      </c>
      <c r="K489" s="9" t="s">
        <v>752</v>
      </c>
      <c r="L489" s="9" t="str">
        <f t="shared" si="1"/>
        <v>Y</v>
      </c>
    </row>
    <row r="490" spans="1:12">
      <c r="A490" s="9">
        <v>590</v>
      </c>
      <c r="B490" s="9">
        <v>121</v>
      </c>
      <c r="C490" s="9" t="s">
        <v>4408</v>
      </c>
      <c r="D490" s="9" t="s">
        <v>4409</v>
      </c>
      <c r="E490" s="9">
        <v>214</v>
      </c>
      <c r="F490" s="9" t="s">
        <v>2359</v>
      </c>
      <c r="G490" s="9">
        <v>0</v>
      </c>
      <c r="H490" s="9" t="s">
        <v>3093</v>
      </c>
      <c r="I490" s="9">
        <v>143</v>
      </c>
      <c r="J490" s="9">
        <v>0</v>
      </c>
      <c r="K490" s="9" t="s">
        <v>1893</v>
      </c>
      <c r="L490" s="9" t="str">
        <f t="shared" si="1"/>
        <v>Y</v>
      </c>
    </row>
    <row r="491" spans="1:12">
      <c r="A491" s="9">
        <v>591</v>
      </c>
      <c r="B491" s="9">
        <v>118</v>
      </c>
      <c r="C491" s="9" t="s">
        <v>4410</v>
      </c>
      <c r="D491" s="9" t="s">
        <v>4411</v>
      </c>
      <c r="E491" s="9">
        <v>193</v>
      </c>
      <c r="F491" s="9" t="s">
        <v>4412</v>
      </c>
      <c r="G491" s="9">
        <v>0</v>
      </c>
      <c r="H491" s="9" t="s">
        <v>3093</v>
      </c>
      <c r="I491" s="9">
        <v>17</v>
      </c>
      <c r="J491" s="9">
        <v>0</v>
      </c>
      <c r="K491" s="9" t="s">
        <v>699</v>
      </c>
      <c r="L491" s="9" t="str">
        <f t="shared" si="1"/>
        <v>Y</v>
      </c>
    </row>
    <row r="492" spans="1:12">
      <c r="A492" s="9">
        <v>592</v>
      </c>
      <c r="B492" s="9">
        <v>122</v>
      </c>
      <c r="C492" s="9" t="s">
        <v>4413</v>
      </c>
      <c r="D492" s="9" t="s">
        <v>4414</v>
      </c>
      <c r="E492" s="9">
        <v>223</v>
      </c>
      <c r="F492" s="9" t="s">
        <v>4415</v>
      </c>
      <c r="G492" s="9">
        <v>1</v>
      </c>
      <c r="H492" s="9" t="s">
        <v>3093</v>
      </c>
      <c r="I492" s="9">
        <v>90</v>
      </c>
      <c r="J492" s="9">
        <v>0</v>
      </c>
      <c r="K492" s="9" t="s">
        <v>1826</v>
      </c>
      <c r="L492" s="9" t="str">
        <f t="shared" si="1"/>
        <v>Y</v>
      </c>
    </row>
    <row r="493" spans="1:12">
      <c r="A493" s="9">
        <v>593</v>
      </c>
      <c r="B493" s="9">
        <v>122</v>
      </c>
      <c r="C493" s="9" t="s">
        <v>4416</v>
      </c>
      <c r="D493" s="9" t="s">
        <v>4417</v>
      </c>
      <c r="E493" s="9">
        <v>220</v>
      </c>
      <c r="F493" s="9" t="s">
        <v>4418</v>
      </c>
      <c r="G493" s="9">
        <v>0</v>
      </c>
      <c r="H493" s="9" t="s">
        <v>3093</v>
      </c>
      <c r="I493" s="9">
        <v>203.20500000000001</v>
      </c>
      <c r="J493" s="9">
        <v>0</v>
      </c>
      <c r="K493" s="9" t="s">
        <v>752</v>
      </c>
      <c r="L493" s="9" t="str">
        <f t="shared" si="1"/>
        <v>Y</v>
      </c>
    </row>
    <row r="494" spans="1:12">
      <c r="A494" s="9">
        <v>594</v>
      </c>
      <c r="B494" s="9">
        <v>119</v>
      </c>
      <c r="C494" s="9" t="s">
        <v>4419</v>
      </c>
      <c r="D494" s="9" t="s">
        <v>4420</v>
      </c>
      <c r="E494" s="9">
        <v>201</v>
      </c>
      <c r="F494" s="9" t="s">
        <v>2395</v>
      </c>
      <c r="G494" s="9">
        <v>0</v>
      </c>
      <c r="H494" s="9" t="s">
        <v>3093</v>
      </c>
      <c r="I494" s="9">
        <v>208</v>
      </c>
      <c r="J494" s="9">
        <v>0</v>
      </c>
      <c r="K494" s="9" t="s">
        <v>752</v>
      </c>
      <c r="L494" s="9" t="str">
        <f t="shared" si="1"/>
        <v>Y</v>
      </c>
    </row>
    <row r="495" spans="1:12">
      <c r="A495" s="9">
        <v>595</v>
      </c>
      <c r="B495" s="9">
        <v>122</v>
      </c>
      <c r="C495" s="9" t="s">
        <v>4421</v>
      </c>
      <c r="D495" s="9" t="s">
        <v>4422</v>
      </c>
      <c r="E495" s="9">
        <v>223</v>
      </c>
      <c r="F495" s="9" t="s">
        <v>4423</v>
      </c>
      <c r="G495" s="9">
        <v>0</v>
      </c>
      <c r="H495" s="9" t="s">
        <v>3093</v>
      </c>
      <c r="I495" s="9">
        <v>180</v>
      </c>
      <c r="J495" s="9">
        <v>0</v>
      </c>
      <c r="K495" s="9" t="s">
        <v>1885</v>
      </c>
      <c r="L495" s="9" t="str">
        <f t="shared" si="1"/>
        <v>Y</v>
      </c>
    </row>
    <row r="496" spans="1:12">
      <c r="A496" s="9">
        <v>596</v>
      </c>
      <c r="B496" s="9">
        <v>122</v>
      </c>
      <c r="C496" s="9" t="s">
        <v>4424</v>
      </c>
      <c r="D496" s="9" t="s">
        <v>4425</v>
      </c>
      <c r="E496" s="9">
        <v>223</v>
      </c>
      <c r="F496" s="9" t="s">
        <v>4426</v>
      </c>
      <c r="G496" s="9">
        <v>1</v>
      </c>
      <c r="H496" s="9" t="s">
        <v>3093</v>
      </c>
      <c r="I496" s="9">
        <v>109</v>
      </c>
      <c r="J496" s="9">
        <v>0</v>
      </c>
      <c r="K496" s="9" t="s">
        <v>1802</v>
      </c>
      <c r="L496" s="9" t="str">
        <f t="shared" si="1"/>
        <v>Y</v>
      </c>
    </row>
    <row r="497" spans="1:12">
      <c r="A497" s="9">
        <v>597</v>
      </c>
      <c r="B497" s="9">
        <v>119</v>
      </c>
      <c r="C497" s="9" t="s">
        <v>4427</v>
      </c>
      <c r="D497" s="9" t="s">
        <v>4428</v>
      </c>
      <c r="E497" s="9">
        <v>201</v>
      </c>
      <c r="F497" s="9" t="s">
        <v>4429</v>
      </c>
      <c r="G497" s="9">
        <v>0</v>
      </c>
      <c r="H497" s="9" t="s">
        <v>3093</v>
      </c>
      <c r="I497" s="9">
        <v>109</v>
      </c>
      <c r="J497" s="9">
        <v>3</v>
      </c>
      <c r="K497" s="9" t="s">
        <v>1802</v>
      </c>
      <c r="L497" s="9" t="str">
        <f t="shared" si="1"/>
        <v>Y</v>
      </c>
    </row>
    <row r="498" spans="1:12">
      <c r="A498" s="9">
        <v>598</v>
      </c>
      <c r="B498" s="9">
        <v>119</v>
      </c>
      <c r="C498" s="9" t="s">
        <v>4430</v>
      </c>
      <c r="D498" s="9" t="s">
        <v>4431</v>
      </c>
      <c r="E498" s="9">
        <v>201</v>
      </c>
      <c r="F498" s="9" t="s">
        <v>4432</v>
      </c>
      <c r="G498" s="9">
        <v>0</v>
      </c>
      <c r="H498" s="9" t="s">
        <v>3093</v>
      </c>
      <c r="I498" s="9">
        <v>125</v>
      </c>
      <c r="J498" s="9">
        <v>0</v>
      </c>
      <c r="K498" s="9" t="s">
        <v>1779</v>
      </c>
      <c r="L498" s="9" t="str">
        <f t="shared" si="1"/>
        <v>Y</v>
      </c>
    </row>
    <row r="499" spans="1:12">
      <c r="A499" s="9">
        <v>599</v>
      </c>
      <c r="B499" s="9">
        <v>118</v>
      </c>
      <c r="C499" s="9" t="s">
        <v>4433</v>
      </c>
      <c r="D499" s="9" t="s">
        <v>20</v>
      </c>
      <c r="E499" s="9">
        <v>193</v>
      </c>
      <c r="F499" s="9" t="s">
        <v>505</v>
      </c>
      <c r="G499" s="9">
        <v>0</v>
      </c>
      <c r="H499" s="9" t="s">
        <v>3093</v>
      </c>
      <c r="I499" s="9">
        <v>219</v>
      </c>
      <c r="J499" s="9">
        <v>0</v>
      </c>
      <c r="K499" s="9" t="s">
        <v>699</v>
      </c>
      <c r="L499" s="9" t="str">
        <f t="shared" si="1"/>
        <v>N</v>
      </c>
    </row>
    <row r="500" spans="1:12">
      <c r="A500" s="9">
        <v>600</v>
      </c>
      <c r="B500" s="9">
        <v>119</v>
      </c>
      <c r="C500" s="9" t="s">
        <v>4434</v>
      </c>
      <c r="D500" s="9" t="s">
        <v>4435</v>
      </c>
      <c r="E500" s="9">
        <v>201</v>
      </c>
      <c r="F500" s="9" t="s">
        <v>4436</v>
      </c>
      <c r="G500" s="9">
        <v>0</v>
      </c>
      <c r="H500" s="9" t="s">
        <v>3093</v>
      </c>
      <c r="I500" s="9">
        <v>190</v>
      </c>
      <c r="J500" s="9">
        <v>1</v>
      </c>
      <c r="K500" s="9" t="s">
        <v>1793</v>
      </c>
      <c r="L500" s="9" t="str">
        <f t="shared" si="1"/>
        <v>Y</v>
      </c>
    </row>
    <row r="501" spans="1:12">
      <c r="A501" s="9">
        <v>601</v>
      </c>
      <c r="B501" s="9">
        <v>121</v>
      </c>
      <c r="C501" s="9" t="s">
        <v>4437</v>
      </c>
      <c r="D501" s="9" t="s">
        <v>4438</v>
      </c>
      <c r="E501" s="9">
        <v>214</v>
      </c>
      <c r="F501" s="9" t="s">
        <v>4439</v>
      </c>
      <c r="G501" s="9">
        <v>0</v>
      </c>
      <c r="H501" s="9" t="s">
        <v>3093</v>
      </c>
      <c r="I501" s="9">
        <v>204.20699999999999</v>
      </c>
      <c r="J501" s="9">
        <v>1</v>
      </c>
      <c r="K501" s="9" t="s">
        <v>752</v>
      </c>
      <c r="L501" s="9" t="str">
        <f t="shared" si="1"/>
        <v>Y</v>
      </c>
    </row>
    <row r="502" spans="1:12">
      <c r="A502" s="9">
        <v>602</v>
      </c>
      <c r="B502" s="9">
        <v>119</v>
      </c>
      <c r="C502" s="9" t="s">
        <v>4440</v>
      </c>
      <c r="D502" s="9" t="s">
        <v>4441</v>
      </c>
      <c r="E502" s="9">
        <v>203</v>
      </c>
      <c r="F502" s="9" t="s">
        <v>4442</v>
      </c>
      <c r="G502" s="9">
        <v>0</v>
      </c>
      <c r="H502" s="9" t="s">
        <v>3093</v>
      </c>
      <c r="I502" s="9">
        <v>156</v>
      </c>
      <c r="J502" s="9">
        <v>2</v>
      </c>
      <c r="K502" s="9" t="s">
        <v>2292</v>
      </c>
      <c r="L502" s="9" t="str">
        <f t="shared" si="1"/>
        <v>Y</v>
      </c>
    </row>
    <row r="503" spans="1:12">
      <c r="A503" s="9">
        <v>603</v>
      </c>
      <c r="B503" s="9">
        <v>121</v>
      </c>
      <c r="C503" s="9" t="s">
        <v>4443</v>
      </c>
      <c r="D503" s="9" t="s">
        <v>4444</v>
      </c>
      <c r="E503" s="9">
        <v>217</v>
      </c>
      <c r="F503" s="9" t="s">
        <v>680</v>
      </c>
      <c r="G503" s="9">
        <v>0</v>
      </c>
      <c r="H503" s="9" t="s">
        <v>3093</v>
      </c>
      <c r="I503" s="9">
        <v>88.171000000000006</v>
      </c>
      <c r="J503" s="9">
        <v>0</v>
      </c>
      <c r="K503" s="9" t="s">
        <v>4445</v>
      </c>
      <c r="L503" s="9" t="str">
        <f t="shared" si="1"/>
        <v>Y</v>
      </c>
    </row>
    <row r="504" spans="1:12">
      <c r="A504" s="9">
        <v>604</v>
      </c>
      <c r="B504" s="9">
        <v>125</v>
      </c>
      <c r="C504" s="9" t="s">
        <v>4446</v>
      </c>
      <c r="D504" s="9" t="s">
        <v>4447</v>
      </c>
      <c r="E504" s="9">
        <v>241</v>
      </c>
      <c r="F504" s="9" t="s">
        <v>2512</v>
      </c>
      <c r="G504" s="9">
        <v>1</v>
      </c>
      <c r="H504" s="9" t="s">
        <v>3093</v>
      </c>
      <c r="I504" s="9">
        <v>143</v>
      </c>
      <c r="J504" s="9">
        <v>1</v>
      </c>
      <c r="K504" s="9" t="s">
        <v>1893</v>
      </c>
      <c r="L504" s="9" t="str">
        <f t="shared" si="1"/>
        <v>Y</v>
      </c>
    </row>
    <row r="505" spans="1:12">
      <c r="A505" s="9">
        <v>605</v>
      </c>
      <c r="B505" s="9">
        <v>121</v>
      </c>
      <c r="C505" s="9" t="s">
        <v>4448</v>
      </c>
      <c r="D505" s="9" t="s">
        <v>4449</v>
      </c>
      <c r="E505" s="9">
        <v>217</v>
      </c>
      <c r="F505" s="9" t="s">
        <v>4450</v>
      </c>
      <c r="G505" s="9">
        <v>1</v>
      </c>
      <c r="H505" s="9" t="s">
        <v>3394</v>
      </c>
      <c r="I505" s="9">
        <v>109</v>
      </c>
      <c r="J505" s="9">
        <v>1</v>
      </c>
      <c r="K505" s="9" t="s">
        <v>1802</v>
      </c>
      <c r="L505" s="9" t="str">
        <f t="shared" si="1"/>
        <v>Y</v>
      </c>
    </row>
    <row r="506" spans="1:12">
      <c r="A506" s="9">
        <v>606</v>
      </c>
      <c r="B506" s="9">
        <v>125</v>
      </c>
      <c r="C506" s="9" t="s">
        <v>4451</v>
      </c>
      <c r="D506" s="9" t="s">
        <v>4452</v>
      </c>
      <c r="E506" s="9">
        <v>241</v>
      </c>
      <c r="F506" s="9" t="s">
        <v>4453</v>
      </c>
      <c r="G506" s="9">
        <v>1</v>
      </c>
      <c r="H506" s="9" t="s">
        <v>3093</v>
      </c>
      <c r="I506" s="9">
        <v>171</v>
      </c>
      <c r="J506" s="9">
        <v>0</v>
      </c>
      <c r="K506" s="9" t="s">
        <v>1885</v>
      </c>
      <c r="L506" s="9" t="str">
        <f t="shared" si="1"/>
        <v>Y</v>
      </c>
    </row>
    <row r="507" spans="1:12">
      <c r="A507" s="9">
        <v>607</v>
      </c>
      <c r="B507" s="9">
        <v>119</v>
      </c>
      <c r="C507" s="9" t="s">
        <v>4454</v>
      </c>
      <c r="D507" s="9" t="s">
        <v>4455</v>
      </c>
      <c r="E507" s="9">
        <v>203</v>
      </c>
      <c r="F507" s="9" t="s">
        <v>4456</v>
      </c>
      <c r="G507" s="9">
        <v>0</v>
      </c>
      <c r="H507" s="9" t="s">
        <v>3313</v>
      </c>
      <c r="I507" s="9">
        <v>147</v>
      </c>
      <c r="J507" s="9">
        <v>0</v>
      </c>
      <c r="K507" s="9" t="s">
        <v>699</v>
      </c>
      <c r="L507" s="9" t="str">
        <f t="shared" si="1"/>
        <v>Y</v>
      </c>
    </row>
    <row r="508" spans="1:12">
      <c r="A508" s="9">
        <v>608</v>
      </c>
      <c r="B508" s="9">
        <v>124</v>
      </c>
      <c r="C508" s="9" t="s">
        <v>4457</v>
      </c>
      <c r="D508" s="9" t="s">
        <v>4458</v>
      </c>
      <c r="E508" s="9">
        <v>234</v>
      </c>
      <c r="F508" s="9" t="s">
        <v>4459</v>
      </c>
      <c r="G508" s="9">
        <v>0</v>
      </c>
      <c r="H508" s="9" t="s">
        <v>3093</v>
      </c>
      <c r="I508" s="9">
        <v>125</v>
      </c>
      <c r="J508" s="9">
        <v>1</v>
      </c>
      <c r="K508" s="9" t="s">
        <v>1779</v>
      </c>
      <c r="L508" s="9" t="str">
        <f t="shared" si="1"/>
        <v>Y</v>
      </c>
    </row>
    <row r="509" spans="1:12">
      <c r="A509" s="9">
        <v>609</v>
      </c>
      <c r="B509" s="9">
        <v>121</v>
      </c>
      <c r="C509" s="9" t="s">
        <v>4460</v>
      </c>
      <c r="D509" s="9" t="s">
        <v>4461</v>
      </c>
      <c r="E509" s="9">
        <v>217</v>
      </c>
      <c r="F509" s="9" t="s">
        <v>2581</v>
      </c>
      <c r="G509" s="9">
        <v>1</v>
      </c>
      <c r="H509" s="9" t="s">
        <v>3093</v>
      </c>
      <c r="I509" s="9">
        <v>190</v>
      </c>
      <c r="J509" s="9">
        <v>3</v>
      </c>
      <c r="K509" s="9" t="s">
        <v>1793</v>
      </c>
      <c r="L509" s="9" t="str">
        <f t="shared" si="1"/>
        <v>Y</v>
      </c>
    </row>
    <row r="510" spans="1:12">
      <c r="A510" s="9">
        <v>610</v>
      </c>
      <c r="B510" s="9">
        <v>126</v>
      </c>
      <c r="C510" s="9" t="s">
        <v>4462</v>
      </c>
      <c r="D510" s="9" t="s">
        <v>4463</v>
      </c>
      <c r="E510" s="9">
        <v>246</v>
      </c>
      <c r="F510" s="9" t="s">
        <v>2581</v>
      </c>
      <c r="G510" s="9">
        <v>0</v>
      </c>
      <c r="H510" s="9" t="s">
        <v>3093</v>
      </c>
      <c r="I510" s="9">
        <v>71</v>
      </c>
      <c r="J510" s="9">
        <v>0</v>
      </c>
      <c r="K510" s="9" t="s">
        <v>3847</v>
      </c>
      <c r="L510" s="9" t="str">
        <f t="shared" si="1"/>
        <v>Y</v>
      </c>
    </row>
    <row r="511" spans="1:12">
      <c r="A511" s="9">
        <v>611</v>
      </c>
      <c r="B511" s="9">
        <v>123</v>
      </c>
      <c r="C511" s="9" t="s">
        <v>4464</v>
      </c>
      <c r="D511" s="9" t="s">
        <v>20</v>
      </c>
      <c r="E511" s="9">
        <v>228</v>
      </c>
      <c r="F511" s="9" t="s">
        <v>4465</v>
      </c>
      <c r="G511" s="9">
        <v>0</v>
      </c>
      <c r="H511" s="9" t="s">
        <v>3093</v>
      </c>
      <c r="I511" s="9">
        <v>219</v>
      </c>
      <c r="J511" s="9">
        <v>0</v>
      </c>
      <c r="K511" s="9" t="s">
        <v>699</v>
      </c>
      <c r="L511" s="9" t="str">
        <f t="shared" si="1"/>
        <v>N</v>
      </c>
    </row>
    <row r="512" spans="1:12">
      <c r="A512" s="9">
        <v>612</v>
      </c>
      <c r="B512" s="9">
        <v>118</v>
      </c>
      <c r="C512" s="9" t="s">
        <v>4466</v>
      </c>
      <c r="D512" s="9" t="s">
        <v>20</v>
      </c>
      <c r="E512" s="9">
        <v>193</v>
      </c>
      <c r="F512" s="9" t="s">
        <v>4467</v>
      </c>
      <c r="G512" s="9">
        <v>0</v>
      </c>
      <c r="H512" s="9" t="s">
        <v>3093</v>
      </c>
      <c r="I512" s="9">
        <v>116</v>
      </c>
      <c r="J512" s="9">
        <v>0</v>
      </c>
      <c r="K512" s="9" t="s">
        <v>699</v>
      </c>
      <c r="L512" s="9" t="str">
        <f t="shared" ref="L512:L560" si="2">IF(D512="\N","N","Y")</f>
        <v>N</v>
      </c>
    </row>
    <row r="513" spans="1:12">
      <c r="A513" s="9">
        <v>613</v>
      </c>
      <c r="B513" s="9">
        <v>118</v>
      </c>
      <c r="C513" s="9" t="s">
        <v>4468</v>
      </c>
      <c r="D513" s="9" t="s">
        <v>20</v>
      </c>
      <c r="E513" s="9">
        <v>193</v>
      </c>
      <c r="F513" s="9" t="s">
        <v>2613</v>
      </c>
      <c r="G513" s="9">
        <v>0</v>
      </c>
      <c r="H513" s="9" t="s">
        <v>3093</v>
      </c>
      <c r="I513" s="9">
        <v>116</v>
      </c>
      <c r="J513" s="9">
        <v>0</v>
      </c>
      <c r="K513" s="9" t="s">
        <v>699</v>
      </c>
      <c r="L513" s="9" t="str">
        <f t="shared" si="2"/>
        <v>N</v>
      </c>
    </row>
    <row r="514" spans="1:12">
      <c r="A514" s="9">
        <v>614</v>
      </c>
      <c r="B514" s="9">
        <v>124</v>
      </c>
      <c r="C514" s="9" t="s">
        <v>4469</v>
      </c>
      <c r="D514" s="9" t="s">
        <v>20</v>
      </c>
      <c r="E514" s="9">
        <v>234</v>
      </c>
      <c r="F514" s="9" t="s">
        <v>4470</v>
      </c>
      <c r="G514" s="9">
        <v>0</v>
      </c>
      <c r="H514" s="9" t="s">
        <v>3093</v>
      </c>
      <c r="I514" s="9">
        <v>129</v>
      </c>
      <c r="J514" s="9">
        <v>0</v>
      </c>
      <c r="K514" s="9" t="s">
        <v>699</v>
      </c>
      <c r="L514" s="9" t="str">
        <f t="shared" si="2"/>
        <v>N</v>
      </c>
    </row>
    <row r="515" spans="1:12">
      <c r="A515" s="9">
        <v>615</v>
      </c>
      <c r="B515" s="9">
        <v>123</v>
      </c>
      <c r="C515" s="9" t="s">
        <v>4471</v>
      </c>
      <c r="D515" s="9" t="s">
        <v>4472</v>
      </c>
      <c r="E515" s="9">
        <v>228</v>
      </c>
      <c r="F515" s="9" t="s">
        <v>4473</v>
      </c>
      <c r="G515" s="9">
        <v>1</v>
      </c>
      <c r="H515" s="9" t="s">
        <v>3093</v>
      </c>
      <c r="I515" s="9">
        <v>220</v>
      </c>
      <c r="J515" s="9">
        <v>0</v>
      </c>
      <c r="K515" s="9" t="s">
        <v>3874</v>
      </c>
      <c r="L515" s="9" t="str">
        <f t="shared" si="2"/>
        <v>Y</v>
      </c>
    </row>
    <row r="516" spans="1:12">
      <c r="A516" s="9">
        <v>616</v>
      </c>
      <c r="B516" s="9">
        <v>126</v>
      </c>
      <c r="C516" s="9" t="s">
        <v>4474</v>
      </c>
      <c r="D516" s="9" t="s">
        <v>4475</v>
      </c>
      <c r="E516" s="9">
        <v>246</v>
      </c>
      <c r="F516" s="9" t="s">
        <v>4476</v>
      </c>
      <c r="G516" s="9">
        <v>1</v>
      </c>
      <c r="H516" s="9" t="s">
        <v>3093</v>
      </c>
      <c r="I516" s="9">
        <v>147</v>
      </c>
      <c r="J516" s="9">
        <v>0</v>
      </c>
      <c r="K516" s="9" t="s">
        <v>699</v>
      </c>
      <c r="L516" s="9" t="str">
        <f t="shared" si="2"/>
        <v>Y</v>
      </c>
    </row>
    <row r="517" spans="1:12">
      <c r="A517" s="9">
        <v>617</v>
      </c>
      <c r="B517" s="9">
        <v>118</v>
      </c>
      <c r="C517" s="9" t="s">
        <v>4477</v>
      </c>
      <c r="D517" s="9" t="s">
        <v>4478</v>
      </c>
      <c r="E517" s="9">
        <v>193</v>
      </c>
      <c r="F517" s="9" t="s">
        <v>4479</v>
      </c>
      <c r="G517" s="9">
        <v>1</v>
      </c>
      <c r="H517" s="9" t="s">
        <v>3093</v>
      </c>
      <c r="I517" s="9">
        <v>116</v>
      </c>
      <c r="J517" s="9">
        <v>0</v>
      </c>
      <c r="K517" s="9" t="s">
        <v>1802</v>
      </c>
      <c r="L517" s="9" t="str">
        <f t="shared" si="2"/>
        <v>Y</v>
      </c>
    </row>
    <row r="518" spans="1:12">
      <c r="A518" s="9">
        <v>618</v>
      </c>
      <c r="B518" s="9">
        <v>124</v>
      </c>
      <c r="C518" s="9" t="s">
        <v>4480</v>
      </c>
      <c r="D518" s="9" t="s">
        <v>4481</v>
      </c>
      <c r="E518" s="9">
        <v>232</v>
      </c>
      <c r="F518" s="9" t="s">
        <v>2627</v>
      </c>
      <c r="G518" s="9">
        <v>0</v>
      </c>
      <c r="H518" s="9" t="s">
        <v>3093</v>
      </c>
      <c r="I518" s="9">
        <v>70</v>
      </c>
      <c r="J518" s="9">
        <v>0</v>
      </c>
      <c r="K518" s="9" t="s">
        <v>3847</v>
      </c>
      <c r="L518" s="9" t="str">
        <f t="shared" si="2"/>
        <v>Y</v>
      </c>
    </row>
    <row r="519" spans="1:12">
      <c r="A519" s="9">
        <v>619</v>
      </c>
      <c r="B519" s="9">
        <v>124</v>
      </c>
      <c r="C519" s="9" t="s">
        <v>4482</v>
      </c>
      <c r="D519" s="9" t="s">
        <v>20</v>
      </c>
      <c r="E519" s="9">
        <v>234</v>
      </c>
      <c r="F519" s="9" t="s">
        <v>4483</v>
      </c>
      <c r="G519" s="9">
        <v>0</v>
      </c>
      <c r="H519" s="9" t="s">
        <v>3093</v>
      </c>
      <c r="I519" s="9">
        <v>129.21100000000001</v>
      </c>
      <c r="J519" s="9">
        <v>0</v>
      </c>
      <c r="K519" s="9" t="s">
        <v>699</v>
      </c>
      <c r="L519" s="9" t="str">
        <f t="shared" si="2"/>
        <v>N</v>
      </c>
    </row>
    <row r="520" spans="1:12">
      <c r="A520" s="9">
        <v>620</v>
      </c>
      <c r="B520" s="9">
        <v>124</v>
      </c>
      <c r="C520" s="9" t="s">
        <v>4484</v>
      </c>
      <c r="D520" s="9" t="s">
        <v>4485</v>
      </c>
      <c r="E520" s="9">
        <v>234</v>
      </c>
      <c r="F520" s="9" t="s">
        <v>4486</v>
      </c>
      <c r="G520" s="9">
        <v>0</v>
      </c>
      <c r="H520" s="9" t="s">
        <v>3093</v>
      </c>
      <c r="I520" s="9">
        <v>211</v>
      </c>
      <c r="J520" s="9">
        <v>0</v>
      </c>
      <c r="K520" s="9" t="s">
        <v>752</v>
      </c>
      <c r="L520" s="9" t="str">
        <f t="shared" si="2"/>
        <v>Y</v>
      </c>
    </row>
    <row r="521" spans="1:12">
      <c r="A521" s="9">
        <v>621</v>
      </c>
      <c r="B521" s="9">
        <v>124</v>
      </c>
      <c r="C521" s="9" t="s">
        <v>4487</v>
      </c>
      <c r="D521" s="9" t="s">
        <v>4488</v>
      </c>
      <c r="E521" s="9">
        <v>232</v>
      </c>
      <c r="F521" s="9" t="s">
        <v>4489</v>
      </c>
      <c r="G521" s="9">
        <v>1</v>
      </c>
      <c r="H521" s="9" t="s">
        <v>3093</v>
      </c>
      <c r="I521" s="9">
        <v>88</v>
      </c>
      <c r="J521" s="9">
        <v>0</v>
      </c>
      <c r="K521" s="9" t="s">
        <v>1826</v>
      </c>
      <c r="L521" s="9" t="str">
        <f t="shared" si="2"/>
        <v>Y</v>
      </c>
    </row>
    <row r="522" spans="1:12">
      <c r="A522" s="9">
        <v>622</v>
      </c>
      <c r="B522" s="9">
        <v>123</v>
      </c>
      <c r="C522" s="9" t="s">
        <v>4490</v>
      </c>
      <c r="D522" s="9" t="s">
        <v>4491</v>
      </c>
      <c r="E522" s="9">
        <v>228</v>
      </c>
      <c r="F522" s="9" t="s">
        <v>4489</v>
      </c>
      <c r="G522" s="9">
        <v>1</v>
      </c>
      <c r="H522" s="9" t="s">
        <v>3093</v>
      </c>
      <c r="I522" s="9">
        <v>209</v>
      </c>
      <c r="J522" s="9">
        <v>1</v>
      </c>
      <c r="K522" s="9" t="s">
        <v>752</v>
      </c>
      <c r="L522" s="9" t="str">
        <f t="shared" si="2"/>
        <v>Y</v>
      </c>
    </row>
    <row r="523" spans="1:12">
      <c r="A523" s="9">
        <v>623</v>
      </c>
      <c r="B523" s="9">
        <v>124</v>
      </c>
      <c r="C523" s="9" t="s">
        <v>4492</v>
      </c>
      <c r="D523" s="9" t="s">
        <v>4493</v>
      </c>
      <c r="E523" s="9">
        <v>234</v>
      </c>
      <c r="F523" s="9" t="s">
        <v>4494</v>
      </c>
      <c r="G523" s="9">
        <v>1</v>
      </c>
      <c r="H523" s="9" t="s">
        <v>3093</v>
      </c>
      <c r="I523" s="9">
        <v>111</v>
      </c>
      <c r="J523" s="9">
        <v>0</v>
      </c>
      <c r="K523" s="9" t="s">
        <v>1802</v>
      </c>
      <c r="L523" s="9" t="str">
        <f t="shared" si="2"/>
        <v>Y</v>
      </c>
    </row>
    <row r="524" spans="1:12">
      <c r="A524" s="9">
        <v>624</v>
      </c>
      <c r="B524" s="9">
        <v>124</v>
      </c>
      <c r="C524" s="9" t="s">
        <v>4495</v>
      </c>
      <c r="D524" s="9" t="s">
        <v>4496</v>
      </c>
      <c r="E524" s="9">
        <v>232</v>
      </c>
      <c r="F524" s="9" t="s">
        <v>4497</v>
      </c>
      <c r="G524" s="9">
        <v>1</v>
      </c>
      <c r="H524" s="9" t="s">
        <v>3093</v>
      </c>
      <c r="I524" s="9">
        <v>90</v>
      </c>
      <c r="J524" s="9">
        <v>0</v>
      </c>
      <c r="K524" s="9" t="s">
        <v>1826</v>
      </c>
      <c r="L524" s="9" t="str">
        <f t="shared" si="2"/>
        <v>Y</v>
      </c>
    </row>
    <row r="525" spans="1:12">
      <c r="A525" s="9">
        <v>625</v>
      </c>
      <c r="B525" s="9">
        <v>121</v>
      </c>
      <c r="C525" s="9" t="s">
        <v>4498</v>
      </c>
      <c r="D525" s="9" t="s">
        <v>4499</v>
      </c>
      <c r="E525" s="9">
        <v>217</v>
      </c>
      <c r="F525" s="9" t="s">
        <v>4500</v>
      </c>
      <c r="G525" s="9">
        <v>0</v>
      </c>
      <c r="H525" s="9" t="s">
        <v>3093</v>
      </c>
      <c r="I525" s="9">
        <v>180</v>
      </c>
      <c r="J525" s="9">
        <v>0</v>
      </c>
      <c r="K525" s="9" t="s">
        <v>1885</v>
      </c>
      <c r="L525" s="9" t="str">
        <f t="shared" si="2"/>
        <v>Y</v>
      </c>
    </row>
    <row r="526" spans="1:12">
      <c r="A526" s="9">
        <v>626</v>
      </c>
      <c r="B526" s="9">
        <v>123</v>
      </c>
      <c r="C526" s="9" t="s">
        <v>4501</v>
      </c>
      <c r="D526" s="9" t="s">
        <v>4502</v>
      </c>
      <c r="E526" s="9">
        <v>228</v>
      </c>
      <c r="F526" s="9" t="s">
        <v>4503</v>
      </c>
      <c r="G526" s="9">
        <v>1</v>
      </c>
      <c r="H526" s="9" t="s">
        <v>3093</v>
      </c>
      <c r="I526" s="9">
        <v>211</v>
      </c>
      <c r="J526" s="9">
        <v>2</v>
      </c>
      <c r="K526" s="9" t="s">
        <v>752</v>
      </c>
      <c r="L526" s="9" t="str">
        <f t="shared" si="2"/>
        <v>Y</v>
      </c>
    </row>
    <row r="527" spans="1:12">
      <c r="A527" s="9">
        <v>627</v>
      </c>
      <c r="B527" s="9">
        <v>120</v>
      </c>
      <c r="C527" s="9" t="s">
        <v>4504</v>
      </c>
      <c r="D527" s="9" t="s">
        <v>4505</v>
      </c>
      <c r="E527" s="9">
        <v>208</v>
      </c>
      <c r="F527" s="9" t="s">
        <v>4506</v>
      </c>
      <c r="G527" s="9">
        <v>0</v>
      </c>
      <c r="H527" s="9" t="s">
        <v>3093</v>
      </c>
      <c r="I527" s="9">
        <v>190</v>
      </c>
      <c r="J527" s="9">
        <v>0</v>
      </c>
      <c r="K527" s="9" t="s">
        <v>1793</v>
      </c>
      <c r="L527" s="9" t="str">
        <f t="shared" si="2"/>
        <v>Y</v>
      </c>
    </row>
    <row r="528" spans="1:12">
      <c r="A528" s="9">
        <v>628</v>
      </c>
      <c r="B528" s="9">
        <v>121</v>
      </c>
      <c r="C528" s="9" t="s">
        <v>4507</v>
      </c>
      <c r="D528" s="9" t="s">
        <v>4508</v>
      </c>
      <c r="E528" s="9">
        <v>217</v>
      </c>
      <c r="F528" s="9" t="s">
        <v>2735</v>
      </c>
      <c r="G528" s="9">
        <v>0</v>
      </c>
      <c r="H528" s="9" t="s">
        <v>3093</v>
      </c>
      <c r="I528" s="9">
        <v>194</v>
      </c>
      <c r="J528" s="9">
        <v>0</v>
      </c>
      <c r="K528" s="9" t="s">
        <v>1793</v>
      </c>
      <c r="L528" s="9" t="str">
        <f t="shared" si="2"/>
        <v>Y</v>
      </c>
    </row>
    <row r="529" spans="1:12">
      <c r="A529" s="9">
        <v>629</v>
      </c>
      <c r="B529" s="9">
        <v>121</v>
      </c>
      <c r="C529" s="9" t="s">
        <v>4509</v>
      </c>
      <c r="D529" s="9" t="s">
        <v>4510</v>
      </c>
      <c r="E529" s="9">
        <v>214</v>
      </c>
      <c r="F529" s="9" t="s">
        <v>4511</v>
      </c>
      <c r="G529" s="9">
        <v>0</v>
      </c>
      <c r="H529" s="9" t="s">
        <v>3093</v>
      </c>
      <c r="I529" s="9">
        <v>204</v>
      </c>
      <c r="J529" s="9">
        <v>3</v>
      </c>
      <c r="K529" s="9" t="s">
        <v>752</v>
      </c>
      <c r="L529" s="9" t="str">
        <f t="shared" si="2"/>
        <v>Y</v>
      </c>
    </row>
    <row r="530" spans="1:12">
      <c r="A530" s="9">
        <v>630</v>
      </c>
      <c r="B530" s="9">
        <v>126</v>
      </c>
      <c r="C530" s="9" t="s">
        <v>4512</v>
      </c>
      <c r="D530" s="9" t="s">
        <v>4513</v>
      </c>
      <c r="E530" s="9">
        <v>246</v>
      </c>
      <c r="F530" s="9" t="s">
        <v>2827</v>
      </c>
      <c r="G530" s="9">
        <v>0</v>
      </c>
      <c r="H530" s="9" t="s">
        <v>3093</v>
      </c>
      <c r="I530" s="9">
        <v>125</v>
      </c>
      <c r="J530" s="9">
        <v>1</v>
      </c>
      <c r="K530" s="9" t="s">
        <v>1779</v>
      </c>
      <c r="L530" s="9" t="str">
        <f t="shared" si="2"/>
        <v>Y</v>
      </c>
    </row>
    <row r="531" spans="1:12">
      <c r="A531" s="9">
        <v>631</v>
      </c>
      <c r="B531" s="9">
        <v>123</v>
      </c>
      <c r="C531" s="9" t="s">
        <v>4514</v>
      </c>
      <c r="D531" s="9" t="s">
        <v>4515</v>
      </c>
      <c r="E531" s="9">
        <v>228</v>
      </c>
      <c r="F531" s="9" t="s">
        <v>4516</v>
      </c>
      <c r="G531" s="9">
        <v>1</v>
      </c>
      <c r="H531" s="9" t="s">
        <v>3093</v>
      </c>
      <c r="I531" s="9">
        <v>92</v>
      </c>
      <c r="J531" s="9">
        <v>0</v>
      </c>
      <c r="K531" s="9" t="s">
        <v>1826</v>
      </c>
      <c r="L531" s="9" t="str">
        <f t="shared" si="2"/>
        <v>Y</v>
      </c>
    </row>
    <row r="532" spans="1:12">
      <c r="A532" s="9">
        <v>632</v>
      </c>
      <c r="B532" s="9">
        <v>120</v>
      </c>
      <c r="C532" s="9" t="s">
        <v>4517</v>
      </c>
      <c r="D532" s="9" t="s">
        <v>4518</v>
      </c>
      <c r="E532" s="9">
        <v>211</v>
      </c>
      <c r="F532" s="9" t="s">
        <v>4519</v>
      </c>
      <c r="G532" s="9">
        <v>1</v>
      </c>
      <c r="H532" s="9" t="s">
        <v>3093</v>
      </c>
      <c r="I532" s="9" t="s">
        <v>4520</v>
      </c>
      <c r="J532" s="9">
        <v>3</v>
      </c>
      <c r="K532" s="9" t="s">
        <v>1802</v>
      </c>
      <c r="L532" s="9" t="str">
        <f t="shared" si="2"/>
        <v>Y</v>
      </c>
    </row>
    <row r="533" spans="1:12">
      <c r="A533" s="9">
        <v>633</v>
      </c>
      <c r="B533" s="9">
        <v>120</v>
      </c>
      <c r="C533" s="9" t="s">
        <v>4521</v>
      </c>
      <c r="D533" s="9" t="s">
        <v>4522</v>
      </c>
      <c r="E533" s="9">
        <v>208</v>
      </c>
      <c r="F533" s="9" t="s">
        <v>511</v>
      </c>
      <c r="G533" s="9">
        <v>0</v>
      </c>
      <c r="H533" s="9" t="s">
        <v>3093</v>
      </c>
      <c r="I533" s="9">
        <v>204</v>
      </c>
      <c r="J533" s="9">
        <v>4</v>
      </c>
      <c r="K533" s="9" t="s">
        <v>752</v>
      </c>
      <c r="L533" s="9" t="str">
        <f t="shared" si="2"/>
        <v>Y</v>
      </c>
    </row>
    <row r="534" spans="1:12">
      <c r="A534" s="9">
        <v>634</v>
      </c>
      <c r="B534" s="9">
        <v>123</v>
      </c>
      <c r="C534" s="9" t="s">
        <v>4523</v>
      </c>
      <c r="D534" s="9" t="s">
        <v>4524</v>
      </c>
      <c r="E534" s="9">
        <v>228</v>
      </c>
      <c r="F534" s="9" t="s">
        <v>2832</v>
      </c>
      <c r="G534" s="9">
        <v>1</v>
      </c>
      <c r="H534" s="9" t="s">
        <v>3093</v>
      </c>
      <c r="I534" s="9">
        <v>72</v>
      </c>
      <c r="J534" s="9">
        <v>0</v>
      </c>
      <c r="K534" s="9" t="s">
        <v>3847</v>
      </c>
      <c r="L534" s="9" t="str">
        <f t="shared" si="2"/>
        <v>Y</v>
      </c>
    </row>
    <row r="535" spans="1:12">
      <c r="A535" s="9">
        <v>635</v>
      </c>
      <c r="B535" s="9">
        <v>125</v>
      </c>
      <c r="C535" s="9" t="s">
        <v>4525</v>
      </c>
      <c r="D535" s="9" t="s">
        <v>4526</v>
      </c>
      <c r="E535" s="9">
        <v>240</v>
      </c>
      <c r="F535" s="9" t="s">
        <v>4527</v>
      </c>
      <c r="G535" s="9">
        <v>0</v>
      </c>
      <c r="H535" s="9" t="s">
        <v>3093</v>
      </c>
      <c r="I535" s="9">
        <v>212</v>
      </c>
      <c r="J535" s="9">
        <v>1</v>
      </c>
      <c r="K535" s="9" t="s">
        <v>752</v>
      </c>
      <c r="L535" s="9" t="str">
        <f t="shared" si="2"/>
        <v>Y</v>
      </c>
    </row>
    <row r="536" spans="1:12">
      <c r="A536" s="9">
        <v>636</v>
      </c>
      <c r="B536" s="9">
        <v>123</v>
      </c>
      <c r="C536" s="9" t="s">
        <v>4528</v>
      </c>
      <c r="D536" s="9" t="s">
        <v>20</v>
      </c>
      <c r="E536" s="9">
        <v>228</v>
      </c>
      <c r="F536" s="9" t="s">
        <v>2854</v>
      </c>
      <c r="G536" s="9">
        <v>0</v>
      </c>
      <c r="H536" s="9" t="s">
        <v>3093</v>
      </c>
      <c r="I536" s="9">
        <v>12</v>
      </c>
      <c r="J536" s="9">
        <v>0</v>
      </c>
      <c r="K536" s="9" t="s">
        <v>699</v>
      </c>
      <c r="L536" s="9" t="str">
        <f t="shared" si="2"/>
        <v>N</v>
      </c>
    </row>
    <row r="537" spans="1:12">
      <c r="A537" s="9">
        <v>637</v>
      </c>
      <c r="B537" s="9">
        <v>120</v>
      </c>
      <c r="C537" s="9" t="s">
        <v>4529</v>
      </c>
      <c r="D537" s="9" t="s">
        <v>4530</v>
      </c>
      <c r="E537" s="9">
        <v>211</v>
      </c>
      <c r="F537" s="9" t="s">
        <v>2866</v>
      </c>
      <c r="G537" s="9">
        <v>1</v>
      </c>
      <c r="H537" s="9" t="s">
        <v>3093</v>
      </c>
      <c r="I537" s="9" t="s">
        <v>4129</v>
      </c>
      <c r="J537" s="9">
        <v>7</v>
      </c>
      <c r="K537" s="9" t="s">
        <v>1779</v>
      </c>
      <c r="L537" s="9" t="str">
        <f t="shared" si="2"/>
        <v>Y</v>
      </c>
    </row>
    <row r="538" spans="1:12">
      <c r="A538" s="9">
        <v>638</v>
      </c>
      <c r="B538" s="9">
        <v>121</v>
      </c>
      <c r="C538" s="9" t="s">
        <v>4531</v>
      </c>
      <c r="D538" s="9" t="s">
        <v>4532</v>
      </c>
      <c r="E538" s="9">
        <v>216</v>
      </c>
      <c r="F538" s="9" t="s">
        <v>4533</v>
      </c>
      <c r="G538" s="9">
        <v>0</v>
      </c>
      <c r="H538" s="9" t="s">
        <v>3093</v>
      </c>
      <c r="I538" s="9">
        <v>125</v>
      </c>
      <c r="J538" s="9">
        <v>1</v>
      </c>
      <c r="K538" s="9" t="s">
        <v>1779</v>
      </c>
      <c r="L538" s="9" t="str">
        <f t="shared" si="2"/>
        <v>Y</v>
      </c>
    </row>
    <row r="539" spans="1:12">
      <c r="A539" s="9">
        <v>639</v>
      </c>
      <c r="B539" s="9">
        <v>123</v>
      </c>
      <c r="C539" s="9" t="s">
        <v>4534</v>
      </c>
      <c r="D539" s="9" t="s">
        <v>20</v>
      </c>
      <c r="E539" s="9">
        <v>228</v>
      </c>
      <c r="F539" s="9" t="s">
        <v>4535</v>
      </c>
      <c r="G539" s="9">
        <v>0</v>
      </c>
      <c r="H539" s="9" t="s">
        <v>3093</v>
      </c>
      <c r="I539" s="9">
        <v>124</v>
      </c>
      <c r="J539" s="9">
        <v>0</v>
      </c>
      <c r="K539" s="9" t="s">
        <v>699</v>
      </c>
      <c r="L539" s="9" t="str">
        <f t="shared" si="2"/>
        <v>N</v>
      </c>
    </row>
    <row r="540" spans="1:12">
      <c r="A540" s="9">
        <v>640</v>
      </c>
      <c r="B540" s="9">
        <v>124</v>
      </c>
      <c r="C540" s="9" t="s">
        <v>4536</v>
      </c>
      <c r="D540" s="9" t="s">
        <v>20</v>
      </c>
      <c r="E540" s="9">
        <v>235</v>
      </c>
      <c r="F540" s="9" t="s">
        <v>2906</v>
      </c>
      <c r="G540" s="9">
        <v>0</v>
      </c>
      <c r="H540" s="9" t="s">
        <v>3093</v>
      </c>
      <c r="I540" s="9">
        <v>126</v>
      </c>
      <c r="J540" s="9">
        <v>0</v>
      </c>
      <c r="K540" s="9" t="s">
        <v>699</v>
      </c>
      <c r="L540" s="9" t="str">
        <f t="shared" si="2"/>
        <v>N</v>
      </c>
    </row>
    <row r="541" spans="1:12">
      <c r="A541" s="9">
        <v>641</v>
      </c>
      <c r="B541" s="9">
        <v>123</v>
      </c>
      <c r="C541" s="9" t="s">
        <v>4537</v>
      </c>
      <c r="D541" s="9" t="s">
        <v>20</v>
      </c>
      <c r="E541" s="9">
        <v>228</v>
      </c>
      <c r="F541" s="9" t="s">
        <v>4538</v>
      </c>
      <c r="G541" s="9">
        <v>0</v>
      </c>
      <c r="H541" s="9" t="s">
        <v>3093</v>
      </c>
      <c r="I541" s="9">
        <v>128</v>
      </c>
      <c r="J541" s="9">
        <v>0</v>
      </c>
      <c r="K541" s="9" t="s">
        <v>699</v>
      </c>
      <c r="L541" s="9" t="str">
        <f t="shared" si="2"/>
        <v>N</v>
      </c>
    </row>
    <row r="542" spans="1:12">
      <c r="A542" s="9">
        <v>642</v>
      </c>
      <c r="B542" s="9">
        <v>121</v>
      </c>
      <c r="C542" s="9" t="s">
        <v>4539</v>
      </c>
      <c r="D542" s="9" t="s">
        <v>4540</v>
      </c>
      <c r="E542" s="9">
        <v>214</v>
      </c>
      <c r="F542" s="9" t="s">
        <v>4541</v>
      </c>
      <c r="G542" s="9">
        <v>0</v>
      </c>
      <c r="H542" s="9" t="s">
        <v>3093</v>
      </c>
      <c r="I542" s="9">
        <v>191</v>
      </c>
      <c r="J542" s="9">
        <v>0</v>
      </c>
      <c r="K542" s="9" t="s">
        <v>1793</v>
      </c>
      <c r="L542" s="9" t="str">
        <f t="shared" si="2"/>
        <v>Y</v>
      </c>
    </row>
    <row r="543" spans="1:12">
      <c r="A543" s="9">
        <v>643</v>
      </c>
      <c r="B543" s="9">
        <v>123</v>
      </c>
      <c r="C543" s="9" t="s">
        <v>4542</v>
      </c>
      <c r="D543" s="9" t="s">
        <v>4543</v>
      </c>
      <c r="E543" s="9">
        <v>228</v>
      </c>
      <c r="F543" s="9" t="s">
        <v>4544</v>
      </c>
      <c r="G543" s="9">
        <v>1</v>
      </c>
      <c r="H543" s="9" t="s">
        <v>3093</v>
      </c>
      <c r="I543" s="9">
        <v>159</v>
      </c>
      <c r="J543" s="9">
        <v>6</v>
      </c>
      <c r="K543" s="9" t="s">
        <v>699</v>
      </c>
      <c r="L543" s="9" t="str">
        <f t="shared" si="2"/>
        <v>Y</v>
      </c>
    </row>
    <row r="544" spans="1:12">
      <c r="A544" s="9">
        <v>644</v>
      </c>
      <c r="B544" s="9">
        <v>124</v>
      </c>
      <c r="C544" s="9" t="s">
        <v>4545</v>
      </c>
      <c r="D544" s="9" t="s">
        <v>20</v>
      </c>
      <c r="E544" s="9">
        <v>235</v>
      </c>
      <c r="F544" s="9" t="s">
        <v>4546</v>
      </c>
      <c r="G544" s="9">
        <v>0</v>
      </c>
      <c r="H544" s="9" t="s">
        <v>3093</v>
      </c>
      <c r="I544" s="9">
        <v>126.212</v>
      </c>
      <c r="J544" s="9">
        <v>0</v>
      </c>
      <c r="K544" s="9" t="s">
        <v>699</v>
      </c>
      <c r="L544" s="9" t="str">
        <f t="shared" si="2"/>
        <v>N</v>
      </c>
    </row>
    <row r="545" spans="1:12">
      <c r="A545" s="9">
        <v>645</v>
      </c>
      <c r="B545" s="9">
        <v>120</v>
      </c>
      <c r="C545" s="9" t="s">
        <v>4547</v>
      </c>
      <c r="D545" s="9" t="s">
        <v>4548</v>
      </c>
      <c r="E545" s="9">
        <v>211</v>
      </c>
      <c r="F545" s="9" t="s">
        <v>415</v>
      </c>
      <c r="G545" s="9">
        <v>1</v>
      </c>
      <c r="H545" s="9" t="s">
        <v>3093</v>
      </c>
      <c r="I545" s="9" t="s">
        <v>4549</v>
      </c>
      <c r="J545" s="9">
        <v>6</v>
      </c>
      <c r="K545" s="9" t="s">
        <v>3847</v>
      </c>
      <c r="L545" s="9" t="str">
        <f t="shared" si="2"/>
        <v>Y</v>
      </c>
    </row>
    <row r="546" spans="1:12">
      <c r="A546" s="9">
        <v>646</v>
      </c>
      <c r="B546" s="9">
        <v>120</v>
      </c>
      <c r="C546" s="9" t="s">
        <v>4550</v>
      </c>
      <c r="D546" s="9" t="s">
        <v>4551</v>
      </c>
      <c r="E546" s="9">
        <v>209</v>
      </c>
      <c r="F546" s="9" t="s">
        <v>4552</v>
      </c>
      <c r="G546" s="9">
        <v>0</v>
      </c>
      <c r="H546" s="9" t="s">
        <v>3093</v>
      </c>
      <c r="I546" s="9">
        <v>207</v>
      </c>
      <c r="J546" s="9">
        <v>1</v>
      </c>
      <c r="K546" s="9" t="s">
        <v>752</v>
      </c>
      <c r="L546" s="9" t="str">
        <f t="shared" si="2"/>
        <v>Y</v>
      </c>
    </row>
    <row r="547" spans="1:12">
      <c r="A547" s="9">
        <v>647</v>
      </c>
      <c r="B547" s="9">
        <v>123</v>
      </c>
      <c r="C547" s="9" t="s">
        <v>4553</v>
      </c>
      <c r="D547" s="9" t="s">
        <v>20</v>
      </c>
      <c r="E547" s="9">
        <v>228</v>
      </c>
      <c r="F547" s="9" t="s">
        <v>4554</v>
      </c>
      <c r="G547" s="9">
        <v>0</v>
      </c>
      <c r="H547" s="9" t="s">
        <v>3093</v>
      </c>
      <c r="I547" s="9">
        <v>159</v>
      </c>
      <c r="J547" s="9">
        <v>0</v>
      </c>
      <c r="K547" s="9" t="s">
        <v>699</v>
      </c>
      <c r="L547" s="9" t="str">
        <f t="shared" si="2"/>
        <v>N</v>
      </c>
    </row>
    <row r="548" spans="1:12">
      <c r="A548" s="9">
        <v>648</v>
      </c>
      <c r="B548" s="9">
        <v>123</v>
      </c>
      <c r="C548" s="9" t="s">
        <v>4555</v>
      </c>
      <c r="D548" s="9" t="s">
        <v>4556</v>
      </c>
      <c r="E548" s="9">
        <v>228</v>
      </c>
      <c r="F548" s="9" t="s">
        <v>4557</v>
      </c>
      <c r="G548" s="9">
        <v>1</v>
      </c>
      <c r="H548" s="9" t="s">
        <v>3093</v>
      </c>
      <c r="I548" s="9">
        <v>203</v>
      </c>
      <c r="J548" s="9">
        <v>2</v>
      </c>
      <c r="K548" s="9" t="s">
        <v>752</v>
      </c>
      <c r="L548" s="9" t="str">
        <f t="shared" si="2"/>
        <v>Y</v>
      </c>
    </row>
    <row r="549" spans="1:12">
      <c r="A549" s="9">
        <v>649</v>
      </c>
      <c r="B549" s="9">
        <v>124</v>
      </c>
      <c r="C549" s="9" t="s">
        <v>4558</v>
      </c>
      <c r="D549" s="9" t="s">
        <v>4559</v>
      </c>
      <c r="E549" s="9">
        <v>235</v>
      </c>
      <c r="F549" s="9" t="s">
        <v>3009</v>
      </c>
      <c r="G549" s="9">
        <v>1</v>
      </c>
      <c r="H549" s="9" t="s">
        <v>3093</v>
      </c>
      <c r="I549" s="9">
        <v>212</v>
      </c>
      <c r="J549" s="9">
        <v>0</v>
      </c>
      <c r="K549" s="9" t="s">
        <v>752</v>
      </c>
      <c r="L549" s="9" t="str">
        <f t="shared" si="2"/>
        <v>Y</v>
      </c>
    </row>
    <row r="550" spans="1:12">
      <c r="A550" s="9">
        <v>650</v>
      </c>
      <c r="B550" s="9">
        <v>119</v>
      </c>
      <c r="C550" s="9" t="s">
        <v>4560</v>
      </c>
      <c r="D550" s="9" t="s">
        <v>4561</v>
      </c>
      <c r="E550" s="9">
        <v>201</v>
      </c>
      <c r="F550" s="9" t="s">
        <v>3009</v>
      </c>
      <c r="G550" s="9">
        <v>1</v>
      </c>
      <c r="H550" s="9" t="s">
        <v>3093</v>
      </c>
      <c r="I550" s="9">
        <v>172</v>
      </c>
      <c r="J550" s="9">
        <v>0</v>
      </c>
      <c r="K550" s="9" t="s">
        <v>1885</v>
      </c>
      <c r="L550" s="9" t="str">
        <f t="shared" si="2"/>
        <v>Y</v>
      </c>
    </row>
    <row r="551" spans="1:12">
      <c r="A551" s="9">
        <v>651</v>
      </c>
      <c r="B551" s="9">
        <v>119</v>
      </c>
      <c r="C551" s="9" t="s">
        <v>4562</v>
      </c>
      <c r="D551" s="9" t="s">
        <v>4563</v>
      </c>
      <c r="E551" s="9">
        <v>201</v>
      </c>
      <c r="F551" s="9" t="s">
        <v>4564</v>
      </c>
      <c r="G551" s="9">
        <v>0</v>
      </c>
      <c r="H551" s="9" t="s">
        <v>3093</v>
      </c>
      <c r="I551" s="9">
        <v>207</v>
      </c>
      <c r="J551" s="9">
        <v>0</v>
      </c>
      <c r="K551" s="9" t="s">
        <v>752</v>
      </c>
      <c r="L551" s="9" t="str">
        <f t="shared" si="2"/>
        <v>Y</v>
      </c>
    </row>
    <row r="552" spans="1:12">
      <c r="A552" s="9">
        <v>652</v>
      </c>
      <c r="B552" s="9">
        <v>123</v>
      </c>
      <c r="C552" s="9" t="s">
        <v>4565</v>
      </c>
      <c r="D552" s="9" t="s">
        <v>4566</v>
      </c>
      <c r="E552" s="9">
        <v>226</v>
      </c>
      <c r="F552" s="9" t="s">
        <v>4567</v>
      </c>
      <c r="G552" s="9">
        <v>1</v>
      </c>
      <c r="H552" s="9" t="s">
        <v>3093</v>
      </c>
      <c r="I552" s="9">
        <v>142</v>
      </c>
      <c r="J552" s="9">
        <v>0</v>
      </c>
      <c r="K552" s="9" t="s">
        <v>1893</v>
      </c>
      <c r="L552" s="9" t="str">
        <f t="shared" si="2"/>
        <v>Y</v>
      </c>
    </row>
    <row r="553" spans="1:12">
      <c r="A553" s="9">
        <v>653</v>
      </c>
      <c r="B553" s="9">
        <v>126</v>
      </c>
      <c r="C553" s="9" t="s">
        <v>4568</v>
      </c>
      <c r="D553" s="9" t="s">
        <v>20</v>
      </c>
      <c r="E553" s="9">
        <v>247</v>
      </c>
      <c r="F553" s="9" t="s">
        <v>4569</v>
      </c>
      <c r="G553" s="9">
        <v>0</v>
      </c>
      <c r="H553" s="9" t="s">
        <v>3093</v>
      </c>
      <c r="I553" s="9">
        <v>140</v>
      </c>
      <c r="J553" s="9">
        <v>0</v>
      </c>
      <c r="K553" s="9" t="s">
        <v>699</v>
      </c>
      <c r="L553" s="9" t="str">
        <f t="shared" si="2"/>
        <v>N</v>
      </c>
    </row>
    <row r="554" spans="1:12">
      <c r="A554" s="9">
        <v>654</v>
      </c>
      <c r="B554" s="9">
        <v>123</v>
      </c>
      <c r="C554" s="9" t="s">
        <v>4570</v>
      </c>
      <c r="D554" s="9" t="s">
        <v>20</v>
      </c>
      <c r="E554" s="9">
        <v>226</v>
      </c>
      <c r="F554" s="9" t="s">
        <v>4571</v>
      </c>
      <c r="G554" s="9">
        <v>0</v>
      </c>
      <c r="H554" s="9" t="s">
        <v>3093</v>
      </c>
      <c r="I554" s="9">
        <v>53</v>
      </c>
      <c r="J554" s="9">
        <v>0</v>
      </c>
      <c r="K554" s="9" t="s">
        <v>699</v>
      </c>
      <c r="L554" s="9" t="str">
        <f t="shared" si="2"/>
        <v>N</v>
      </c>
    </row>
    <row r="555" spans="1:12">
      <c r="A555" s="9">
        <v>655</v>
      </c>
      <c r="B555" s="9">
        <v>123</v>
      </c>
      <c r="C555" s="9" t="s">
        <v>4572</v>
      </c>
      <c r="D555" s="9" t="s">
        <v>4573</v>
      </c>
      <c r="E555" s="9">
        <v>226</v>
      </c>
      <c r="F555" s="9" t="s">
        <v>4574</v>
      </c>
      <c r="G555" s="9">
        <v>1</v>
      </c>
      <c r="H555" s="9" t="s">
        <v>3093</v>
      </c>
      <c r="I555" s="9">
        <v>53</v>
      </c>
      <c r="J555" s="9">
        <v>0</v>
      </c>
      <c r="K555" s="9" t="s">
        <v>3835</v>
      </c>
      <c r="L555" s="9" t="str">
        <f t="shared" si="2"/>
        <v>Y</v>
      </c>
    </row>
    <row r="556" spans="1:12">
      <c r="A556" s="9">
        <v>656</v>
      </c>
      <c r="B556" s="9">
        <v>126</v>
      </c>
      <c r="C556" s="9" t="s">
        <v>4575</v>
      </c>
      <c r="D556" s="9" t="s">
        <v>4576</v>
      </c>
      <c r="E556" s="9">
        <v>247</v>
      </c>
      <c r="F556" s="9" t="s">
        <v>611</v>
      </c>
      <c r="G556" s="9">
        <v>1</v>
      </c>
      <c r="H556" s="9" t="s">
        <v>3093</v>
      </c>
      <c r="I556" s="9">
        <v>140</v>
      </c>
      <c r="J556" s="9">
        <v>0</v>
      </c>
      <c r="K556" s="9" t="s">
        <v>1893</v>
      </c>
      <c r="L556" s="9" t="str">
        <f t="shared" si="2"/>
        <v>Y</v>
      </c>
    </row>
    <row r="557" spans="1:12">
      <c r="A557" s="9">
        <v>657</v>
      </c>
      <c r="B557" s="9">
        <v>119</v>
      </c>
      <c r="C557" s="9" t="s">
        <v>4577</v>
      </c>
      <c r="D557" s="9" t="s">
        <v>20</v>
      </c>
      <c r="E557" s="9">
        <v>201</v>
      </c>
      <c r="F557" s="9" t="s">
        <v>4578</v>
      </c>
      <c r="G557" s="9">
        <v>0</v>
      </c>
      <c r="H557" s="9" t="s">
        <v>3093</v>
      </c>
      <c r="I557" s="9">
        <v>69</v>
      </c>
      <c r="J557" s="9">
        <v>0</v>
      </c>
      <c r="K557" s="9" t="s">
        <v>699</v>
      </c>
      <c r="L557" s="9" t="str">
        <f t="shared" si="2"/>
        <v>N</v>
      </c>
    </row>
    <row r="558" spans="1:12">
      <c r="A558" s="9">
        <v>658</v>
      </c>
      <c r="B558" s="9">
        <v>125</v>
      </c>
      <c r="C558" s="9" t="s">
        <v>4579</v>
      </c>
      <c r="D558" s="9" t="s">
        <v>4580</v>
      </c>
      <c r="E558" s="9">
        <v>240</v>
      </c>
      <c r="F558" s="9" t="s">
        <v>4581</v>
      </c>
      <c r="G558" s="9">
        <v>1</v>
      </c>
      <c r="H558" s="9" t="s">
        <v>3093</v>
      </c>
      <c r="I558" s="9">
        <v>208</v>
      </c>
      <c r="J558" s="9">
        <v>0</v>
      </c>
      <c r="K558" s="9" t="s">
        <v>752</v>
      </c>
      <c r="L558" s="9" t="str">
        <f t="shared" si="2"/>
        <v>Y</v>
      </c>
    </row>
    <row r="559" spans="1:12">
      <c r="A559" s="9">
        <v>659</v>
      </c>
      <c r="B559" s="9">
        <v>126</v>
      </c>
      <c r="C559" s="9" t="s">
        <v>4582</v>
      </c>
      <c r="D559" s="9" t="s">
        <v>4583</v>
      </c>
      <c r="E559" s="9">
        <v>247</v>
      </c>
      <c r="F559" s="9" t="s">
        <v>4584</v>
      </c>
      <c r="G559" s="9">
        <v>1</v>
      </c>
      <c r="H559" s="9" t="s">
        <v>3093</v>
      </c>
      <c r="I559" s="9">
        <v>207</v>
      </c>
      <c r="J559" s="9">
        <v>0</v>
      </c>
      <c r="K559" s="9" t="s">
        <v>752</v>
      </c>
      <c r="L559" s="9" t="str">
        <f t="shared" si="2"/>
        <v>Y</v>
      </c>
    </row>
    <row r="560" spans="1:12">
      <c r="A560" s="9">
        <v>660</v>
      </c>
      <c r="B560" s="9">
        <v>120</v>
      </c>
      <c r="C560" s="9" t="s">
        <v>4585</v>
      </c>
      <c r="D560" s="9" t="s">
        <v>4586</v>
      </c>
      <c r="E560" s="9">
        <v>211</v>
      </c>
      <c r="F560" s="9" t="s">
        <v>4587</v>
      </c>
      <c r="G560" s="9">
        <v>1</v>
      </c>
      <c r="H560" s="9" t="s">
        <v>3093</v>
      </c>
      <c r="I560" s="9">
        <v>156</v>
      </c>
      <c r="J560" s="9">
        <v>0</v>
      </c>
      <c r="K560" s="9" t="s">
        <v>2292</v>
      </c>
      <c r="L560" s="9" t="str">
        <f t="shared" si="2"/>
        <v>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3</vt:i4>
      </vt:variant>
    </vt:vector>
  </HeadingPairs>
  <TitlesOfParts>
    <vt:vector size="31" baseType="lpstr">
      <vt:lpstr>Players Recap</vt:lpstr>
      <vt:lpstr>Valid_players</vt:lpstr>
      <vt:lpstr>Players_aux</vt:lpstr>
      <vt:lpstr>Games Recap</vt:lpstr>
      <vt:lpstr>Questions Recap</vt:lpstr>
      <vt:lpstr>Questions</vt:lpstr>
      <vt:lpstr>Valid_questions</vt:lpstr>
      <vt:lpstr>Tests</vt:lpstr>
      <vt:lpstr>Mutants</vt:lpstr>
      <vt:lpstr>Game 109-1-A</vt:lpstr>
      <vt:lpstr>Game Template</vt:lpstr>
      <vt:lpstr>Game 110-1-A</vt:lpstr>
      <vt:lpstr>Game 111-1-A</vt:lpstr>
      <vt:lpstr>Game 112-1-A</vt:lpstr>
      <vt:lpstr>Game 113-1-N</vt:lpstr>
      <vt:lpstr>Game 114-1-N</vt:lpstr>
      <vt:lpstr>Game 115-1-N</vt:lpstr>
      <vt:lpstr>Game 116-1-N</vt:lpstr>
      <vt:lpstr>Game 117-1-N</vt:lpstr>
      <vt:lpstr>Game 118-2-N</vt:lpstr>
      <vt:lpstr>Game 119-2-N</vt:lpstr>
      <vt:lpstr>Game 120-2-N</vt:lpstr>
      <vt:lpstr>Game 121-2-N</vt:lpstr>
      <vt:lpstr>Game 122-2-A</vt:lpstr>
      <vt:lpstr>Game 123-2-A</vt:lpstr>
      <vt:lpstr>Game 124-2-A</vt:lpstr>
      <vt:lpstr>Game 125-2-A</vt:lpstr>
      <vt:lpstr>Game 126-2-A</vt:lpstr>
      <vt:lpstr>Graphs</vt:lpstr>
      <vt:lpstr>Performance_recap_table</vt:lpstr>
      <vt:lpstr>Players_recap_table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Simone Mezzaro</cp:lastModifiedBy>
  <dcterms:modified xsi:type="dcterms:W3CDTF">2024-10-21T21:26:57Z</dcterms:modified>
</cp:coreProperties>
</file>