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5"/>
  <workbookPr/>
  <xr:revisionPtr revIDLastSave="15" documentId="11_0C13CF62BA33BAAFC07365342E79E1F4B65CFB6C" xr6:coauthVersionLast="47" xr6:coauthVersionMax="47" xr10:uidLastSave="{D803BFE7-8C2F-4F31-BA28-99D166587BC1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4" i="1" l="1"/>
  <c r="I104" i="1"/>
  <c r="M103" i="1"/>
  <c r="I103" i="1"/>
  <c r="M102" i="1"/>
  <c r="I102" i="1"/>
  <c r="M101" i="1"/>
  <c r="I101" i="1"/>
  <c r="O100" i="1"/>
  <c r="N100" i="1"/>
  <c r="P100" i="1" s="1"/>
  <c r="M100" i="1"/>
  <c r="H100" i="1"/>
  <c r="G100" i="1"/>
  <c r="I100" i="1" s="1"/>
  <c r="O99" i="1"/>
  <c r="N99" i="1"/>
  <c r="P99" i="1" s="1"/>
  <c r="M99" i="1"/>
  <c r="H99" i="1"/>
  <c r="G99" i="1"/>
  <c r="I99" i="1" s="1"/>
  <c r="O98" i="1"/>
  <c r="N98" i="1"/>
  <c r="P98" i="1" s="1"/>
  <c r="M98" i="1"/>
  <c r="H98" i="1"/>
  <c r="G98" i="1"/>
  <c r="I98" i="1" s="1"/>
  <c r="O97" i="1"/>
  <c r="N97" i="1"/>
  <c r="P97" i="1" s="1"/>
  <c r="L97" i="1"/>
  <c r="K97" i="1"/>
  <c r="M97" i="1" s="1"/>
  <c r="H97" i="1"/>
  <c r="G97" i="1"/>
  <c r="I97" i="1" s="1"/>
  <c r="O96" i="1"/>
  <c r="N96" i="1"/>
  <c r="P96" i="1" s="1"/>
  <c r="L96" i="1"/>
  <c r="K96" i="1"/>
  <c r="M96" i="1" s="1"/>
  <c r="H96" i="1"/>
  <c r="G96" i="1"/>
  <c r="I96" i="1" s="1"/>
  <c r="L95" i="1"/>
  <c r="K95" i="1"/>
  <c r="M95" i="1" s="1"/>
  <c r="H95" i="1"/>
  <c r="G95" i="1"/>
  <c r="I95" i="1" s="1"/>
  <c r="L94" i="1"/>
  <c r="K94" i="1"/>
  <c r="M94" i="1" s="1"/>
  <c r="G94" i="1"/>
  <c r="I94" i="1" s="1"/>
  <c r="L93" i="1"/>
  <c r="K93" i="1"/>
  <c r="M93" i="1" s="1"/>
  <c r="H93" i="1"/>
  <c r="G93" i="1"/>
  <c r="I93" i="1" s="1"/>
  <c r="L92" i="1"/>
  <c r="K92" i="1"/>
  <c r="M92" i="1" s="1"/>
  <c r="I92" i="1"/>
  <c r="M91" i="1"/>
  <c r="I91" i="1"/>
  <c r="M90" i="1"/>
  <c r="I90" i="1"/>
  <c r="M89" i="1"/>
  <c r="I89" i="1"/>
  <c r="M88" i="1"/>
  <c r="I88" i="1"/>
  <c r="E88" i="1"/>
  <c r="F88" i="1" s="1"/>
  <c r="M87" i="1"/>
  <c r="I87" i="1"/>
  <c r="E87" i="1"/>
  <c r="F87" i="1" s="1"/>
  <c r="M86" i="1"/>
  <c r="H86" i="1"/>
  <c r="G86" i="1"/>
  <c r="I86" i="1" s="1"/>
  <c r="E86" i="1"/>
  <c r="F86" i="1" s="1"/>
  <c r="M85" i="1"/>
  <c r="G85" i="1"/>
  <c r="I85" i="1" s="1"/>
  <c r="E85" i="1"/>
  <c r="F85" i="1" s="1"/>
  <c r="M84" i="1"/>
  <c r="H84" i="1"/>
  <c r="G84" i="1"/>
  <c r="I84" i="1" s="1"/>
  <c r="M83" i="1"/>
  <c r="H83" i="1"/>
  <c r="G83" i="1"/>
  <c r="I83" i="1" s="1"/>
  <c r="M82" i="1"/>
  <c r="H82" i="1"/>
  <c r="G82" i="1"/>
  <c r="I82" i="1" s="1"/>
  <c r="M81" i="1"/>
  <c r="I81" i="1"/>
  <c r="M64" i="1"/>
  <c r="J64" i="1"/>
  <c r="G64" i="1"/>
  <c r="K64" i="1" s="1"/>
  <c r="M63" i="1"/>
  <c r="J63" i="1"/>
  <c r="G63" i="1"/>
  <c r="K63" i="1" s="1"/>
  <c r="M62" i="1"/>
  <c r="J62" i="1"/>
  <c r="G62" i="1"/>
  <c r="K62" i="1" s="1"/>
  <c r="J61" i="1"/>
  <c r="G61" i="1"/>
  <c r="K61" i="1" s="1"/>
  <c r="M60" i="1"/>
  <c r="J60" i="1"/>
  <c r="G60" i="1"/>
  <c r="K60" i="1" s="1"/>
  <c r="M59" i="1"/>
  <c r="J59" i="1"/>
  <c r="G59" i="1"/>
  <c r="K59" i="1" s="1"/>
  <c r="M58" i="1"/>
  <c r="J58" i="1"/>
  <c r="G58" i="1"/>
  <c r="K58" i="1" s="1"/>
  <c r="M57" i="1"/>
  <c r="J57" i="1"/>
  <c r="G57" i="1"/>
  <c r="K57" i="1" s="1"/>
  <c r="M56" i="1"/>
  <c r="J56" i="1"/>
  <c r="G56" i="1"/>
  <c r="K56" i="1" s="1"/>
  <c r="M55" i="1"/>
  <c r="J55" i="1"/>
  <c r="G55" i="1"/>
  <c r="K55" i="1" s="1"/>
  <c r="M54" i="1"/>
  <c r="J54" i="1"/>
  <c r="G54" i="1"/>
  <c r="K54" i="1" s="1"/>
  <c r="M53" i="1"/>
  <c r="J53" i="1"/>
  <c r="G53" i="1"/>
  <c r="K53" i="1" s="1"/>
  <c r="J52" i="1"/>
  <c r="G52" i="1"/>
  <c r="K52" i="1" s="1"/>
  <c r="J51" i="1"/>
  <c r="G51" i="1"/>
  <c r="K51" i="1" s="1"/>
  <c r="J50" i="1"/>
  <c r="G50" i="1"/>
  <c r="K50" i="1" s="1"/>
  <c r="J49" i="1"/>
  <c r="G49" i="1"/>
  <c r="K49" i="1" s="1"/>
  <c r="J48" i="1"/>
  <c r="G48" i="1"/>
  <c r="K48" i="1" s="1"/>
  <c r="J47" i="1"/>
  <c r="G47" i="1"/>
  <c r="K47" i="1" s="1"/>
  <c r="J46" i="1"/>
  <c r="G46" i="1"/>
  <c r="K46" i="1" s="1"/>
  <c r="J45" i="1"/>
  <c r="G45" i="1"/>
  <c r="K45" i="1" s="1"/>
  <c r="J44" i="1"/>
  <c r="G44" i="1"/>
  <c r="K44" i="1" s="1"/>
  <c r="J43" i="1"/>
  <c r="G43" i="1"/>
  <c r="K43" i="1" s="1"/>
  <c r="J42" i="1"/>
  <c r="G42" i="1"/>
  <c r="K42" i="1" s="1"/>
  <c r="J41" i="1"/>
  <c r="G41" i="1"/>
  <c r="K41" i="1" s="1"/>
  <c r="M40" i="1"/>
  <c r="J40" i="1"/>
  <c r="G40" i="1"/>
  <c r="K40" i="1" s="1"/>
  <c r="J39" i="1"/>
  <c r="G39" i="1"/>
  <c r="K39" i="1" s="1"/>
  <c r="J38" i="1"/>
  <c r="G38" i="1"/>
  <c r="K38" i="1" s="1"/>
  <c r="J37" i="1"/>
  <c r="G37" i="1"/>
  <c r="K37" i="1" s="1"/>
  <c r="J36" i="1"/>
  <c r="G36" i="1"/>
  <c r="K36" i="1" s="1"/>
  <c r="J35" i="1"/>
  <c r="G35" i="1"/>
  <c r="K35" i="1" s="1"/>
  <c r="J34" i="1"/>
  <c r="G34" i="1"/>
  <c r="K34" i="1" s="1"/>
  <c r="J30" i="1"/>
  <c r="G30" i="1"/>
  <c r="K30" i="1" s="1"/>
  <c r="J29" i="1"/>
  <c r="G29" i="1"/>
  <c r="K29" i="1" s="1"/>
  <c r="J28" i="1"/>
  <c r="G28" i="1"/>
  <c r="K28" i="1" s="1"/>
  <c r="J27" i="1"/>
  <c r="G27" i="1"/>
  <c r="K27" i="1" s="1"/>
  <c r="J26" i="1"/>
  <c r="G26" i="1"/>
  <c r="K26" i="1" s="1"/>
  <c r="J25" i="1"/>
  <c r="G25" i="1"/>
  <c r="K25" i="1" s="1"/>
  <c r="J24" i="1"/>
  <c r="G24" i="1"/>
  <c r="K24" i="1" s="1"/>
  <c r="J23" i="1"/>
  <c r="G23" i="1"/>
  <c r="K23" i="1" s="1"/>
  <c r="J22" i="1"/>
  <c r="G22" i="1"/>
  <c r="K22" i="1" s="1"/>
  <c r="J21" i="1"/>
  <c r="G21" i="1"/>
  <c r="K21" i="1" s="1"/>
  <c r="J20" i="1"/>
  <c r="G20" i="1"/>
  <c r="K20" i="1" s="1"/>
  <c r="J19" i="1"/>
  <c r="G19" i="1"/>
  <c r="K19" i="1" s="1"/>
  <c r="J18" i="1"/>
  <c r="G18" i="1"/>
  <c r="K18" i="1" s="1"/>
  <c r="J17" i="1"/>
  <c r="G17" i="1"/>
  <c r="K17" i="1" s="1"/>
  <c r="J16" i="1"/>
  <c r="G16" i="1"/>
  <c r="K16" i="1" s="1"/>
  <c r="J15" i="1"/>
  <c r="G15" i="1"/>
  <c r="K15" i="1" s="1"/>
  <c r="J14" i="1"/>
  <c r="G14" i="1"/>
  <c r="K14" i="1" s="1"/>
  <c r="J13" i="1"/>
  <c r="G13" i="1"/>
  <c r="K13" i="1" s="1"/>
  <c r="J12" i="1"/>
  <c r="G12" i="1"/>
  <c r="K12" i="1" s="1"/>
  <c r="Q11" i="1"/>
  <c r="J11" i="1"/>
  <c r="G11" i="1"/>
  <c r="K11" i="1" s="1"/>
  <c r="Q10" i="1"/>
  <c r="J10" i="1"/>
  <c r="G10" i="1"/>
  <c r="K10" i="1" s="1"/>
  <c r="J9" i="1"/>
  <c r="G9" i="1"/>
  <c r="K9" i="1" s="1"/>
  <c r="Q8" i="1"/>
  <c r="J8" i="1"/>
  <c r="G8" i="1"/>
  <c r="K8" i="1" s="1"/>
  <c r="J7" i="1"/>
  <c r="G7" i="1"/>
  <c r="K7" i="1" s="1"/>
  <c r="J6" i="1"/>
  <c r="G6" i="1"/>
  <c r="K6" i="1" s="1"/>
  <c r="J5" i="1"/>
  <c r="G5" i="1"/>
  <c r="K5" i="1" s="1"/>
  <c r="J4" i="1"/>
  <c r="G4" i="1"/>
  <c r="K4" i="1" s="1"/>
  <c r="J3" i="1"/>
  <c r="G3" i="1"/>
  <c r="K3" i="1" s="1"/>
  <c r="J2" i="1"/>
  <c r="G2" i="1"/>
  <c r="K2" i="1" s="1"/>
  <c r="M51" i="1" l="1"/>
  <c r="M50" i="1"/>
  <c r="M49" i="1"/>
  <c r="M48" i="1"/>
  <c r="M47" i="1"/>
  <c r="M46" i="1"/>
  <c r="M45" i="1"/>
  <c r="M44" i="1"/>
  <c r="M43" i="1"/>
  <c r="M42" i="1"/>
  <c r="M41" i="1"/>
</calcChain>
</file>

<file path=xl/sharedStrings.xml><?xml version="1.0" encoding="utf-8"?>
<sst xmlns="http://schemas.openxmlformats.org/spreadsheetml/2006/main" count="109" uniqueCount="43">
  <si>
    <t>Departure Day:</t>
  </si>
  <si>
    <t>Arrival Day:</t>
  </si>
  <si>
    <t>GTI:</t>
  </si>
  <si>
    <t>Inclination Change:</t>
  </si>
  <si>
    <t>Frame Transfer:</t>
  </si>
  <si>
    <t>GOI:</t>
  </si>
  <si>
    <t>INC:</t>
  </si>
  <si>
    <t>INC Change DeltaV:</t>
  </si>
  <si>
    <t>Total:</t>
  </si>
  <si>
    <t>deltaV</t>
  </si>
  <si>
    <t>T</t>
  </si>
  <si>
    <t>1/2T</t>
  </si>
  <si>
    <t>deltaV1</t>
  </si>
  <si>
    <t>deltaV2</t>
  </si>
  <si>
    <t>Optimal Departure Time</t>
  </si>
  <si>
    <t>Departure Time:</t>
  </si>
  <si>
    <t>Departure Time</t>
  </si>
  <si>
    <t>Arrival Time</t>
  </si>
  <si>
    <t>21/01/2040 - 23:41</t>
  </si>
  <si>
    <t>6 days 17 hours 41 minutes</t>
  </si>
  <si>
    <t>1.51</t>
  </si>
  <si>
    <t>22/01/40 - 13:07</t>
  </si>
  <si>
    <t>6 days 19 hours 7 minutes</t>
  </si>
  <si>
    <t>23/01/2040 - 02:27</t>
  </si>
  <si>
    <t>6 days 20 hours 27 minutes</t>
  </si>
  <si>
    <t>Linear Relationship: y = mx + c</t>
  </si>
  <si>
    <t>m:</t>
  </si>
  <si>
    <t>c:</t>
  </si>
  <si>
    <t>One sidereal day is 23 hours 56 minutes and 6 seconds</t>
  </si>
  <si>
    <t>Half is 11 hours 58 minutes and 3 seconds</t>
  </si>
  <si>
    <t>To arrive 11 hours 58 minutes and 3 seconds early you need to set off 10 hours 43 minutes and 59 seconds early</t>
  </si>
  <si>
    <t>Arrival Time = 1.115*Departure Time</t>
  </si>
  <si>
    <t>Two equations for the deltaV depending on the departure time</t>
  </si>
  <si>
    <t>GEO to LLO optimisation - First attempt, no change in SOI until Circularisation</t>
  </si>
  <si>
    <t>Second Attempt, change to elliptical close to LLO (1900 km) then circularise</t>
  </si>
  <si>
    <t>Third Attempt, change to elliptical close to LLO (3,000 km) then circularise</t>
  </si>
  <si>
    <t>DoD</t>
  </si>
  <si>
    <t>ToD</t>
  </si>
  <si>
    <t>Depart GEO</t>
  </si>
  <si>
    <t>Circularise</t>
  </si>
  <si>
    <t>Change to Elliptical:</t>
  </si>
  <si>
    <t>Circularise: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</si>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</sst>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4" fontId="2" fillId="0" borderId="0" xfId="0" applyNumberFormat="1" applyFont="1" applyAlignment="1">
      <alignment horizontal="center"/>
    </xf>
    <xf numFmtId="43" fontId="0" fillId="0" borderId="0" xfId="1" applyFont="1" applyAlignment="1">
      <alignment horizontal="center"/>
    </xf>
    <xf numFmtId="43" fontId="0" fillId="2" borderId="0" xfId="1" applyFont="1" applyFill="1" applyAlignment="1">
      <alignment horizontal="center"/>
    </xf>
    <xf numFmtId="0" fontId="0" fillId="0" borderId="0" xfId="0" applyAlignment="1">
      <alignment horizontal="right" vertical="center"/>
    </xf>
    <xf numFmtId="43" fontId="0" fillId="0" borderId="0" xfId="1" applyFon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0" applyNumberFormat="1"/>
    <xf numFmtId="43" fontId="0" fillId="0" borderId="0" xfId="1" applyFont="1" applyAlignment="1">
      <alignment horizontal="right"/>
    </xf>
    <xf numFmtId="43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43" fontId="0" fillId="0" borderId="0" xfId="1" applyFont="1" applyFill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43" fontId="4" fillId="0" borderId="0" xfId="1" applyFont="1" applyFill="1" applyAlignment="1">
      <alignment horizontal="center"/>
    </xf>
    <xf numFmtId="14" fontId="0" fillId="0" borderId="0" xfId="0" applyNumberFormat="1" applyAlignment="1">
      <alignment horizontal="right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43" fontId="0" fillId="0" borderId="0" xfId="1" applyFont="1" applyFill="1" applyAlignment="1">
      <alignment horizontal="left"/>
    </xf>
    <xf numFmtId="43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276225</xdr:colOff>
      <xdr:row>11</xdr:row>
      <xdr:rowOff>47625</xdr:rowOff>
    </xdr:from>
    <xdr:to>
      <xdr:col>31</xdr:col>
      <xdr:colOff>9525</xdr:colOff>
      <xdr:row>37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D87898-153E-4EE8-BD5A-158A4C01D194}"/>
            </a:ext>
            <a:ext uri="{147F2762-F138-4A5C-976F-8EAC2B608ADB}">
              <a16:predDERef xmlns:a16="http://schemas.microsoft.com/office/drawing/2014/main" pred="{896D7D04-2BB4-6E0E-921D-E5934BA31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20400" y="2143125"/>
          <a:ext cx="9105900" cy="4953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39</xdr:row>
      <xdr:rowOff>0</xdr:rowOff>
    </xdr:from>
    <xdr:to>
      <xdr:col>24</xdr:col>
      <xdr:colOff>95250</xdr:colOff>
      <xdr:row>63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13C3FD-0C15-480F-BE4C-B53802F548BA}"/>
            </a:ext>
            <a:ext uri="{147F2762-F138-4A5C-976F-8EAC2B608ADB}">
              <a16:predDERef xmlns:a16="http://schemas.microsoft.com/office/drawing/2014/main" pred="{38D87898-153E-4EE8-BD5A-158A4C01D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91975" y="7429500"/>
          <a:ext cx="375285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04"/>
  <sheetViews>
    <sheetView tabSelected="1" topLeftCell="A60" workbookViewId="0">
      <selection activeCell="B79" sqref="B79:Q104"/>
    </sheetView>
  </sheetViews>
  <sheetFormatPr defaultRowHeight="15"/>
  <cols>
    <col min="2" max="2" width="22.28515625" customWidth="1"/>
    <col min="3" max="3" width="14.5703125" bestFit="1" customWidth="1"/>
    <col min="4" max="4" width="15.5703125" bestFit="1" customWidth="1"/>
    <col min="6" max="6" width="18.7109375" bestFit="1" customWidth="1"/>
    <col min="7" max="7" width="15.140625" bestFit="1" customWidth="1"/>
    <col min="17" max="17" width="12.5703125" bestFit="1" customWidth="1"/>
  </cols>
  <sheetData>
    <row r="1" spans="2:18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2:18">
      <c r="B2" s="2">
        <v>1</v>
      </c>
      <c r="C2" s="3">
        <v>51136</v>
      </c>
      <c r="D2" s="3"/>
      <c r="E2" s="4">
        <v>636</v>
      </c>
      <c r="F2" s="4">
        <v>310</v>
      </c>
      <c r="G2" s="4">
        <f>102+503</f>
        <v>605</v>
      </c>
      <c r="H2" s="4">
        <v>1033</v>
      </c>
      <c r="I2" s="4">
        <v>11.9</v>
      </c>
      <c r="J2" s="4">
        <f t="shared" ref="J2:J30" si="0">2*3073.1*SIN(0.5*I2*PI()/180)</f>
        <v>637.1184078654054</v>
      </c>
      <c r="K2" s="4">
        <f>SUM(E2:H2)+J2</f>
        <v>3221.1184078654055</v>
      </c>
    </row>
    <row r="3" spans="2:18">
      <c r="B3" s="2">
        <v>2</v>
      </c>
      <c r="C3" s="3">
        <v>51137</v>
      </c>
      <c r="D3" s="3">
        <v>51144</v>
      </c>
      <c r="E3" s="4">
        <v>635</v>
      </c>
      <c r="F3" s="4">
        <v>338</v>
      </c>
      <c r="G3" s="4">
        <f>98+498</f>
        <v>596</v>
      </c>
      <c r="H3" s="4">
        <v>1031</v>
      </c>
      <c r="I3" s="4">
        <v>6.78</v>
      </c>
      <c r="J3" s="4">
        <f t="shared" si="0"/>
        <v>363.43800162305888</v>
      </c>
      <c r="K3" s="4">
        <f>SUM(E3:H3)+J3</f>
        <v>2963.4380016230589</v>
      </c>
    </row>
    <row r="4" spans="2:18">
      <c r="B4" s="2">
        <v>3</v>
      </c>
      <c r="C4" s="3">
        <v>51138</v>
      </c>
      <c r="D4" s="3">
        <v>51146</v>
      </c>
      <c r="E4" s="4">
        <v>635</v>
      </c>
      <c r="F4" s="4">
        <v>354</v>
      </c>
      <c r="G4" s="4">
        <f>97+496</f>
        <v>593</v>
      </c>
      <c r="H4" s="4">
        <v>1028</v>
      </c>
      <c r="I4" s="4">
        <v>1.28</v>
      </c>
      <c r="J4" s="4">
        <f t="shared" si="0"/>
        <v>68.652285291214653</v>
      </c>
      <c r="K4" s="5">
        <f>SUM(E4:H4)+J4</f>
        <v>2678.6522852912149</v>
      </c>
    </row>
    <row r="5" spans="2:18">
      <c r="B5" s="2">
        <v>4</v>
      </c>
      <c r="C5" s="3">
        <v>51139</v>
      </c>
      <c r="D5" s="3">
        <v>51146</v>
      </c>
      <c r="E5" s="4">
        <v>635</v>
      </c>
      <c r="F5" s="4">
        <v>350</v>
      </c>
      <c r="G5" s="4">
        <f>102+502</f>
        <v>604</v>
      </c>
      <c r="H5" s="4">
        <v>1025</v>
      </c>
      <c r="I5" s="4">
        <v>4.4000000000000004</v>
      </c>
      <c r="J5" s="4">
        <f t="shared" si="0"/>
        <v>235.93915221371509</v>
      </c>
      <c r="K5" s="4">
        <f>SUM(E5:H5)+J5</f>
        <v>2849.9391522137153</v>
      </c>
    </row>
    <row r="6" spans="2:18">
      <c r="B6" s="2">
        <v>5</v>
      </c>
      <c r="C6" s="3">
        <v>51140</v>
      </c>
      <c r="D6" s="3">
        <v>51147</v>
      </c>
      <c r="E6" s="4">
        <v>634</v>
      </c>
      <c r="F6" s="4">
        <v>322</v>
      </c>
      <c r="G6" s="4">
        <f>112+515</f>
        <v>627</v>
      </c>
      <c r="H6" s="4">
        <v>1021</v>
      </c>
      <c r="I6" s="4">
        <v>10</v>
      </c>
      <c r="J6" s="4">
        <f t="shared" si="0"/>
        <v>535.6766260756566</v>
      </c>
      <c r="K6" s="4">
        <f>SUM(E6:H6)+J6</f>
        <v>3139.6766260756567</v>
      </c>
      <c r="P6" s="6" t="s">
        <v>9</v>
      </c>
      <c r="Q6" s="7">
        <v>1.05287438297637</v>
      </c>
      <c r="R6" s="7"/>
    </row>
    <row r="7" spans="2:18">
      <c r="B7" s="2">
        <v>6</v>
      </c>
      <c r="C7" s="3">
        <v>51141</v>
      </c>
      <c r="D7" s="3">
        <v>51148</v>
      </c>
      <c r="E7" s="4">
        <v>634</v>
      </c>
      <c r="F7" s="4">
        <v>274</v>
      </c>
      <c r="G7" s="4">
        <f>127+532</f>
        <v>659</v>
      </c>
      <c r="H7" s="4">
        <v>1019</v>
      </c>
      <c r="I7" s="4">
        <v>15.21</v>
      </c>
      <c r="J7" s="4">
        <f t="shared" si="0"/>
        <v>813.40586822724526</v>
      </c>
      <c r="K7" s="4">
        <f>SUM(E7:H7)+J7</f>
        <v>3399.4058682272453</v>
      </c>
      <c r="P7" s="6" t="s">
        <v>10</v>
      </c>
      <c r="Q7" s="7">
        <v>978889</v>
      </c>
      <c r="R7" s="7"/>
    </row>
    <row r="8" spans="2:18">
      <c r="B8" s="2">
        <v>7</v>
      </c>
      <c r="C8" s="3">
        <v>51142</v>
      </c>
      <c r="D8" s="3">
        <v>51149</v>
      </c>
      <c r="E8" s="4">
        <v>634</v>
      </c>
      <c r="F8" s="4">
        <v>194</v>
      </c>
      <c r="G8" s="4">
        <f>144+552</f>
        <v>696</v>
      </c>
      <c r="H8" s="4">
        <v>1015</v>
      </c>
      <c r="I8" s="4">
        <v>19.63</v>
      </c>
      <c r="J8" s="4">
        <f t="shared" si="0"/>
        <v>1047.7271795695633</v>
      </c>
      <c r="K8" s="4">
        <f>SUM(E8:H8)+J8</f>
        <v>3586.7271795695633</v>
      </c>
      <c r="P8" s="6" t="s">
        <v>11</v>
      </c>
      <c r="Q8" s="7">
        <f>Q7/2</f>
        <v>489444.5</v>
      </c>
      <c r="R8" s="7"/>
    </row>
    <row r="9" spans="2:18">
      <c r="B9" s="2">
        <v>8</v>
      </c>
      <c r="C9" s="3">
        <v>51143</v>
      </c>
      <c r="D9" s="3">
        <v>51151</v>
      </c>
      <c r="E9" s="4">
        <v>633</v>
      </c>
      <c r="F9" s="4">
        <v>90</v>
      </c>
      <c r="G9" s="4">
        <f>159+567</f>
        <v>726</v>
      </c>
      <c r="H9" s="4">
        <v>1010</v>
      </c>
      <c r="I9" s="4">
        <v>22.82</v>
      </c>
      <c r="J9" s="4">
        <f t="shared" si="0"/>
        <v>1215.8930778022002</v>
      </c>
      <c r="K9" s="4">
        <f>SUM(E9:H9)+J9</f>
        <v>3674.8930778022004</v>
      </c>
    </row>
    <row r="10" spans="2:18">
      <c r="B10" s="2">
        <v>9</v>
      </c>
      <c r="C10" s="3">
        <v>51144</v>
      </c>
      <c r="D10" s="3">
        <v>51151</v>
      </c>
      <c r="E10" s="4">
        <v>633</v>
      </c>
      <c r="F10" s="4">
        <v>38</v>
      </c>
      <c r="G10" s="4">
        <f>165+573</f>
        <v>738</v>
      </c>
      <c r="H10" s="4">
        <v>1009</v>
      </c>
      <c r="I10" s="4">
        <v>24.33</v>
      </c>
      <c r="J10" s="4">
        <f t="shared" si="0"/>
        <v>1295.1745139625652</v>
      </c>
      <c r="K10" s="4">
        <f>SUM(E10:H10)+J10</f>
        <v>3713.1745139625655</v>
      </c>
      <c r="P10" s="6" t="s">
        <v>12</v>
      </c>
      <c r="Q10">
        <f>2*1000*SIN(20*PI()/(180*2))</f>
        <v>347.29635533386067</v>
      </c>
    </row>
    <row r="11" spans="2:18">
      <c r="B11" s="2">
        <v>10</v>
      </c>
      <c r="C11" s="3">
        <v>51145</v>
      </c>
      <c r="D11" s="3"/>
      <c r="E11" s="4">
        <v>633</v>
      </c>
      <c r="F11" s="4">
        <v>170</v>
      </c>
      <c r="G11" s="4">
        <f>159+565</f>
        <v>724</v>
      </c>
      <c r="H11" s="4">
        <v>1006</v>
      </c>
      <c r="I11" s="4">
        <v>23.9</v>
      </c>
      <c r="J11" s="4">
        <f t="shared" si="0"/>
        <v>1272.6199837721776</v>
      </c>
      <c r="K11" s="4">
        <f>SUM(E11:H11)+J11</f>
        <v>3805.6199837721779</v>
      </c>
      <c r="P11" s="6" t="s">
        <v>13</v>
      </c>
      <c r="Q11">
        <f>2*3074*SIN(20*PI()/(180*2))</f>
        <v>1067.5889962962876</v>
      </c>
    </row>
    <row r="12" spans="2:18">
      <c r="B12" s="2">
        <v>11</v>
      </c>
      <c r="C12" s="3">
        <v>51146</v>
      </c>
      <c r="D12" s="3"/>
      <c r="E12" s="4">
        <v>632</v>
      </c>
      <c r="F12" s="4">
        <v>286</v>
      </c>
      <c r="G12" s="4">
        <f>142+547</f>
        <v>689</v>
      </c>
      <c r="H12" s="4">
        <v>1006</v>
      </c>
      <c r="I12" s="4">
        <v>21.64</v>
      </c>
      <c r="J12" s="4">
        <f t="shared" si="0"/>
        <v>1153.7903925915364</v>
      </c>
      <c r="K12" s="4">
        <f>SUM(E12:H12)+J12</f>
        <v>3766.7903925915361</v>
      </c>
    </row>
    <row r="13" spans="2:18">
      <c r="B13" s="2">
        <v>12</v>
      </c>
      <c r="C13" s="3">
        <v>51147</v>
      </c>
      <c r="D13" s="3">
        <v>51154</v>
      </c>
      <c r="E13" s="4">
        <v>633</v>
      </c>
      <c r="F13" s="4">
        <v>382</v>
      </c>
      <c r="G13" s="4">
        <f>118+520</f>
        <v>638</v>
      </c>
      <c r="H13" s="4">
        <v>1008</v>
      </c>
      <c r="I13" s="4">
        <v>17.84</v>
      </c>
      <c r="J13" s="4">
        <f t="shared" si="0"/>
        <v>953.00051558200653</v>
      </c>
      <c r="K13" s="4">
        <f>SUM(E13:H13)+J13</f>
        <v>3614.0005155820063</v>
      </c>
    </row>
    <row r="14" spans="2:18">
      <c r="B14" s="2">
        <v>13</v>
      </c>
      <c r="C14" s="3">
        <v>51148</v>
      </c>
      <c r="D14" s="3">
        <v>51156</v>
      </c>
      <c r="E14" s="4">
        <v>633</v>
      </c>
      <c r="F14" s="4">
        <v>438</v>
      </c>
      <c r="G14" s="4">
        <f>99+499</f>
        <v>598</v>
      </c>
      <c r="H14" s="4">
        <v>1010</v>
      </c>
      <c r="I14" s="4">
        <v>12.86</v>
      </c>
      <c r="J14" s="4">
        <f t="shared" si="0"/>
        <v>688.30834413547802</v>
      </c>
      <c r="K14" s="4">
        <f>SUM(E14:H14)+J14</f>
        <v>3367.3083441354779</v>
      </c>
    </row>
    <row r="15" spans="2:18">
      <c r="B15" s="2">
        <v>14</v>
      </c>
      <c r="C15" s="3">
        <v>51149</v>
      </c>
      <c r="D15" s="3">
        <v>51157</v>
      </c>
      <c r="E15" s="4">
        <v>633</v>
      </c>
      <c r="F15" s="4">
        <v>470</v>
      </c>
      <c r="G15" s="4">
        <f>83+480</f>
        <v>563</v>
      </c>
      <c r="H15" s="4">
        <v>1014</v>
      </c>
      <c r="I15" s="4">
        <v>7.29</v>
      </c>
      <c r="J15" s="4">
        <f t="shared" si="0"/>
        <v>390.74066039472865</v>
      </c>
      <c r="K15" s="4">
        <f>SUM(E15:H15)+J15</f>
        <v>3070.7406603947288</v>
      </c>
    </row>
    <row r="16" spans="2:18">
      <c r="B16" s="2">
        <v>15</v>
      </c>
      <c r="C16" s="3">
        <v>51150</v>
      </c>
      <c r="D16" s="3">
        <v>51158</v>
      </c>
      <c r="E16" s="4">
        <v>634</v>
      </c>
      <c r="F16" s="4">
        <v>482</v>
      </c>
      <c r="G16" s="4">
        <f>73+467</f>
        <v>540</v>
      </c>
      <c r="H16" s="4">
        <v>1019</v>
      </c>
      <c r="I16" s="4">
        <v>1.51</v>
      </c>
      <c r="J16" s="4">
        <f t="shared" si="0"/>
        <v>80.987583174994384</v>
      </c>
      <c r="K16" s="4">
        <f>SUM(E16:H16)+J16</f>
        <v>2755.9875831749946</v>
      </c>
    </row>
    <row r="17" spans="2:11">
      <c r="B17" s="2">
        <v>16</v>
      </c>
      <c r="C17" s="3">
        <v>51151</v>
      </c>
      <c r="D17" s="3">
        <v>51159</v>
      </c>
      <c r="E17" s="4">
        <v>635</v>
      </c>
      <c r="F17" s="4">
        <v>474</v>
      </c>
      <c r="G17" s="4">
        <f>71+463</f>
        <v>534</v>
      </c>
      <c r="H17" s="4">
        <v>1022</v>
      </c>
      <c r="I17" s="4">
        <v>4.2</v>
      </c>
      <c r="J17" s="4">
        <f t="shared" si="0"/>
        <v>225.21956245223618</v>
      </c>
      <c r="K17" s="4">
        <f>SUM(E17:H17)+J17</f>
        <v>2890.219562452236</v>
      </c>
    </row>
    <row r="18" spans="2:11">
      <c r="B18" s="2">
        <v>17</v>
      </c>
      <c r="C18" s="3">
        <v>51152</v>
      </c>
      <c r="D18" s="3">
        <v>51160</v>
      </c>
      <c r="E18" s="4">
        <v>635</v>
      </c>
      <c r="F18" s="4">
        <v>454</v>
      </c>
      <c r="G18" s="4">
        <f>72+465</f>
        <v>537</v>
      </c>
      <c r="H18" s="4">
        <v>1026</v>
      </c>
      <c r="I18" s="4">
        <v>9.58</v>
      </c>
      <c r="J18" s="4">
        <f t="shared" si="0"/>
        <v>513.23180075630717</v>
      </c>
      <c r="K18" s="4">
        <f>SUM(E18:H18)+J18</f>
        <v>3165.2318007563072</v>
      </c>
    </row>
    <row r="19" spans="2:11">
      <c r="B19" s="2">
        <v>18</v>
      </c>
      <c r="C19" s="3">
        <v>51153</v>
      </c>
      <c r="D19" s="3">
        <v>51161</v>
      </c>
      <c r="E19" s="4">
        <v>636</v>
      </c>
      <c r="F19" s="4">
        <v>422</v>
      </c>
      <c r="G19" s="4">
        <f>78+472</f>
        <v>550</v>
      </c>
      <c r="H19" s="4">
        <v>1030</v>
      </c>
      <c r="I19" s="4">
        <v>14.47</v>
      </c>
      <c r="J19" s="4">
        <f t="shared" si="0"/>
        <v>774.04787074946546</v>
      </c>
      <c r="K19" s="4">
        <f>SUM(E19:H19)+J19</f>
        <v>3412.0478707494653</v>
      </c>
    </row>
    <row r="20" spans="2:11">
      <c r="B20" s="2">
        <v>19</v>
      </c>
      <c r="C20" s="3">
        <v>51154</v>
      </c>
      <c r="D20" s="3">
        <v>51162</v>
      </c>
      <c r="E20" s="4">
        <v>636</v>
      </c>
      <c r="F20" s="4">
        <v>374</v>
      </c>
      <c r="G20" s="4">
        <f>89+486</f>
        <v>575</v>
      </c>
      <c r="H20" s="4">
        <v>1032</v>
      </c>
      <c r="I20" s="4">
        <v>18.71</v>
      </c>
      <c r="J20" s="4">
        <f t="shared" si="0"/>
        <v>999.0713248716238</v>
      </c>
      <c r="K20" s="4">
        <f>SUM(E20:H20)+J20</f>
        <v>3616.0713248716238</v>
      </c>
    </row>
    <row r="21" spans="2:11">
      <c r="B21" s="2">
        <v>20</v>
      </c>
      <c r="C21" s="3">
        <v>51155</v>
      </c>
      <c r="D21" s="3">
        <v>51163</v>
      </c>
      <c r="E21" s="4">
        <v>636</v>
      </c>
      <c r="F21" s="4">
        <v>314</v>
      </c>
      <c r="G21" s="4">
        <f>102+502</f>
        <v>604</v>
      </c>
      <c r="H21" s="4">
        <v>1033</v>
      </c>
      <c r="I21" s="4">
        <v>22.16</v>
      </c>
      <c r="J21" s="4">
        <f t="shared" si="0"/>
        <v>1181.1731453375023</v>
      </c>
      <c r="K21" s="4">
        <f>SUM(E21:H21)+J21</f>
        <v>3768.1731453375023</v>
      </c>
    </row>
    <row r="22" spans="2:11">
      <c r="B22" s="2">
        <v>21</v>
      </c>
      <c r="C22" s="3">
        <v>51156</v>
      </c>
      <c r="D22" s="3">
        <v>51164</v>
      </c>
      <c r="E22" s="4">
        <v>637</v>
      </c>
      <c r="F22" s="4">
        <v>242</v>
      </c>
      <c r="G22" s="4">
        <f>115+518</f>
        <v>633</v>
      </c>
      <c r="H22" s="4">
        <v>1035</v>
      </c>
      <c r="I22" s="4">
        <v>24.7</v>
      </c>
      <c r="J22" s="4">
        <f t="shared" si="0"/>
        <v>1314.5673145288299</v>
      </c>
      <c r="K22" s="4">
        <f>SUM(E22:H22)+J22</f>
        <v>3861.5673145288301</v>
      </c>
    </row>
    <row r="23" spans="2:11">
      <c r="B23" s="2">
        <v>22</v>
      </c>
      <c r="C23" s="3">
        <v>51157</v>
      </c>
      <c r="D23" s="3">
        <v>51165</v>
      </c>
      <c r="E23" s="4">
        <v>637</v>
      </c>
      <c r="F23" s="4">
        <v>158</v>
      </c>
      <c r="G23" s="4">
        <f>126+531</f>
        <v>657</v>
      </c>
      <c r="H23" s="4">
        <v>1037</v>
      </c>
      <c r="I23" s="4">
        <v>26.24</v>
      </c>
      <c r="J23" s="4">
        <f t="shared" si="0"/>
        <v>1395.1337766843176</v>
      </c>
      <c r="K23" s="4">
        <f>SUM(E23:H23)+J23</f>
        <v>3884.1337766843176</v>
      </c>
    </row>
    <row r="24" spans="2:11">
      <c r="B24" s="2">
        <v>23</v>
      </c>
      <c r="C24" s="3">
        <v>51158</v>
      </c>
      <c r="D24" s="3">
        <v>51166</v>
      </c>
      <c r="E24" s="4">
        <v>637</v>
      </c>
      <c r="F24" s="4">
        <v>70</v>
      </c>
      <c r="G24" s="4">
        <f>133+540</f>
        <v>673</v>
      </c>
      <c r="H24" s="4">
        <v>1036</v>
      </c>
      <c r="I24" s="4">
        <v>26.66</v>
      </c>
      <c r="J24" s="4">
        <f t="shared" si="0"/>
        <v>1417.0633293209964</v>
      </c>
      <c r="K24" s="4">
        <f>SUM(E24:H24)+J24</f>
        <v>3833.0633293209967</v>
      </c>
    </row>
    <row r="25" spans="2:11">
      <c r="B25" s="2">
        <v>24</v>
      </c>
      <c r="C25" s="3">
        <v>51159</v>
      </c>
      <c r="D25" s="3">
        <v>51167</v>
      </c>
      <c r="E25" s="4">
        <v>636</v>
      </c>
      <c r="F25" s="4">
        <v>22</v>
      </c>
      <c r="G25" s="4">
        <f>135+542</f>
        <v>677</v>
      </c>
      <c r="H25" s="4">
        <v>1035</v>
      </c>
      <c r="I25" s="4">
        <v>25.93</v>
      </c>
      <c r="J25" s="4">
        <f t="shared" si="0"/>
        <v>1378.9356401367797</v>
      </c>
      <c r="K25" s="4">
        <f>SUM(E25:H25)+J25</f>
        <v>3748.9356401367795</v>
      </c>
    </row>
    <row r="26" spans="2:11">
      <c r="B26" s="2">
        <v>25</v>
      </c>
      <c r="C26" s="3">
        <v>51160</v>
      </c>
      <c r="D26" s="3">
        <v>51168</v>
      </c>
      <c r="E26" s="4">
        <v>636</v>
      </c>
      <c r="F26" s="4">
        <v>110</v>
      </c>
      <c r="G26" s="4">
        <f>132+538</f>
        <v>670</v>
      </c>
      <c r="H26" s="4">
        <v>1035</v>
      </c>
      <c r="I26" s="4">
        <v>24.09</v>
      </c>
      <c r="J26" s="4">
        <f t="shared" si="0"/>
        <v>1282.5881674724544</v>
      </c>
      <c r="K26" s="4">
        <f>SUM(E26:H26)+J26</f>
        <v>3733.5881674724542</v>
      </c>
    </row>
    <row r="27" spans="2:11">
      <c r="B27" s="2">
        <v>26</v>
      </c>
      <c r="C27" s="3">
        <v>51161</v>
      </c>
      <c r="D27" s="3">
        <v>51168</v>
      </c>
      <c r="E27" s="4">
        <v>636</v>
      </c>
      <c r="F27" s="4">
        <v>190</v>
      </c>
      <c r="G27" s="4">
        <f>125+530</f>
        <v>655</v>
      </c>
      <c r="H27" s="4">
        <v>1035</v>
      </c>
      <c r="I27" s="4">
        <v>21.2</v>
      </c>
      <c r="J27" s="4">
        <f t="shared" si="0"/>
        <v>1130.6017911359004</v>
      </c>
      <c r="K27" s="4">
        <f>SUM(E27:H27)+J27</f>
        <v>3646.6017911359004</v>
      </c>
    </row>
    <row r="28" spans="2:11">
      <c r="B28" s="2">
        <v>27</v>
      </c>
      <c r="C28" s="3">
        <v>51162</v>
      </c>
      <c r="D28" s="3">
        <v>51170</v>
      </c>
      <c r="E28" s="4">
        <v>636</v>
      </c>
      <c r="F28" s="4">
        <v>254</v>
      </c>
      <c r="G28" s="4">
        <f>116+519</f>
        <v>635</v>
      </c>
      <c r="H28" s="4">
        <v>1033</v>
      </c>
      <c r="I28" s="4">
        <v>17.420000000000002</v>
      </c>
      <c r="J28" s="4">
        <f t="shared" si="0"/>
        <v>930.73961073135774</v>
      </c>
      <c r="K28" s="4">
        <f>SUM(E28:H28)+J28</f>
        <v>3488.739610731358</v>
      </c>
    </row>
    <row r="29" spans="2:11">
      <c r="B29" s="2">
        <v>28</v>
      </c>
      <c r="C29" s="3">
        <v>51163</v>
      </c>
      <c r="D29" s="3">
        <v>51171</v>
      </c>
      <c r="E29" s="4">
        <v>636</v>
      </c>
      <c r="F29" s="4">
        <v>306</v>
      </c>
      <c r="G29" s="4">
        <f>107+508</f>
        <v>615</v>
      </c>
      <c r="H29" s="4">
        <v>1033</v>
      </c>
      <c r="I29" s="4">
        <v>12.89</v>
      </c>
      <c r="J29" s="4">
        <f t="shared" si="0"/>
        <v>689.90726993088947</v>
      </c>
      <c r="K29" s="4">
        <f>SUM(E29:H29)+J29</f>
        <v>3279.9072699308895</v>
      </c>
    </row>
    <row r="30" spans="2:11">
      <c r="B30" s="2">
        <v>29</v>
      </c>
      <c r="C30" s="3">
        <v>51164</v>
      </c>
      <c r="D30" s="3">
        <v>51172</v>
      </c>
      <c r="E30" s="4">
        <v>635</v>
      </c>
      <c r="F30" s="4">
        <v>338</v>
      </c>
      <c r="G30" s="4">
        <f>100+501</f>
        <v>601</v>
      </c>
      <c r="H30" s="4">
        <v>1031</v>
      </c>
      <c r="I30" s="4">
        <v>7.82</v>
      </c>
      <c r="J30" s="4">
        <f t="shared" si="0"/>
        <v>419.10580327200307</v>
      </c>
      <c r="K30" s="4">
        <f>SUM(E30:H30)+J30</f>
        <v>3024.105803272003</v>
      </c>
    </row>
    <row r="33" spans="2:16">
      <c r="B33" s="1" t="s">
        <v>14</v>
      </c>
      <c r="C33" s="8"/>
      <c r="D33" s="1" t="s">
        <v>15</v>
      </c>
      <c r="E33" s="1" t="s">
        <v>2</v>
      </c>
      <c r="F33" s="1" t="s">
        <v>3</v>
      </c>
      <c r="G33" s="1" t="s">
        <v>4</v>
      </c>
      <c r="H33" s="1" t="s">
        <v>5</v>
      </c>
      <c r="I33" s="1" t="s">
        <v>6</v>
      </c>
      <c r="J33" s="1" t="s">
        <v>7</v>
      </c>
      <c r="K33" s="1" t="s">
        <v>8</v>
      </c>
      <c r="L33" t="s">
        <v>16</v>
      </c>
      <c r="M33" t="s">
        <v>17</v>
      </c>
    </row>
    <row r="34" spans="2:16">
      <c r="B34" s="8"/>
      <c r="C34" s="9">
        <v>51150</v>
      </c>
      <c r="D34" s="8">
        <v>0</v>
      </c>
      <c r="E34" s="4">
        <v>634</v>
      </c>
      <c r="F34" s="4">
        <v>478</v>
      </c>
      <c r="G34" s="4">
        <f>78+473</f>
        <v>551</v>
      </c>
      <c r="H34" s="4">
        <v>1016</v>
      </c>
      <c r="I34" s="4">
        <v>4.41</v>
      </c>
      <c r="J34" s="4">
        <f t="shared" ref="J34:J64" si="1">2*3073.1*SIN(0.5*I34*PI()/180)</f>
        <v>236.4751131070351</v>
      </c>
      <c r="K34" s="4">
        <f>SUM(E34:H34)+J34</f>
        <v>2915.4751131070352</v>
      </c>
      <c r="L34">
        <v>-18</v>
      </c>
    </row>
    <row r="35" spans="2:16">
      <c r="B35" s="8"/>
      <c r="C35" s="9">
        <v>51150</v>
      </c>
      <c r="D35" s="8">
        <v>1</v>
      </c>
      <c r="E35" s="4">
        <v>634</v>
      </c>
      <c r="F35" s="4">
        <v>478</v>
      </c>
      <c r="G35" s="4">
        <f>77+473</f>
        <v>550</v>
      </c>
      <c r="H35" s="4">
        <v>1017</v>
      </c>
      <c r="I35" s="4">
        <v>4.17</v>
      </c>
      <c r="J35" s="4">
        <f t="shared" si="1"/>
        <v>223.61156401752169</v>
      </c>
      <c r="K35" s="4">
        <f>SUM(E35:H35)+J35</f>
        <v>2902.6115640175217</v>
      </c>
      <c r="L35">
        <v>-17</v>
      </c>
    </row>
    <row r="36" spans="2:16">
      <c r="B36" s="8"/>
      <c r="C36" s="9">
        <v>51150</v>
      </c>
      <c r="D36" s="8">
        <v>2</v>
      </c>
      <c r="E36" s="4">
        <v>634</v>
      </c>
      <c r="F36" s="4">
        <v>478</v>
      </c>
      <c r="G36" s="4">
        <f>77+472</f>
        <v>549</v>
      </c>
      <c r="H36" s="4">
        <v>1017</v>
      </c>
      <c r="I36" s="4">
        <v>3.92</v>
      </c>
      <c r="J36" s="4">
        <f t="shared" si="1"/>
        <v>210.2109915238203</v>
      </c>
      <c r="K36" s="4">
        <f>SUM(E36:H36)+J36</f>
        <v>2888.2109915238202</v>
      </c>
      <c r="L36">
        <v>-16</v>
      </c>
    </row>
    <row r="37" spans="2:16">
      <c r="B37" s="8"/>
      <c r="C37" s="9">
        <v>51150</v>
      </c>
      <c r="D37" s="8">
        <v>3</v>
      </c>
      <c r="E37" s="4">
        <v>634</v>
      </c>
      <c r="F37" s="4">
        <v>482</v>
      </c>
      <c r="G37" s="4">
        <f>76+470</f>
        <v>546</v>
      </c>
      <c r="H37" s="4">
        <v>1017</v>
      </c>
      <c r="I37" s="4">
        <v>3.68</v>
      </c>
      <c r="J37" s="4">
        <f t="shared" si="1"/>
        <v>197.34549983134573</v>
      </c>
      <c r="K37" s="4">
        <f>SUM(E37:H37)+J37</f>
        <v>2876.3454998313459</v>
      </c>
      <c r="L37">
        <v>-15</v>
      </c>
    </row>
    <row r="38" spans="2:16">
      <c r="B38" s="8"/>
      <c r="C38" s="9">
        <v>51150</v>
      </c>
      <c r="D38" s="8">
        <v>4</v>
      </c>
      <c r="E38" s="4">
        <v>634</v>
      </c>
      <c r="F38" s="4">
        <v>482</v>
      </c>
      <c r="G38" s="4">
        <f>75+470</f>
        <v>545</v>
      </c>
      <c r="H38" s="4">
        <v>1018</v>
      </c>
      <c r="I38" s="4">
        <v>3.44</v>
      </c>
      <c r="J38" s="4">
        <f t="shared" si="1"/>
        <v>184.47914248495928</v>
      </c>
      <c r="K38" s="4">
        <f>SUM(E38:H38)+J38</f>
        <v>2863.4791424849591</v>
      </c>
      <c r="L38">
        <v>-14</v>
      </c>
    </row>
    <row r="39" spans="2:16">
      <c r="B39" s="8"/>
      <c r="C39" s="9">
        <v>51150</v>
      </c>
      <c r="D39" s="8">
        <v>5</v>
      </c>
      <c r="E39" s="4">
        <v>634</v>
      </c>
      <c r="F39" s="4">
        <v>482</v>
      </c>
      <c r="G39" s="4">
        <f>75+470</f>
        <v>545</v>
      </c>
      <c r="H39" s="4">
        <v>1018</v>
      </c>
      <c r="I39" s="4">
        <v>3.2</v>
      </c>
      <c r="J39" s="4">
        <f t="shared" si="1"/>
        <v>171.61197592279905</v>
      </c>
      <c r="K39" s="4">
        <f>SUM(E39:H39)+J39</f>
        <v>2850.611975922799</v>
      </c>
      <c r="L39">
        <v>-13</v>
      </c>
    </row>
    <row r="40" spans="2:16">
      <c r="B40" s="8"/>
      <c r="C40" s="9">
        <v>51150</v>
      </c>
      <c r="D40" s="8">
        <v>6</v>
      </c>
      <c r="E40" s="4">
        <v>634</v>
      </c>
      <c r="F40" s="4">
        <v>482</v>
      </c>
      <c r="G40" s="4">
        <f>75+469</f>
        <v>544</v>
      </c>
      <c r="H40" s="4">
        <v>1018</v>
      </c>
      <c r="I40" s="4">
        <v>2.96</v>
      </c>
      <c r="J40" s="4">
        <f t="shared" si="1"/>
        <v>158.74405658655272</v>
      </c>
      <c r="K40" s="4">
        <f>SUM(E40:H40)+J40</f>
        <v>2836.7440565865527</v>
      </c>
      <c r="L40">
        <v>-12</v>
      </c>
      <c r="M40" s="10">
        <f>-(13+25/60)</f>
        <v>-13.416666666666666</v>
      </c>
      <c r="N40" t="s">
        <v>18</v>
      </c>
      <c r="P40" t="s">
        <v>19</v>
      </c>
    </row>
    <row r="41" spans="2:16">
      <c r="B41" s="8"/>
      <c r="C41" s="9">
        <v>51150</v>
      </c>
      <c r="D41" s="8">
        <v>7</v>
      </c>
      <c r="E41" s="4">
        <v>634</v>
      </c>
      <c r="F41" s="4">
        <v>482</v>
      </c>
      <c r="G41" s="4">
        <f>75+469</f>
        <v>544</v>
      </c>
      <c r="H41" s="4">
        <v>1018</v>
      </c>
      <c r="I41" s="4">
        <v>2.71</v>
      </c>
      <c r="J41" s="4">
        <f t="shared" si="1"/>
        <v>145.33923432418314</v>
      </c>
      <c r="K41" s="4">
        <f>SUM(E41:H41)+J41</f>
        <v>2823.3392343241831</v>
      </c>
      <c r="L41">
        <v>-11</v>
      </c>
      <c r="M41" s="10">
        <f>M40+1+8/60</f>
        <v>-12.283333333333333</v>
      </c>
    </row>
    <row r="42" spans="2:16">
      <c r="B42" s="8"/>
      <c r="C42" s="9">
        <v>51150</v>
      </c>
      <c r="D42" s="8">
        <v>8</v>
      </c>
      <c r="E42" s="4">
        <v>634</v>
      </c>
      <c r="F42" s="4">
        <v>482</v>
      </c>
      <c r="G42" s="4">
        <f>74+469</f>
        <v>543</v>
      </c>
      <c r="H42" s="4">
        <v>1019</v>
      </c>
      <c r="I42" s="4">
        <v>2.4700000000000002</v>
      </c>
      <c r="J42" s="4">
        <f t="shared" si="1"/>
        <v>132.46995334112103</v>
      </c>
      <c r="K42" s="4">
        <f>SUM(E42:H42)+J42</f>
        <v>2810.4699533411213</v>
      </c>
      <c r="L42">
        <v>-10</v>
      </c>
      <c r="M42" s="10">
        <f>M40+2+15/60</f>
        <v>-11.166666666666666</v>
      </c>
    </row>
    <row r="43" spans="2:16">
      <c r="B43" s="8"/>
      <c r="C43" s="9">
        <v>51150</v>
      </c>
      <c r="D43" s="8">
        <v>9</v>
      </c>
      <c r="E43" s="4">
        <v>634</v>
      </c>
      <c r="F43" s="4">
        <v>482</v>
      </c>
      <c r="G43" s="4">
        <f>74+468</f>
        <v>542</v>
      </c>
      <c r="H43" s="4">
        <v>1019</v>
      </c>
      <c r="I43" s="4">
        <v>2.23</v>
      </c>
      <c r="J43" s="4">
        <f t="shared" si="1"/>
        <v>119.60009128003377</v>
      </c>
      <c r="K43" s="4">
        <f>SUM(E43:H43)+J43</f>
        <v>2796.6000912800337</v>
      </c>
      <c r="L43">
        <v>-9</v>
      </c>
      <c r="M43" s="10">
        <f>M40+3+23/60</f>
        <v>-10.033333333333333</v>
      </c>
    </row>
    <row r="44" spans="2:16">
      <c r="B44" s="8"/>
      <c r="C44" s="9">
        <v>51150</v>
      </c>
      <c r="D44" s="8">
        <v>10</v>
      </c>
      <c r="E44" s="4">
        <v>634</v>
      </c>
      <c r="F44" s="4">
        <v>482</v>
      </c>
      <c r="G44" s="4">
        <f>74+468</f>
        <v>542</v>
      </c>
      <c r="H44" s="4">
        <v>1019</v>
      </c>
      <c r="I44" s="4">
        <v>1.99</v>
      </c>
      <c r="J44" s="4">
        <f t="shared" si="1"/>
        <v>106.7297045944328</v>
      </c>
      <c r="K44" s="4">
        <f>SUM(E44:H44)+J44</f>
        <v>2783.7297045944329</v>
      </c>
      <c r="L44">
        <v>-8</v>
      </c>
      <c r="M44" s="10">
        <f>M40+4+30/60</f>
        <v>-8.9166666666666661</v>
      </c>
    </row>
    <row r="45" spans="2:16">
      <c r="B45" s="8"/>
      <c r="C45" s="9">
        <v>51150</v>
      </c>
      <c r="D45" s="8">
        <v>11</v>
      </c>
      <c r="E45" s="4">
        <v>634</v>
      </c>
      <c r="F45" s="4">
        <v>482</v>
      </c>
      <c r="G45" s="4">
        <f>74+468</f>
        <v>542</v>
      </c>
      <c r="H45" s="4">
        <v>1019</v>
      </c>
      <c r="I45" s="4">
        <v>1.75</v>
      </c>
      <c r="J45" s="4">
        <f t="shared" si="1"/>
        <v>93.858849740130907</v>
      </c>
      <c r="K45" s="4">
        <f>SUM(E45:H45)+J45</f>
        <v>2770.8588497401311</v>
      </c>
      <c r="L45">
        <v>-7</v>
      </c>
      <c r="M45" s="10">
        <f>M40+5+37/60</f>
        <v>-7.7999999999999989</v>
      </c>
    </row>
    <row r="46" spans="2:16">
      <c r="B46" s="8"/>
      <c r="C46" s="9">
        <v>51150</v>
      </c>
      <c r="D46" s="8">
        <v>12</v>
      </c>
      <c r="E46" s="4">
        <v>634</v>
      </c>
      <c r="F46" s="4">
        <v>482</v>
      </c>
      <c r="G46" s="4">
        <f>73+467</f>
        <v>540</v>
      </c>
      <c r="H46" s="4">
        <v>1020</v>
      </c>
      <c r="I46" s="11" t="s">
        <v>20</v>
      </c>
      <c r="J46" s="4" t="e">
        <f>2*3073.1*SIN(0.5*I46*PI()/180)</f>
        <v>#VALUE!</v>
      </c>
      <c r="K46" s="4" t="e">
        <f>SUM(E46:H46)+J46</f>
        <v>#VALUE!</v>
      </c>
      <c r="L46">
        <v>-6</v>
      </c>
      <c r="M46" s="10">
        <f>M40+6+45/60</f>
        <v>-6.6666666666666661</v>
      </c>
    </row>
    <row r="47" spans="2:16">
      <c r="B47" s="8"/>
      <c r="C47" s="9">
        <v>51150</v>
      </c>
      <c r="D47" s="8">
        <v>13</v>
      </c>
      <c r="E47" s="4">
        <v>634</v>
      </c>
      <c r="F47" s="4">
        <v>482</v>
      </c>
      <c r="G47" s="4">
        <f>74+467</f>
        <v>541</v>
      </c>
      <c r="H47" s="4">
        <v>1020</v>
      </c>
      <c r="I47" s="4">
        <v>1.27</v>
      </c>
      <c r="J47" s="4">
        <f t="shared" si="1"/>
        <v>68.1159613586956</v>
      </c>
      <c r="K47" s="4">
        <f>SUM(E47:H47)+J47</f>
        <v>2745.1159613586956</v>
      </c>
      <c r="L47">
        <v>-5</v>
      </c>
      <c r="M47" s="10">
        <f>M40+7+52/60</f>
        <v>-5.5499999999999989</v>
      </c>
    </row>
    <row r="48" spans="2:16">
      <c r="B48" s="8"/>
      <c r="C48" s="9">
        <v>51150</v>
      </c>
      <c r="D48" s="8">
        <v>14</v>
      </c>
      <c r="E48" s="4">
        <v>634</v>
      </c>
      <c r="F48" s="4">
        <v>482</v>
      </c>
      <c r="G48" s="4">
        <f>73+467</f>
        <v>540</v>
      </c>
      <c r="H48" s="4">
        <v>1018</v>
      </c>
      <c r="I48" s="4">
        <v>1.02</v>
      </c>
      <c r="J48" s="4">
        <f t="shared" si="1"/>
        <v>54.707705076940222</v>
      </c>
      <c r="K48" s="4">
        <f>SUM(E48:H48)+J48</f>
        <v>2728.7077050769403</v>
      </c>
      <c r="L48">
        <v>-4</v>
      </c>
      <c r="M48" s="10">
        <f>M40+8+57/60</f>
        <v>-4.4666666666666659</v>
      </c>
    </row>
    <row r="49" spans="2:16">
      <c r="B49" s="8"/>
      <c r="C49" s="9">
        <v>51150</v>
      </c>
      <c r="D49" s="8">
        <v>15</v>
      </c>
      <c r="E49" s="4">
        <v>634</v>
      </c>
      <c r="F49" s="4">
        <v>482</v>
      </c>
      <c r="G49" s="4">
        <f>73+467</f>
        <v>540</v>
      </c>
      <c r="H49" s="4">
        <v>1018</v>
      </c>
      <c r="I49" s="4">
        <v>0.78</v>
      </c>
      <c r="J49" s="4">
        <f t="shared" si="1"/>
        <v>41.83553327167688</v>
      </c>
      <c r="K49" s="4">
        <f>SUM(E49:H49)+J49</f>
        <v>2715.8355332716769</v>
      </c>
      <c r="L49">
        <v>-3</v>
      </c>
      <c r="M49" s="10">
        <f>M40+10+4/60</f>
        <v>-3.3499999999999992</v>
      </c>
    </row>
    <row r="50" spans="2:16">
      <c r="B50" s="8"/>
      <c r="C50" s="9">
        <v>51150</v>
      </c>
      <c r="D50" s="8">
        <v>16</v>
      </c>
      <c r="E50" s="4">
        <v>634</v>
      </c>
      <c r="F50" s="4">
        <v>482</v>
      </c>
      <c r="G50" s="4">
        <f>73+466</f>
        <v>539</v>
      </c>
      <c r="H50" s="4">
        <v>1019</v>
      </c>
      <c r="I50" s="4">
        <v>0.54</v>
      </c>
      <c r="J50" s="4">
        <f t="shared" si="1"/>
        <v>28.963177955296928</v>
      </c>
      <c r="K50" s="4">
        <f>SUM(E50:H50)+J50</f>
        <v>2702.9631779552969</v>
      </c>
      <c r="L50">
        <v>-2</v>
      </c>
      <c r="M50" s="10">
        <f>M40+11+12/60</f>
        <v>-2.2166666666666659</v>
      </c>
    </row>
    <row r="51" spans="2:16">
      <c r="B51" s="8"/>
      <c r="C51" s="9">
        <v>51150</v>
      </c>
      <c r="D51" s="8">
        <v>17</v>
      </c>
      <c r="E51" s="4">
        <v>634</v>
      </c>
      <c r="F51" s="4">
        <v>482</v>
      </c>
      <c r="G51" s="4">
        <f>72+466</f>
        <v>538</v>
      </c>
      <c r="H51" s="4">
        <v>1019</v>
      </c>
      <c r="I51" s="4">
        <v>0.3</v>
      </c>
      <c r="J51" s="4">
        <f t="shared" si="1"/>
        <v>16.090695592248469</v>
      </c>
      <c r="K51" s="4">
        <f>SUM(E51:H51)+J51</f>
        <v>2689.0906955922483</v>
      </c>
      <c r="L51">
        <v>-1</v>
      </c>
      <c r="M51" s="10">
        <f>M40+12+19/60</f>
        <v>-1.0999999999999994</v>
      </c>
    </row>
    <row r="52" spans="2:16">
      <c r="B52" s="8"/>
      <c r="C52" s="9">
        <v>51150</v>
      </c>
      <c r="D52" s="8">
        <v>18</v>
      </c>
      <c r="E52" s="4">
        <v>634</v>
      </c>
      <c r="F52" s="4">
        <v>482</v>
      </c>
      <c r="G52" s="4">
        <f>72+466</f>
        <v>538</v>
      </c>
      <c r="H52" s="4">
        <v>1019</v>
      </c>
      <c r="I52" s="4">
        <v>0.06</v>
      </c>
      <c r="J52" s="4">
        <f t="shared" si="1"/>
        <v>3.2181426475369128</v>
      </c>
      <c r="K52" s="4">
        <f>SUM(E52:H52)+J52</f>
        <v>2676.2181426475368</v>
      </c>
      <c r="L52">
        <v>0</v>
      </c>
      <c r="M52" s="10">
        <v>0</v>
      </c>
      <c r="N52" t="s">
        <v>21</v>
      </c>
      <c r="P52" t="s">
        <v>22</v>
      </c>
    </row>
    <row r="53" spans="2:16">
      <c r="B53" s="8"/>
      <c r="C53" s="9">
        <v>51150</v>
      </c>
      <c r="D53" s="8">
        <v>19</v>
      </c>
      <c r="E53" s="4">
        <v>634</v>
      </c>
      <c r="F53" s="4">
        <v>482</v>
      </c>
      <c r="G53" s="4">
        <f>72+465</f>
        <v>537</v>
      </c>
      <c r="H53" s="4">
        <v>1019</v>
      </c>
      <c r="I53" s="4">
        <v>0.18</v>
      </c>
      <c r="J53" s="4">
        <f t="shared" si="1"/>
        <v>9.6544244135227473</v>
      </c>
      <c r="K53" s="4">
        <f>SUM(E53:H53)+J53</f>
        <v>2681.654424413523</v>
      </c>
      <c r="L53">
        <v>1</v>
      </c>
      <c r="M53" s="10">
        <f xml:space="preserve"> 1 + 7/60</f>
        <v>1.1166666666666667</v>
      </c>
    </row>
    <row r="54" spans="2:16">
      <c r="B54" s="8"/>
      <c r="C54" s="9">
        <v>51150</v>
      </c>
      <c r="D54" s="8">
        <v>20</v>
      </c>
      <c r="E54" s="4">
        <v>634</v>
      </c>
      <c r="F54" s="4">
        <v>482</v>
      </c>
      <c r="G54" s="4">
        <f>72+465</f>
        <v>537</v>
      </c>
      <c r="H54" s="4">
        <v>1019</v>
      </c>
      <c r="I54" s="4">
        <v>0.42</v>
      </c>
      <c r="J54" s="4">
        <f t="shared" si="1"/>
        <v>22.526949125553582</v>
      </c>
      <c r="K54" s="4">
        <f>SUM(E54:H54)+J54</f>
        <v>2694.5269491255535</v>
      </c>
      <c r="L54">
        <v>2</v>
      </c>
      <c r="M54" s="10">
        <f xml:space="preserve"> 2 + 14/60</f>
        <v>2.2333333333333334</v>
      </c>
    </row>
    <row r="55" spans="2:16">
      <c r="B55" s="8"/>
      <c r="C55" s="9">
        <v>51150</v>
      </c>
      <c r="D55" s="8">
        <v>21</v>
      </c>
      <c r="E55" s="4">
        <v>634</v>
      </c>
      <c r="F55" s="4">
        <v>482</v>
      </c>
      <c r="G55" s="4">
        <f>71+465</f>
        <v>536</v>
      </c>
      <c r="H55" s="4">
        <v>1019</v>
      </c>
      <c r="I55" s="4">
        <v>0.66</v>
      </c>
      <c r="J55" s="4">
        <f t="shared" si="1"/>
        <v>35.399375023364442</v>
      </c>
      <c r="K55" s="4">
        <f>SUM(E55:H55)+J55</f>
        <v>2706.3993750233644</v>
      </c>
      <c r="L55">
        <v>3</v>
      </c>
      <c r="M55" s="10">
        <f xml:space="preserve"> 3 + 21/60</f>
        <v>3.35</v>
      </c>
    </row>
    <row r="56" spans="2:16">
      <c r="B56" s="8"/>
      <c r="C56" s="9">
        <v>51150</v>
      </c>
      <c r="D56" s="8">
        <v>22</v>
      </c>
      <c r="E56" s="4">
        <v>634</v>
      </c>
      <c r="F56" s="4">
        <v>482</v>
      </c>
      <c r="G56" s="4">
        <f>71+464</f>
        <v>535</v>
      </c>
      <c r="H56" s="4">
        <v>1020</v>
      </c>
      <c r="I56" s="4">
        <v>0.9</v>
      </c>
      <c r="J56" s="4">
        <f t="shared" si="1"/>
        <v>48.271645642197598</v>
      </c>
      <c r="K56" s="4">
        <f>SUM(E56:H56)+J56</f>
        <v>2719.2716456421977</v>
      </c>
      <c r="L56">
        <v>4</v>
      </c>
      <c r="M56" s="10">
        <f>4+28/60</f>
        <v>4.4666666666666668</v>
      </c>
    </row>
    <row r="57" spans="2:16">
      <c r="B57" s="8"/>
      <c r="C57" s="9">
        <v>51150</v>
      </c>
      <c r="D57" s="8">
        <v>23</v>
      </c>
      <c r="E57" s="4">
        <v>634</v>
      </c>
      <c r="F57" s="4">
        <v>482</v>
      </c>
      <c r="G57" s="4">
        <f>71+464</f>
        <v>535</v>
      </c>
      <c r="H57" s="4">
        <v>1020</v>
      </c>
      <c r="I57" s="4">
        <v>1.1299999999999999</v>
      </c>
      <c r="J57" s="4">
        <f t="shared" si="1"/>
        <v>60.607373694876209</v>
      </c>
      <c r="K57" s="4">
        <f>SUM(E57:H57)+J57</f>
        <v>2731.6073736948761</v>
      </c>
      <c r="L57">
        <v>5</v>
      </c>
      <c r="M57" s="10">
        <f>5+35/60</f>
        <v>5.583333333333333</v>
      </c>
    </row>
    <row r="58" spans="2:16">
      <c r="C58" s="9">
        <v>51151</v>
      </c>
      <c r="D58" s="8">
        <v>0</v>
      </c>
      <c r="E58" s="4">
        <v>634</v>
      </c>
      <c r="F58" s="4">
        <v>482</v>
      </c>
      <c r="G58" s="12">
        <f>71+464</f>
        <v>535</v>
      </c>
      <c r="H58" s="12">
        <v>1020</v>
      </c>
      <c r="I58" s="12">
        <v>1.37</v>
      </c>
      <c r="J58" s="4">
        <f t="shared" si="1"/>
        <v>73.479176666999408</v>
      </c>
      <c r="K58" s="4">
        <f>SUM(E58:H58)+J58</f>
        <v>2744.4791766669996</v>
      </c>
      <c r="L58">
        <v>6</v>
      </c>
      <c r="M58" s="10">
        <f>6+42/60</f>
        <v>6.7</v>
      </c>
    </row>
    <row r="59" spans="2:16">
      <c r="C59" s="9">
        <v>51151</v>
      </c>
      <c r="D59" s="8">
        <v>1</v>
      </c>
      <c r="E59" s="4">
        <v>634</v>
      </c>
      <c r="F59" s="4">
        <v>482</v>
      </c>
      <c r="G59" s="12">
        <f>71+463</f>
        <v>534</v>
      </c>
      <c r="H59" s="12">
        <v>1020</v>
      </c>
      <c r="I59" s="12">
        <v>1.61</v>
      </c>
      <c r="J59" s="4">
        <f t="shared" si="1"/>
        <v>86.350657323504677</v>
      </c>
      <c r="K59" s="4">
        <f>SUM(E59:H59)+J59</f>
        <v>2756.3506573235045</v>
      </c>
      <c r="L59">
        <v>7</v>
      </c>
      <c r="M59" s="10">
        <f>7+49/60</f>
        <v>7.8166666666666664</v>
      </c>
    </row>
    <row r="60" spans="2:16">
      <c r="C60" s="9">
        <v>51151</v>
      </c>
      <c r="D60" s="8">
        <v>2</v>
      </c>
      <c r="E60" s="4">
        <v>634</v>
      </c>
      <c r="F60" s="4">
        <v>482</v>
      </c>
      <c r="G60" s="12">
        <f>70+463</f>
        <v>533</v>
      </c>
      <c r="H60" s="12">
        <v>1020</v>
      </c>
      <c r="I60" s="12">
        <v>1.85</v>
      </c>
      <c r="J60" s="4">
        <f t="shared" si="1"/>
        <v>99.221759203780564</v>
      </c>
      <c r="K60" s="4">
        <f>SUM(E60:H60)+J60</f>
        <v>2768.2217592037805</v>
      </c>
      <c r="L60">
        <v>8</v>
      </c>
      <c r="M60" s="10">
        <f>8+56/60</f>
        <v>8.9333333333333336</v>
      </c>
    </row>
    <row r="61" spans="2:16">
      <c r="C61" s="9">
        <v>51151</v>
      </c>
      <c r="D61" s="8">
        <v>3</v>
      </c>
      <c r="E61" s="4">
        <v>634</v>
      </c>
      <c r="F61" s="4">
        <v>478</v>
      </c>
      <c r="G61" s="12">
        <f>71+464</f>
        <v>535</v>
      </c>
      <c r="H61" s="12">
        <v>1020</v>
      </c>
      <c r="I61" s="12">
        <v>2.09</v>
      </c>
      <c r="J61" s="4">
        <f t="shared" si="1"/>
        <v>112.09242584887721</v>
      </c>
      <c r="K61" s="4">
        <f>SUM(E61:H61)+J61</f>
        <v>2779.0924258488772</v>
      </c>
      <c r="L61">
        <v>9</v>
      </c>
      <c r="M61" s="10">
        <v>10</v>
      </c>
    </row>
    <row r="62" spans="2:16">
      <c r="C62" s="9">
        <v>51151</v>
      </c>
      <c r="D62" s="8">
        <v>4</v>
      </c>
      <c r="E62" s="4">
        <v>634</v>
      </c>
      <c r="F62" s="4">
        <v>478</v>
      </c>
      <c r="G62" s="12">
        <f>71+464</f>
        <v>535</v>
      </c>
      <c r="H62" s="12">
        <v>1021</v>
      </c>
      <c r="I62" s="12">
        <v>2.3199999999999998</v>
      </c>
      <c r="J62" s="4">
        <f t="shared" si="1"/>
        <v>124.42635406460049</v>
      </c>
      <c r="K62" s="4">
        <f>SUM(E62:H62)+J62</f>
        <v>2792.4263540646007</v>
      </c>
      <c r="L62">
        <v>10</v>
      </c>
      <c r="M62" s="10">
        <f>11+7/60</f>
        <v>11.116666666666667</v>
      </c>
    </row>
    <row r="63" spans="2:16">
      <c r="C63" s="9">
        <v>51151</v>
      </c>
      <c r="D63" s="8">
        <v>5</v>
      </c>
      <c r="E63" s="4">
        <v>634</v>
      </c>
      <c r="F63" s="4">
        <v>478</v>
      </c>
      <c r="G63" s="12">
        <f>71+464</f>
        <v>535</v>
      </c>
      <c r="H63" s="12">
        <v>1021</v>
      </c>
      <c r="I63" s="12">
        <v>2.56</v>
      </c>
      <c r="J63" s="4">
        <f t="shared" si="1"/>
        <v>137.2960048369427</v>
      </c>
      <c r="K63" s="4">
        <f>SUM(E63:H63)+J63</f>
        <v>2805.2960048369428</v>
      </c>
      <c r="L63">
        <v>11</v>
      </c>
      <c r="M63" s="10">
        <f>12+13/60</f>
        <v>12.216666666666667</v>
      </c>
    </row>
    <row r="64" spans="2:16">
      <c r="C64" s="9">
        <v>51151</v>
      </c>
      <c r="D64" s="8">
        <v>6</v>
      </c>
      <c r="E64" s="4">
        <v>634</v>
      </c>
      <c r="F64" s="4">
        <v>478</v>
      </c>
      <c r="G64" s="12">
        <f>71+464</f>
        <v>535</v>
      </c>
      <c r="H64" s="12">
        <v>1021</v>
      </c>
      <c r="I64" s="12">
        <v>2.79</v>
      </c>
      <c r="J64" s="4">
        <f t="shared" si="1"/>
        <v>149.62885576638581</v>
      </c>
      <c r="K64" s="4">
        <f>SUM(E64:H64)+J64</f>
        <v>2817.6288557663856</v>
      </c>
      <c r="L64">
        <v>12</v>
      </c>
      <c r="M64" s="10">
        <f>13+20/60</f>
        <v>13.333333333333334</v>
      </c>
      <c r="N64" t="s">
        <v>23</v>
      </c>
      <c r="P64" t="s">
        <v>24</v>
      </c>
    </row>
    <row r="66" spans="2:13">
      <c r="L66" t="s">
        <v>25</v>
      </c>
    </row>
    <row r="67" spans="2:13">
      <c r="L67" s="2" t="s">
        <v>26</v>
      </c>
      <c r="M67">
        <v>1.115</v>
      </c>
    </row>
    <row r="68" spans="2:13">
      <c r="L68" s="2" t="s">
        <v>27</v>
      </c>
      <c r="M68">
        <v>0</v>
      </c>
    </row>
    <row r="70" spans="2:13">
      <c r="L70" t="s">
        <v>28</v>
      </c>
    </row>
    <row r="71" spans="2:13">
      <c r="L71" t="s">
        <v>29</v>
      </c>
    </row>
    <row r="73" spans="2:13">
      <c r="L73" t="s">
        <v>30</v>
      </c>
    </row>
    <row r="75" spans="2:13">
      <c r="L75" t="s">
        <v>31</v>
      </c>
    </row>
    <row r="77" spans="2:13">
      <c r="L77" t="s">
        <v>32</v>
      </c>
    </row>
    <row r="79" spans="2:13">
      <c r="B79" s="13" t="s">
        <v>33</v>
      </c>
      <c r="C79" s="3"/>
      <c r="D79" s="3"/>
      <c r="E79" s="14"/>
      <c r="F79" s="14"/>
      <c r="G79" s="15" t="s">
        <v>34</v>
      </c>
      <c r="H79" s="14"/>
      <c r="I79" s="14"/>
      <c r="J79" s="14"/>
      <c r="K79" s="15" t="s">
        <v>35</v>
      </c>
      <c r="L79" s="14"/>
      <c r="M79" s="14"/>
    </row>
    <row r="80" spans="2:13">
      <c r="B80" s="16" t="s">
        <v>36</v>
      </c>
      <c r="C80" s="3" t="s">
        <v>37</v>
      </c>
      <c r="D80" s="3" t="s">
        <v>38</v>
      </c>
      <c r="E80" s="17" t="s">
        <v>39</v>
      </c>
      <c r="F80" s="17" t="s">
        <v>8</v>
      </c>
      <c r="G80" s="16" t="s">
        <v>40</v>
      </c>
      <c r="H80" s="17" t="s">
        <v>41</v>
      </c>
      <c r="I80" s="17" t="s">
        <v>8</v>
      </c>
      <c r="J80" s="14"/>
      <c r="K80" s="16" t="s">
        <v>40</v>
      </c>
      <c r="L80" s="17" t="s">
        <v>41</v>
      </c>
      <c r="M80" s="17" t="s">
        <v>8</v>
      </c>
    </row>
    <row r="81" spans="2:17">
      <c r="B81" s="18">
        <v>51163</v>
      </c>
      <c r="C81" s="19">
        <v>0</v>
      </c>
      <c r="D81" s="20"/>
      <c r="E81" t="s">
        <v>42</v>
      </c>
      <c r="F81" s="14" t="s">
        <v>42</v>
      </c>
      <c r="G81" s="10" t="s">
        <v>42</v>
      </c>
      <c r="H81" s="14"/>
      <c r="I81" s="14" t="e">
        <f>D81+G81+H81</f>
        <v>#VALUE!</v>
      </c>
      <c r="J81" s="14"/>
      <c r="K81" s="10" t="s">
        <v>42</v>
      </c>
      <c r="L81" s="14" t="s">
        <v>42</v>
      </c>
      <c r="M81" s="14" t="e">
        <f>K81+L81</f>
        <v>#VALUE!</v>
      </c>
    </row>
    <row r="82" spans="2:17">
      <c r="B82" s="18">
        <v>51163</v>
      </c>
      <c r="C82" s="19">
        <v>1</v>
      </c>
      <c r="D82" s="20"/>
      <c r="E82" s="14" t="s">
        <v>42</v>
      </c>
      <c r="F82" s="14" t="s">
        <v>42</v>
      </c>
      <c r="G82" s="10">
        <f>796+100</f>
        <v>896</v>
      </c>
      <c r="H82" s="14">
        <f>251+18</f>
        <v>269</v>
      </c>
      <c r="I82" s="14">
        <f t="shared" ref="I82:I104" si="2">D82+G82+H82</f>
        <v>1165</v>
      </c>
      <c r="J82" s="14"/>
      <c r="K82" s="10" t="s">
        <v>42</v>
      </c>
      <c r="L82" s="14" t="s">
        <v>42</v>
      </c>
      <c r="M82" s="14" t="e">
        <f t="shared" ref="M82:M104" si="3">K82+L82</f>
        <v>#VALUE!</v>
      </c>
    </row>
    <row r="83" spans="2:17">
      <c r="B83" s="18">
        <v>51163</v>
      </c>
      <c r="C83" s="19">
        <v>2</v>
      </c>
      <c r="D83" s="20"/>
      <c r="E83" s="14" t="s">
        <v>42</v>
      </c>
      <c r="F83" s="14" t="s">
        <v>42</v>
      </c>
      <c r="G83" s="10">
        <f>785+98</f>
        <v>883</v>
      </c>
      <c r="H83" s="14">
        <f>162+16</f>
        <v>178</v>
      </c>
      <c r="I83" s="14">
        <f t="shared" si="2"/>
        <v>1061</v>
      </c>
      <c r="J83" s="14"/>
      <c r="K83" s="10" t="s">
        <v>42</v>
      </c>
      <c r="L83" s="14" t="s">
        <v>42</v>
      </c>
      <c r="M83" s="14" t="e">
        <f t="shared" si="3"/>
        <v>#VALUE!</v>
      </c>
    </row>
    <row r="84" spans="2:17">
      <c r="B84" s="18">
        <v>51163</v>
      </c>
      <c r="C84" s="19">
        <v>3</v>
      </c>
      <c r="D84" s="20"/>
      <c r="E84" s="14" t="s">
        <v>42</v>
      </c>
      <c r="F84" s="14" t="s">
        <v>42</v>
      </c>
      <c r="G84" s="10">
        <f>758+94</f>
        <v>852</v>
      </c>
      <c r="H84" s="14">
        <f>49+16</f>
        <v>65</v>
      </c>
      <c r="I84" s="14">
        <f t="shared" si="2"/>
        <v>917</v>
      </c>
      <c r="J84" s="14"/>
      <c r="K84" s="10" t="s">
        <v>42</v>
      </c>
      <c r="L84" s="14" t="s">
        <v>42</v>
      </c>
      <c r="M84" s="14" t="e">
        <f t="shared" si="3"/>
        <v>#VALUE!</v>
      </c>
    </row>
    <row r="85" spans="2:17">
      <c r="B85" s="18">
        <v>51163</v>
      </c>
      <c r="C85" s="19">
        <v>4</v>
      </c>
      <c r="D85" s="20"/>
      <c r="E85" s="14">
        <f>448+1171</f>
        <v>1619</v>
      </c>
      <c r="F85" s="14">
        <f>SUM(D85:E85)</f>
        <v>1619</v>
      </c>
      <c r="G85" s="10">
        <f>61+1024</f>
        <v>1085</v>
      </c>
      <c r="H85" s="14">
        <v>468</v>
      </c>
      <c r="I85" s="14">
        <f t="shared" si="2"/>
        <v>1553</v>
      </c>
      <c r="J85" s="14"/>
      <c r="K85" s="10" t="s">
        <v>42</v>
      </c>
      <c r="L85" s="14" t="s">
        <v>42</v>
      </c>
      <c r="M85" s="14" t="e">
        <f t="shared" si="3"/>
        <v>#VALUE!</v>
      </c>
    </row>
    <row r="86" spans="2:17">
      <c r="B86" s="18">
        <v>51163</v>
      </c>
      <c r="C86" s="19">
        <v>5</v>
      </c>
      <c r="D86" s="20"/>
      <c r="E86" s="14">
        <f>11+1731</f>
        <v>1742</v>
      </c>
      <c r="F86" s="14">
        <f>SUM(D86:E86)</f>
        <v>1742</v>
      </c>
      <c r="G86" s="10">
        <f>266+1613</f>
        <v>1879</v>
      </c>
      <c r="H86" s="14">
        <f>280+478</f>
        <v>758</v>
      </c>
      <c r="I86" s="14">
        <f t="shared" si="2"/>
        <v>2637</v>
      </c>
      <c r="J86" s="14"/>
      <c r="K86" s="10" t="s">
        <v>42</v>
      </c>
      <c r="L86" s="14" t="s">
        <v>42</v>
      </c>
      <c r="M86" s="14" t="e">
        <f t="shared" si="3"/>
        <v>#VALUE!</v>
      </c>
    </row>
    <row r="87" spans="2:17">
      <c r="B87" s="18">
        <v>51163</v>
      </c>
      <c r="C87" s="19">
        <v>6</v>
      </c>
      <c r="D87" s="20"/>
      <c r="E87" s="14">
        <f>414+2053</f>
        <v>2467</v>
      </c>
      <c r="F87" s="14">
        <f>SUM(D87:E87)</f>
        <v>2467</v>
      </c>
      <c r="G87" s="10" t="s">
        <v>42</v>
      </c>
      <c r="H87" s="14"/>
      <c r="I87" s="14" t="e">
        <f t="shared" si="2"/>
        <v>#VALUE!</v>
      </c>
      <c r="J87" s="21"/>
      <c r="K87" s="10" t="s">
        <v>42</v>
      </c>
      <c r="L87" s="14" t="s">
        <v>42</v>
      </c>
      <c r="M87" s="14" t="e">
        <f t="shared" si="3"/>
        <v>#VALUE!</v>
      </c>
    </row>
    <row r="88" spans="2:17">
      <c r="B88" s="18">
        <v>51163</v>
      </c>
      <c r="C88" s="19">
        <v>7</v>
      </c>
      <c r="D88" s="20"/>
      <c r="E88" s="14">
        <f>823+2246</f>
        <v>3069</v>
      </c>
      <c r="F88" s="14">
        <f>SUM(D88:E88)</f>
        <v>3069</v>
      </c>
      <c r="G88" s="10" t="s">
        <v>42</v>
      </c>
      <c r="H88" s="14"/>
      <c r="I88" s="14" t="e">
        <f t="shared" si="2"/>
        <v>#VALUE!</v>
      </c>
      <c r="J88" s="14"/>
      <c r="K88" s="10" t="s">
        <v>42</v>
      </c>
      <c r="L88" s="14" t="s">
        <v>42</v>
      </c>
      <c r="M88" s="14" t="e">
        <f t="shared" si="3"/>
        <v>#VALUE!</v>
      </c>
    </row>
    <row r="89" spans="2:17">
      <c r="B89" s="18">
        <v>51163</v>
      </c>
      <c r="C89" s="19">
        <v>8</v>
      </c>
      <c r="D89" s="20"/>
      <c r="E89" s="14"/>
      <c r="F89" s="14"/>
      <c r="G89" s="10" t="s">
        <v>42</v>
      </c>
      <c r="H89" s="14"/>
      <c r="I89" s="14" t="e">
        <f t="shared" si="2"/>
        <v>#VALUE!</v>
      </c>
      <c r="J89" s="14"/>
      <c r="K89" s="10" t="s">
        <v>42</v>
      </c>
      <c r="L89" s="14" t="s">
        <v>42</v>
      </c>
      <c r="M89" s="14" t="e">
        <f t="shared" si="3"/>
        <v>#VALUE!</v>
      </c>
    </row>
    <row r="90" spans="2:17">
      <c r="B90" s="18">
        <v>51163</v>
      </c>
      <c r="C90" s="19">
        <v>9</v>
      </c>
      <c r="D90" s="20"/>
      <c r="E90" s="14"/>
      <c r="F90" s="14"/>
      <c r="G90" s="10" t="s">
        <v>42</v>
      </c>
      <c r="H90" s="14"/>
      <c r="I90" s="14" t="e">
        <f t="shared" si="2"/>
        <v>#VALUE!</v>
      </c>
      <c r="J90" s="14"/>
      <c r="K90" s="10" t="s">
        <v>42</v>
      </c>
      <c r="L90" s="14" t="s">
        <v>42</v>
      </c>
      <c r="M90" s="14" t="e">
        <f t="shared" si="3"/>
        <v>#VALUE!</v>
      </c>
    </row>
    <row r="91" spans="2:17">
      <c r="B91" s="18">
        <v>51163</v>
      </c>
      <c r="C91" s="19">
        <v>10</v>
      </c>
      <c r="D91" s="20"/>
      <c r="E91" s="14"/>
      <c r="F91" s="14"/>
      <c r="G91" s="10" t="s">
        <v>42</v>
      </c>
      <c r="H91" s="14"/>
      <c r="I91" s="14" t="e">
        <f t="shared" si="2"/>
        <v>#VALUE!</v>
      </c>
      <c r="J91" s="14"/>
      <c r="K91" s="10" t="s">
        <v>42</v>
      </c>
      <c r="L91" s="14" t="s">
        <v>42</v>
      </c>
      <c r="M91" s="14" t="e">
        <f t="shared" si="3"/>
        <v>#VALUE!</v>
      </c>
    </row>
    <row r="92" spans="2:17">
      <c r="B92" s="18">
        <v>51163</v>
      </c>
      <c r="C92" s="19">
        <v>11</v>
      </c>
      <c r="D92" s="3"/>
      <c r="E92" s="14"/>
      <c r="F92" s="14"/>
      <c r="G92" s="10" t="s">
        <v>42</v>
      </c>
      <c r="H92" s="10"/>
      <c r="I92" s="14" t="e">
        <f t="shared" si="2"/>
        <v>#VALUE!</v>
      </c>
      <c r="K92" s="10">
        <f>344+1024</f>
        <v>1368</v>
      </c>
      <c r="L92" s="14">
        <f>790+24</f>
        <v>814</v>
      </c>
      <c r="M92" s="14">
        <f t="shared" si="3"/>
        <v>2182</v>
      </c>
    </row>
    <row r="93" spans="2:17">
      <c r="B93" s="18">
        <v>51163</v>
      </c>
      <c r="C93" s="19">
        <v>12</v>
      </c>
      <c r="D93" s="3"/>
      <c r="E93" s="14"/>
      <c r="F93" s="14"/>
      <c r="G93" s="10">
        <f>466+1918</f>
        <v>2384</v>
      </c>
      <c r="H93" s="10">
        <f>207+290</f>
        <v>497</v>
      </c>
      <c r="I93" s="14">
        <f t="shared" si="2"/>
        <v>2881</v>
      </c>
      <c r="K93" s="10">
        <f>266+781</f>
        <v>1047</v>
      </c>
      <c r="L93" s="14">
        <f>833+23</f>
        <v>856</v>
      </c>
      <c r="M93" s="14">
        <f t="shared" si="3"/>
        <v>1903</v>
      </c>
    </row>
    <row r="94" spans="2:17">
      <c r="B94" s="18">
        <v>51163</v>
      </c>
      <c r="C94" s="19">
        <v>13</v>
      </c>
      <c r="D94" s="3"/>
      <c r="E94" s="14"/>
      <c r="F94" s="14"/>
      <c r="G94" s="14">
        <f>231+1553</f>
        <v>1784</v>
      </c>
      <c r="H94" s="22"/>
      <c r="I94" s="14">
        <f t="shared" si="2"/>
        <v>1784</v>
      </c>
      <c r="J94" s="1"/>
      <c r="K94" s="10">
        <f>172+519</f>
        <v>691</v>
      </c>
      <c r="L94" s="14">
        <f>835+25</f>
        <v>860</v>
      </c>
      <c r="M94" s="14">
        <f t="shared" si="3"/>
        <v>1551</v>
      </c>
    </row>
    <row r="95" spans="2:17">
      <c r="B95" s="18">
        <v>51163</v>
      </c>
      <c r="C95" s="19">
        <v>14</v>
      </c>
      <c r="D95" s="3"/>
      <c r="E95" s="14"/>
      <c r="F95" s="14"/>
      <c r="G95" s="14">
        <f>89+824</f>
        <v>913</v>
      </c>
      <c r="H95" s="14">
        <f>521+20</f>
        <v>541</v>
      </c>
      <c r="I95" s="14">
        <f t="shared" si="2"/>
        <v>1454</v>
      </c>
      <c r="J95" s="14"/>
      <c r="K95" s="10">
        <f>57+235</f>
        <v>292</v>
      </c>
      <c r="L95" s="14">
        <f>788+24</f>
        <v>812</v>
      </c>
      <c r="M95" s="14">
        <f t="shared" si="3"/>
        <v>1104</v>
      </c>
    </row>
    <row r="96" spans="2:17">
      <c r="B96" s="18">
        <v>51163</v>
      </c>
      <c r="C96" s="19">
        <v>15</v>
      </c>
      <c r="D96" s="3"/>
      <c r="E96" s="14"/>
      <c r="F96" s="14"/>
      <c r="G96" s="14">
        <f>755+93</f>
        <v>848</v>
      </c>
      <c r="H96" s="14">
        <f>44+16</f>
        <v>60</v>
      </c>
      <c r="I96" s="14">
        <f t="shared" si="2"/>
        <v>908</v>
      </c>
      <c r="J96" s="14"/>
      <c r="K96" s="10">
        <f>89+78</f>
        <v>167</v>
      </c>
      <c r="L96" s="14">
        <f>683+22</f>
        <v>705</v>
      </c>
      <c r="M96" s="14">
        <f t="shared" si="3"/>
        <v>872</v>
      </c>
      <c r="N96" s="10">
        <f>77+55</f>
        <v>132</v>
      </c>
      <c r="O96" s="14">
        <f>697+22</f>
        <v>719</v>
      </c>
      <c r="P96" s="14">
        <f t="shared" ref="P96:P100" si="4">N96+O96</f>
        <v>851</v>
      </c>
      <c r="Q96">
        <v>3000</v>
      </c>
    </row>
    <row r="97" spans="2:17">
      <c r="B97" s="18">
        <v>51163</v>
      </c>
      <c r="C97" s="19">
        <v>16</v>
      </c>
      <c r="D97" s="3"/>
      <c r="E97" s="14"/>
      <c r="F97" s="14"/>
      <c r="G97" s="14">
        <f>782+98</f>
        <v>880</v>
      </c>
      <c r="H97" s="14">
        <f>146+16</f>
        <v>162</v>
      </c>
      <c r="I97" s="14">
        <f t="shared" si="2"/>
        <v>1042</v>
      </c>
      <c r="J97" s="14"/>
      <c r="K97" s="10">
        <f>281+451</f>
        <v>732</v>
      </c>
      <c r="L97" s="14">
        <f>497+20</f>
        <v>517</v>
      </c>
      <c r="M97" s="14">
        <f t="shared" si="3"/>
        <v>1249</v>
      </c>
      <c r="N97">
        <f>65+26</f>
        <v>91</v>
      </c>
      <c r="O97">
        <f>713+22</f>
        <v>735</v>
      </c>
      <c r="P97" s="14">
        <f t="shared" si="4"/>
        <v>826</v>
      </c>
      <c r="Q97">
        <v>5000</v>
      </c>
    </row>
    <row r="98" spans="2:17">
      <c r="B98" s="18">
        <v>51163</v>
      </c>
      <c r="C98" s="19">
        <v>17</v>
      </c>
      <c r="D98" s="3"/>
      <c r="E98" s="14"/>
      <c r="F98" s="14"/>
      <c r="G98" s="14">
        <f>793+99</f>
        <v>892</v>
      </c>
      <c r="H98" s="14">
        <f>230+18</f>
        <v>248</v>
      </c>
      <c r="I98" s="14">
        <f t="shared" si="2"/>
        <v>1140</v>
      </c>
      <c r="J98" s="14"/>
      <c r="K98" s="10" t="s">
        <v>42</v>
      </c>
      <c r="L98" s="14" t="s">
        <v>42</v>
      </c>
      <c r="M98" s="14" t="e">
        <f t="shared" si="3"/>
        <v>#VALUE!</v>
      </c>
      <c r="N98">
        <f>67+2</f>
        <v>69</v>
      </c>
      <c r="O98">
        <f>723+22</f>
        <v>745</v>
      </c>
      <c r="P98" s="14">
        <f t="shared" si="4"/>
        <v>814</v>
      </c>
      <c r="Q98">
        <v>10000</v>
      </c>
    </row>
    <row r="99" spans="2:17">
      <c r="B99" s="18">
        <v>51163</v>
      </c>
      <c r="C99" s="19">
        <v>18</v>
      </c>
      <c r="D99" s="3"/>
      <c r="E99" s="14"/>
      <c r="F99" s="14"/>
      <c r="G99" s="14">
        <f>798+100</f>
        <v>898</v>
      </c>
      <c r="H99" s="14">
        <f>296+18</f>
        <v>314</v>
      </c>
      <c r="I99" s="14">
        <f t="shared" si="2"/>
        <v>1212</v>
      </c>
      <c r="J99" s="14"/>
      <c r="K99" s="10" t="s">
        <v>42</v>
      </c>
      <c r="L99" s="14" t="s">
        <v>42</v>
      </c>
      <c r="M99" s="14" t="e">
        <f t="shared" si="3"/>
        <v>#VALUE!</v>
      </c>
      <c r="N99">
        <f>78+6</f>
        <v>84</v>
      </c>
      <c r="O99">
        <f>725+22</f>
        <v>747</v>
      </c>
      <c r="P99" s="14">
        <f t="shared" si="4"/>
        <v>831</v>
      </c>
      <c r="Q99">
        <v>20000</v>
      </c>
    </row>
    <row r="100" spans="2:17">
      <c r="B100" s="18">
        <v>51163</v>
      </c>
      <c r="C100" s="19">
        <v>19</v>
      </c>
      <c r="D100" s="3"/>
      <c r="E100" s="14"/>
      <c r="F100" s="14"/>
      <c r="G100" s="14">
        <f>802</f>
        <v>802</v>
      </c>
      <c r="H100" s="14">
        <f>348+18</f>
        <v>366</v>
      </c>
      <c r="I100" s="14">
        <f t="shared" si="2"/>
        <v>1168</v>
      </c>
      <c r="J100" s="14"/>
      <c r="K100" s="10" t="s">
        <v>42</v>
      </c>
      <c r="L100" s="14" t="s">
        <v>42</v>
      </c>
      <c r="M100" s="14" t="e">
        <f t="shared" si="3"/>
        <v>#VALUE!</v>
      </c>
      <c r="N100">
        <f>197+612</f>
        <v>809</v>
      </c>
      <c r="O100">
        <f>487+20</f>
        <v>507</v>
      </c>
      <c r="P100" s="14">
        <f t="shared" si="4"/>
        <v>1316</v>
      </c>
      <c r="Q100">
        <v>30000</v>
      </c>
    </row>
    <row r="101" spans="2:17">
      <c r="C101" s="23">
        <v>20</v>
      </c>
      <c r="G101" s="14" t="s">
        <v>42</v>
      </c>
      <c r="H101" s="14"/>
      <c r="I101" s="14" t="e">
        <f t="shared" si="2"/>
        <v>#VALUE!</v>
      </c>
      <c r="J101" s="14"/>
      <c r="K101" s="10" t="s">
        <v>42</v>
      </c>
      <c r="L101" s="14" t="s">
        <v>42</v>
      </c>
      <c r="M101" s="14" t="e">
        <f t="shared" si="3"/>
        <v>#VALUE!</v>
      </c>
      <c r="P101" s="14"/>
    </row>
    <row r="102" spans="2:17">
      <c r="C102" s="23">
        <v>21</v>
      </c>
      <c r="G102" s="14" t="s">
        <v>42</v>
      </c>
      <c r="H102" s="14"/>
      <c r="I102" s="14" t="e">
        <f t="shared" si="2"/>
        <v>#VALUE!</v>
      </c>
      <c r="J102" s="14"/>
      <c r="K102" s="10" t="s">
        <v>42</v>
      </c>
      <c r="L102" s="14" t="s">
        <v>42</v>
      </c>
      <c r="M102" s="14" t="e">
        <f t="shared" si="3"/>
        <v>#VALUE!</v>
      </c>
      <c r="P102" s="14"/>
    </row>
    <row r="103" spans="2:17">
      <c r="C103" s="23">
        <v>22</v>
      </c>
      <c r="G103" s="14" t="s">
        <v>42</v>
      </c>
      <c r="H103" s="14"/>
      <c r="I103" s="14" t="e">
        <f t="shared" si="2"/>
        <v>#VALUE!</v>
      </c>
      <c r="J103" s="14"/>
      <c r="K103" s="10" t="s">
        <v>42</v>
      </c>
      <c r="L103" s="14" t="s">
        <v>42</v>
      </c>
      <c r="M103" s="14" t="e">
        <f t="shared" si="3"/>
        <v>#VALUE!</v>
      </c>
      <c r="P103" s="14"/>
    </row>
    <row r="104" spans="2:17">
      <c r="C104" s="23">
        <v>23</v>
      </c>
      <c r="G104" s="14" t="s">
        <v>42</v>
      </c>
      <c r="H104" s="14"/>
      <c r="I104" s="14" t="e">
        <f t="shared" si="2"/>
        <v>#VALUE!</v>
      </c>
      <c r="J104" s="14"/>
      <c r="K104" s="10" t="s">
        <v>42</v>
      </c>
      <c r="L104" s="14" t="s">
        <v>42</v>
      </c>
      <c r="M104" s="14" t="e">
        <f t="shared" si="3"/>
        <v>#VALUE!</v>
      </c>
    </row>
  </sheetData>
  <conditionalFormatting sqref="I2:I3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6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:F9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1:I10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:M10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:M10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6:P10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6:P10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3F52BDFD446E4FAD7C4B975A769503" ma:contentTypeVersion="10" ma:contentTypeDescription="Creare un nuovo documento." ma:contentTypeScope="" ma:versionID="d35e4da5897b6bfc12b6d4d03e10a801">
  <xsd:schema xmlns:xsd="http://www.w3.org/2001/XMLSchema" xmlns:xs="http://www.w3.org/2001/XMLSchema" xmlns:p="http://schemas.microsoft.com/office/2006/metadata/properties" xmlns:ns2="59ebd729-9636-4433-946e-2dc34c857d7f" targetNamespace="http://schemas.microsoft.com/office/2006/metadata/properties" ma:root="true" ma:fieldsID="15b600afb61c1e7f1168705e6ad61e0c" ns2:_="">
    <xsd:import namespace="59ebd729-9636-4433-946e-2dc34c857d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bd729-9636-4433-946e-2dc34c857d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01d839f4-5e4e-4afa-85c1-b6ecef325b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ebd729-9636-4433-946e-2dc34c857d7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658675-E7B3-407C-BB49-105BFDF215E5}"/>
</file>

<file path=customXml/itemProps2.xml><?xml version="1.0" encoding="utf-8"?>
<ds:datastoreItem xmlns:ds="http://schemas.openxmlformats.org/officeDocument/2006/customXml" ds:itemID="{81C2CA29-5F13-4CD2-A729-A29D6BEB72BB}"/>
</file>

<file path=customXml/itemProps3.xml><?xml version="1.0" encoding="utf-8"?>
<ds:datastoreItem xmlns:ds="http://schemas.openxmlformats.org/officeDocument/2006/customXml" ds:itemID="{924C3C9E-B2F1-42DE-A3C7-E96D51C216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Dalby, April Cassiopeia C.L.</cp:lastModifiedBy>
  <cp:revision/>
  <dcterms:created xsi:type="dcterms:W3CDTF">2025-08-27T10:55:35Z</dcterms:created>
  <dcterms:modified xsi:type="dcterms:W3CDTF">2025-08-27T15:35:34Z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0x010100803F52BDFD446E4FAD7C4B975A769503</vt:lpwstr>
  </property>
  <property fmtid="{D5CDD505-2E9C-101B-9397-08002B2CF9AE}" pid="3" name="MediaServiceImageTags">
    <vt:lpwstr/>
  </property>
</Properties>
</file>