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DCF Models\"/>
    </mc:Choice>
  </mc:AlternateContent>
  <xr:revisionPtr revIDLastSave="0" documentId="13_ncr:1_{6EA1F594-8E28-4004-9E65-79956E345B6A}" xr6:coauthVersionLast="47" xr6:coauthVersionMax="47" xr10:uidLastSave="{00000000-0000-0000-0000-000000000000}"/>
  <bookViews>
    <workbookView xWindow="4755" yWindow="1350" windowWidth="26670" windowHeight="15045" xr2:uid="{3056AFBF-C33C-44A0-B793-E31A92920761}"/>
  </bookViews>
  <sheets>
    <sheet name="Main" sheetId="1" r:id="rId1"/>
    <sheet name="Model" sheetId="2" r:id="rId2"/>
    <sheet name="Das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2" l="1"/>
  <c r="X5" i="2" s="1"/>
  <c r="Y5" i="2"/>
  <c r="X18" i="2"/>
  <c r="W40" i="2"/>
  <c r="V40" i="2"/>
  <c r="U40" i="2"/>
  <c r="T40" i="2"/>
  <c r="S40" i="2"/>
  <c r="R40" i="2"/>
  <c r="Q40" i="2"/>
  <c r="Z15" i="2"/>
  <c r="Z52" i="2" s="1"/>
  <c r="Z14" i="2"/>
  <c r="W41" i="2"/>
  <c r="V41" i="2"/>
  <c r="U41" i="2"/>
  <c r="T41" i="2"/>
  <c r="S41" i="2"/>
  <c r="R41" i="2"/>
  <c r="Q41" i="2"/>
  <c r="P41" i="2"/>
  <c r="O41" i="2"/>
  <c r="P40" i="2"/>
  <c r="V52" i="2"/>
  <c r="U52" i="2"/>
  <c r="T52" i="2"/>
  <c r="S52" i="2"/>
  <c r="R52" i="2"/>
  <c r="Q52" i="2"/>
  <c r="P52" i="2"/>
  <c r="O52" i="2"/>
  <c r="J52" i="2"/>
  <c r="I52" i="2"/>
  <c r="H52" i="2"/>
  <c r="G52" i="2"/>
  <c r="E52" i="2"/>
  <c r="D52" i="2"/>
  <c r="C52" i="2"/>
  <c r="U48" i="2"/>
  <c r="G51" i="2"/>
  <c r="E51" i="2"/>
  <c r="I49" i="2"/>
  <c r="H46" i="2"/>
  <c r="Y11" i="2"/>
  <c r="Z11" i="2" s="1"/>
  <c r="AA11" i="2" s="1"/>
  <c r="AB11" i="2" s="1"/>
  <c r="AC11" i="2" s="1"/>
  <c r="AD11" i="2" s="1"/>
  <c r="AE11" i="2" s="1"/>
  <c r="AF11" i="2" s="1"/>
  <c r="AG11" i="2" s="1"/>
  <c r="Y9" i="2"/>
  <c r="Z9" i="2" s="1"/>
  <c r="AA9" i="2" s="1"/>
  <c r="AB9" i="2" s="1"/>
  <c r="AC9" i="2" s="1"/>
  <c r="AD9" i="2" s="1"/>
  <c r="AE9" i="2" s="1"/>
  <c r="AF9" i="2" s="1"/>
  <c r="AG9" i="2" s="1"/>
  <c r="Y7" i="2"/>
  <c r="Z7" i="2" s="1"/>
  <c r="AA7" i="2" s="1"/>
  <c r="AB7" i="2" s="1"/>
  <c r="AC7" i="2" s="1"/>
  <c r="AD7" i="2" s="1"/>
  <c r="AE7" i="2" s="1"/>
  <c r="AF7" i="2" s="1"/>
  <c r="AG7" i="2" s="1"/>
  <c r="Y6" i="2"/>
  <c r="Z6" i="2" s="1"/>
  <c r="AA6" i="2" s="1"/>
  <c r="AB6" i="2" s="1"/>
  <c r="Y62" i="2"/>
  <c r="X62" i="2"/>
  <c r="W62" i="2"/>
  <c r="V62" i="2"/>
  <c r="U62" i="2"/>
  <c r="T62" i="2"/>
  <c r="S62" i="2"/>
  <c r="R62" i="2"/>
  <c r="Z61" i="2"/>
  <c r="AA61" i="2" s="1"/>
  <c r="AB61" i="2" s="1"/>
  <c r="AC61" i="2" s="1"/>
  <c r="AD61" i="2" s="1"/>
  <c r="AE61" i="2" s="1"/>
  <c r="AF61" i="2" s="1"/>
  <c r="V57" i="2"/>
  <c r="U57" i="2"/>
  <c r="T57" i="2"/>
  <c r="S57" i="2"/>
  <c r="R57" i="2"/>
  <c r="W32" i="2"/>
  <c r="W34" i="2" s="1"/>
  <c r="W19" i="2"/>
  <c r="W16" i="2"/>
  <c r="W15" i="2"/>
  <c r="W14" i="2"/>
  <c r="W11" i="2"/>
  <c r="W10" i="2"/>
  <c r="W9" i="2"/>
  <c r="W8" i="2"/>
  <c r="W7" i="2"/>
  <c r="W6" i="2"/>
  <c r="W4" i="2"/>
  <c r="W3" i="2"/>
  <c r="F19" i="2"/>
  <c r="F16" i="2"/>
  <c r="F15" i="2"/>
  <c r="F52" i="2" s="1"/>
  <c r="F14" i="2"/>
  <c r="F11" i="2"/>
  <c r="F10" i="2"/>
  <c r="F9" i="2"/>
  <c r="F8" i="2"/>
  <c r="F7" i="2"/>
  <c r="F6" i="2"/>
  <c r="F4" i="2"/>
  <c r="F3" i="2"/>
  <c r="C18" i="2"/>
  <c r="I21" i="2"/>
  <c r="H21" i="2"/>
  <c r="F21" i="2"/>
  <c r="E21" i="2"/>
  <c r="D21" i="2"/>
  <c r="G21" i="2"/>
  <c r="C21" i="2"/>
  <c r="G18" i="2"/>
  <c r="D18" i="2"/>
  <c r="H18" i="2"/>
  <c r="I29" i="2"/>
  <c r="I27" i="2"/>
  <c r="E18" i="2"/>
  <c r="I18" i="2"/>
  <c r="J34" i="2"/>
  <c r="I34" i="2"/>
  <c r="H34" i="2"/>
  <c r="G34" i="2"/>
  <c r="F34" i="2"/>
  <c r="E34" i="2"/>
  <c r="D34" i="2"/>
  <c r="C34" i="2"/>
  <c r="J30" i="2"/>
  <c r="H30" i="2"/>
  <c r="G30" i="2"/>
  <c r="F30" i="2"/>
  <c r="E30" i="2"/>
  <c r="D30" i="2"/>
  <c r="C30" i="2"/>
  <c r="O32" i="2"/>
  <c r="O34" i="2" s="1"/>
  <c r="P32" i="2"/>
  <c r="P34" i="2" s="1"/>
  <c r="O29" i="2"/>
  <c r="O30" i="2" s="1"/>
  <c r="P29" i="2"/>
  <c r="P27" i="2"/>
  <c r="O18" i="2"/>
  <c r="P18" i="2"/>
  <c r="Q32" i="2"/>
  <c r="Q34" i="2" s="1"/>
  <c r="R32" i="2"/>
  <c r="R34" i="2" s="1"/>
  <c r="Q29" i="2"/>
  <c r="Q30" i="2" s="1"/>
  <c r="R29" i="2"/>
  <c r="R27" i="2"/>
  <c r="Q18" i="2"/>
  <c r="R18" i="2"/>
  <c r="S32" i="2"/>
  <c r="S34" i="2" s="1"/>
  <c r="T32" i="2"/>
  <c r="T34" i="2" s="1"/>
  <c r="S29" i="2"/>
  <c r="S27" i="2"/>
  <c r="T29" i="2"/>
  <c r="T27" i="2"/>
  <c r="S18" i="2"/>
  <c r="T18" i="2"/>
  <c r="U32" i="2"/>
  <c r="U34" i="2" s="1"/>
  <c r="U29" i="2"/>
  <c r="V32" i="2"/>
  <c r="V34" i="2" s="1"/>
  <c r="U27" i="2"/>
  <c r="V29" i="2"/>
  <c r="V27" i="2"/>
  <c r="U18" i="2"/>
  <c r="V18" i="2"/>
  <c r="U12" i="2"/>
  <c r="T12" i="2"/>
  <c r="S12" i="2"/>
  <c r="R12" i="2"/>
  <c r="Q12" i="2"/>
  <c r="P12" i="2"/>
  <c r="O12" i="2"/>
  <c r="J12" i="2"/>
  <c r="I12" i="2"/>
  <c r="H12" i="2"/>
  <c r="G12" i="2"/>
  <c r="E12" i="2"/>
  <c r="D12" i="2"/>
  <c r="C12" i="2"/>
  <c r="V12" i="2"/>
  <c r="O5" i="2"/>
  <c r="O49" i="2" s="1"/>
  <c r="P5" i="2"/>
  <c r="P38" i="2" s="1"/>
  <c r="Q5" i="2"/>
  <c r="Q48" i="2" s="1"/>
  <c r="U5" i="2"/>
  <c r="U47" i="2" s="1"/>
  <c r="T5" i="2"/>
  <c r="S5" i="2"/>
  <c r="S49" i="2" s="1"/>
  <c r="R5" i="2"/>
  <c r="R48" i="2" s="1"/>
  <c r="J5" i="2"/>
  <c r="J49" i="2" s="1"/>
  <c r="I5" i="2"/>
  <c r="I47" i="2" s="1"/>
  <c r="H5" i="2"/>
  <c r="H47" i="2" s="1"/>
  <c r="G5" i="2"/>
  <c r="G47" i="2" s="1"/>
  <c r="E5" i="2"/>
  <c r="E47" i="2" s="1"/>
  <c r="D5" i="2"/>
  <c r="D51" i="2" s="1"/>
  <c r="C5" i="2"/>
  <c r="C47" i="2" s="1"/>
  <c r="V5" i="2"/>
  <c r="V46" i="2" s="1"/>
  <c r="V48" i="2" l="1"/>
  <c r="P49" i="2"/>
  <c r="V49" i="2"/>
  <c r="E46" i="2"/>
  <c r="D48" i="2"/>
  <c r="X7" i="2"/>
  <c r="E48" i="2"/>
  <c r="G48" i="2"/>
  <c r="G46" i="2"/>
  <c r="X9" i="2"/>
  <c r="I48" i="2"/>
  <c r="Q51" i="2"/>
  <c r="O51" i="2"/>
  <c r="H51" i="2"/>
  <c r="I51" i="2"/>
  <c r="C48" i="2"/>
  <c r="O46" i="2"/>
  <c r="C49" i="2"/>
  <c r="V47" i="2"/>
  <c r="C51" i="2"/>
  <c r="S48" i="2"/>
  <c r="Q49" i="2"/>
  <c r="P51" i="2"/>
  <c r="D46" i="2"/>
  <c r="T48" i="2"/>
  <c r="Z47" i="2"/>
  <c r="T49" i="2"/>
  <c r="H48" i="2"/>
  <c r="J51" i="2"/>
  <c r="U49" i="2"/>
  <c r="R51" i="2"/>
  <c r="W52" i="2"/>
  <c r="S51" i="2"/>
  <c r="I46" i="2"/>
  <c r="D49" i="2"/>
  <c r="Q46" i="2"/>
  <c r="U51" i="2"/>
  <c r="P46" i="2"/>
  <c r="T51" i="2"/>
  <c r="J46" i="2"/>
  <c r="E49" i="2"/>
  <c r="R46" i="2"/>
  <c r="O47" i="2"/>
  <c r="V51" i="2"/>
  <c r="D47" i="2"/>
  <c r="S46" i="2"/>
  <c r="P47" i="2"/>
  <c r="G49" i="2"/>
  <c r="T46" i="2"/>
  <c r="Q47" i="2"/>
  <c r="J47" i="2"/>
  <c r="H49" i="2"/>
  <c r="U46" i="2"/>
  <c r="R47" i="2"/>
  <c r="O48" i="2"/>
  <c r="R49" i="2"/>
  <c r="J48" i="2"/>
  <c r="S47" i="2"/>
  <c r="C46" i="2"/>
  <c r="T47" i="2"/>
  <c r="P48" i="2"/>
  <c r="Y8" i="2"/>
  <c r="Z8" i="2" s="1"/>
  <c r="Z46" i="2" s="1"/>
  <c r="X11" i="2"/>
  <c r="Q38" i="2"/>
  <c r="V30" i="2"/>
  <c r="R30" i="2"/>
  <c r="Y10" i="2"/>
  <c r="V38" i="2"/>
  <c r="T30" i="2"/>
  <c r="X6" i="2"/>
  <c r="AA5" i="2"/>
  <c r="R38" i="2"/>
  <c r="S30" i="2"/>
  <c r="AC6" i="2"/>
  <c r="U30" i="2"/>
  <c r="S38" i="2"/>
  <c r="T38" i="2"/>
  <c r="W21" i="2"/>
  <c r="U38" i="2"/>
  <c r="W5" i="2"/>
  <c r="P30" i="2"/>
  <c r="I30" i="2"/>
  <c r="W30" i="2" s="1"/>
  <c r="J13" i="2"/>
  <c r="W12" i="2"/>
  <c r="F18" i="2"/>
  <c r="F12" i="2"/>
  <c r="F5" i="2"/>
  <c r="F49" i="2" s="1"/>
  <c r="W18" i="2"/>
  <c r="U13" i="2"/>
  <c r="V13" i="2"/>
  <c r="G13" i="2"/>
  <c r="H13" i="2"/>
  <c r="I13" i="2"/>
  <c r="E13" i="2"/>
  <c r="C13" i="2"/>
  <c r="D13" i="2"/>
  <c r="O13" i="2"/>
  <c r="P13" i="2"/>
  <c r="P43" i="2" s="1"/>
  <c r="Q13" i="2"/>
  <c r="R13" i="2"/>
  <c r="S13" i="2"/>
  <c r="T13" i="2"/>
  <c r="AA15" i="2" l="1"/>
  <c r="AA52" i="2" s="1"/>
  <c r="AA14" i="2"/>
  <c r="X8" i="2"/>
  <c r="AB5" i="2"/>
  <c r="F51" i="2"/>
  <c r="F48" i="2"/>
  <c r="Z10" i="2"/>
  <c r="F47" i="2"/>
  <c r="W47" i="2"/>
  <c r="W48" i="2"/>
  <c r="AA47" i="2"/>
  <c r="F46" i="2"/>
  <c r="W46" i="2"/>
  <c r="W49" i="2"/>
  <c r="W51" i="2"/>
  <c r="Y12" i="2"/>
  <c r="X10" i="2"/>
  <c r="W38" i="2"/>
  <c r="AA8" i="2"/>
  <c r="AA46" i="2" s="1"/>
  <c r="Z12" i="2"/>
  <c r="Z13" i="2" s="1"/>
  <c r="AD6" i="2"/>
  <c r="W13" i="2"/>
  <c r="W17" i="2" s="1"/>
  <c r="F13" i="2"/>
  <c r="F43" i="2" s="1"/>
  <c r="V17" i="2"/>
  <c r="V43" i="2"/>
  <c r="G17" i="2"/>
  <c r="G43" i="2"/>
  <c r="Q17" i="2"/>
  <c r="Q43" i="2"/>
  <c r="S17" i="2"/>
  <c r="S43" i="2"/>
  <c r="O17" i="2"/>
  <c r="O43" i="2"/>
  <c r="J17" i="2"/>
  <c r="J43" i="2"/>
  <c r="D17" i="2"/>
  <c r="D43" i="2"/>
  <c r="H17" i="2"/>
  <c r="H43" i="2"/>
  <c r="U17" i="2"/>
  <c r="U43" i="2"/>
  <c r="R17" i="2"/>
  <c r="R43" i="2"/>
  <c r="C17" i="2"/>
  <c r="C43" i="2"/>
  <c r="I17" i="2"/>
  <c r="I43" i="2"/>
  <c r="T17" i="2"/>
  <c r="T43" i="2"/>
  <c r="E17" i="2"/>
  <c r="E43" i="2"/>
  <c r="P17" i="2"/>
  <c r="X12" i="2" l="1"/>
  <c r="X13" i="2" s="1"/>
  <c r="AB14" i="2"/>
  <c r="AB15" i="2"/>
  <c r="AB52" i="2" s="1"/>
  <c r="X14" i="2"/>
  <c r="X15" i="2"/>
  <c r="X52" i="2" s="1"/>
  <c r="X47" i="2"/>
  <c r="X46" i="2"/>
  <c r="X48" i="2"/>
  <c r="AA10" i="2"/>
  <c r="Z48" i="2"/>
  <c r="AC5" i="2"/>
  <c r="AB47" i="2"/>
  <c r="F17" i="2"/>
  <c r="F20" i="2" s="1"/>
  <c r="F22" i="2" s="1"/>
  <c r="F24" i="2" s="1"/>
  <c r="Z17" i="2"/>
  <c r="Z43" i="2"/>
  <c r="AB8" i="2"/>
  <c r="AB46" i="2" s="1"/>
  <c r="AA12" i="2"/>
  <c r="AA13" i="2" s="1"/>
  <c r="W43" i="2"/>
  <c r="X38" i="2"/>
  <c r="AE6" i="2"/>
  <c r="I20" i="2"/>
  <c r="I22" i="2" s="1"/>
  <c r="I24" i="2" s="1"/>
  <c r="I44" i="2"/>
  <c r="O20" i="2"/>
  <c r="O44" i="2"/>
  <c r="P20" i="2"/>
  <c r="P23" i="2" s="1"/>
  <c r="P44" i="2"/>
  <c r="T20" i="2"/>
  <c r="T44" i="2"/>
  <c r="E20" i="2"/>
  <c r="E22" i="2" s="1"/>
  <c r="E23" i="2" s="1"/>
  <c r="E44" i="2"/>
  <c r="U44" i="2"/>
  <c r="U20" i="2"/>
  <c r="G20" i="2"/>
  <c r="G22" i="2" s="1"/>
  <c r="G24" i="2" s="1"/>
  <c r="G44" i="2"/>
  <c r="D20" i="2"/>
  <c r="D22" i="2" s="1"/>
  <c r="D24" i="2" s="1"/>
  <c r="D44" i="2"/>
  <c r="J20" i="2"/>
  <c r="J22" i="2" s="1"/>
  <c r="J23" i="2" s="1"/>
  <c r="J44" i="2"/>
  <c r="W20" i="2"/>
  <c r="W22" i="2" s="1"/>
  <c r="W44" i="2"/>
  <c r="V20" i="2"/>
  <c r="V44" i="2"/>
  <c r="C20" i="2"/>
  <c r="C22" i="2" s="1"/>
  <c r="C24" i="2" s="1"/>
  <c r="C44" i="2"/>
  <c r="Q20" i="2"/>
  <c r="Q44" i="2"/>
  <c r="S20" i="2"/>
  <c r="S44" i="2"/>
  <c r="R20" i="2"/>
  <c r="R44" i="2"/>
  <c r="H20" i="2"/>
  <c r="H22" i="2" s="1"/>
  <c r="H23" i="2" s="1"/>
  <c r="H44" i="2"/>
  <c r="AC15" i="2" l="1"/>
  <c r="AC52" i="2" s="1"/>
  <c r="AC14" i="2"/>
  <c r="Y14" i="2"/>
  <c r="Y15" i="2"/>
  <c r="Y52" i="2" s="1"/>
  <c r="F44" i="2"/>
  <c r="AB10" i="2"/>
  <c r="AA48" i="2"/>
  <c r="AC47" i="2"/>
  <c r="AD5" i="2"/>
  <c r="Y47" i="2"/>
  <c r="Y48" i="2"/>
  <c r="Y46" i="2"/>
  <c r="X43" i="2"/>
  <c r="X17" i="2"/>
  <c r="Y13" i="2"/>
  <c r="Y38" i="2"/>
  <c r="Z38" i="2"/>
  <c r="AA17" i="2"/>
  <c r="AA43" i="2"/>
  <c r="AC8" i="2"/>
  <c r="AC46" i="2" s="1"/>
  <c r="AB12" i="2"/>
  <c r="AB13" i="2" s="1"/>
  <c r="Z44" i="2"/>
  <c r="AF6" i="2"/>
  <c r="P22" i="2"/>
  <c r="T22" i="2"/>
  <c r="T23" i="2"/>
  <c r="S22" i="2"/>
  <c r="S23" i="2"/>
  <c r="Q22" i="2"/>
  <c r="Q23" i="2"/>
  <c r="V23" i="2"/>
  <c r="W23" i="2" s="1"/>
  <c r="V22" i="2"/>
  <c r="U22" i="2"/>
  <c r="U23" i="2"/>
  <c r="O22" i="2"/>
  <c r="O23" i="2"/>
  <c r="R22" i="2"/>
  <c r="R23" i="2"/>
  <c r="AD15" i="2" l="1"/>
  <c r="AD52" i="2" s="1"/>
  <c r="AD14" i="2"/>
  <c r="AD47" i="2"/>
  <c r="AE5" i="2"/>
  <c r="AC10" i="2"/>
  <c r="AB48" i="2"/>
  <c r="W24" i="2"/>
  <c r="X23" i="2"/>
  <c r="Y23" i="2" s="1"/>
  <c r="Z23" i="2" s="1"/>
  <c r="AA23" i="2" s="1"/>
  <c r="AB23" i="2" s="1"/>
  <c r="AC23" i="2" s="1"/>
  <c r="AD23" i="2" s="1"/>
  <c r="AE23" i="2" s="1"/>
  <c r="AF23" i="2" s="1"/>
  <c r="AG23" i="2" s="1"/>
  <c r="AD8" i="2"/>
  <c r="AD46" i="2" s="1"/>
  <c r="AC12" i="2"/>
  <c r="AC13" i="2" s="1"/>
  <c r="AA44" i="2"/>
  <c r="Y17" i="2"/>
  <c r="Y43" i="2"/>
  <c r="AB17" i="2"/>
  <c r="AB43" i="2"/>
  <c r="X20" i="2"/>
  <c r="X44" i="2"/>
  <c r="AG6" i="2"/>
  <c r="AE15" i="2" l="1"/>
  <c r="AE52" i="2" s="1"/>
  <c r="AE14" i="2"/>
  <c r="X21" i="2"/>
  <c r="X22" i="2" s="1"/>
  <c r="AE47" i="2"/>
  <c r="AF5" i="2"/>
  <c r="AD10" i="2"/>
  <c r="AC48" i="2"/>
  <c r="AC17" i="2"/>
  <c r="AC43" i="2"/>
  <c r="AE8" i="2"/>
  <c r="AE46" i="2" s="1"/>
  <c r="AD12" i="2"/>
  <c r="AD13" i="2" s="1"/>
  <c r="Y44" i="2"/>
  <c r="AB44" i="2"/>
  <c r="AF15" i="2" l="1"/>
  <c r="AF52" i="2" s="1"/>
  <c r="AF14" i="2"/>
  <c r="X24" i="2"/>
  <c r="X30" i="2"/>
  <c r="Y18" i="2" s="1"/>
  <c r="Y20" i="2" s="1"/>
  <c r="Y21" i="2" s="1"/>
  <c r="Y22" i="2" s="1"/>
  <c r="AF47" i="2"/>
  <c r="AG5" i="2"/>
  <c r="AE10" i="2"/>
  <c r="AD48" i="2"/>
  <c r="AD17" i="2"/>
  <c r="AD43" i="2"/>
  <c r="AC44" i="2"/>
  <c r="AF8" i="2"/>
  <c r="AF46" i="2" s="1"/>
  <c r="AE12" i="2"/>
  <c r="AE13" i="2" s="1"/>
  <c r="Y24" i="2" l="1"/>
  <c r="AG15" i="2"/>
  <c r="AG52" i="2" s="1"/>
  <c r="AG14" i="2"/>
  <c r="Y30" i="2"/>
  <c r="AG47" i="2"/>
  <c r="AF10" i="2"/>
  <c r="AE48" i="2"/>
  <c r="AE17" i="2"/>
  <c r="AE43" i="2"/>
  <c r="AG8" i="2"/>
  <c r="AF12" i="2"/>
  <c r="AF13" i="2" s="1"/>
  <c r="AD44" i="2"/>
  <c r="Z18" i="2" l="1"/>
  <c r="Z20" i="2" s="1"/>
  <c r="Z21" i="2" s="1"/>
  <c r="Z22" i="2" s="1"/>
  <c r="AG46" i="2"/>
  <c r="AG10" i="2"/>
  <c r="AG48" i="2" s="1"/>
  <c r="AF48" i="2"/>
  <c r="AF43" i="2"/>
  <c r="AF17" i="2"/>
  <c r="AE44" i="2"/>
  <c r="Z24" i="2" l="1"/>
  <c r="Z30" i="2"/>
  <c r="AG12" i="2"/>
  <c r="AG13" i="2" s="1"/>
  <c r="AF44" i="2"/>
  <c r="AA18" i="2" l="1"/>
  <c r="AA20" i="2" s="1"/>
  <c r="AA21" i="2" s="1"/>
  <c r="AA22" i="2" s="1"/>
  <c r="AG17" i="2"/>
  <c r="AG43" i="2"/>
  <c r="AA24" i="2" l="1"/>
  <c r="AA30" i="2"/>
  <c r="AG44" i="2"/>
  <c r="AB18" i="2" l="1"/>
  <c r="AB20" i="2" s="1"/>
  <c r="AB21" i="2" s="1"/>
  <c r="AB22" i="2" s="1"/>
  <c r="AB24" i="2" s="1"/>
  <c r="AB30" i="2" l="1"/>
  <c r="AC18" i="2" l="1"/>
  <c r="AC20" i="2" s="1"/>
  <c r="AC21" i="2" s="1"/>
  <c r="AC22" i="2" s="1"/>
  <c r="AC24" i="2" s="1"/>
  <c r="AC30" i="2" l="1"/>
  <c r="AD18" i="2" l="1"/>
  <c r="AD20" i="2" s="1"/>
  <c r="AD21" i="2" s="1"/>
  <c r="AD22" i="2" s="1"/>
  <c r="AD24" i="2" s="1"/>
  <c r="AD30" i="2" l="1"/>
  <c r="AE18" i="2" l="1"/>
  <c r="AE20" i="2" s="1"/>
  <c r="AE21" i="2" s="1"/>
  <c r="AE22" i="2" s="1"/>
  <c r="AE24" i="2" s="1"/>
  <c r="AE30" i="2" l="1"/>
  <c r="AF18" i="2" l="1"/>
  <c r="AF20" i="2" s="1"/>
  <c r="AF21" i="2" s="1"/>
  <c r="AF22" i="2" s="1"/>
  <c r="AF24" i="2" s="1"/>
  <c r="N6" i="1"/>
  <c r="N9" i="1" s="1"/>
  <c r="AF30" i="2" l="1"/>
  <c r="AG18" i="2" l="1"/>
  <c r="AG20" i="2" s="1"/>
  <c r="AG21" i="2" s="1"/>
  <c r="AG22" i="2" s="1"/>
  <c r="AG24" i="2" l="1"/>
  <c r="AH22" i="2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BP22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CG22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X22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DO22" i="2" s="1"/>
  <c r="DP22" i="2" s="1"/>
  <c r="DQ22" i="2" s="1"/>
  <c r="DR22" i="2" s="1"/>
  <c r="DS22" i="2" s="1"/>
  <c r="DT22" i="2" s="1"/>
  <c r="C4" i="3" s="1"/>
  <c r="N12" i="1" s="1"/>
  <c r="N13" i="1" s="1"/>
  <c r="AG30" i="2"/>
</calcChain>
</file>

<file path=xl/sharedStrings.xml><?xml version="1.0" encoding="utf-8"?>
<sst xmlns="http://schemas.openxmlformats.org/spreadsheetml/2006/main" count="111" uniqueCount="98">
  <si>
    <t>Price</t>
  </si>
  <si>
    <t>Shares</t>
  </si>
  <si>
    <t>MkCap</t>
  </si>
  <si>
    <t>Cash</t>
  </si>
  <si>
    <t>Debt</t>
  </si>
  <si>
    <t>Run rate</t>
  </si>
  <si>
    <t>EV</t>
  </si>
  <si>
    <t>Update</t>
  </si>
  <si>
    <t>NPV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</si>
  <si>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</si>
  <si>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</si>
  <si>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</si>
  <si>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</si>
  <si>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</si>
  <si>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</si>
  <si>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</si>
  <si>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</si>
  <si>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Revenue y/y</t>
  </si>
  <si>
    <t>NPV/Sh</t>
  </si>
  <si>
    <t>Maturity decay</t>
  </si>
  <si>
    <t>Discount</t>
  </si>
  <si>
    <r>
      <t>Year </t>
    </r>
    <r>
      <rPr>
        <b/>
        <sz val="6.5"/>
        <color rgb="FF000000"/>
        <rFont val="Times New Roman"/>
        <family val="1"/>
      </rPr>
      <t>(1)</t>
    </r>
  </si>
  <si>
    <t>Weighted-Average</t>
  </si>
  <si>
    <t>Supply of</t>
  </si>
  <si>
    <t>Berths</t>
  </si>
  <si>
    <t>Marketed</t>
  </si>
  <si>
    <r>
      <t>Globally</t>
    </r>
    <r>
      <rPr>
        <b/>
        <sz val="6.5"/>
        <color rgb="FF000000"/>
        <rFont val="Times New Roman"/>
        <family val="1"/>
      </rPr>
      <t>(2)</t>
    </r>
  </si>
  <si>
    <r>
      <t>Royal Caribbean Group Total Berths</t>
    </r>
    <r>
      <rPr>
        <b/>
        <sz val="6.5"/>
        <color rgb="FF000000"/>
        <rFont val="Times New Roman"/>
        <family val="1"/>
      </rPr>
      <t>(3)</t>
    </r>
  </si>
  <si>
    <t>Global</t>
  </si>
  <si>
    <t>Cruise</t>
  </si>
  <si>
    <r>
      <t>Guests</t>
    </r>
    <r>
      <rPr>
        <b/>
        <sz val="6.5"/>
        <color rgb="FF000000"/>
        <rFont val="Times New Roman"/>
        <family val="1"/>
      </rPr>
      <t>(2)</t>
    </r>
  </si>
  <si>
    <r>
      <t>North American Cruise Guests</t>
    </r>
    <r>
      <rPr>
        <b/>
        <sz val="6.5"/>
        <color rgb="FF000000"/>
        <rFont val="Times New Roman"/>
        <family val="1"/>
      </rPr>
      <t>(2)(4)</t>
    </r>
  </si>
  <si>
    <r>
      <t>European Cruise Guests</t>
    </r>
    <r>
      <rPr>
        <b/>
        <sz val="6.5"/>
        <color rgb="FF000000"/>
        <rFont val="Times New Roman"/>
        <family val="1"/>
      </rPr>
      <t>(2)(5)</t>
    </r>
  </si>
  <si>
    <r>
      <t>Asia/Pacific Cruise Guests</t>
    </r>
    <r>
      <rPr>
        <b/>
        <sz val="6.5"/>
        <color rgb="FF000000"/>
        <rFont val="Times New Roman"/>
        <family val="1"/>
      </rPr>
      <t>(2)(6)</t>
    </r>
  </si>
  <si>
    <t>Passenger tickets</t>
  </si>
  <si>
    <t>Onboard extras</t>
  </si>
  <si>
    <t>Revenue</t>
  </si>
  <si>
    <t>Onboard extras opex</t>
  </si>
  <si>
    <t>Commissions, transport, etc opex</t>
  </si>
  <si>
    <t>Payroll</t>
  </si>
  <si>
    <t>Food</t>
  </si>
  <si>
    <t>Fuel</t>
  </si>
  <si>
    <t>Other operating</t>
  </si>
  <si>
    <t xml:space="preserve">  COGS</t>
  </si>
  <si>
    <t>SG&amp;A</t>
  </si>
  <si>
    <t>Gross income</t>
  </si>
  <si>
    <t>Depr &amp; Amortization</t>
  </si>
  <si>
    <t>Impairments and other</t>
  </si>
  <si>
    <t>Operating income</t>
  </si>
  <si>
    <t>Interest income</t>
  </si>
  <si>
    <t>Other income</t>
  </si>
  <si>
    <t xml:space="preserve">  EBT</t>
  </si>
  <si>
    <t>Net income</t>
  </si>
  <si>
    <t>EPS</t>
  </si>
  <si>
    <t>Tax expense</t>
  </si>
  <si>
    <t>PPE</t>
  </si>
  <si>
    <t>CF to debt repayment</t>
  </si>
  <si>
    <t>CF Issuance of commercial paper</t>
  </si>
  <si>
    <t xml:space="preserve">Net CF debt repayment </t>
  </si>
  <si>
    <t>Net cash</t>
  </si>
  <si>
    <t>Tax expense YTD</t>
  </si>
  <si>
    <t>combined fleet of 64 ships as of September 30, 2022</t>
  </si>
  <si>
    <t>full fleet in service by June 2022.</t>
  </si>
  <si>
    <t>10K</t>
  </si>
  <si>
    <t>10Q</t>
  </si>
  <si>
    <t>Year</t>
  </si>
  <si>
    <t>As of September 30, 2022 (1)</t>
  </si>
  <si>
    <t>Remainder of 2022</t>
  </si>
  <si>
    <t>589,222 </t>
  </si>
  <si>
    <t>2023 (2)</t>
  </si>
  <si>
    <t>4,062,005 </t>
  </si>
  <si>
    <t>4,063,513 </t>
  </si>
  <si>
    <t>3,617,022 </t>
  </si>
  <si>
    <t>2,706,650 </t>
  </si>
  <si>
    <t>Thereafter</t>
  </si>
  <si>
    <t>8,290,959 </t>
  </si>
  <si>
    <t>Debt schedule</t>
  </si>
  <si>
    <t>*9mo 2022</t>
  </si>
  <si>
    <t>Number of berths</t>
  </si>
  <si>
    <t>Gross margin</t>
  </si>
  <si>
    <t>Operating margin</t>
  </si>
  <si>
    <t>Employment cost index</t>
  </si>
  <si>
    <t>u</t>
  </si>
  <si>
    <t>Payroll inflation+growth rate</t>
  </si>
  <si>
    <t>Approx gas price</t>
  </si>
  <si>
    <t>Gas inflation+growth rate</t>
  </si>
  <si>
    <t>Food inflation+growth rate</t>
  </si>
  <si>
    <t>CPI less Food&amp;Energy rate</t>
  </si>
  <si>
    <t>General opcost growth rate</t>
  </si>
  <si>
    <t>SG&amp;A %rev</t>
  </si>
  <si>
    <t>D&amp;A %rev</t>
  </si>
  <si>
    <t>D&amp;A %PPE</t>
  </si>
  <si>
    <t>Payroll %rev</t>
  </si>
  <si>
    <t>Food %rev</t>
  </si>
  <si>
    <t>Fuel %rev</t>
  </si>
  <si>
    <t>Interest rate</t>
  </si>
  <si>
    <t>Tax rate</t>
  </si>
  <si>
    <t>Issues a lot of short term debt/commercial paper  each year - this is a very big risk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</si>
</sst>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8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6.5"/>
      <color rgb="FF000000"/>
      <name val="Times New Roman"/>
      <family val="1"/>
    </font>
    <font>
      <sz val="10"/>
      <color rgb="FF000000"/>
      <name val="Times New Roman"/>
      <family val="1"/>
    </font>
    <font>
      <sz val="14"/>
      <color rgb="FF000000"/>
      <name val="Times New Roman"/>
      <family val="1"/>
    </font>
    <font>
      <sz val="9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EEFF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4" fillId="2" borderId="0" xfId="0" applyFont="1" applyFill="1" applyAlignment="1">
      <alignment horizontal="center" wrapText="1"/>
    </xf>
    <xf numFmtId="3" fontId="4" fillId="2" borderId="0" xfId="0" applyNumberFormat="1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3" fontId="4" fillId="3" borderId="0" xfId="0" applyNumberFormat="1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3" fontId="4" fillId="0" borderId="0" xfId="0" applyNumberFormat="1" applyFont="1" applyAlignment="1">
      <alignment horizontal="center" wrapText="1"/>
    </xf>
    <xf numFmtId="0" fontId="1" fillId="0" borderId="0" xfId="0" applyFont="1"/>
    <xf numFmtId="3" fontId="1" fillId="0" borderId="0" xfId="0" applyNumberFormat="1" applyFont="1"/>
    <xf numFmtId="3" fontId="0" fillId="0" borderId="0" xfId="0" applyNumberFormat="1" applyFont="1"/>
    <xf numFmtId="8" fontId="0" fillId="0" borderId="0" xfId="0" applyNumberFormat="1" applyFont="1"/>
    <xf numFmtId="8" fontId="0" fillId="0" borderId="0" xfId="0" applyNumberFormat="1"/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2" borderId="0" xfId="0" applyFill="1" applyAlignment="1">
      <alignment horizontal="right" wrapText="1"/>
    </xf>
    <xf numFmtId="0" fontId="4" fillId="2" borderId="0" xfId="0" applyFont="1" applyFill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4" fillId="3" borderId="0" xfId="0" applyFont="1" applyFill="1" applyAlignment="1">
      <alignment horizontal="left" wrapText="1"/>
    </xf>
    <xf numFmtId="0" fontId="6" fillId="3" borderId="1" xfId="0" applyFont="1" applyFill="1" applyBorder="1" applyAlignment="1">
      <alignment horizontal="right" wrapText="1"/>
    </xf>
    <xf numFmtId="0" fontId="6" fillId="2" borderId="0" xfId="0" applyFont="1" applyFill="1" applyAlignment="1">
      <alignment horizontal="right" wrapText="1"/>
    </xf>
    <xf numFmtId="0" fontId="6" fillId="3" borderId="0" xfId="0" applyFont="1" applyFill="1" applyAlignment="1">
      <alignment horizontal="right" wrapText="1"/>
    </xf>
    <xf numFmtId="0" fontId="6" fillId="2" borderId="3" xfId="0" applyFont="1" applyFill="1" applyBorder="1" applyAlignment="1">
      <alignment horizontal="right" wrapText="1"/>
    </xf>
    <xf numFmtId="0" fontId="0" fillId="3" borderId="0" xfId="0" applyFill="1" applyAlignment="1">
      <alignment vertical="center" wrapText="1"/>
    </xf>
    <xf numFmtId="3" fontId="4" fillId="3" borderId="2" xfId="0" applyNumberFormat="1" applyFont="1" applyFill="1" applyBorder="1" applyAlignment="1">
      <alignment horizontal="right" wrapText="1"/>
    </xf>
    <xf numFmtId="0" fontId="0" fillId="0" borderId="0" xfId="0" applyAlignment="1">
      <alignment vertical="center"/>
    </xf>
    <xf numFmtId="9" fontId="0" fillId="0" borderId="0" xfId="0" applyNumberFormat="1"/>
    <xf numFmtId="168" fontId="1" fillId="0" borderId="0" xfId="0" applyNumberFormat="1" applyFont="1"/>
    <xf numFmtId="168" fontId="0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62948</xdr:rowOff>
    </xdr:from>
    <xdr:to>
      <xdr:col>22</xdr:col>
      <xdr:colOff>9525</xdr:colOff>
      <xdr:row>62</xdr:row>
      <xdr:rowOff>107674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41FF2C-7A02-A688-44AC-9A20A2BC341C}"/>
            </a:ext>
          </a:extLst>
        </xdr:cNvPr>
        <xdr:cNvCxnSpPr/>
      </xdr:nvCxnSpPr>
      <xdr:spPr>
        <a:xfrm flipH="1">
          <a:off x="14950109" y="62948"/>
          <a:ext cx="9525" cy="88077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19050</xdr:colOff>
      <xdr:row>0</xdr:row>
      <xdr:rowOff>0</xdr:rowOff>
    </xdr:from>
    <xdr:to>
      <xdr:col>33</xdr:col>
      <xdr:colOff>19050</xdr:colOff>
      <xdr:row>25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B0F37C3-A497-43EB-8B50-23417BD53A4C}"/>
            </a:ext>
          </a:extLst>
        </xdr:cNvPr>
        <xdr:cNvCxnSpPr/>
      </xdr:nvCxnSpPr>
      <xdr:spPr>
        <a:xfrm>
          <a:off x="18307050" y="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6B5-2ED0-4ACF-895E-E286D10A7127}">
  <dimension ref="B2:V54"/>
  <sheetViews>
    <sheetView tabSelected="1" workbookViewId="0">
      <selection activeCell="N5" sqref="N5"/>
    </sheetView>
  </sheetViews>
  <sheetFormatPr defaultRowHeight="15" x14ac:dyDescent="0.25"/>
  <cols>
    <col min="14" max="14" width="9.7109375" bestFit="1" customWidth="1"/>
  </cols>
  <sheetData>
    <row r="2" spans="2:15" x14ac:dyDescent="0.25">
      <c r="M2" t="s">
        <v>7</v>
      </c>
      <c r="N2" s="1">
        <v>44972</v>
      </c>
    </row>
    <row r="4" spans="2:15" x14ac:dyDescent="0.25">
      <c r="M4" t="s">
        <v>0</v>
      </c>
      <c r="N4" s="15">
        <v>75.75</v>
      </c>
    </row>
    <row r="5" spans="2:15" s="2" customFormat="1" x14ac:dyDescent="0.25">
      <c r="M5" s="2" t="s">
        <v>1</v>
      </c>
      <c r="N5" s="2">
        <v>255.071</v>
      </c>
    </row>
    <row r="6" spans="2:15" s="2" customFormat="1" x14ac:dyDescent="0.25">
      <c r="M6" s="2" t="s">
        <v>2</v>
      </c>
      <c r="N6" s="2">
        <f>N4*N5</f>
        <v>19321.628250000002</v>
      </c>
    </row>
    <row r="7" spans="2:15" s="2" customFormat="1" x14ac:dyDescent="0.25">
      <c r="M7" s="2" t="s">
        <v>3</v>
      </c>
      <c r="N7" s="2">
        <v>1629.72</v>
      </c>
    </row>
    <row r="8" spans="2:15" s="2" customFormat="1" x14ac:dyDescent="0.25">
      <c r="M8" s="2" t="s">
        <v>4</v>
      </c>
      <c r="N8" s="2">
        <v>24467.615000000002</v>
      </c>
    </row>
    <row r="9" spans="2:15" s="2" customFormat="1" x14ac:dyDescent="0.25">
      <c r="M9" s="2" t="s">
        <v>6</v>
      </c>
      <c r="N9" s="2">
        <f>+N6-N7+N8</f>
        <v>42159.523249999998</v>
      </c>
    </row>
    <row r="10" spans="2:15" s="2" customFormat="1" x14ac:dyDescent="0.25">
      <c r="M10" s="2" t="s">
        <v>5</v>
      </c>
      <c r="N10" s="2">
        <v>5358.1230000000005</v>
      </c>
      <c r="O10" s="2" t="s">
        <v>77</v>
      </c>
    </row>
    <row r="12" spans="2:15" x14ac:dyDescent="0.25">
      <c r="M12" t="s">
        <v>8</v>
      </c>
      <c r="N12" s="2">
        <f>Dash!C4</f>
        <v>17804.335737361998</v>
      </c>
    </row>
    <row r="13" spans="2:15" x14ac:dyDescent="0.25">
      <c r="M13" t="s">
        <v>18</v>
      </c>
      <c r="N13" s="15">
        <f>N12/N5</f>
        <v>69.801489535705741</v>
      </c>
    </row>
    <row r="14" spans="2:15" x14ac:dyDescent="0.25">
      <c r="B14" t="s">
        <v>64</v>
      </c>
    </row>
    <row r="15" spans="2:15" x14ac:dyDescent="0.25">
      <c r="B15" t="s">
        <v>61</v>
      </c>
    </row>
    <row r="16" spans="2:15" x14ac:dyDescent="0.25">
      <c r="B16" t="s">
        <v>62</v>
      </c>
    </row>
    <row r="19" spans="2:22" x14ac:dyDescent="0.25">
      <c r="B19" t="s">
        <v>63</v>
      </c>
    </row>
    <row r="20" spans="2:22" x14ac:dyDescent="0.25">
      <c r="B20" t="s">
        <v>97</v>
      </c>
    </row>
    <row r="25" spans="2:22" x14ac:dyDescent="0.25">
      <c r="B25" t="s">
        <v>78</v>
      </c>
    </row>
    <row r="26" spans="2:22" x14ac:dyDescent="0.25">
      <c r="B26" s="3" t="s">
        <v>21</v>
      </c>
      <c r="C26" s="3"/>
      <c r="D26" s="3"/>
      <c r="E26" s="3" t="s">
        <v>22</v>
      </c>
      <c r="F26" s="3"/>
      <c r="G26" s="3"/>
      <c r="H26" s="3" t="s">
        <v>27</v>
      </c>
      <c r="I26" s="3"/>
      <c r="J26" s="3"/>
      <c r="K26" s="3" t="s">
        <v>28</v>
      </c>
      <c r="L26" s="3"/>
      <c r="M26" s="3"/>
      <c r="N26" s="3" t="s">
        <v>31</v>
      </c>
      <c r="O26" s="3"/>
      <c r="P26" s="3"/>
      <c r="Q26" s="3" t="s">
        <v>32</v>
      </c>
      <c r="R26" s="3"/>
      <c r="S26" s="3"/>
      <c r="T26" s="3" t="s">
        <v>33</v>
      </c>
      <c r="U26" s="3"/>
      <c r="V26" s="3"/>
    </row>
    <row r="27" spans="2:22" x14ac:dyDescent="0.25">
      <c r="B27" s="3"/>
      <c r="C27" s="3"/>
      <c r="D27" s="3"/>
      <c r="E27" s="3" t="s">
        <v>23</v>
      </c>
      <c r="F27" s="3"/>
      <c r="G27" s="3"/>
      <c r="H27" s="3"/>
      <c r="I27" s="3"/>
      <c r="J27" s="3"/>
      <c r="K27" s="3" t="s">
        <v>29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2:22" x14ac:dyDescent="0.25">
      <c r="B28" s="3"/>
      <c r="C28" s="3"/>
      <c r="D28" s="3"/>
      <c r="E28" s="3" t="s">
        <v>24</v>
      </c>
      <c r="F28" s="3"/>
      <c r="G28" s="3"/>
      <c r="H28" s="3"/>
      <c r="I28" s="3"/>
      <c r="J28" s="3"/>
      <c r="K28" s="3" t="s">
        <v>30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2:22" x14ac:dyDescent="0.25">
      <c r="B29" s="3"/>
      <c r="C29" s="3"/>
      <c r="D29" s="3"/>
      <c r="E29" s="3" t="s">
        <v>25</v>
      </c>
      <c r="F29" s="3"/>
      <c r="G29" s="3"/>
      <c r="H29" s="3"/>
      <c r="I29" s="3"/>
      <c r="J29" s="3"/>
      <c r="K29" s="4"/>
      <c r="L29" s="4"/>
      <c r="M29" s="4"/>
      <c r="N29" s="3"/>
      <c r="O29" s="3"/>
      <c r="P29" s="3"/>
      <c r="Q29" s="3"/>
      <c r="R29" s="3"/>
      <c r="S29" s="3"/>
      <c r="T29" s="3"/>
      <c r="U29" s="3"/>
      <c r="V29" s="3"/>
    </row>
    <row r="30" spans="2:22" x14ac:dyDescent="0.25">
      <c r="B30" s="3"/>
      <c r="C30" s="3"/>
      <c r="D30" s="3"/>
      <c r="E30" s="3" t="s">
        <v>26</v>
      </c>
      <c r="F30" s="3"/>
      <c r="G30" s="3"/>
      <c r="H30" s="3"/>
      <c r="I30" s="3"/>
      <c r="J30" s="3"/>
      <c r="K30" s="4"/>
      <c r="L30" s="4"/>
      <c r="M30" s="4"/>
      <c r="N30" s="3"/>
      <c r="O30" s="3"/>
      <c r="P30" s="3"/>
      <c r="Q30" s="3"/>
      <c r="R30" s="3"/>
      <c r="S30" s="3"/>
      <c r="T30" s="3"/>
      <c r="U30" s="3"/>
      <c r="V30" s="3"/>
    </row>
    <row r="31" spans="2:22" x14ac:dyDescent="0.25">
      <c r="B31" s="5">
        <v>2015</v>
      </c>
      <c r="C31" s="5"/>
      <c r="D31" s="5"/>
      <c r="E31" s="6">
        <v>469000</v>
      </c>
      <c r="F31" s="6"/>
      <c r="G31" s="6"/>
      <c r="H31" s="6">
        <v>112700</v>
      </c>
      <c r="I31" s="6"/>
      <c r="J31" s="6"/>
      <c r="K31" s="6">
        <v>23000</v>
      </c>
      <c r="L31" s="6"/>
      <c r="M31" s="6"/>
      <c r="N31" s="6">
        <v>12004</v>
      </c>
      <c r="O31" s="6"/>
      <c r="P31" s="6"/>
      <c r="Q31" s="6">
        <v>6587</v>
      </c>
      <c r="R31" s="6"/>
      <c r="S31" s="6"/>
      <c r="T31" s="6">
        <v>3129</v>
      </c>
      <c r="U31" s="6"/>
      <c r="V31" s="6"/>
    </row>
    <row r="32" spans="2:22" x14ac:dyDescent="0.25">
      <c r="B32" s="7">
        <v>2016</v>
      </c>
      <c r="C32" s="7"/>
      <c r="D32" s="7"/>
      <c r="E32" s="8">
        <v>493000</v>
      </c>
      <c r="F32" s="8"/>
      <c r="G32" s="8"/>
      <c r="H32" s="8">
        <v>123270</v>
      </c>
      <c r="I32" s="8"/>
      <c r="J32" s="8"/>
      <c r="K32" s="8">
        <v>24000</v>
      </c>
      <c r="L32" s="8"/>
      <c r="M32" s="8"/>
      <c r="N32" s="8">
        <v>12274</v>
      </c>
      <c r="O32" s="8"/>
      <c r="P32" s="8"/>
      <c r="Q32" s="8">
        <v>6512</v>
      </c>
      <c r="R32" s="8"/>
      <c r="S32" s="8"/>
      <c r="T32" s="8">
        <v>4466</v>
      </c>
      <c r="U32" s="8"/>
      <c r="V32" s="8"/>
    </row>
    <row r="33" spans="2:22" x14ac:dyDescent="0.25">
      <c r="B33" s="5">
        <v>2017</v>
      </c>
      <c r="C33" s="5"/>
      <c r="D33" s="5"/>
      <c r="E33" s="6">
        <v>515000</v>
      </c>
      <c r="F33" s="6"/>
      <c r="G33" s="6"/>
      <c r="H33" s="6">
        <v>124070</v>
      </c>
      <c r="I33" s="6"/>
      <c r="J33" s="6"/>
      <c r="K33" s="6">
        <v>26700</v>
      </c>
      <c r="L33" s="6"/>
      <c r="M33" s="6"/>
      <c r="N33" s="6">
        <v>12865</v>
      </c>
      <c r="O33" s="6"/>
      <c r="P33" s="6"/>
      <c r="Q33" s="6">
        <v>6779</v>
      </c>
      <c r="R33" s="6"/>
      <c r="S33" s="6"/>
      <c r="T33" s="6">
        <v>5415</v>
      </c>
      <c r="U33" s="6"/>
      <c r="V33" s="6"/>
    </row>
    <row r="34" spans="2:22" x14ac:dyDescent="0.25">
      <c r="B34" s="9">
        <v>2018</v>
      </c>
      <c r="C34" s="9"/>
      <c r="D34" s="9"/>
      <c r="E34" s="10">
        <v>546000</v>
      </c>
      <c r="F34" s="10"/>
      <c r="G34" s="10"/>
      <c r="H34" s="10">
        <v>135520</v>
      </c>
      <c r="I34" s="10"/>
      <c r="J34" s="10"/>
      <c r="K34" s="10">
        <v>28500</v>
      </c>
      <c r="L34" s="10"/>
      <c r="M34" s="10"/>
      <c r="N34" s="10">
        <v>14062</v>
      </c>
      <c r="O34" s="10"/>
      <c r="P34" s="10"/>
      <c r="Q34" s="10">
        <v>7343</v>
      </c>
      <c r="R34" s="10"/>
      <c r="S34" s="10"/>
      <c r="T34" s="10">
        <v>5685</v>
      </c>
      <c r="U34" s="10"/>
      <c r="V34" s="10"/>
    </row>
    <row r="35" spans="2:22" x14ac:dyDescent="0.25">
      <c r="B35" s="5">
        <v>2019</v>
      </c>
      <c r="C35" s="5"/>
      <c r="D35" s="5"/>
      <c r="E35" s="6">
        <v>579000</v>
      </c>
      <c r="F35" s="6"/>
      <c r="G35" s="6"/>
      <c r="H35" s="6">
        <v>141570</v>
      </c>
      <c r="I35" s="6"/>
      <c r="J35" s="6"/>
      <c r="K35" s="6">
        <v>30000</v>
      </c>
      <c r="L35" s="6"/>
      <c r="M35" s="6"/>
      <c r="N35" s="6">
        <v>14246</v>
      </c>
      <c r="O35" s="6"/>
      <c r="P35" s="6"/>
      <c r="Q35" s="6">
        <v>7554</v>
      </c>
      <c r="R35" s="6"/>
      <c r="S35" s="6"/>
      <c r="T35" s="6">
        <v>7317</v>
      </c>
      <c r="U35" s="6"/>
      <c r="V35" s="6"/>
    </row>
    <row r="41" spans="2:22" x14ac:dyDescent="0.25">
      <c r="B41" s="16"/>
    </row>
    <row r="42" spans="2:22" x14ac:dyDescent="0.25">
      <c r="B42" s="17"/>
    </row>
    <row r="44" spans="2:22" ht="18.75" x14ac:dyDescent="0.25">
      <c r="B44" s="18"/>
    </row>
    <row r="45" spans="2:22" x14ac:dyDescent="0.25">
      <c r="B45" s="32" t="s">
        <v>76</v>
      </c>
      <c r="C45" s="19"/>
      <c r="D45" s="19"/>
      <c r="E45" s="19"/>
      <c r="F45" s="19"/>
      <c r="G45" s="19"/>
    </row>
    <row r="46" spans="2:22" ht="15.75" thickBot="1" x14ac:dyDescent="0.3">
      <c r="B46" s="23" t="s">
        <v>65</v>
      </c>
      <c r="C46" s="23"/>
      <c r="D46" s="23"/>
      <c r="E46" s="24" t="s">
        <v>66</v>
      </c>
      <c r="F46" s="24"/>
      <c r="G46" s="24"/>
    </row>
    <row r="47" spans="2:22" x14ac:dyDescent="0.25">
      <c r="B47" s="25" t="s">
        <v>67</v>
      </c>
      <c r="C47" s="25"/>
      <c r="D47" s="25"/>
      <c r="E47" s="26" t="s">
        <v>68</v>
      </c>
      <c r="F47" s="26"/>
      <c r="G47" s="21"/>
    </row>
    <row r="48" spans="2:22" x14ac:dyDescent="0.25">
      <c r="B48" s="23" t="s">
        <v>69</v>
      </c>
      <c r="C48" s="23"/>
      <c r="D48" s="23"/>
      <c r="E48" s="27" t="s">
        <v>70</v>
      </c>
      <c r="F48" s="27"/>
      <c r="G48" s="22"/>
    </row>
    <row r="49" spans="2:7" x14ac:dyDescent="0.25">
      <c r="B49" s="25">
        <v>2024</v>
      </c>
      <c r="C49" s="25"/>
      <c r="D49" s="25"/>
      <c r="E49" s="28" t="s">
        <v>71</v>
      </c>
      <c r="F49" s="28"/>
      <c r="G49" s="20"/>
    </row>
    <row r="50" spans="2:7" x14ac:dyDescent="0.25">
      <c r="B50" s="23">
        <v>2025</v>
      </c>
      <c r="C50" s="23"/>
      <c r="D50" s="23"/>
      <c r="E50" s="27" t="s">
        <v>72</v>
      </c>
      <c r="F50" s="27"/>
      <c r="G50" s="22"/>
    </row>
    <row r="51" spans="2:7" x14ac:dyDescent="0.25">
      <c r="B51" s="25">
        <v>2026</v>
      </c>
      <c r="C51" s="25"/>
      <c r="D51" s="25"/>
      <c r="E51" s="28" t="s">
        <v>73</v>
      </c>
      <c r="F51" s="28"/>
      <c r="G51" s="20"/>
    </row>
    <row r="52" spans="2:7" ht="15.75" thickBot="1" x14ac:dyDescent="0.3">
      <c r="B52" s="23" t="s">
        <v>74</v>
      </c>
      <c r="C52" s="23"/>
      <c r="D52" s="23"/>
      <c r="E52" s="29" t="s">
        <v>75</v>
      </c>
      <c r="F52" s="29"/>
      <c r="G52" s="22"/>
    </row>
    <row r="53" spans="2:7" ht="15.75" thickBot="1" x14ac:dyDescent="0.3">
      <c r="B53" s="30"/>
      <c r="C53" s="30"/>
      <c r="D53" s="30"/>
      <c r="E53" s="31">
        <v>23329371</v>
      </c>
      <c r="F53" s="31"/>
    </row>
    <row r="54" spans="2:7" ht="15.75" thickTop="1" x14ac:dyDescent="0.25"/>
  </sheetData>
  <mergeCells count="66">
    <mergeCell ref="B51:D51"/>
    <mergeCell ref="E51:F51"/>
    <mergeCell ref="B52:D52"/>
    <mergeCell ref="E52:F52"/>
    <mergeCell ref="B53:D53"/>
    <mergeCell ref="E53:F53"/>
    <mergeCell ref="B48:D48"/>
    <mergeCell ref="E48:F48"/>
    <mergeCell ref="B49:D49"/>
    <mergeCell ref="E49:F49"/>
    <mergeCell ref="B50:D50"/>
    <mergeCell ref="E50:F50"/>
    <mergeCell ref="E29:G29"/>
    <mergeCell ref="E30:G30"/>
    <mergeCell ref="B46:D46"/>
    <mergeCell ref="E46:G46"/>
    <mergeCell ref="B47:D47"/>
    <mergeCell ref="E47:F47"/>
    <mergeCell ref="T26:V30"/>
    <mergeCell ref="H26:J30"/>
    <mergeCell ref="K26:M26"/>
    <mergeCell ref="K27:M27"/>
    <mergeCell ref="K28:M28"/>
    <mergeCell ref="K29:M29"/>
    <mergeCell ref="K30:M30"/>
    <mergeCell ref="T35:V35"/>
    <mergeCell ref="B35:D35"/>
    <mergeCell ref="E35:G35"/>
    <mergeCell ref="H35:J35"/>
    <mergeCell ref="K35:M35"/>
    <mergeCell ref="N35:P35"/>
    <mergeCell ref="Q35:S35"/>
    <mergeCell ref="B34:D34"/>
    <mergeCell ref="E34:G34"/>
    <mergeCell ref="H34:J34"/>
    <mergeCell ref="K34:M34"/>
    <mergeCell ref="N34:P34"/>
    <mergeCell ref="Q34:S34"/>
    <mergeCell ref="T34:V34"/>
    <mergeCell ref="T33:V33"/>
    <mergeCell ref="B33:D33"/>
    <mergeCell ref="E33:G33"/>
    <mergeCell ref="H33:J33"/>
    <mergeCell ref="K33:M33"/>
    <mergeCell ref="N33:P33"/>
    <mergeCell ref="Q33:S33"/>
    <mergeCell ref="B32:D32"/>
    <mergeCell ref="E32:G32"/>
    <mergeCell ref="H32:J32"/>
    <mergeCell ref="K32:M32"/>
    <mergeCell ref="N32:P32"/>
    <mergeCell ref="Q32:S32"/>
    <mergeCell ref="T32:V32"/>
    <mergeCell ref="T31:V31"/>
    <mergeCell ref="B31:D31"/>
    <mergeCell ref="E31:G31"/>
    <mergeCell ref="H31:J31"/>
    <mergeCell ref="K31:M31"/>
    <mergeCell ref="N31:P31"/>
    <mergeCell ref="Q31:S31"/>
    <mergeCell ref="N26:P30"/>
    <mergeCell ref="Q26:S30"/>
    <mergeCell ref="B26:D30"/>
    <mergeCell ref="E26:G26"/>
    <mergeCell ref="E27:G27"/>
    <mergeCell ref="E28:G28"/>
  </mergeCells>
  <pageMargins left="0.7" right="0.7" top="0.75" bottom="0.75" header="0.3" footer="0.3"/>
  <pageSetup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2598-A76D-432E-8D6B-EF22B15EDFE4}">
  <dimension ref="A2:DT65"/>
  <sheetViews>
    <sheetView zoomScaleNormal="100" workbookViewId="0">
      <pane xSplit="2" ySplit="2" topLeftCell="O28" activePane="bottomRight" state="frozen"/>
      <selection pane="topRight" activeCell="C1" sqref="C1"/>
      <selection pane="bottomLeft" activeCell="A3" sqref="A3"/>
      <selection pane="bottomRight" activeCell="S25" sqref="S25"/>
    </sheetView>
  </sheetViews>
  <sheetFormatPr defaultRowHeight="15" x14ac:dyDescent="0.25"/>
  <cols>
    <col min="2" max="2" width="31.140625" bestFit="1" customWidth="1"/>
  </cols>
  <sheetData>
    <row r="2" spans="2:124" x14ac:dyDescent="0.25">
      <c r="C2" t="s">
        <v>16</v>
      </c>
      <c r="D2" t="s">
        <v>15</v>
      </c>
      <c r="E2" t="s">
        <v>14</v>
      </c>
      <c r="F2" t="s">
        <v>13</v>
      </c>
      <c r="G2" t="s">
        <v>12</v>
      </c>
      <c r="H2" t="s">
        <v>11</v>
      </c>
      <c r="I2" t="s">
        <v>10</v>
      </c>
      <c r="J2" t="s">
        <v>9</v>
      </c>
      <c r="O2">
        <v>2014</v>
      </c>
      <c r="P2">
        <v>2015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  <c r="AG2">
        <v>2032</v>
      </c>
      <c r="AH2">
        <v>2033</v>
      </c>
      <c r="AI2">
        <v>2034</v>
      </c>
      <c r="AJ2">
        <v>2035</v>
      </c>
      <c r="AK2">
        <v>2036</v>
      </c>
      <c r="AL2">
        <v>2037</v>
      </c>
      <c r="AM2">
        <v>2038</v>
      </c>
      <c r="AN2">
        <v>2039</v>
      </c>
      <c r="AO2">
        <v>2040</v>
      </c>
      <c r="AP2">
        <v>2041</v>
      </c>
      <c r="AQ2">
        <v>2042</v>
      </c>
      <c r="AR2">
        <v>2043</v>
      </c>
      <c r="AS2">
        <v>2044</v>
      </c>
      <c r="AT2">
        <v>2045</v>
      </c>
      <c r="AU2">
        <v>2046</v>
      </c>
      <c r="AV2">
        <v>2047</v>
      </c>
      <c r="AW2">
        <v>2048</v>
      </c>
      <c r="AX2">
        <v>2049</v>
      </c>
      <c r="AY2">
        <v>2050</v>
      </c>
      <c r="AZ2">
        <v>2051</v>
      </c>
      <c r="BA2">
        <v>2052</v>
      </c>
      <c r="BB2">
        <v>2053</v>
      </c>
      <c r="BC2">
        <v>2054</v>
      </c>
      <c r="BD2">
        <v>2055</v>
      </c>
      <c r="BE2">
        <v>2056</v>
      </c>
      <c r="BF2">
        <v>2057</v>
      </c>
      <c r="BG2">
        <v>2058</v>
      </c>
      <c r="BH2">
        <v>2059</v>
      </c>
      <c r="BI2">
        <v>2060</v>
      </c>
      <c r="BJ2">
        <v>2061</v>
      </c>
      <c r="BK2">
        <v>2062</v>
      </c>
      <c r="BL2">
        <v>2063</v>
      </c>
      <c r="BM2">
        <v>2064</v>
      </c>
      <c r="BN2">
        <v>2065</v>
      </c>
      <c r="BO2">
        <v>2066</v>
      </c>
      <c r="BP2">
        <v>2067</v>
      </c>
      <c r="BQ2">
        <v>2068</v>
      </c>
      <c r="BR2">
        <v>2069</v>
      </c>
      <c r="BS2">
        <v>2070</v>
      </c>
      <c r="BT2">
        <v>2071</v>
      </c>
      <c r="BU2">
        <v>2072</v>
      </c>
      <c r="BV2">
        <v>2073</v>
      </c>
      <c r="BW2">
        <v>2074</v>
      </c>
      <c r="BX2">
        <v>2075</v>
      </c>
      <c r="BY2">
        <v>2076</v>
      </c>
      <c r="BZ2">
        <v>2077</v>
      </c>
      <c r="CA2">
        <v>2078</v>
      </c>
      <c r="CB2">
        <v>2079</v>
      </c>
      <c r="CC2">
        <v>2080</v>
      </c>
      <c r="CD2">
        <v>2081</v>
      </c>
      <c r="CE2">
        <v>2082</v>
      </c>
      <c r="CF2">
        <v>2083</v>
      </c>
      <c r="CG2">
        <v>2084</v>
      </c>
      <c r="CH2">
        <v>2085</v>
      </c>
      <c r="CI2">
        <v>2086</v>
      </c>
      <c r="CJ2">
        <v>2087</v>
      </c>
      <c r="CK2">
        <v>2088</v>
      </c>
      <c r="CL2">
        <v>2089</v>
      </c>
      <c r="CM2">
        <v>2090</v>
      </c>
      <c r="CN2">
        <v>2091</v>
      </c>
      <c r="CO2">
        <v>2092</v>
      </c>
      <c r="CP2">
        <v>2093</v>
      </c>
      <c r="CQ2">
        <v>2094</v>
      </c>
      <c r="CR2">
        <v>2095</v>
      </c>
      <c r="CS2">
        <v>2096</v>
      </c>
      <c r="CT2">
        <v>2097</v>
      </c>
      <c r="CU2">
        <v>2098</v>
      </c>
      <c r="CV2">
        <v>2099</v>
      </c>
      <c r="CW2">
        <v>2100</v>
      </c>
      <c r="CX2">
        <v>2101</v>
      </c>
      <c r="CY2">
        <v>2102</v>
      </c>
      <c r="CZ2">
        <v>2103</v>
      </c>
      <c r="DA2">
        <v>2104</v>
      </c>
      <c r="DB2">
        <v>2105</v>
      </c>
      <c r="DC2">
        <v>2106</v>
      </c>
      <c r="DD2">
        <v>2107</v>
      </c>
      <c r="DE2">
        <v>2108</v>
      </c>
      <c r="DF2">
        <v>2109</v>
      </c>
      <c r="DG2">
        <v>2110</v>
      </c>
      <c r="DH2">
        <v>2111</v>
      </c>
      <c r="DI2">
        <v>2112</v>
      </c>
      <c r="DJ2">
        <v>2113</v>
      </c>
      <c r="DK2">
        <v>2114</v>
      </c>
      <c r="DL2">
        <v>2115</v>
      </c>
      <c r="DM2">
        <v>2116</v>
      </c>
      <c r="DN2">
        <v>2117</v>
      </c>
      <c r="DO2">
        <v>2118</v>
      </c>
      <c r="DP2">
        <v>2119</v>
      </c>
      <c r="DQ2">
        <v>2120</v>
      </c>
      <c r="DR2">
        <v>2121</v>
      </c>
      <c r="DS2">
        <v>2122</v>
      </c>
      <c r="DT2">
        <v>2123</v>
      </c>
    </row>
    <row r="3" spans="2:124" s="2" customFormat="1" x14ac:dyDescent="0.25">
      <c r="B3" s="2" t="s">
        <v>34</v>
      </c>
      <c r="C3" s="2">
        <v>20.844000000000001</v>
      </c>
      <c r="D3" s="2">
        <v>22.8</v>
      </c>
      <c r="E3" s="2">
        <v>280.15300000000002</v>
      </c>
      <c r="F3" s="2">
        <f>V3-E3-D3-C3</f>
        <v>617.40300000000002</v>
      </c>
      <c r="G3" s="2">
        <v>651.85799999999995</v>
      </c>
      <c r="H3" s="2">
        <v>1418.2</v>
      </c>
      <c r="I3" s="2">
        <v>2020.97</v>
      </c>
      <c r="O3" s="2">
        <v>5893.8469999999998</v>
      </c>
      <c r="P3" s="2">
        <v>6058.82</v>
      </c>
      <c r="Q3" s="2">
        <v>6149.32</v>
      </c>
      <c r="R3" s="2">
        <v>6313.17</v>
      </c>
      <c r="S3" s="2">
        <v>6792.7</v>
      </c>
      <c r="T3" s="2">
        <v>7857.0569999999998</v>
      </c>
      <c r="U3" s="2">
        <v>1504.569</v>
      </c>
      <c r="V3" s="2">
        <v>941.2</v>
      </c>
      <c r="W3" s="2">
        <f>G3+H3+I3+I3</f>
        <v>6111.9980000000005</v>
      </c>
    </row>
    <row r="4" spans="2:124" s="2" customFormat="1" x14ac:dyDescent="0.25">
      <c r="B4" s="2" t="s">
        <v>35</v>
      </c>
      <c r="C4" s="2">
        <v>21.17</v>
      </c>
      <c r="D4" s="2">
        <v>28.1</v>
      </c>
      <c r="E4" s="2">
        <v>176.80500000000001</v>
      </c>
      <c r="F4" s="2">
        <f>V4-E4-D4-C4</f>
        <v>364.875</v>
      </c>
      <c r="G4" s="2">
        <v>407.37</v>
      </c>
      <c r="H4" s="2">
        <v>766</v>
      </c>
      <c r="I4" s="2">
        <v>972.1</v>
      </c>
      <c r="O4" s="2">
        <v>2180</v>
      </c>
      <c r="P4" s="2">
        <v>2240.25</v>
      </c>
      <c r="Q4" s="2">
        <v>2347.1</v>
      </c>
      <c r="R4" s="2">
        <v>2464.6999999999998</v>
      </c>
      <c r="S4" s="2">
        <v>2701.13</v>
      </c>
      <c r="T4" s="2">
        <v>3093.6</v>
      </c>
      <c r="U4" s="2">
        <v>704.23599999999999</v>
      </c>
      <c r="V4" s="2">
        <v>590.95000000000005</v>
      </c>
      <c r="W4" s="2">
        <f>G4+H4+I4+I4</f>
        <v>3117.5699999999997</v>
      </c>
    </row>
    <row r="5" spans="2:124" s="12" customFormat="1" x14ac:dyDescent="0.25">
      <c r="B5" s="12" t="s">
        <v>36</v>
      </c>
      <c r="C5" s="12">
        <f t="shared" ref="C5:U5" si="0">+C4+C3</f>
        <v>42.014000000000003</v>
      </c>
      <c r="D5" s="12">
        <f t="shared" si="0"/>
        <v>50.900000000000006</v>
      </c>
      <c r="E5" s="12">
        <f t="shared" si="0"/>
        <v>456.95800000000003</v>
      </c>
      <c r="F5" s="12">
        <f t="shared" si="0"/>
        <v>982.27800000000002</v>
      </c>
      <c r="G5" s="12">
        <f t="shared" si="0"/>
        <v>1059.2280000000001</v>
      </c>
      <c r="H5" s="12">
        <f t="shared" si="0"/>
        <v>2184.1999999999998</v>
      </c>
      <c r="I5" s="12">
        <f t="shared" si="0"/>
        <v>2993.07</v>
      </c>
      <c r="J5" s="12">
        <f t="shared" si="0"/>
        <v>0</v>
      </c>
      <c r="O5" s="12">
        <f t="shared" si="0"/>
        <v>8073.8469999999998</v>
      </c>
      <c r="P5" s="12">
        <f t="shared" si="0"/>
        <v>8299.07</v>
      </c>
      <c r="Q5" s="12">
        <f t="shared" si="0"/>
        <v>8496.42</v>
      </c>
      <c r="R5" s="12">
        <f t="shared" si="0"/>
        <v>8777.869999999999</v>
      </c>
      <c r="S5" s="12">
        <f t="shared" si="0"/>
        <v>9493.83</v>
      </c>
      <c r="T5" s="12">
        <f t="shared" si="0"/>
        <v>10950.656999999999</v>
      </c>
      <c r="U5" s="12">
        <f t="shared" si="0"/>
        <v>2208.8049999999998</v>
      </c>
      <c r="V5" s="12">
        <f>+V4+V3</f>
        <v>1532.15</v>
      </c>
      <c r="W5" s="12">
        <f t="shared" ref="W5" si="1">+W4+W3</f>
        <v>9229.5679999999993</v>
      </c>
      <c r="X5" s="12">
        <f>W5+(-$W$5+$Z$5)/2</f>
        <v>11517.757184644492</v>
      </c>
      <c r="Y5" s="12">
        <f>T5*(1+U64)*(1+V64)*(1+W64)*(1+X64)*(1+Y64)</f>
        <v>13416.857501738568</v>
      </c>
      <c r="Z5" s="12">
        <f>T5*(1+U64)*(1+V64)*(1+W64)*(1+X64)*(1+Y64)*(1+Z64+Z65)</f>
        <v>13805.946369288986</v>
      </c>
      <c r="AA5" s="12">
        <f>Z5*(1+AA38)</f>
        <v>14358.184224060546</v>
      </c>
      <c r="AB5" s="12">
        <f t="shared" ref="AB5:AG5" si="2">AA5*(1+AB38)</f>
        <v>14932.511593022968</v>
      </c>
      <c r="AC5" s="12">
        <f t="shared" si="2"/>
        <v>15380.486940813656</v>
      </c>
      <c r="AD5" s="12">
        <f t="shared" si="2"/>
        <v>15841.901549038066</v>
      </c>
      <c r="AE5" s="12">
        <f t="shared" si="2"/>
        <v>16317.158595509209</v>
      </c>
      <c r="AF5" s="12">
        <f t="shared" si="2"/>
        <v>16806.673353374485</v>
      </c>
      <c r="AG5" s="12">
        <f t="shared" si="2"/>
        <v>17310.873553975718</v>
      </c>
    </row>
    <row r="6" spans="2:124" s="2" customFormat="1" x14ac:dyDescent="0.25">
      <c r="B6" s="2" t="s">
        <v>38</v>
      </c>
      <c r="C6" s="2">
        <v>2.95</v>
      </c>
      <c r="D6" s="2">
        <v>5.2</v>
      </c>
      <c r="E6" s="2">
        <v>64.78</v>
      </c>
      <c r="F6" s="2">
        <f t="shared" ref="F6:F11" si="3">V6-E6-D6-C6</f>
        <v>134.63200000000003</v>
      </c>
      <c r="G6" s="2">
        <v>150.34</v>
      </c>
      <c r="H6" s="2">
        <v>329.9</v>
      </c>
      <c r="I6" s="2">
        <v>484.05</v>
      </c>
      <c r="O6" s="2">
        <v>1372.8</v>
      </c>
      <c r="P6" s="2">
        <v>1400.8</v>
      </c>
      <c r="Q6" s="2">
        <v>1349.6769999999999</v>
      </c>
      <c r="R6" s="2">
        <v>1363.17</v>
      </c>
      <c r="S6" s="2">
        <v>1433.74</v>
      </c>
      <c r="T6" s="2">
        <v>1656.3</v>
      </c>
      <c r="U6" s="2">
        <v>344.6</v>
      </c>
      <c r="V6" s="2">
        <v>207.56200000000001</v>
      </c>
      <c r="W6" s="2">
        <f t="shared" ref="W6:W11" si="4">G6+H6+I6+I6</f>
        <v>1448.34</v>
      </c>
      <c r="X6" s="2">
        <f>(W6+Y6)/2</f>
        <v>1738.8278913086947</v>
      </c>
      <c r="Y6" s="2">
        <f>T6*(1+U64)*(1+V64)*(1+W64)*(1+X64)*(1+Y64)</f>
        <v>2029.3157826173895</v>
      </c>
      <c r="Z6" s="2">
        <f>Y6*(1+Z64+Z65)</f>
        <v>2088.1659403132935</v>
      </c>
      <c r="AA6" s="2">
        <f t="shared" ref="AA6:AG6" si="5">Z6*(1+AA64+AA65)</f>
        <v>2150.8109185226917</v>
      </c>
      <c r="AB6" s="2">
        <f t="shared" si="5"/>
        <v>2215.3352460783722</v>
      </c>
      <c r="AC6" s="2">
        <f t="shared" si="5"/>
        <v>2281.7953034607231</v>
      </c>
      <c r="AD6" s="2">
        <f t="shared" si="5"/>
        <v>2354.8127531714658</v>
      </c>
      <c r="AE6" s="2">
        <f t="shared" si="5"/>
        <v>2430.1667612729525</v>
      </c>
      <c r="AF6" s="2">
        <f t="shared" si="5"/>
        <v>2507.9320976336867</v>
      </c>
      <c r="AG6" s="2">
        <f t="shared" si="5"/>
        <v>2507.9320976336867</v>
      </c>
    </row>
    <row r="7" spans="2:124" s="2" customFormat="1" x14ac:dyDescent="0.25">
      <c r="B7" s="2" t="s">
        <v>37</v>
      </c>
      <c r="C7" s="2">
        <v>4.5</v>
      </c>
      <c r="D7" s="2">
        <v>8.6</v>
      </c>
      <c r="E7" s="2">
        <v>42.7</v>
      </c>
      <c r="F7" s="2">
        <f t="shared" si="3"/>
        <v>61.150000000000006</v>
      </c>
      <c r="G7" s="2">
        <v>74.44</v>
      </c>
      <c r="H7" s="2">
        <v>155.6</v>
      </c>
      <c r="I7" s="2">
        <v>220.21600000000001</v>
      </c>
      <c r="O7" s="2">
        <v>582.75</v>
      </c>
      <c r="P7" s="2">
        <v>553.1</v>
      </c>
      <c r="Q7" s="2">
        <v>493.55</v>
      </c>
      <c r="R7" s="2">
        <v>495.55</v>
      </c>
      <c r="S7" s="2">
        <v>537.4</v>
      </c>
      <c r="T7" s="2">
        <v>639.79999999999995</v>
      </c>
      <c r="U7" s="2">
        <v>157.19999999999999</v>
      </c>
      <c r="V7" s="2">
        <v>116.95</v>
      </c>
      <c r="W7" s="2">
        <f t="shared" si="4"/>
        <v>670.47199999999998</v>
      </c>
      <c r="X7" s="2">
        <f t="shared" ref="X7:X11" si="6">(W7+Y7)/2</f>
        <v>727.1807677711181</v>
      </c>
      <c r="Y7" s="2">
        <f>T7*(1+U64)*(1+V64)*(1+W64)*(1+X64)*(1+Y64)</f>
        <v>783.8895355422361</v>
      </c>
      <c r="Z7" s="2">
        <f>Y7*(1+Z64+Z65)</f>
        <v>806.62233207296083</v>
      </c>
      <c r="AA7" s="2">
        <f t="shared" ref="AA7:AG7" si="7">Z7*(1+AA64+AA65)</f>
        <v>830.82100203514949</v>
      </c>
      <c r="AB7" s="2">
        <f t="shared" si="7"/>
        <v>855.74563209620385</v>
      </c>
      <c r="AC7" s="2">
        <f t="shared" si="7"/>
        <v>881.41800105908976</v>
      </c>
      <c r="AD7" s="2">
        <f t="shared" si="7"/>
        <v>909.62337709298049</v>
      </c>
      <c r="AE7" s="2">
        <f t="shared" si="7"/>
        <v>938.73132515995565</v>
      </c>
      <c r="AF7" s="2">
        <f t="shared" si="7"/>
        <v>968.77072756507403</v>
      </c>
      <c r="AG7" s="2">
        <f t="shared" si="7"/>
        <v>968.77072756507403</v>
      </c>
    </row>
    <row r="8" spans="2:124" s="2" customFormat="1" x14ac:dyDescent="0.25">
      <c r="B8" s="2" t="s">
        <v>39</v>
      </c>
      <c r="C8" s="2">
        <v>96.64</v>
      </c>
      <c r="D8" s="2">
        <v>167.6</v>
      </c>
      <c r="E8" s="2">
        <v>265.97000000000003</v>
      </c>
      <c r="F8" s="2">
        <f t="shared" si="3"/>
        <v>307.87</v>
      </c>
      <c r="G8" s="2">
        <v>349.61799999999999</v>
      </c>
      <c r="H8" s="2">
        <v>327.10000000000002</v>
      </c>
      <c r="I8" s="2">
        <v>304.37</v>
      </c>
      <c r="O8" s="2">
        <v>847.64</v>
      </c>
      <c r="P8" s="2">
        <v>861.77</v>
      </c>
      <c r="Q8" s="2">
        <v>882.89</v>
      </c>
      <c r="R8" s="2">
        <v>852.99</v>
      </c>
      <c r="S8" s="2">
        <v>924.99</v>
      </c>
      <c r="T8" s="2">
        <v>1079.1199999999999</v>
      </c>
      <c r="U8" s="2">
        <v>788.3</v>
      </c>
      <c r="V8" s="2">
        <v>838.08</v>
      </c>
      <c r="W8" s="2">
        <f t="shared" si="4"/>
        <v>1285.4580000000001</v>
      </c>
      <c r="X8" s="2">
        <f t="shared" si="6"/>
        <v>1340.4168026196185</v>
      </c>
      <c r="Y8" s="2">
        <f>T8*(1+U57)*(1+V57)*(1+W57)*(1+X57)*(1+Y57)</f>
        <v>1395.3756052392366</v>
      </c>
      <c r="Z8" s="2">
        <f>Y8*(1+Z57)</f>
        <v>1434.4461221859353</v>
      </c>
      <c r="AA8" s="2">
        <f t="shared" ref="AA8:AG8" si="8">Z8*(1+AA57)</f>
        <v>1474.6106136071417</v>
      </c>
      <c r="AB8" s="2">
        <f t="shared" si="8"/>
        <v>1515.8997107881416</v>
      </c>
      <c r="AC8" s="2">
        <f t="shared" si="8"/>
        <v>1558.3449026902097</v>
      </c>
      <c r="AD8" s="2">
        <f t="shared" si="8"/>
        <v>1601.9785599655356</v>
      </c>
      <c r="AE8" s="2">
        <f t="shared" si="8"/>
        <v>1646.8339596445708</v>
      </c>
      <c r="AF8" s="2">
        <f t="shared" si="8"/>
        <v>1692.9453105146188</v>
      </c>
      <c r="AG8" s="2">
        <f t="shared" si="8"/>
        <v>1692.9453105146188</v>
      </c>
    </row>
    <row r="9" spans="2:124" s="2" customFormat="1" x14ac:dyDescent="0.25">
      <c r="B9" s="2" t="s">
        <v>40</v>
      </c>
      <c r="C9" s="2">
        <v>8.5</v>
      </c>
      <c r="D9" s="2">
        <v>17.2</v>
      </c>
      <c r="E9" s="2">
        <v>48.95</v>
      </c>
      <c r="F9" s="2">
        <f t="shared" si="3"/>
        <v>89.75</v>
      </c>
      <c r="G9" s="2">
        <v>100.18</v>
      </c>
      <c r="H9" s="2">
        <v>155.19999999999999</v>
      </c>
      <c r="I9" s="2">
        <v>194.96</v>
      </c>
      <c r="O9" s="2">
        <v>478.13</v>
      </c>
      <c r="P9" s="2">
        <v>480</v>
      </c>
      <c r="Q9" s="2">
        <v>485.67</v>
      </c>
      <c r="R9" s="2">
        <v>492.85</v>
      </c>
      <c r="S9" s="2">
        <v>520.9</v>
      </c>
      <c r="T9" s="2">
        <v>583.9</v>
      </c>
      <c r="U9" s="2">
        <v>161.80000000000001</v>
      </c>
      <c r="V9" s="2">
        <v>164.4</v>
      </c>
      <c r="W9" s="2">
        <f t="shared" si="4"/>
        <v>645.30000000000007</v>
      </c>
      <c r="X9" s="2">
        <f t="shared" si="6"/>
        <v>706.16718449514974</v>
      </c>
      <c r="Y9" s="2">
        <f>T9*(1+U59)*(1+V59)*(1+W59)*(1+X59)*(1+Y59)</f>
        <v>767.03436899029941</v>
      </c>
      <c r="Z9" s="2">
        <f>Y9*(1+Z59)</f>
        <v>789.27836569101805</v>
      </c>
      <c r="AA9" s="2">
        <f t="shared" ref="AA9:AG9" si="9">Z9*(1+AA59)</f>
        <v>812.16743829605753</v>
      </c>
      <c r="AB9" s="2">
        <f t="shared" si="9"/>
        <v>835.72029400664314</v>
      </c>
      <c r="AC9" s="2">
        <f t="shared" si="9"/>
        <v>859.95618253283567</v>
      </c>
      <c r="AD9" s="2">
        <f t="shared" si="9"/>
        <v>884.89491182628785</v>
      </c>
      <c r="AE9" s="2">
        <f t="shared" si="9"/>
        <v>910.55686426925013</v>
      </c>
      <c r="AF9" s="2">
        <f t="shared" si="9"/>
        <v>936.96301333305826</v>
      </c>
      <c r="AG9" s="2">
        <f t="shared" si="9"/>
        <v>936.96301333305826</v>
      </c>
    </row>
    <row r="10" spans="2:124" s="2" customFormat="1" x14ac:dyDescent="0.25">
      <c r="B10" s="2" t="s">
        <v>41</v>
      </c>
      <c r="C10" s="2">
        <v>41.8</v>
      </c>
      <c r="D10" s="2">
        <v>59.1</v>
      </c>
      <c r="E10" s="2">
        <v>118.12</v>
      </c>
      <c r="F10" s="2">
        <f t="shared" si="3"/>
        <v>166.28000000000003</v>
      </c>
      <c r="G10" s="2">
        <v>188.48</v>
      </c>
      <c r="H10" s="2">
        <v>275.2</v>
      </c>
      <c r="I10" s="2">
        <v>316.2</v>
      </c>
      <c r="O10" s="2">
        <v>947.39</v>
      </c>
      <c r="P10" s="2">
        <v>795.8</v>
      </c>
      <c r="Q10" s="2">
        <v>713.67</v>
      </c>
      <c r="R10" s="2">
        <v>681.11</v>
      </c>
      <c r="S10" s="2">
        <v>710.6</v>
      </c>
      <c r="T10" s="2">
        <v>697.96</v>
      </c>
      <c r="U10" s="2">
        <v>371.01</v>
      </c>
      <c r="V10" s="2">
        <v>385.3</v>
      </c>
      <c r="W10" s="2">
        <f t="shared" si="4"/>
        <v>1096.08</v>
      </c>
      <c r="X10" s="2">
        <f t="shared" si="6"/>
        <v>1190.1632</v>
      </c>
      <c r="Y10" s="2">
        <f>T10*(1+U62)*(1+V62)*(1+W62)*(1+X62)*(1+Y62)</f>
        <v>1284.2464</v>
      </c>
      <c r="Z10" s="2">
        <f>Y10*(1+Z62)</f>
        <v>1320.2052992000001</v>
      </c>
      <c r="AA10" s="2">
        <f t="shared" ref="AA10:AG10" si="10">Z10*(1+AA62)</f>
        <v>1357.1710475776001</v>
      </c>
      <c r="AB10" s="2">
        <f t="shared" si="10"/>
        <v>1401.9576921476607</v>
      </c>
      <c r="AC10" s="2">
        <f t="shared" si="10"/>
        <v>1448.2222959885335</v>
      </c>
      <c r="AD10" s="2">
        <f t="shared" si="10"/>
        <v>1503.2547432360977</v>
      </c>
      <c r="AE10" s="2">
        <f t="shared" si="10"/>
        <v>1560.3784234790694</v>
      </c>
      <c r="AF10" s="2">
        <f t="shared" si="10"/>
        <v>1619.672803571274</v>
      </c>
      <c r="AG10" s="2">
        <f t="shared" si="10"/>
        <v>1619.672803571274</v>
      </c>
    </row>
    <row r="11" spans="2:124" s="2" customFormat="1" x14ac:dyDescent="0.25">
      <c r="B11" s="2" t="s">
        <v>42</v>
      </c>
      <c r="C11" s="2">
        <v>129.1</v>
      </c>
      <c r="D11" s="2">
        <v>167.1</v>
      </c>
      <c r="E11" s="2">
        <v>273.14999999999998</v>
      </c>
      <c r="F11" s="2">
        <f t="shared" si="3"/>
        <v>375.85</v>
      </c>
      <c r="G11" s="2">
        <v>321.7</v>
      </c>
      <c r="H11" s="2">
        <v>447.88</v>
      </c>
      <c r="I11" s="2">
        <v>436.44</v>
      </c>
      <c r="O11" s="2">
        <v>1077.5999999999999</v>
      </c>
      <c r="P11" s="2">
        <v>1007.9</v>
      </c>
      <c r="Q11" s="2">
        <v>1090.06</v>
      </c>
      <c r="R11" s="2">
        <v>1010.8</v>
      </c>
      <c r="S11" s="2">
        <v>1134.5999999999999</v>
      </c>
      <c r="T11" s="2">
        <v>1405.7</v>
      </c>
      <c r="U11" s="2">
        <v>942.23</v>
      </c>
      <c r="V11" s="2">
        <v>945.2</v>
      </c>
      <c r="W11" s="2">
        <f t="shared" si="4"/>
        <v>1642.46</v>
      </c>
      <c r="X11" s="2">
        <f t="shared" si="6"/>
        <v>1682.369043538388</v>
      </c>
      <c r="Y11" s="2">
        <f>T11*(1+U64)*(1+V64)*(1+W64)*(1+X64)*(1+Y64)</f>
        <v>1722.278087076776</v>
      </c>
      <c r="Z11" s="2">
        <f>Y11*(1+Z64+Z65)</f>
        <v>1772.2241516020024</v>
      </c>
      <c r="AA11" s="2">
        <f t="shared" ref="AA11:AG11" si="11">Z11*(1+AA64+AA65)</f>
        <v>1825.390876150062</v>
      </c>
      <c r="AB11" s="2">
        <f t="shared" si="11"/>
        <v>1880.1526024345635</v>
      </c>
      <c r="AC11" s="2">
        <f t="shared" si="11"/>
        <v>1936.5571805076002</v>
      </c>
      <c r="AD11" s="2">
        <f t="shared" si="11"/>
        <v>1998.5270102838431</v>
      </c>
      <c r="AE11" s="2">
        <f t="shared" si="11"/>
        <v>2062.4798746129259</v>
      </c>
      <c r="AF11" s="2">
        <f t="shared" si="11"/>
        <v>2128.4792306005393</v>
      </c>
      <c r="AG11" s="2">
        <f t="shared" si="11"/>
        <v>2128.4792306005393</v>
      </c>
    </row>
    <row r="12" spans="2:124" s="2" customFormat="1" x14ac:dyDescent="0.25">
      <c r="B12" s="2" t="s">
        <v>43</v>
      </c>
      <c r="C12" s="2">
        <f t="shared" ref="C12:U12" si="12">SUM(C6:C11)</f>
        <v>283.49</v>
      </c>
      <c r="D12" s="2">
        <f t="shared" si="12"/>
        <v>424.79999999999995</v>
      </c>
      <c r="E12" s="2">
        <f t="shared" si="12"/>
        <v>813.67</v>
      </c>
      <c r="F12" s="2">
        <f t="shared" si="12"/>
        <v>1135.5320000000002</v>
      </c>
      <c r="G12" s="2">
        <f t="shared" si="12"/>
        <v>1184.758</v>
      </c>
      <c r="H12" s="2">
        <f t="shared" si="12"/>
        <v>1690.88</v>
      </c>
      <c r="I12" s="2">
        <f t="shared" si="12"/>
        <v>1956.2360000000001</v>
      </c>
      <c r="J12" s="2">
        <f t="shared" si="12"/>
        <v>0</v>
      </c>
      <c r="O12" s="2">
        <f t="shared" si="12"/>
        <v>5306.3099999999995</v>
      </c>
      <c r="P12" s="2">
        <f t="shared" si="12"/>
        <v>5099.37</v>
      </c>
      <c r="Q12" s="2">
        <f t="shared" si="12"/>
        <v>5015.5169999999998</v>
      </c>
      <c r="R12" s="2">
        <f t="shared" si="12"/>
        <v>4896.47</v>
      </c>
      <c r="S12" s="2">
        <f t="shared" si="12"/>
        <v>5262.23</v>
      </c>
      <c r="T12" s="2">
        <f t="shared" si="12"/>
        <v>6062.78</v>
      </c>
      <c r="U12" s="2">
        <f t="shared" si="12"/>
        <v>2765.14</v>
      </c>
      <c r="V12" s="2">
        <f>SUM(V6:V11)</f>
        <v>2657.4920000000002</v>
      </c>
      <c r="W12" s="2">
        <f t="shared" ref="W12" si="13">SUM(W6:W11)</f>
        <v>6788.11</v>
      </c>
      <c r="X12" s="2">
        <f t="shared" ref="X12" si="14">SUM(X6:X11)</f>
        <v>7385.1248897329688</v>
      </c>
      <c r="Y12" s="2">
        <f t="shared" ref="Y12" si="15">SUM(Y6:Y11)</f>
        <v>7982.139779465937</v>
      </c>
      <c r="Z12" s="2">
        <f t="shared" ref="Z12" si="16">SUM(Z6:Z11)</f>
        <v>8210.9422110652104</v>
      </c>
      <c r="AA12" s="2">
        <f t="shared" ref="AA12" si="17">SUM(AA6:AA11)</f>
        <v>8450.9718961887029</v>
      </c>
      <c r="AB12" s="2">
        <f t="shared" ref="AB12" si="18">SUM(AB6:AB11)</f>
        <v>8704.8111775515845</v>
      </c>
      <c r="AC12" s="2">
        <f t="shared" ref="AC12" si="19">SUM(AC6:AC11)</f>
        <v>8966.2938662389915</v>
      </c>
      <c r="AD12" s="2">
        <f t="shared" ref="AD12" si="20">SUM(AD6:AD11)</f>
        <v>9253.0913555762108</v>
      </c>
      <c r="AE12" s="2">
        <f t="shared" ref="AE12" si="21">SUM(AE6:AE11)</f>
        <v>9549.1472084387242</v>
      </c>
      <c r="AF12" s="2">
        <f t="shared" ref="AF12" si="22">SUM(AF6:AF11)</f>
        <v>9854.7631832182524</v>
      </c>
      <c r="AG12" s="2">
        <f t="shared" ref="AG12" si="23">SUM(AG6:AG11)</f>
        <v>9854.7631832182524</v>
      </c>
    </row>
    <row r="13" spans="2:124" s="12" customFormat="1" x14ac:dyDescent="0.25">
      <c r="B13" s="12" t="s">
        <v>45</v>
      </c>
      <c r="C13" s="12">
        <f t="shared" ref="C13:U13" si="24">+C5-C12</f>
        <v>-241.476</v>
      </c>
      <c r="D13" s="12">
        <f t="shared" si="24"/>
        <v>-373.9</v>
      </c>
      <c r="E13" s="12">
        <f t="shared" si="24"/>
        <v>-356.71199999999993</v>
      </c>
      <c r="F13" s="12">
        <f t="shared" si="24"/>
        <v>-153.25400000000013</v>
      </c>
      <c r="G13" s="12">
        <f t="shared" si="24"/>
        <v>-125.52999999999997</v>
      </c>
      <c r="H13" s="12">
        <f t="shared" si="24"/>
        <v>493.31999999999971</v>
      </c>
      <c r="I13" s="12">
        <f t="shared" si="24"/>
        <v>1036.8340000000001</v>
      </c>
      <c r="J13" s="12">
        <f t="shared" si="24"/>
        <v>0</v>
      </c>
      <c r="O13" s="12">
        <f t="shared" si="24"/>
        <v>2767.5370000000003</v>
      </c>
      <c r="P13" s="12">
        <f t="shared" si="24"/>
        <v>3199.7</v>
      </c>
      <c r="Q13" s="12">
        <f t="shared" si="24"/>
        <v>3480.9030000000002</v>
      </c>
      <c r="R13" s="12">
        <f t="shared" si="24"/>
        <v>3881.3999999999987</v>
      </c>
      <c r="S13" s="12">
        <f t="shared" si="24"/>
        <v>4231.6000000000004</v>
      </c>
      <c r="T13" s="12">
        <f t="shared" si="24"/>
        <v>4887.8769999999995</v>
      </c>
      <c r="U13" s="12">
        <f t="shared" si="24"/>
        <v>-556.33500000000004</v>
      </c>
      <c r="V13" s="12">
        <f>+V5-V12</f>
        <v>-1125.3420000000001</v>
      </c>
      <c r="W13" s="12">
        <f t="shared" ref="W13" si="25">+W5-W12</f>
        <v>2441.4579999999996</v>
      </c>
      <c r="X13" s="12">
        <f t="shared" ref="X13" si="26">+X5-X12</f>
        <v>4132.6322949115229</v>
      </c>
      <c r="Y13" s="12">
        <f t="shared" ref="Y13" si="27">+Y5-Y12</f>
        <v>5434.7177222726314</v>
      </c>
      <c r="Z13" s="12">
        <f t="shared" ref="Z13" si="28">+Z5-Z12</f>
        <v>5595.0041582237754</v>
      </c>
      <c r="AA13" s="12">
        <f t="shared" ref="AA13" si="29">+AA5-AA12</f>
        <v>5907.2123278718427</v>
      </c>
      <c r="AB13" s="12">
        <f t="shared" ref="AB13" si="30">+AB5-AB12</f>
        <v>6227.7004154713832</v>
      </c>
      <c r="AC13" s="12">
        <f t="shared" ref="AC13" si="31">+AC5-AC12</f>
        <v>6414.1930745746649</v>
      </c>
      <c r="AD13" s="12">
        <f t="shared" ref="AD13" si="32">+AD5-AD12</f>
        <v>6588.8101934618553</v>
      </c>
      <c r="AE13" s="12">
        <f t="shared" ref="AE13" si="33">+AE5-AE12</f>
        <v>6768.0113870704845</v>
      </c>
      <c r="AF13" s="12">
        <f t="shared" ref="AF13" si="34">+AF5-AF12</f>
        <v>6951.9101701562322</v>
      </c>
      <c r="AG13" s="12">
        <f t="shared" ref="AG13" si="35">+AG5-AG12</f>
        <v>7456.1103707574657</v>
      </c>
    </row>
    <row r="14" spans="2:124" s="13" customFormat="1" x14ac:dyDescent="0.25">
      <c r="B14" s="13" t="s">
        <v>44</v>
      </c>
      <c r="C14" s="13">
        <v>258</v>
      </c>
      <c r="D14" s="13">
        <v>285.55</v>
      </c>
      <c r="E14" s="13">
        <v>323.42200000000003</v>
      </c>
      <c r="F14" s="2">
        <f t="shared" ref="F14:F16" si="36">V14-E14-D14-C14</f>
        <v>503.12799999999993</v>
      </c>
      <c r="G14" s="13">
        <v>394.03</v>
      </c>
      <c r="H14" s="13">
        <v>371.45</v>
      </c>
      <c r="I14" s="13">
        <v>373.11599999999999</v>
      </c>
      <c r="O14" s="13">
        <v>1048.95</v>
      </c>
      <c r="P14" s="13">
        <v>1086.5</v>
      </c>
      <c r="Q14" s="13">
        <v>1108.74</v>
      </c>
      <c r="R14" s="13">
        <v>1186</v>
      </c>
      <c r="S14" s="13">
        <v>1303.0999999999999</v>
      </c>
      <c r="T14" s="13">
        <v>1559.25</v>
      </c>
      <c r="U14" s="13">
        <v>1199.5999999999999</v>
      </c>
      <c r="V14" s="13">
        <v>1370.1</v>
      </c>
      <c r="W14" s="2">
        <f t="shared" ref="W14:W16" si="37">G14+H14+I14+I14</f>
        <v>1511.712</v>
      </c>
      <c r="X14" s="13">
        <f>X5*X49</f>
        <v>1727.6635776966737</v>
      </c>
      <c r="Y14" s="13">
        <f t="shared" ref="Y14:AG14" si="38">Y5*Y49</f>
        <v>1878.3600502433997</v>
      </c>
      <c r="Z14" s="13">
        <f t="shared" si="38"/>
        <v>1794.7730280075682</v>
      </c>
      <c r="AA14" s="13">
        <f t="shared" si="38"/>
        <v>1866.563949127871</v>
      </c>
      <c r="AB14" s="13">
        <f t="shared" si="38"/>
        <v>1941.2265070929859</v>
      </c>
      <c r="AC14" s="13">
        <f t="shared" si="38"/>
        <v>1845.6584328976387</v>
      </c>
      <c r="AD14" s="13">
        <f t="shared" si="38"/>
        <v>1901.0281858845678</v>
      </c>
      <c r="AE14" s="13">
        <f t="shared" si="38"/>
        <v>1958.059031461105</v>
      </c>
      <c r="AF14" s="13">
        <f t="shared" si="38"/>
        <v>2016.8008024049382</v>
      </c>
      <c r="AG14" s="13">
        <f t="shared" si="38"/>
        <v>2077.304826477086</v>
      </c>
    </row>
    <row r="15" spans="2:124" s="2" customFormat="1" x14ac:dyDescent="0.25">
      <c r="B15" s="13" t="s">
        <v>46</v>
      </c>
      <c r="C15" s="2">
        <v>310.166</v>
      </c>
      <c r="D15" s="2">
        <v>323.44</v>
      </c>
      <c r="E15" s="2">
        <v>325.89999999999998</v>
      </c>
      <c r="F15" s="2">
        <f t="shared" si="36"/>
        <v>333.39400000000018</v>
      </c>
      <c r="G15" s="2">
        <v>339.5</v>
      </c>
      <c r="H15" s="2">
        <v>351.5</v>
      </c>
      <c r="I15" s="2">
        <v>355.08</v>
      </c>
      <c r="O15" s="2">
        <v>772.44500000000005</v>
      </c>
      <c r="P15" s="2">
        <v>827</v>
      </c>
      <c r="Q15" s="2">
        <v>894.91499999999996</v>
      </c>
      <c r="R15" s="2">
        <v>951.2</v>
      </c>
      <c r="S15" s="2">
        <v>1033.7</v>
      </c>
      <c r="T15" s="2">
        <v>1245.94</v>
      </c>
      <c r="U15" s="2">
        <v>1279.25</v>
      </c>
      <c r="V15" s="2">
        <v>1292.9000000000001</v>
      </c>
      <c r="W15" s="2">
        <f t="shared" si="37"/>
        <v>1401.1599999999999</v>
      </c>
      <c r="X15" s="2">
        <f>X5*X51</f>
        <v>1382.1308621573389</v>
      </c>
      <c r="Y15" s="2">
        <f t="shared" ref="Y15:AG15" si="39">Y5*Y51</f>
        <v>1341.6857501738568</v>
      </c>
      <c r="Z15" s="2">
        <f t="shared" si="39"/>
        <v>1380.5946369288986</v>
      </c>
      <c r="AA15" s="2">
        <f t="shared" si="39"/>
        <v>1435.8184224060547</v>
      </c>
      <c r="AB15" s="2">
        <f t="shared" si="39"/>
        <v>1493.2511593022969</v>
      </c>
      <c r="AC15" s="2">
        <f t="shared" si="39"/>
        <v>1384.243824673229</v>
      </c>
      <c r="AD15" s="2">
        <f t="shared" si="39"/>
        <v>1425.771139413426</v>
      </c>
      <c r="AE15" s="2">
        <f t="shared" si="39"/>
        <v>1468.5442735958288</v>
      </c>
      <c r="AF15" s="2">
        <f t="shared" si="39"/>
        <v>1512.6006018037035</v>
      </c>
      <c r="AG15" s="2">
        <f t="shared" si="39"/>
        <v>1557.9786198578145</v>
      </c>
    </row>
    <row r="16" spans="2:124" s="2" customFormat="1" x14ac:dyDescent="0.25">
      <c r="B16" s="13" t="s">
        <v>47</v>
      </c>
      <c r="C16" s="2">
        <v>-0.45</v>
      </c>
      <c r="D16" s="2">
        <v>40.619999999999997</v>
      </c>
      <c r="E16" s="2">
        <v>-0.23</v>
      </c>
      <c r="F16" s="2">
        <f t="shared" si="36"/>
        <v>42.060000000000009</v>
      </c>
      <c r="G16" s="2">
        <v>0.17299999999999999</v>
      </c>
      <c r="H16" s="2">
        <v>-10.9</v>
      </c>
      <c r="I16" s="2">
        <v>10.199999999999999</v>
      </c>
      <c r="O16" s="2">
        <v>4.3179999999999996</v>
      </c>
      <c r="P16" s="2">
        <v>411.267</v>
      </c>
      <c r="U16" s="2">
        <v>1566.38</v>
      </c>
      <c r="V16" s="2">
        <v>82</v>
      </c>
      <c r="W16" s="2">
        <f t="shared" si="37"/>
        <v>9.6729999999999983</v>
      </c>
    </row>
    <row r="17" spans="2:124" s="12" customFormat="1" x14ac:dyDescent="0.25">
      <c r="B17" s="12" t="s">
        <v>48</v>
      </c>
      <c r="C17" s="12">
        <f t="shared" ref="C17:U17" si="40">+C13-C16-C15-C14</f>
        <v>-809.19200000000001</v>
      </c>
      <c r="D17" s="12">
        <f t="shared" si="40"/>
        <v>-1023.51</v>
      </c>
      <c r="E17" s="12">
        <f t="shared" si="40"/>
        <v>-1005.8039999999999</v>
      </c>
      <c r="F17" s="12">
        <f t="shared" si="40"/>
        <v>-1031.8360000000002</v>
      </c>
      <c r="G17" s="12">
        <f t="shared" si="40"/>
        <v>-859.23299999999995</v>
      </c>
      <c r="H17" s="12">
        <f t="shared" si="40"/>
        <v>-218.7300000000003</v>
      </c>
      <c r="I17" s="12">
        <f t="shared" si="40"/>
        <v>298.4380000000001</v>
      </c>
      <c r="J17" s="12">
        <f t="shared" si="40"/>
        <v>0</v>
      </c>
      <c r="O17" s="12">
        <f t="shared" si="40"/>
        <v>941.82399999999984</v>
      </c>
      <c r="P17" s="12">
        <f>+P13-P16-P15-P14</f>
        <v>874.93299999999999</v>
      </c>
      <c r="Q17" s="12">
        <f t="shared" si="40"/>
        <v>1477.2480000000003</v>
      </c>
      <c r="R17" s="12">
        <f t="shared" si="40"/>
        <v>1744.1999999999989</v>
      </c>
      <c r="S17" s="12">
        <f t="shared" si="40"/>
        <v>1894.8000000000006</v>
      </c>
      <c r="T17" s="12">
        <f t="shared" si="40"/>
        <v>2082.6869999999994</v>
      </c>
      <c r="U17" s="12">
        <f t="shared" si="40"/>
        <v>-4601.5650000000005</v>
      </c>
      <c r="V17" s="12">
        <f>+V13-V16-V15-V14</f>
        <v>-3870.3420000000001</v>
      </c>
      <c r="W17" s="12">
        <f t="shared" ref="W17" si="41">+W13-W16-W15-W14</f>
        <v>-481.08699999999999</v>
      </c>
      <c r="X17" s="12">
        <f t="shared" ref="X17" si="42">+X13-X16-X15-X14</f>
        <v>1022.8378550575103</v>
      </c>
      <c r="Y17" s="12">
        <f t="shared" ref="Y17" si="43">+Y13-Y16-Y15-Y14</f>
        <v>2214.6719218553749</v>
      </c>
      <c r="Z17" s="12">
        <f t="shared" ref="Z17" si="44">+Z13-Z16-Z15-Z14</f>
        <v>2419.6364932873084</v>
      </c>
      <c r="AA17" s="12">
        <f t="shared" ref="AA17" si="45">+AA13-AA16-AA15-AA14</f>
        <v>2604.8299563379169</v>
      </c>
      <c r="AB17" s="12">
        <f t="shared" ref="AB17" si="46">+AB13-AB16-AB15-AB14</f>
        <v>2793.2227490760997</v>
      </c>
      <c r="AC17" s="12">
        <f t="shared" ref="AC17" si="47">+AC13-AC16-AC15-AC14</f>
        <v>3184.2908170037972</v>
      </c>
      <c r="AD17" s="12">
        <f t="shared" ref="AD17" si="48">+AD13-AD16-AD15-AD14</f>
        <v>3262.0108681638617</v>
      </c>
      <c r="AE17" s="12">
        <f t="shared" ref="AE17" si="49">+AE13-AE16-AE15-AE14</f>
        <v>3341.4080820135509</v>
      </c>
      <c r="AF17" s="12">
        <f t="shared" ref="AF17" si="50">+AF13-AF16-AF15-AF14</f>
        <v>3422.5087659475907</v>
      </c>
      <c r="AG17" s="12">
        <f t="shared" ref="AG17" si="51">+AG13-AG16-AG15-AG14</f>
        <v>3820.8269244225648</v>
      </c>
    </row>
    <row r="18" spans="2:124" s="2" customFormat="1" x14ac:dyDescent="0.25">
      <c r="B18" s="13" t="s">
        <v>49</v>
      </c>
      <c r="C18" s="2">
        <f>4.86-272.51-59.87</f>
        <v>-327.52</v>
      </c>
      <c r="D18" s="2">
        <f>4.7-304.8-48.088</f>
        <v>-348.18800000000005</v>
      </c>
      <c r="E18" s="2">
        <f>3.8-430.66-29.08</f>
        <v>-455.94</v>
      </c>
      <c r="F18" s="2">
        <f t="shared" ref="F18:F19" si="52">V18-E18-D18-C18</f>
        <v>-278.83499999999981</v>
      </c>
      <c r="G18" s="2">
        <f>3.3-277.7-31</f>
        <v>-305.39999999999998</v>
      </c>
      <c r="H18" s="2">
        <f>6.5-302.7-13.2</f>
        <v>-309.39999999999998</v>
      </c>
      <c r="I18" s="2">
        <f>12-352.2+74</f>
        <v>-266.2</v>
      </c>
      <c r="O18" s="2">
        <f>10.344-258.3</f>
        <v>-247.95600000000002</v>
      </c>
      <c r="P18" s="2">
        <f>12.025-277.725</f>
        <v>-265.70000000000005</v>
      </c>
      <c r="Q18" s="2">
        <f>20.856-307.37+128.35</f>
        <v>-158.16400000000002</v>
      </c>
      <c r="R18" s="2">
        <f>30.1-299.98+156.25</f>
        <v>-113.63</v>
      </c>
      <c r="S18" s="2">
        <f>32.8-333.7+210.8</f>
        <v>-90.099999999999966</v>
      </c>
      <c r="T18" s="2">
        <f>26.945-408.513+230.98</f>
        <v>-150.58799999999999</v>
      </c>
      <c r="U18" s="2">
        <f>21-844.24-213.3</f>
        <v>-1036.54</v>
      </c>
      <c r="V18" s="2">
        <f>16.77-1291.753-135.5</f>
        <v>-1410.4829999999999</v>
      </c>
      <c r="W18" s="2">
        <f t="shared" ref="W18:W19" si="53">G18+H18+I18+I18</f>
        <v>-1147.2</v>
      </c>
      <c r="X18" s="2">
        <f>W30*X40</f>
        <v>-1352.2737</v>
      </c>
      <c r="Y18" s="2">
        <f t="shared" ref="Y18:AG18" si="54">X30*Y40</f>
        <v>-1371.9410199430665</v>
      </c>
      <c r="Z18" s="2">
        <f t="shared" si="54"/>
        <v>-1321.8828043694755</v>
      </c>
      <c r="AA18" s="2">
        <f t="shared" si="54"/>
        <v>-1152.5569801726813</v>
      </c>
      <c r="AB18" s="2">
        <f t="shared" si="54"/>
        <v>-977.3438335402418</v>
      </c>
      <c r="AC18" s="2">
        <f t="shared" si="54"/>
        <v>-800.34633552307741</v>
      </c>
      <c r="AD18" s="2">
        <f t="shared" si="54"/>
        <v>-696.28715890644401</v>
      </c>
      <c r="AE18" s="2">
        <f t="shared" si="54"/>
        <v>-584.29331899735769</v>
      </c>
      <c r="AF18" s="2">
        <f t="shared" si="54"/>
        <v>-463.94525959170079</v>
      </c>
      <c r="AG18" s="2">
        <f t="shared" si="54"/>
        <v>-334.80396253926619</v>
      </c>
    </row>
    <row r="19" spans="2:124" s="2" customFormat="1" x14ac:dyDescent="0.25">
      <c r="B19" s="13" t="s">
        <v>50</v>
      </c>
      <c r="C19" s="2">
        <v>5.0330000000000004</v>
      </c>
      <c r="D19" s="2">
        <v>24.5</v>
      </c>
      <c r="E19" s="2">
        <v>37.229999999999997</v>
      </c>
      <c r="F19" s="2">
        <f t="shared" si="52"/>
        <v>-46.462999999999994</v>
      </c>
      <c r="G19" s="2">
        <v>-2.5299999999999998</v>
      </c>
      <c r="H19" s="2">
        <v>6.5</v>
      </c>
      <c r="I19" s="2">
        <v>0.78</v>
      </c>
      <c r="O19" s="2">
        <v>70.242000000000004</v>
      </c>
      <c r="P19" s="2">
        <v>56.581000000000003</v>
      </c>
      <c r="Q19" s="2">
        <v>-35.65</v>
      </c>
      <c r="R19" s="2">
        <v>-5.3</v>
      </c>
      <c r="S19" s="2">
        <v>11.1</v>
      </c>
      <c r="T19" s="2">
        <v>-24.5</v>
      </c>
      <c r="U19" s="2">
        <v>-137.08000000000001</v>
      </c>
      <c r="V19" s="2">
        <v>20.3</v>
      </c>
      <c r="W19" s="2">
        <f t="shared" si="53"/>
        <v>5.53</v>
      </c>
    </row>
    <row r="20" spans="2:124" s="2" customFormat="1" x14ac:dyDescent="0.25">
      <c r="B20" s="13" t="s">
        <v>51</v>
      </c>
      <c r="C20" s="2">
        <f t="shared" ref="C20:U20" si="55">+C17+C18+C19</f>
        <v>-1131.6790000000001</v>
      </c>
      <c r="D20" s="2">
        <f t="shared" si="55"/>
        <v>-1347.1980000000001</v>
      </c>
      <c r="E20" s="2">
        <f t="shared" si="55"/>
        <v>-1424.5139999999999</v>
      </c>
      <c r="F20" s="2">
        <f t="shared" si="55"/>
        <v>-1357.134</v>
      </c>
      <c r="G20" s="2">
        <f t="shared" si="55"/>
        <v>-1167.1629999999998</v>
      </c>
      <c r="H20" s="2">
        <f t="shared" si="55"/>
        <v>-521.63000000000034</v>
      </c>
      <c r="I20" s="2">
        <f t="shared" si="55"/>
        <v>33.018000000000114</v>
      </c>
      <c r="J20" s="2">
        <f t="shared" si="55"/>
        <v>0</v>
      </c>
      <c r="O20" s="2">
        <f t="shared" si="55"/>
        <v>764.10999999999979</v>
      </c>
      <c r="P20" s="2">
        <f t="shared" si="55"/>
        <v>665.81399999999996</v>
      </c>
      <c r="Q20" s="2">
        <f t="shared" si="55"/>
        <v>1283.4340000000002</v>
      </c>
      <c r="R20" s="2">
        <f t="shared" si="55"/>
        <v>1625.2699999999988</v>
      </c>
      <c r="S20" s="2">
        <f t="shared" si="55"/>
        <v>1815.8000000000006</v>
      </c>
      <c r="T20" s="2">
        <f t="shared" si="55"/>
        <v>1907.5989999999995</v>
      </c>
      <c r="U20" s="2">
        <f t="shared" si="55"/>
        <v>-5775.1850000000004</v>
      </c>
      <c r="V20" s="2">
        <f>+V17+V18+V19</f>
        <v>-5260.5249999999996</v>
      </c>
      <c r="W20" s="2">
        <f t="shared" ref="W20" si="56">+W17+W18+W19</f>
        <v>-1622.7570000000001</v>
      </c>
      <c r="X20" s="2">
        <f t="shared" ref="X20" si="57">+X17+X18+X19</f>
        <v>-329.43584494248967</v>
      </c>
      <c r="Y20" s="2">
        <f t="shared" ref="Y20" si="58">+Y17+Y18+Y19</f>
        <v>842.73090191230835</v>
      </c>
      <c r="Z20" s="2">
        <f t="shared" ref="Z20" si="59">+Z17+Z18+Z19</f>
        <v>1097.753688917833</v>
      </c>
      <c r="AA20" s="2">
        <f t="shared" ref="AA20" si="60">+AA17+AA18+AA19</f>
        <v>1452.2729761652356</v>
      </c>
      <c r="AB20" s="2">
        <f t="shared" ref="AB20" si="61">+AB17+AB18+AB19</f>
        <v>1815.8789155358579</v>
      </c>
      <c r="AC20" s="2">
        <f t="shared" ref="AC20" si="62">+AC17+AC18+AC19</f>
        <v>2383.9444814807198</v>
      </c>
      <c r="AD20" s="2">
        <f t="shared" ref="AD20" si="63">+AD17+AD18+AD19</f>
        <v>2565.7237092574178</v>
      </c>
      <c r="AE20" s="2">
        <f t="shared" ref="AE20" si="64">+AE17+AE18+AE19</f>
        <v>2757.1147630161931</v>
      </c>
      <c r="AF20" s="2">
        <f t="shared" ref="AF20" si="65">+AF17+AF18+AF19</f>
        <v>2958.5635063558898</v>
      </c>
      <c r="AG20" s="2">
        <f t="shared" ref="AG20" si="66">+AG17+AG18+AG19</f>
        <v>3486.0229618832986</v>
      </c>
    </row>
    <row r="21" spans="2:124" s="2" customFormat="1" x14ac:dyDescent="0.25">
      <c r="B21" s="13" t="s">
        <v>54</v>
      </c>
      <c r="C21" s="2">
        <f>C25</f>
        <v>-3.556</v>
      </c>
      <c r="D21" s="2">
        <f>D25-C25</f>
        <v>-4.8939999999999992</v>
      </c>
      <c r="E21" s="2">
        <f>E25-D25</f>
        <v>-22.945</v>
      </c>
      <c r="F21" s="2">
        <f>F25-E25</f>
        <v>-11.584</v>
      </c>
      <c r="G21" s="2">
        <f>G25</f>
        <v>-3.1</v>
      </c>
      <c r="H21" s="2">
        <f>H25-G25</f>
        <v>-6.1050000000000004</v>
      </c>
      <c r="I21" s="2">
        <f>I25-H25</f>
        <v>-5.1400000000000006</v>
      </c>
      <c r="O21" s="2">
        <v>-41</v>
      </c>
      <c r="P21" s="2">
        <v>-10</v>
      </c>
      <c r="Q21" s="2">
        <v>2.6080000000000001</v>
      </c>
      <c r="R21" s="2">
        <v>1.73</v>
      </c>
      <c r="S21" s="2">
        <v>7.7450000000000001</v>
      </c>
      <c r="T21" s="2">
        <v>7.75</v>
      </c>
      <c r="U21" s="2">
        <v>-8.8000000000000007</v>
      </c>
      <c r="V21" s="2">
        <v>-42.978999999999999</v>
      </c>
      <c r="W21" s="2">
        <f>G21+H21+I21+I21</f>
        <v>-19.484999999999999</v>
      </c>
      <c r="X21" s="2">
        <f>X20*X41</f>
        <v>-1.6471792247124484</v>
      </c>
      <c r="Y21" s="2">
        <f t="shared" ref="Y21:AG21" si="67">Y20*Y41</f>
        <v>8.4273090191230828</v>
      </c>
      <c r="Z21" s="2">
        <f t="shared" si="67"/>
        <v>21.95507377835666</v>
      </c>
      <c r="AA21" s="2">
        <f t="shared" si="67"/>
        <v>43.568189284957064</v>
      </c>
      <c r="AB21" s="2">
        <f t="shared" si="67"/>
        <v>54.476367466075736</v>
      </c>
      <c r="AC21" s="2">
        <f t="shared" si="67"/>
        <v>71.518334444421598</v>
      </c>
      <c r="AD21" s="2">
        <f t="shared" si="67"/>
        <v>76.971711277722534</v>
      </c>
      <c r="AE21" s="2">
        <f t="shared" si="67"/>
        <v>82.713442890485794</v>
      </c>
      <c r="AF21" s="2">
        <f t="shared" si="67"/>
        <v>88.75690519067669</v>
      </c>
      <c r="AG21" s="2">
        <f t="shared" si="67"/>
        <v>104.58068885649895</v>
      </c>
    </row>
    <row r="22" spans="2:124" s="12" customFormat="1" x14ac:dyDescent="0.25">
      <c r="B22" s="12" t="s">
        <v>52</v>
      </c>
      <c r="C22" s="12">
        <f t="shared" ref="C22:U22" si="68">+C20-C21</f>
        <v>-1128.123</v>
      </c>
      <c r="D22" s="12">
        <f t="shared" si="68"/>
        <v>-1342.3040000000001</v>
      </c>
      <c r="E22" s="12">
        <f t="shared" si="68"/>
        <v>-1401.569</v>
      </c>
      <c r="F22" s="12">
        <f t="shared" si="68"/>
        <v>-1345.55</v>
      </c>
      <c r="G22" s="12">
        <f t="shared" si="68"/>
        <v>-1164.0629999999999</v>
      </c>
      <c r="H22" s="12">
        <f t="shared" si="68"/>
        <v>-515.52500000000032</v>
      </c>
      <c r="I22" s="12">
        <f t="shared" si="68"/>
        <v>38.158000000000115</v>
      </c>
      <c r="J22" s="12">
        <f t="shared" si="68"/>
        <v>0</v>
      </c>
      <c r="O22" s="12">
        <f t="shared" si="68"/>
        <v>805.10999999999979</v>
      </c>
      <c r="P22" s="12">
        <f t="shared" si="68"/>
        <v>675.81399999999996</v>
      </c>
      <c r="Q22" s="12">
        <f t="shared" si="68"/>
        <v>1280.8260000000002</v>
      </c>
      <c r="R22" s="12">
        <f t="shared" si="68"/>
        <v>1623.5399999999988</v>
      </c>
      <c r="S22" s="12">
        <f t="shared" si="68"/>
        <v>1808.0550000000007</v>
      </c>
      <c r="T22" s="12">
        <f>+T20-T21</f>
        <v>1899.8489999999995</v>
      </c>
      <c r="U22" s="12">
        <f t="shared" si="68"/>
        <v>-5766.3850000000002</v>
      </c>
      <c r="V22" s="12">
        <f>+V20-V21</f>
        <v>-5217.5459999999994</v>
      </c>
      <c r="W22" s="12">
        <f t="shared" ref="W22" si="69">+W20-W21</f>
        <v>-1603.2720000000002</v>
      </c>
      <c r="X22" s="12">
        <f t="shared" ref="X22" si="70">+X20-X21</f>
        <v>-327.78866571777723</v>
      </c>
      <c r="Y22" s="12">
        <f t="shared" ref="Y22" si="71">+Y20-Y21</f>
        <v>834.30359289318528</v>
      </c>
      <c r="Z22" s="12">
        <f t="shared" ref="Z22" si="72">+Z20-Z21</f>
        <v>1075.7986151394764</v>
      </c>
      <c r="AA22" s="12">
        <f t="shared" ref="AA22" si="73">+AA20-AA21</f>
        <v>1408.7047868802786</v>
      </c>
      <c r="AB22" s="12">
        <f t="shared" ref="AB22" si="74">+AB20-AB21</f>
        <v>1761.4025480697821</v>
      </c>
      <c r="AC22" s="12">
        <f t="shared" ref="AC22" si="75">+AC20-AC21</f>
        <v>2312.4261470362981</v>
      </c>
      <c r="AD22" s="12">
        <f t="shared" ref="AD22" si="76">+AD20-AD21</f>
        <v>2488.7519979796953</v>
      </c>
      <c r="AE22" s="12">
        <f t="shared" ref="AE22" si="77">+AE20-AE21</f>
        <v>2674.4013201257076</v>
      </c>
      <c r="AF22" s="12">
        <f t="shared" ref="AF22" si="78">+AF20-AF21</f>
        <v>2869.8066011652131</v>
      </c>
      <c r="AG22" s="12">
        <f t="shared" ref="AG22" si="79">+AG20-AG21</f>
        <v>3381.4422730267997</v>
      </c>
      <c r="AH22" s="12">
        <f>AG22*(1+Dash!$C$2)</f>
        <v>3347.6278502965315</v>
      </c>
      <c r="AI22" s="12">
        <f>AH22*(1+Dash!$C$2)</f>
        <v>3314.1515717935663</v>
      </c>
      <c r="AJ22" s="12">
        <f>AI22*(1+Dash!$C$2)</f>
        <v>3281.0100560756305</v>
      </c>
      <c r="AK22" s="12">
        <f>AJ22*(1+Dash!$C$2)</f>
        <v>3248.1999555148741</v>
      </c>
      <c r="AL22" s="12">
        <f>AK22*(1+Dash!$C$2)</f>
        <v>3215.7179559597253</v>
      </c>
      <c r="AM22" s="12">
        <f>AL22*(1+Dash!$C$2)</f>
        <v>3183.5607764001279</v>
      </c>
      <c r="AN22" s="12">
        <f>AM22*(1+Dash!$C$2)</f>
        <v>3151.7251686361265</v>
      </c>
      <c r="AO22" s="12">
        <f>AN22*(1+Dash!$C$2)</f>
        <v>3120.2079169497651</v>
      </c>
      <c r="AP22" s="12">
        <f>AO22*(1+Dash!$C$2)</f>
        <v>3089.0058377802675</v>
      </c>
      <c r="AQ22" s="12">
        <f>AP22*(1+Dash!$C$2)</f>
        <v>3058.1157794024648</v>
      </c>
      <c r="AR22" s="12">
        <f>AQ22*(1+Dash!$C$2)</f>
        <v>3027.5346216084399</v>
      </c>
      <c r="AS22" s="12">
        <f>AR22*(1+Dash!$C$2)</f>
        <v>2997.2592753923554</v>
      </c>
      <c r="AT22" s="12">
        <f>AS22*(1+Dash!$C$2)</f>
        <v>2967.286682638432</v>
      </c>
      <c r="AU22" s="12">
        <f>AT22*(1+Dash!$C$2)</f>
        <v>2937.6138158120475</v>
      </c>
      <c r="AV22" s="12">
        <f>AU22*(1+Dash!$C$2)</f>
        <v>2908.2376776539272</v>
      </c>
      <c r="AW22" s="12">
        <f>AV22*(1+Dash!$C$2)</f>
        <v>2879.1553008773881</v>
      </c>
      <c r="AX22" s="12">
        <f>AW22*(1+Dash!$C$2)</f>
        <v>2850.3637478686142</v>
      </c>
      <c r="AY22" s="12">
        <f>AX22*(1+Dash!$C$2)</f>
        <v>2821.8601103899282</v>
      </c>
      <c r="AZ22" s="12">
        <f>AY22*(1+Dash!$C$2)</f>
        <v>2793.6415092860288</v>
      </c>
      <c r="BA22" s="12">
        <f>AZ22*(1+Dash!$C$2)</f>
        <v>2765.7050941931684</v>
      </c>
      <c r="BB22" s="12">
        <f>BA22*(1+Dash!$C$2)</f>
        <v>2738.0480432512368</v>
      </c>
      <c r="BC22" s="12">
        <f>BB22*(1+Dash!$C$2)</f>
        <v>2710.6675628187245</v>
      </c>
      <c r="BD22" s="12">
        <f>BC22*(1+Dash!$C$2)</f>
        <v>2683.5608871905374</v>
      </c>
      <c r="BE22" s="12">
        <f>BD22*(1+Dash!$C$2)</f>
        <v>2656.7252783186318</v>
      </c>
      <c r="BF22" s="12">
        <f>BE22*(1+Dash!$C$2)</f>
        <v>2630.1580255354456</v>
      </c>
      <c r="BG22" s="12">
        <f>BF22*(1+Dash!$C$2)</f>
        <v>2603.8564452800911</v>
      </c>
      <c r="BH22" s="12">
        <f>BG22*(1+Dash!$C$2)</f>
        <v>2577.8178808272901</v>
      </c>
      <c r="BI22" s="12">
        <f>BH22*(1+Dash!$C$2)</f>
        <v>2552.0397020190171</v>
      </c>
      <c r="BJ22" s="12">
        <f>BI22*(1+Dash!$C$2)</f>
        <v>2526.519304998827</v>
      </c>
      <c r="BK22" s="12">
        <f>BJ22*(1+Dash!$C$2)</f>
        <v>2501.2541119488387</v>
      </c>
      <c r="BL22" s="12">
        <f>BK22*(1+Dash!$C$2)</f>
        <v>2476.2415708293502</v>
      </c>
      <c r="BM22" s="12">
        <f>BL22*(1+Dash!$C$2)</f>
        <v>2451.4791551210565</v>
      </c>
      <c r="BN22" s="12">
        <f>BM22*(1+Dash!$C$2)</f>
        <v>2426.9643635698458</v>
      </c>
      <c r="BO22" s="12">
        <f>BN22*(1+Dash!$C$2)</f>
        <v>2402.6947199341471</v>
      </c>
      <c r="BP22" s="12">
        <f>BO22*(1+Dash!$C$2)</f>
        <v>2378.6677727348056</v>
      </c>
      <c r="BQ22" s="12">
        <f>BP22*(1+Dash!$C$2)</f>
        <v>2354.8810950074576</v>
      </c>
      <c r="BR22" s="12">
        <f>BQ22*(1+Dash!$C$2)</f>
        <v>2331.3322840573828</v>
      </c>
      <c r="BS22" s="12">
        <f>BR22*(1+Dash!$C$2)</f>
        <v>2308.0189612168087</v>
      </c>
      <c r="BT22" s="12">
        <f>BS22*(1+Dash!$C$2)</f>
        <v>2284.9387716046408</v>
      </c>
      <c r="BU22" s="12">
        <f>BT22*(1+Dash!$C$2)</f>
        <v>2262.0893838885945</v>
      </c>
      <c r="BV22" s="12">
        <f>BU22*(1+Dash!$C$2)</f>
        <v>2239.4684900497086</v>
      </c>
      <c r="BW22" s="12">
        <f>BV22*(1+Dash!$C$2)</f>
        <v>2217.0738051492117</v>
      </c>
      <c r="BX22" s="12">
        <f>BW22*(1+Dash!$C$2)</f>
        <v>2194.9030670977195</v>
      </c>
      <c r="BY22" s="12">
        <f>BX22*(1+Dash!$C$2)</f>
        <v>2172.9540364267423</v>
      </c>
      <c r="BZ22" s="12">
        <f>BY22*(1+Dash!$C$2)</f>
        <v>2151.2244960624748</v>
      </c>
      <c r="CA22" s="12">
        <f>BZ22*(1+Dash!$C$2)</f>
        <v>2129.7122511018501</v>
      </c>
      <c r="CB22" s="12">
        <f>CA22*(1+Dash!$C$2)</f>
        <v>2108.4151285908315</v>
      </c>
      <c r="CC22" s="12">
        <f>CB22*(1+Dash!$C$2)</f>
        <v>2087.3309773049232</v>
      </c>
      <c r="CD22" s="12">
        <f>CC22*(1+Dash!$C$2)</f>
        <v>2066.457667531874</v>
      </c>
      <c r="CE22" s="12">
        <f>CD22*(1+Dash!$C$2)</f>
        <v>2045.7930908565552</v>
      </c>
      <c r="CF22" s="12">
        <f>CE22*(1+Dash!$C$2)</f>
        <v>2025.3351599479897</v>
      </c>
      <c r="CG22" s="12">
        <f>CF22*(1+Dash!$C$2)</f>
        <v>2005.0818083485099</v>
      </c>
      <c r="CH22" s="12">
        <f>CG22*(1+Dash!$C$2)</f>
        <v>1985.0309902650247</v>
      </c>
      <c r="CI22" s="12">
        <f>CH22*(1+Dash!$C$2)</f>
        <v>1965.1806803623745</v>
      </c>
      <c r="CJ22" s="12">
        <f>CI22*(1+Dash!$C$2)</f>
        <v>1945.5288735587508</v>
      </c>
      <c r="CK22" s="12">
        <f>CJ22*(1+Dash!$C$2)</f>
        <v>1926.0735848231632</v>
      </c>
      <c r="CL22" s="12">
        <f>CK22*(1+Dash!$C$2)</f>
        <v>1906.8128489749315</v>
      </c>
      <c r="CM22" s="12">
        <f>CL22*(1+Dash!$C$2)</f>
        <v>1887.7447204851821</v>
      </c>
      <c r="CN22" s="12">
        <f>CM22*(1+Dash!$C$2)</f>
        <v>1868.8672732803302</v>
      </c>
      <c r="CO22" s="12">
        <f>CN22*(1+Dash!$C$2)</f>
        <v>1850.1786005475269</v>
      </c>
      <c r="CP22" s="12">
        <f>CO22*(1+Dash!$C$2)</f>
        <v>1831.6768145420517</v>
      </c>
      <c r="CQ22" s="12">
        <f>CP22*(1+Dash!$C$2)</f>
        <v>1813.3600463966311</v>
      </c>
      <c r="CR22" s="12">
        <f>CQ22*(1+Dash!$C$2)</f>
        <v>1795.2264459326648</v>
      </c>
      <c r="CS22" s="12">
        <f>CR22*(1+Dash!$C$2)</f>
        <v>1777.2741814733381</v>
      </c>
      <c r="CT22" s="12">
        <f>CS22*(1+Dash!$C$2)</f>
        <v>1759.5014396586048</v>
      </c>
      <c r="CU22" s="12">
        <f>CT22*(1+Dash!$C$2)</f>
        <v>1741.9064252620187</v>
      </c>
      <c r="CV22" s="12">
        <f>CU22*(1+Dash!$C$2)</f>
        <v>1724.4873610093985</v>
      </c>
      <c r="CW22" s="12">
        <f>CV22*(1+Dash!$C$2)</f>
        <v>1707.2424873993045</v>
      </c>
      <c r="CX22" s="12">
        <f>CW22*(1+Dash!$C$2)</f>
        <v>1690.1700625253116</v>
      </c>
      <c r="CY22" s="12">
        <f>CX22*(1+Dash!$C$2)</f>
        <v>1673.2683619000584</v>
      </c>
      <c r="CZ22" s="12">
        <f>CY22*(1+Dash!$C$2)</f>
        <v>1656.5356782810577</v>
      </c>
      <c r="DA22" s="12">
        <f>CZ22*(1+Dash!$C$2)</f>
        <v>1639.9703214982471</v>
      </c>
      <c r="DB22" s="12">
        <f>DA22*(1+Dash!$C$2)</f>
        <v>1623.5706182832646</v>
      </c>
      <c r="DC22" s="12">
        <f>DB22*(1+Dash!$C$2)</f>
        <v>1607.3349121004319</v>
      </c>
      <c r="DD22" s="12">
        <f>DC22*(1+Dash!$C$2)</f>
        <v>1591.2615629794275</v>
      </c>
      <c r="DE22" s="12">
        <f>DD22*(1+Dash!$C$2)</f>
        <v>1575.3489473496331</v>
      </c>
      <c r="DF22" s="12">
        <f>DE22*(1+Dash!$C$2)</f>
        <v>1559.5954578761368</v>
      </c>
      <c r="DG22" s="12">
        <f>DF22*(1+Dash!$C$2)</f>
        <v>1543.9995032973754</v>
      </c>
      <c r="DH22" s="12">
        <f>DG22*(1+Dash!$C$2)</f>
        <v>1528.5595082644018</v>
      </c>
      <c r="DI22" s="12">
        <f>DH22*(1+Dash!$C$2)</f>
        <v>1513.2739131817577</v>
      </c>
      <c r="DJ22" s="12">
        <f>DI22*(1+Dash!$C$2)</f>
        <v>1498.1411740499402</v>
      </c>
      <c r="DK22" s="12">
        <f>DJ22*(1+Dash!$C$2)</f>
        <v>1483.1597623094408</v>
      </c>
      <c r="DL22" s="12">
        <f>DK22*(1+Dash!$C$2)</f>
        <v>1468.3281646863463</v>
      </c>
      <c r="DM22" s="12">
        <f>DL22*(1+Dash!$C$2)</f>
        <v>1453.6448830394829</v>
      </c>
      <c r="DN22" s="12">
        <f>DM22*(1+Dash!$C$2)</f>
        <v>1439.108434209088</v>
      </c>
      <c r="DO22" s="12">
        <f>DN22*(1+Dash!$C$2)</f>
        <v>1424.7173498669972</v>
      </c>
      <c r="DP22" s="12">
        <f>DO22*(1+Dash!$C$2)</f>
        <v>1410.4701763683272</v>
      </c>
      <c r="DQ22" s="12">
        <f>DP22*(1+Dash!$C$2)</f>
        <v>1396.3654746046439</v>
      </c>
      <c r="DR22" s="12">
        <f>DQ22*(1+Dash!$C$2)</f>
        <v>1382.4018198585975</v>
      </c>
      <c r="DS22" s="12">
        <f>DR22*(1+Dash!$C$2)</f>
        <v>1368.5778016600116</v>
      </c>
      <c r="DT22" s="12">
        <f>DS22*(1+Dash!$C$2)</f>
        <v>1354.8920236434114</v>
      </c>
    </row>
    <row r="23" spans="2:124" s="2" customFormat="1" x14ac:dyDescent="0.25">
      <c r="B23" s="13" t="s">
        <v>1</v>
      </c>
      <c r="C23" s="2">
        <v>243.00399999999999</v>
      </c>
      <c r="D23" s="2">
        <v>254.577</v>
      </c>
      <c r="E23" s="2">
        <f t="shared" ref="E23:J23" si="80">E22/E24</f>
        <v>250.72790697674418</v>
      </c>
      <c r="F23" s="2">
        <v>251.82024892292961</v>
      </c>
      <c r="G23" s="2">
        <v>254.821</v>
      </c>
      <c r="H23" s="2">
        <f t="shared" si="80"/>
        <v>251.47560975609773</v>
      </c>
      <c r="I23" s="2">
        <v>255.071</v>
      </c>
      <c r="J23" s="2" t="e">
        <f t="shared" si="80"/>
        <v>#DIV/0!</v>
      </c>
      <c r="O23" s="2">
        <f t="shared" ref="O23:T23" si="81">O20/O24</f>
        <v>221.48115942028977</v>
      </c>
      <c r="P23" s="2">
        <f t="shared" si="81"/>
        <v>219.74059405940594</v>
      </c>
      <c r="Q23" s="2">
        <f t="shared" si="81"/>
        <v>215.34127516778526</v>
      </c>
      <c r="R23" s="2">
        <f t="shared" si="81"/>
        <v>214.69881109643313</v>
      </c>
      <c r="S23" s="2">
        <f t="shared" si="81"/>
        <v>211.13953488372101</v>
      </c>
      <c r="T23" s="2">
        <f t="shared" si="81"/>
        <v>212.66432552954285</v>
      </c>
      <c r="U23" s="2">
        <f>U20/U24</f>
        <v>213.50036968576711</v>
      </c>
      <c r="V23" s="2">
        <f>V20/V24</f>
        <v>251.82024892292961</v>
      </c>
      <c r="W23" s="2">
        <f>V23</f>
        <v>251.82024892292961</v>
      </c>
      <c r="X23" s="2">
        <f t="shared" ref="X23:AG23" si="82">W23</f>
        <v>251.82024892292961</v>
      </c>
      <c r="Y23" s="2">
        <f t="shared" si="82"/>
        <v>251.82024892292961</v>
      </c>
      <c r="Z23" s="2">
        <f t="shared" si="82"/>
        <v>251.82024892292961</v>
      </c>
      <c r="AA23" s="2">
        <f t="shared" si="82"/>
        <v>251.82024892292961</v>
      </c>
      <c r="AB23" s="2">
        <f t="shared" si="82"/>
        <v>251.82024892292961</v>
      </c>
      <c r="AC23" s="2">
        <f t="shared" si="82"/>
        <v>251.82024892292961</v>
      </c>
      <c r="AD23" s="2">
        <f t="shared" si="82"/>
        <v>251.82024892292961</v>
      </c>
      <c r="AE23" s="2">
        <f t="shared" si="82"/>
        <v>251.82024892292961</v>
      </c>
      <c r="AF23" s="2">
        <f t="shared" si="82"/>
        <v>251.82024892292961</v>
      </c>
      <c r="AG23" s="2">
        <f t="shared" si="82"/>
        <v>251.82024892292961</v>
      </c>
    </row>
    <row r="24" spans="2:124" s="15" customFormat="1" x14ac:dyDescent="0.25">
      <c r="B24" s="14" t="s">
        <v>53</v>
      </c>
      <c r="C24" s="15">
        <f>+C22/C23</f>
        <v>-4.6424050632911396</v>
      </c>
      <c r="D24" s="15">
        <f>+D22/D23</f>
        <v>-5.2726837066977774</v>
      </c>
      <c r="E24" s="15">
        <v>-5.59</v>
      </c>
      <c r="F24" s="15">
        <f>F22/F23</f>
        <v>-5.3432954885681569</v>
      </c>
      <c r="G24" s="15">
        <f>+G22/G23</f>
        <v>-4.5681596100792312</v>
      </c>
      <c r="H24" s="15">
        <v>-2.0499999999999998</v>
      </c>
      <c r="I24" s="15">
        <f>+I22/I23</f>
        <v>0.14959756303147012</v>
      </c>
      <c r="O24" s="15">
        <v>3.45</v>
      </c>
      <c r="P24" s="15">
        <v>3.03</v>
      </c>
      <c r="Q24" s="15">
        <v>5.96</v>
      </c>
      <c r="R24" s="15">
        <v>7.57</v>
      </c>
      <c r="S24" s="15">
        <v>8.6</v>
      </c>
      <c r="T24" s="15">
        <v>8.9700000000000006</v>
      </c>
      <c r="U24" s="15">
        <v>-27.05</v>
      </c>
      <c r="V24" s="15">
        <v>-20.89</v>
      </c>
      <c r="W24" s="15">
        <f>W22/W23</f>
        <v>-6.3667318528093695</v>
      </c>
      <c r="X24" s="15">
        <f>X22/X23</f>
        <v>-1.3016771570982681</v>
      </c>
      <c r="Y24" s="15">
        <f t="shared" ref="Y24:AG24" si="83">Y22/Y23</f>
        <v>3.3130917647076372</v>
      </c>
      <c r="Z24" s="15">
        <f t="shared" si="83"/>
        <v>4.2720893960704807</v>
      </c>
      <c r="AA24" s="15">
        <f t="shared" si="83"/>
        <v>5.5940886124348843</v>
      </c>
      <c r="AB24" s="15">
        <f t="shared" si="83"/>
        <v>6.994681943185852</v>
      </c>
      <c r="AC24" s="15">
        <f t="shared" si="83"/>
        <v>9.1828443380818978</v>
      </c>
      <c r="AD24" s="15">
        <f t="shared" si="83"/>
        <v>9.8830495507189564</v>
      </c>
      <c r="AE24" s="15">
        <f t="shared" si="83"/>
        <v>10.620279074317875</v>
      </c>
      <c r="AF24" s="15">
        <f t="shared" si="83"/>
        <v>11.3962503549249</v>
      </c>
      <c r="AG24" s="15">
        <f t="shared" si="83"/>
        <v>13.427999882812049</v>
      </c>
    </row>
    <row r="25" spans="2:124" s="2" customFormat="1" x14ac:dyDescent="0.25">
      <c r="B25" s="13" t="s">
        <v>60</v>
      </c>
      <c r="C25" s="2">
        <v>-3.556</v>
      </c>
      <c r="D25" s="2">
        <v>-8.4499999999999993</v>
      </c>
      <c r="E25" s="2">
        <v>-31.395</v>
      </c>
      <c r="F25" s="2">
        <v>-42.978999999999999</v>
      </c>
      <c r="G25" s="2">
        <v>-3.1</v>
      </c>
      <c r="H25" s="2">
        <v>-9.2050000000000001</v>
      </c>
      <c r="I25" s="2">
        <v>-14.345000000000001</v>
      </c>
    </row>
    <row r="27" spans="2:124" s="2" customFormat="1" x14ac:dyDescent="0.25">
      <c r="B27" s="2" t="s">
        <v>3</v>
      </c>
      <c r="I27" s="2">
        <f>1566.2+63.52</f>
        <v>1629.72</v>
      </c>
      <c r="O27" s="2">
        <v>189.24100000000001</v>
      </c>
      <c r="P27" s="2">
        <f>121.565+134.6</f>
        <v>256.16499999999996</v>
      </c>
      <c r="Q27" s="2">
        <v>132.60300000000001</v>
      </c>
      <c r="R27" s="2">
        <f>120.11+99.32</f>
        <v>219.43</v>
      </c>
      <c r="S27" s="2">
        <f>287.85+19.6</f>
        <v>307.45000000000005</v>
      </c>
      <c r="T27" s="2">
        <f>243.7+21.8</f>
        <v>265.5</v>
      </c>
      <c r="U27" s="2">
        <f>3684.5+70</f>
        <v>3754.5</v>
      </c>
      <c r="V27" s="2">
        <f>2701.77+54.184</f>
        <v>2755.9540000000002</v>
      </c>
    </row>
    <row r="28" spans="2:124" s="2" customFormat="1" x14ac:dyDescent="0.25">
      <c r="B28" s="2" t="s">
        <v>55</v>
      </c>
      <c r="I28" s="2">
        <v>27693.24</v>
      </c>
      <c r="O28" s="2">
        <v>18193.599999999999</v>
      </c>
      <c r="P28" s="2">
        <v>18777.776999999998</v>
      </c>
      <c r="Q28" s="2">
        <v>20161.400000000001</v>
      </c>
      <c r="R28" s="2">
        <v>19735.18</v>
      </c>
      <c r="S28" s="2">
        <v>23466.16</v>
      </c>
      <c r="T28" s="2">
        <v>25466.808000000001</v>
      </c>
      <c r="U28" s="2">
        <v>25246.6</v>
      </c>
      <c r="V28" s="2">
        <v>25907.95</v>
      </c>
    </row>
    <row r="29" spans="2:124" s="2" customFormat="1" x14ac:dyDescent="0.25">
      <c r="B29" s="2" t="s">
        <v>4</v>
      </c>
      <c r="I29" s="2">
        <f>3945.145+623.6+272+242.65+19384.22</f>
        <v>24467.615000000002</v>
      </c>
      <c r="O29" s="2">
        <f>799.63+331.5+49+266.986+7644.318</f>
        <v>9091.4340000000011</v>
      </c>
      <c r="P29" s="2">
        <f>899.677+302+38.3+651.866+7767.378</f>
        <v>9659.2209999999995</v>
      </c>
      <c r="Q29" s="2">
        <f>1285.735+305.3+46.1+8101.7</f>
        <v>9738.8349999999991</v>
      </c>
      <c r="R29" s="2">
        <f>1188.5+360.1+47.5+47.46+6350.93</f>
        <v>7994.49</v>
      </c>
      <c r="S29" s="2">
        <f>1646.84+775.5+488.2+74.55+78.5+8355.37</f>
        <v>11418.960000000001</v>
      </c>
      <c r="T29" s="2">
        <f>1186.6+1434.2+563.7+70.1+94.9+8414.11</f>
        <v>11763.61</v>
      </c>
      <c r="U29" s="2">
        <f>961.8+409.3+353.4+252.7+56.7+17957.956</f>
        <v>19991.856</v>
      </c>
      <c r="V29" s="2">
        <f>2243.131+545.98+251.97+127.24+18847.2</f>
        <v>22015.521000000001</v>
      </c>
    </row>
    <row r="30" spans="2:124" s="12" customFormat="1" x14ac:dyDescent="0.25">
      <c r="B30" s="12" t="s">
        <v>59</v>
      </c>
      <c r="C30" s="12">
        <f t="shared" ref="C30" si="84">+C27-C29</f>
        <v>0</v>
      </c>
      <c r="D30" s="12">
        <f t="shared" ref="D30" si="85">+D27-D29</f>
        <v>0</v>
      </c>
      <c r="E30" s="12">
        <f t="shared" ref="E30" si="86">+E27-E29</f>
        <v>0</v>
      </c>
      <c r="F30" s="12">
        <f t="shared" ref="F30" si="87">+F27-F29</f>
        <v>0</v>
      </c>
      <c r="G30" s="12">
        <f t="shared" ref="G30" si="88">+G27-G29</f>
        <v>0</v>
      </c>
      <c r="H30" s="12">
        <f t="shared" ref="H30" si="89">+H27-H29</f>
        <v>0</v>
      </c>
      <c r="I30" s="12">
        <f t="shared" ref="I30" si="90">+I27-I29</f>
        <v>-22837.895</v>
      </c>
      <c r="J30" s="12">
        <f t="shared" ref="J30" si="91">+J27-J29</f>
        <v>0</v>
      </c>
      <c r="O30" s="12">
        <f t="shared" ref="O30" si="92">+O27-O29</f>
        <v>-8902.1930000000011</v>
      </c>
      <c r="P30" s="12">
        <f t="shared" ref="P30" si="93">+P27-P29</f>
        <v>-9403.0560000000005</v>
      </c>
      <c r="Q30" s="12">
        <f t="shared" ref="Q30" si="94">+Q27-Q29</f>
        <v>-9606.232</v>
      </c>
      <c r="R30" s="12">
        <f t="shared" ref="R30" si="95">+R27-R29</f>
        <v>-7775.0599999999995</v>
      </c>
      <c r="S30" s="12">
        <f t="shared" ref="S30" si="96">+S27-S29</f>
        <v>-11111.51</v>
      </c>
      <c r="T30" s="12">
        <f t="shared" ref="T30" si="97">+T27-T29</f>
        <v>-11498.11</v>
      </c>
      <c r="U30" s="12">
        <f t="shared" ref="U30" si="98">+U27-U29</f>
        <v>-16237.356</v>
      </c>
      <c r="V30" s="12">
        <f t="shared" ref="V30" si="99">+V27-V29</f>
        <v>-19259.566999999999</v>
      </c>
      <c r="W30" s="12">
        <f>I30+300</f>
        <v>-22537.895</v>
      </c>
      <c r="X30" s="12">
        <f>W30+X22</f>
        <v>-22865.683665717777</v>
      </c>
      <c r="Y30" s="12">
        <f t="shared" ref="Y30:AG30" si="100">X30+Y22</f>
        <v>-22031.380072824591</v>
      </c>
      <c r="Z30" s="12">
        <f t="shared" si="100"/>
        <v>-20955.581457685115</v>
      </c>
      <c r="AA30" s="12">
        <f t="shared" si="100"/>
        <v>-19546.876670804835</v>
      </c>
      <c r="AB30" s="12">
        <f t="shared" si="100"/>
        <v>-17785.474122735053</v>
      </c>
      <c r="AC30" s="12">
        <f t="shared" si="100"/>
        <v>-15473.047975698755</v>
      </c>
      <c r="AD30" s="12">
        <f t="shared" si="100"/>
        <v>-12984.295977719059</v>
      </c>
      <c r="AE30" s="12">
        <f t="shared" si="100"/>
        <v>-10309.894657593351</v>
      </c>
      <c r="AF30" s="12">
        <f t="shared" si="100"/>
        <v>-7440.0880564281379</v>
      </c>
      <c r="AG30" s="12">
        <f t="shared" si="100"/>
        <v>-4058.6457834013381</v>
      </c>
    </row>
    <row r="32" spans="2:124" s="2" customFormat="1" x14ac:dyDescent="0.25">
      <c r="B32" s="2" t="s">
        <v>56</v>
      </c>
      <c r="O32" s="2">
        <f>72.97+3724.218</f>
        <v>3797.1879999999996</v>
      </c>
      <c r="P32" s="2">
        <f>68+4118.55</f>
        <v>4186.55</v>
      </c>
      <c r="Q32" s="2">
        <f>88.24+6365.57</f>
        <v>6453.8099999999995</v>
      </c>
      <c r="R32" s="2">
        <f>51.6+7835</f>
        <v>7886.6</v>
      </c>
      <c r="S32" s="2">
        <f>81.959+6963.5+3965.45</f>
        <v>11010.909</v>
      </c>
      <c r="T32" s="2">
        <f>50.3+4060.24+25613.111</f>
        <v>29723.651000000002</v>
      </c>
      <c r="U32" s="2">
        <f>374.715+3845.133+7837.635</f>
        <v>12057.483</v>
      </c>
      <c r="V32" s="2">
        <f>201.7+2296.99+135.4+414.57</f>
        <v>3048.66</v>
      </c>
      <c r="W32" s="2">
        <f>222.8+5135.323</f>
        <v>5358.1230000000005</v>
      </c>
    </row>
    <row r="33" spans="1:33" s="2" customFormat="1" x14ac:dyDescent="0.25">
      <c r="B33" s="2" t="s">
        <v>57</v>
      </c>
      <c r="O33" s="2">
        <v>0</v>
      </c>
      <c r="P33" s="2">
        <v>0</v>
      </c>
      <c r="Q33" s="2">
        <v>0</v>
      </c>
      <c r="R33" s="2">
        <v>0</v>
      </c>
      <c r="S33" s="2">
        <v>4730.3</v>
      </c>
      <c r="T33" s="2">
        <v>26240.5</v>
      </c>
      <c r="U33" s="2">
        <v>6765.8</v>
      </c>
      <c r="V33" s="2">
        <v>0</v>
      </c>
    </row>
    <row r="34" spans="1:33" x14ac:dyDescent="0.25">
      <c r="B34" s="2" t="s">
        <v>58</v>
      </c>
      <c r="C34" s="2">
        <f t="shared" ref="C34:U34" si="101">+C32-C33</f>
        <v>0</v>
      </c>
      <c r="D34" s="2">
        <f t="shared" si="101"/>
        <v>0</v>
      </c>
      <c r="E34" s="2">
        <f t="shared" si="101"/>
        <v>0</v>
      </c>
      <c r="F34" s="2">
        <f t="shared" si="101"/>
        <v>0</v>
      </c>
      <c r="G34" s="2">
        <f t="shared" si="101"/>
        <v>0</v>
      </c>
      <c r="H34" s="2">
        <f t="shared" si="101"/>
        <v>0</v>
      </c>
      <c r="I34" s="2">
        <f t="shared" si="101"/>
        <v>0</v>
      </c>
      <c r="J34" s="2">
        <f t="shared" si="101"/>
        <v>0</v>
      </c>
      <c r="K34" s="2"/>
      <c r="L34" s="2"/>
      <c r="M34" s="2"/>
      <c r="N34" s="2"/>
      <c r="O34" s="2">
        <f t="shared" si="101"/>
        <v>3797.1879999999996</v>
      </c>
      <c r="P34" s="2">
        <f t="shared" si="101"/>
        <v>4186.55</v>
      </c>
      <c r="Q34" s="2">
        <f t="shared" si="101"/>
        <v>6453.8099999999995</v>
      </c>
      <c r="R34" s="2">
        <f t="shared" si="101"/>
        <v>7886.6</v>
      </c>
      <c r="S34" s="2">
        <f t="shared" si="101"/>
        <v>6280.6089999999995</v>
      </c>
      <c r="T34" s="2">
        <f t="shared" si="101"/>
        <v>3483.1510000000017</v>
      </c>
      <c r="U34" s="2">
        <f t="shared" si="101"/>
        <v>5291.683</v>
      </c>
      <c r="V34" s="2">
        <f>+V32-V33</f>
        <v>3048.66</v>
      </c>
      <c r="W34" s="2">
        <f>+W32-W33</f>
        <v>5358.1230000000005</v>
      </c>
    </row>
    <row r="38" spans="1:33" s="36" customFormat="1" x14ac:dyDescent="0.25">
      <c r="A38" s="36" t="s">
        <v>82</v>
      </c>
      <c r="B38" s="36" t="s">
        <v>17</v>
      </c>
      <c r="P38" s="36">
        <f>P5/O5-1</f>
        <v>2.7895376268586736E-2</v>
      </c>
      <c r="Q38" s="36">
        <f t="shared" ref="Q38:Z38" si="102">Q5/P5-1</f>
        <v>2.3779772914314545E-2</v>
      </c>
      <c r="R38" s="36">
        <f t="shared" si="102"/>
        <v>3.3125716478234146E-2</v>
      </c>
      <c r="S38" s="36">
        <f t="shared" si="102"/>
        <v>8.1564206350743573E-2</v>
      </c>
      <c r="T38" s="36">
        <f t="shared" si="102"/>
        <v>0.15344987218014228</v>
      </c>
      <c r="U38" s="36">
        <f t="shared" si="102"/>
        <v>-0.79829475071678346</v>
      </c>
      <c r="V38" s="36">
        <f t="shared" si="102"/>
        <v>-0.30634438078508508</v>
      </c>
      <c r="W38" s="36">
        <f t="shared" si="102"/>
        <v>5.0239323825996145</v>
      </c>
      <c r="X38" s="36">
        <f t="shared" si="102"/>
        <v>0.24791942425089597</v>
      </c>
      <c r="Y38" s="36">
        <f t="shared" si="102"/>
        <v>0.16488455926349643</v>
      </c>
      <c r="Z38" s="36">
        <f t="shared" si="102"/>
        <v>2.8999999999999915E-2</v>
      </c>
      <c r="AA38" s="36">
        <v>0.04</v>
      </c>
      <c r="AB38" s="36">
        <v>0.04</v>
      </c>
      <c r="AC38" s="36">
        <v>0.03</v>
      </c>
      <c r="AD38" s="36">
        <v>0.03</v>
      </c>
      <c r="AE38" s="36">
        <v>0.03</v>
      </c>
      <c r="AF38" s="36">
        <v>0.03</v>
      </c>
      <c r="AG38" s="36">
        <v>0.03</v>
      </c>
    </row>
    <row r="39" spans="1:33" s="36" customFormat="1" x14ac:dyDescent="0.25"/>
    <row r="40" spans="1:33" s="36" customFormat="1" x14ac:dyDescent="0.25">
      <c r="A40" s="36" t="s">
        <v>82</v>
      </c>
      <c r="B40" s="36" t="s">
        <v>95</v>
      </c>
      <c r="P40" s="36">
        <f>P18/O30</f>
        <v>2.9846578253246141E-2</v>
      </c>
      <c r="Q40" s="36">
        <f t="shared" ref="Q40:W40" si="103">Q18/P30</f>
        <v>1.6820488998470284E-2</v>
      </c>
      <c r="R40" s="36">
        <f t="shared" si="103"/>
        <v>1.182877948398498E-2</v>
      </c>
      <c r="S40" s="36">
        <f t="shared" si="103"/>
        <v>1.1588335009633362E-2</v>
      </c>
      <c r="T40" s="36">
        <f t="shared" si="103"/>
        <v>1.355243346763851E-2</v>
      </c>
      <c r="U40" s="36">
        <f t="shared" si="103"/>
        <v>9.0148728791079574E-2</v>
      </c>
      <c r="V40" s="36">
        <f t="shared" si="103"/>
        <v>8.6866544035863968E-2</v>
      </c>
      <c r="W40" s="36">
        <f t="shared" si="103"/>
        <v>5.9565202062953966E-2</v>
      </c>
      <c r="X40" s="36">
        <v>0.06</v>
      </c>
      <c r="Y40" s="36">
        <v>0.06</v>
      </c>
      <c r="Z40" s="36">
        <v>0.06</v>
      </c>
      <c r="AA40" s="36">
        <v>5.5E-2</v>
      </c>
      <c r="AB40" s="36">
        <v>0.05</v>
      </c>
      <c r="AC40" s="36">
        <v>4.4999999999999998E-2</v>
      </c>
      <c r="AD40" s="36">
        <v>4.4999999999999998E-2</v>
      </c>
      <c r="AE40" s="36">
        <v>4.4999999999999998E-2</v>
      </c>
      <c r="AF40" s="36">
        <v>4.4999999999999998E-2</v>
      </c>
      <c r="AG40" s="36">
        <v>4.4999999999999998E-2</v>
      </c>
    </row>
    <row r="41" spans="1:33" s="36" customFormat="1" x14ac:dyDescent="0.25">
      <c r="A41" s="36" t="s">
        <v>82</v>
      </c>
      <c r="B41" s="36" t="s">
        <v>96</v>
      </c>
      <c r="O41" s="36">
        <f>O21/O20</f>
        <v>-5.365719595346221E-2</v>
      </c>
      <c r="P41" s="36">
        <f t="shared" ref="P41:AG41" si="104">P21/P20</f>
        <v>-1.5019209569038801E-2</v>
      </c>
      <c r="Q41" s="36">
        <f t="shared" si="104"/>
        <v>2.0320483951648464E-3</v>
      </c>
      <c r="R41" s="36">
        <f t="shared" si="104"/>
        <v>1.0644385240606183E-3</v>
      </c>
      <c r="S41" s="36">
        <f t="shared" si="104"/>
        <v>4.265337592245841E-3</v>
      </c>
      <c r="T41" s="36">
        <f t="shared" si="104"/>
        <v>4.062698711836189E-3</v>
      </c>
      <c r="U41" s="36">
        <f t="shared" si="104"/>
        <v>1.523760710695848E-3</v>
      </c>
      <c r="V41" s="36">
        <f t="shared" si="104"/>
        <v>8.1700970910698074E-3</v>
      </c>
      <c r="W41" s="36">
        <f t="shared" si="104"/>
        <v>1.2007343058757411E-2</v>
      </c>
      <c r="X41" s="36">
        <v>5.0000000000000001E-3</v>
      </c>
      <c r="Y41" s="36">
        <v>0.01</v>
      </c>
      <c r="Z41" s="36">
        <v>0.02</v>
      </c>
      <c r="AA41" s="36">
        <v>0.03</v>
      </c>
      <c r="AB41" s="36">
        <v>0.03</v>
      </c>
      <c r="AC41" s="36">
        <v>0.03</v>
      </c>
      <c r="AD41" s="36">
        <v>0.03</v>
      </c>
      <c r="AE41" s="36">
        <v>0.03</v>
      </c>
      <c r="AF41" s="36">
        <v>0.03</v>
      </c>
      <c r="AG41" s="36">
        <v>0.03</v>
      </c>
    </row>
    <row r="42" spans="1:33" s="33" customFormat="1" x14ac:dyDescent="0.25"/>
    <row r="43" spans="1:33" s="33" customFormat="1" x14ac:dyDescent="0.25">
      <c r="B43" s="33" t="s">
        <v>79</v>
      </c>
      <c r="C43" s="33">
        <f>C13/C5</f>
        <v>-5.7475127338506207</v>
      </c>
      <c r="D43" s="33">
        <f t="shared" ref="D43:AG43" si="105">D13/D5</f>
        <v>-7.3457760314341831</v>
      </c>
      <c r="E43" s="33">
        <f t="shared" si="105"/>
        <v>-0.78062316449214131</v>
      </c>
      <c r="F43" s="33">
        <f t="shared" si="105"/>
        <v>-0.15601896815361857</v>
      </c>
      <c r="G43" s="33">
        <f t="shared" si="105"/>
        <v>-0.11851083997024245</v>
      </c>
      <c r="H43" s="33">
        <f t="shared" si="105"/>
        <v>0.22585843787198964</v>
      </c>
      <c r="I43" s="33">
        <f t="shared" si="105"/>
        <v>0.34641154399997326</v>
      </c>
      <c r="J43" s="33" t="e">
        <f t="shared" si="105"/>
        <v>#DIV/0!</v>
      </c>
      <c r="O43" s="33">
        <f t="shared" si="105"/>
        <v>0.34277798427441097</v>
      </c>
      <c r="P43" s="33">
        <f t="shared" si="105"/>
        <v>0.38554922419018034</v>
      </c>
      <c r="Q43" s="33">
        <f t="shared" si="105"/>
        <v>0.40969055202073346</v>
      </c>
      <c r="R43" s="33">
        <f t="shared" si="105"/>
        <v>0.44218016443624697</v>
      </c>
      <c r="S43" s="33">
        <f t="shared" si="105"/>
        <v>0.44572106304831671</v>
      </c>
      <c r="T43" s="33">
        <f t="shared" si="105"/>
        <v>0.44635467990642019</v>
      </c>
      <c r="U43" s="33">
        <f t="shared" si="105"/>
        <v>-0.25187148707106333</v>
      </c>
      <c r="V43" s="33">
        <f t="shared" si="105"/>
        <v>-0.73448552687400059</v>
      </c>
      <c r="W43" s="33">
        <f t="shared" si="105"/>
        <v>0.26452570694533045</v>
      </c>
      <c r="X43" s="33">
        <f t="shared" si="105"/>
        <v>0.35880529765127889</v>
      </c>
      <c r="Y43" s="33">
        <f t="shared" si="105"/>
        <v>0.40506636681267544</v>
      </c>
      <c r="Z43" s="33">
        <f t="shared" si="105"/>
        <v>0.40526045868682609</v>
      </c>
      <c r="AA43" s="33">
        <f t="shared" si="105"/>
        <v>0.41141778345293178</v>
      </c>
      <c r="AB43" s="33">
        <f t="shared" si="105"/>
        <v>0.41705645943587949</v>
      </c>
      <c r="AC43" s="33">
        <f t="shared" si="105"/>
        <v>0.41703446056405169</v>
      </c>
      <c r="AD43" s="33">
        <f t="shared" si="105"/>
        <v>0.41591031058149286</v>
      </c>
      <c r="AE43" s="33">
        <f t="shared" si="105"/>
        <v>0.41477879542907486</v>
      </c>
      <c r="AF43" s="33">
        <f t="shared" si="105"/>
        <v>0.41363986935346791</v>
      </c>
      <c r="AG43" s="33">
        <f t="shared" si="105"/>
        <v>0.43071831976064845</v>
      </c>
    </row>
    <row r="44" spans="1:33" s="33" customFormat="1" x14ac:dyDescent="0.25">
      <c r="B44" s="33" t="s">
        <v>80</v>
      </c>
      <c r="C44" s="33">
        <f>C17/C5</f>
        <v>-19.260056171752272</v>
      </c>
      <c r="D44" s="33">
        <f t="shared" ref="D44:AG44" si="106">D17/D5</f>
        <v>-20.108251473477406</v>
      </c>
      <c r="E44" s="33">
        <f t="shared" si="106"/>
        <v>-2.2010863142783359</v>
      </c>
      <c r="F44" s="33">
        <f t="shared" si="106"/>
        <v>-1.0504521123347974</v>
      </c>
      <c r="G44" s="33">
        <f t="shared" si="106"/>
        <v>-0.81118795953279166</v>
      </c>
      <c r="H44" s="33">
        <f t="shared" si="106"/>
        <v>-0.10014192839483578</v>
      </c>
      <c r="I44" s="33">
        <f t="shared" si="106"/>
        <v>9.9709662654064252E-2</v>
      </c>
      <c r="J44" s="33" t="e">
        <f t="shared" si="106"/>
        <v>#DIV/0!</v>
      </c>
      <c r="O44" s="33">
        <f t="shared" si="106"/>
        <v>0.11665120728693519</v>
      </c>
      <c r="P44" s="33">
        <f t="shared" si="106"/>
        <v>0.10542542718641969</v>
      </c>
      <c r="Q44" s="33">
        <f t="shared" si="106"/>
        <v>0.1738671110891411</v>
      </c>
      <c r="R44" s="33">
        <f t="shared" si="106"/>
        <v>0.19870424146176682</v>
      </c>
      <c r="S44" s="33">
        <f t="shared" si="106"/>
        <v>0.19958225500140625</v>
      </c>
      <c r="T44" s="33">
        <f t="shared" si="106"/>
        <v>0.19018831472851352</v>
      </c>
      <c r="U44" s="33">
        <f t="shared" si="106"/>
        <v>-2.0832825894544791</v>
      </c>
      <c r="V44" s="33">
        <f t="shared" si="106"/>
        <v>-2.5260855660346571</v>
      </c>
      <c r="W44" s="33">
        <f t="shared" si="106"/>
        <v>-5.2124541473663778E-2</v>
      </c>
      <c r="X44" s="33">
        <f t="shared" si="106"/>
        <v>8.8805297651278911E-2</v>
      </c>
      <c r="Y44" s="33">
        <f t="shared" si="106"/>
        <v>0.16506636681267545</v>
      </c>
      <c r="Z44" s="33">
        <f t="shared" si="106"/>
        <v>0.17526045868682605</v>
      </c>
      <c r="AA44" s="33">
        <f t="shared" si="106"/>
        <v>0.18141778345293175</v>
      </c>
      <c r="AB44" s="33">
        <f t="shared" si="106"/>
        <v>0.1870564594358794</v>
      </c>
      <c r="AC44" s="33">
        <f t="shared" si="106"/>
        <v>0.2070344605640517</v>
      </c>
      <c r="AD44" s="33">
        <f t="shared" si="106"/>
        <v>0.20591031058149289</v>
      </c>
      <c r="AE44" s="33">
        <f t="shared" si="106"/>
        <v>0.20477879542907487</v>
      </c>
      <c r="AF44" s="33">
        <f t="shared" si="106"/>
        <v>0.20363986935346792</v>
      </c>
      <c r="AG44" s="33">
        <f t="shared" si="106"/>
        <v>0.22071831976064843</v>
      </c>
    </row>
    <row r="45" spans="1:33" s="33" customFormat="1" x14ac:dyDescent="0.25"/>
    <row r="46" spans="1:33" s="33" customFormat="1" x14ac:dyDescent="0.25">
      <c r="B46" s="33" t="s">
        <v>92</v>
      </c>
      <c r="C46" s="33">
        <f>C8/C$5</f>
        <v>2.3001856524015802</v>
      </c>
      <c r="D46" s="33">
        <f t="shared" ref="D46:J46" si="107">D8/D$5</f>
        <v>3.2927308447937125</v>
      </c>
      <c r="E46" s="33">
        <f t="shared" si="107"/>
        <v>0.58204473934147127</v>
      </c>
      <c r="F46" s="33">
        <f t="shared" si="107"/>
        <v>0.31342450915117714</v>
      </c>
      <c r="G46" s="33">
        <f t="shared" si="107"/>
        <v>0.33006869153761037</v>
      </c>
      <c r="H46" s="33">
        <f t="shared" si="107"/>
        <v>0.14975734822818426</v>
      </c>
      <c r="I46" s="33">
        <f t="shared" si="107"/>
        <v>0.10169157420307577</v>
      </c>
      <c r="J46" s="33" t="e">
        <f t="shared" si="107"/>
        <v>#DIV/0!</v>
      </c>
      <c r="O46" s="33">
        <f t="shared" ref="O46:AG46" si="108">O8/O$5</f>
        <v>0.10498588838753076</v>
      </c>
      <c r="P46" s="33">
        <f t="shared" si="108"/>
        <v>0.10383934585441501</v>
      </c>
      <c r="Q46" s="33">
        <f t="shared" si="108"/>
        <v>0.10391317755007402</v>
      </c>
      <c r="R46" s="33">
        <f t="shared" si="108"/>
        <v>9.7175054996257643E-2</v>
      </c>
      <c r="S46" s="33">
        <f t="shared" si="108"/>
        <v>9.7430647062355241E-2</v>
      </c>
      <c r="T46" s="33">
        <f t="shared" si="108"/>
        <v>9.8543859057954236E-2</v>
      </c>
      <c r="U46" s="33">
        <f t="shared" si="108"/>
        <v>0.3568898114591374</v>
      </c>
      <c r="V46" s="33">
        <f t="shared" si="108"/>
        <v>0.54699605130046014</v>
      </c>
      <c r="W46" s="33">
        <f t="shared" si="108"/>
        <v>0.13927607445982307</v>
      </c>
      <c r="X46" s="33">
        <f t="shared" si="108"/>
        <v>0.11637828277945172</v>
      </c>
      <c r="Y46" s="33">
        <f t="shared" si="108"/>
        <v>0.10400167140915245</v>
      </c>
      <c r="Z46" s="33">
        <f t="shared" si="108"/>
        <v>0.10390060078581996</v>
      </c>
      <c r="AA46" s="33">
        <f t="shared" si="108"/>
        <v>0.10270174769982973</v>
      </c>
      <c r="AB46" s="33">
        <f t="shared" si="108"/>
        <v>0.10151672753406246</v>
      </c>
      <c r="AC46" s="33">
        <f t="shared" si="108"/>
        <v>0.10131960767477302</v>
      </c>
      <c r="AD46" s="33">
        <f t="shared" si="108"/>
        <v>0.10112287057249192</v>
      </c>
      <c r="AE46" s="33">
        <f t="shared" si="108"/>
        <v>0.10092651548400165</v>
      </c>
      <c r="AF46" s="33">
        <f t="shared" si="108"/>
        <v>0.10073054166752786</v>
      </c>
      <c r="AG46" s="33">
        <f t="shared" si="108"/>
        <v>9.779664239565812E-2</v>
      </c>
    </row>
    <row r="47" spans="1:33" s="33" customFormat="1" x14ac:dyDescent="0.25">
      <c r="B47" s="33" t="s">
        <v>93</v>
      </c>
      <c r="C47" s="33">
        <f>C9/C$5</f>
        <v>0.20231351454277144</v>
      </c>
      <c r="D47" s="33">
        <f t="shared" ref="D47:J47" si="109">D9/D$5</f>
        <v>0.33791748526522586</v>
      </c>
      <c r="E47" s="33">
        <f t="shared" si="109"/>
        <v>0.10712144223320305</v>
      </c>
      <c r="F47" s="33">
        <f t="shared" si="109"/>
        <v>9.1369245773599728E-2</v>
      </c>
      <c r="G47" s="33">
        <f t="shared" si="109"/>
        <v>9.4578315527912779E-2</v>
      </c>
      <c r="H47" s="33">
        <f t="shared" si="109"/>
        <v>7.105576412416445E-2</v>
      </c>
      <c r="I47" s="33">
        <f t="shared" si="109"/>
        <v>6.5137133444924444E-2</v>
      </c>
      <c r="J47" s="33" t="e">
        <f t="shared" si="109"/>
        <v>#DIV/0!</v>
      </c>
      <c r="O47" s="33">
        <f t="shared" ref="O47:AG47" si="110">O9/O$5</f>
        <v>5.9219601263189654E-2</v>
      </c>
      <c r="P47" s="33">
        <f t="shared" si="110"/>
        <v>5.7837805922832317E-2</v>
      </c>
      <c r="Q47" s="33">
        <f t="shared" si="110"/>
        <v>5.7161722231245632E-2</v>
      </c>
      <c r="R47" s="33">
        <f t="shared" si="110"/>
        <v>5.61468784568466E-2</v>
      </c>
      <c r="S47" s="33">
        <f t="shared" si="110"/>
        <v>5.4867213758830732E-2</v>
      </c>
      <c r="T47" s="33">
        <f t="shared" si="110"/>
        <v>5.3321001653142824E-2</v>
      </c>
      <c r="U47" s="33">
        <f t="shared" si="110"/>
        <v>7.3252278947213548E-2</v>
      </c>
      <c r="V47" s="33">
        <f t="shared" si="110"/>
        <v>0.10730019906667101</v>
      </c>
      <c r="W47" s="33">
        <f t="shared" si="110"/>
        <v>6.9916598480015552E-2</v>
      </c>
      <c r="X47" s="33">
        <f t="shared" si="110"/>
        <v>6.1311171365603538E-2</v>
      </c>
      <c r="Y47" s="33">
        <f t="shared" si="110"/>
        <v>5.7169450364282871E-2</v>
      </c>
      <c r="Z47" s="33">
        <f t="shared" si="110"/>
        <v>5.7169450364282878E-2</v>
      </c>
      <c r="AA47" s="33">
        <f t="shared" si="110"/>
        <v>5.6564773485429876E-2</v>
      </c>
      <c r="AB47" s="33">
        <f t="shared" si="110"/>
        <v>5.5966492227410902E-2</v>
      </c>
      <c r="AC47" s="33">
        <f t="shared" si="110"/>
        <v>5.5912155827190113E-2</v>
      </c>
      <c r="AD47" s="33">
        <f t="shared" si="110"/>
        <v>5.5857872180755941E-2</v>
      </c>
      <c r="AE47" s="33">
        <f t="shared" si="110"/>
        <v>5.5803641236891126E-2</v>
      </c>
      <c r="AF47" s="33">
        <f t="shared" si="110"/>
        <v>5.5749462944428119E-2</v>
      </c>
      <c r="AG47" s="33">
        <f t="shared" si="110"/>
        <v>5.4125692179056425E-2</v>
      </c>
    </row>
    <row r="48" spans="1:33" s="33" customFormat="1" x14ac:dyDescent="0.25">
      <c r="B48" s="33" t="s">
        <v>94</v>
      </c>
      <c r="C48" s="33">
        <f>C10/C$5</f>
        <v>0.99490645975151126</v>
      </c>
      <c r="D48" s="33">
        <f t="shared" ref="D48:J48" si="111">D10/D$5</f>
        <v>1.161100196463654</v>
      </c>
      <c r="E48" s="33">
        <f t="shared" si="111"/>
        <v>0.25849202771370672</v>
      </c>
      <c r="F48" s="33">
        <f t="shared" si="111"/>
        <v>0.16927997980205201</v>
      </c>
      <c r="G48" s="33">
        <f t="shared" si="111"/>
        <v>0.17794091545918345</v>
      </c>
      <c r="H48" s="33">
        <f t="shared" si="111"/>
        <v>0.12599578793150812</v>
      </c>
      <c r="I48" s="33">
        <f t="shared" si="111"/>
        <v>0.10564403772714971</v>
      </c>
      <c r="J48" s="33" t="e">
        <f t="shared" si="111"/>
        <v>#DIV/0!</v>
      </c>
      <c r="O48" s="33">
        <f t="shared" ref="O48:AG48" si="112">O10/O$5</f>
        <v>0.1173405936476131</v>
      </c>
      <c r="P48" s="33">
        <f t="shared" si="112"/>
        <v>9.5890262402895748E-2</v>
      </c>
      <c r="Q48" s="33">
        <f t="shared" si="112"/>
        <v>8.3996553842677263E-2</v>
      </c>
      <c r="R48" s="33">
        <f t="shared" si="112"/>
        <v>7.7593994898534621E-2</v>
      </c>
      <c r="S48" s="33">
        <f t="shared" si="112"/>
        <v>7.4848612203926135E-2</v>
      </c>
      <c r="T48" s="33">
        <f t="shared" si="112"/>
        <v>6.3736815060502772E-2</v>
      </c>
      <c r="U48" s="33">
        <f t="shared" si="112"/>
        <v>0.1679686527330389</v>
      </c>
      <c r="V48" s="33">
        <f t="shared" si="112"/>
        <v>0.25147668309238652</v>
      </c>
      <c r="W48" s="33">
        <f t="shared" si="112"/>
        <v>0.11875745430338668</v>
      </c>
      <c r="X48" s="33">
        <f t="shared" si="112"/>
        <v>0.10333289553861486</v>
      </c>
      <c r="Y48" s="33">
        <f t="shared" si="112"/>
        <v>9.5718867091909285E-2</v>
      </c>
      <c r="Z48" s="33">
        <f t="shared" si="112"/>
        <v>9.5625845841091114E-2</v>
      </c>
      <c r="AA48" s="33">
        <f t="shared" si="112"/>
        <v>9.4522470696770833E-2</v>
      </c>
      <c r="AB48" s="33">
        <f t="shared" si="112"/>
        <v>9.3886261759388703E-2</v>
      </c>
      <c r="AC48" s="33">
        <f t="shared" si="112"/>
        <v>9.4159716890726719E-2</v>
      </c>
      <c r="AD48" s="33">
        <f t="shared" si="112"/>
        <v>9.4891054497644997E-2</v>
      </c>
      <c r="AE48" s="33">
        <f t="shared" si="112"/>
        <v>9.5628072396655814E-2</v>
      </c>
      <c r="AF48" s="33">
        <f t="shared" si="112"/>
        <v>9.6370814706532762E-2</v>
      </c>
      <c r="AG48" s="33">
        <f t="shared" si="112"/>
        <v>9.356389777333278E-2</v>
      </c>
    </row>
    <row r="49" spans="1:33" s="33" customFormat="1" x14ac:dyDescent="0.25">
      <c r="A49" s="33" t="s">
        <v>82</v>
      </c>
      <c r="B49" s="33" t="s">
        <v>89</v>
      </c>
      <c r="C49" s="33">
        <f>C14/C$5</f>
        <v>6.1408102061217686</v>
      </c>
      <c r="D49" s="33">
        <f t="shared" ref="D49:J49" si="113">D14/D$5</f>
        <v>5.6100196463654219</v>
      </c>
      <c r="E49" s="33">
        <f t="shared" si="113"/>
        <v>0.70777183023385082</v>
      </c>
      <c r="F49" s="33">
        <f t="shared" si="113"/>
        <v>0.51220530236857587</v>
      </c>
      <c r="G49" s="33">
        <f t="shared" si="113"/>
        <v>0.37199734146000668</v>
      </c>
      <c r="H49" s="33">
        <f t="shared" si="113"/>
        <v>0.17006226536031499</v>
      </c>
      <c r="I49" s="33">
        <f t="shared" si="113"/>
        <v>0.12465996451803665</v>
      </c>
      <c r="J49" s="33" t="e">
        <f t="shared" si="113"/>
        <v>#DIV/0!</v>
      </c>
      <c r="O49" s="33">
        <f t="shared" ref="O49:AG49" si="114">O14/O$5</f>
        <v>0.1299194795244448</v>
      </c>
      <c r="P49" s="33">
        <f t="shared" si="114"/>
        <v>0.13091828361491106</v>
      </c>
      <c r="Q49" s="33">
        <f t="shared" si="114"/>
        <v>0.13049496140727507</v>
      </c>
      <c r="R49" s="33">
        <f t="shared" si="114"/>
        <v>0.1351125045141931</v>
      </c>
      <c r="S49" s="33">
        <f t="shared" si="114"/>
        <v>0.13725756622985666</v>
      </c>
      <c r="T49" s="33">
        <f t="shared" si="114"/>
        <v>0.14238871695095556</v>
      </c>
      <c r="U49" s="33">
        <f t="shared" si="114"/>
        <v>0.54309909657031741</v>
      </c>
      <c r="V49" s="33">
        <f t="shared" si="114"/>
        <v>0.89423359331658114</v>
      </c>
      <c r="W49" s="33">
        <f t="shared" si="114"/>
        <v>0.16379011455357392</v>
      </c>
      <c r="X49" s="33">
        <v>0.15</v>
      </c>
      <c r="Y49" s="33">
        <v>0.14000000000000001</v>
      </c>
      <c r="Z49" s="33">
        <v>0.13</v>
      </c>
      <c r="AA49" s="33">
        <v>0.13</v>
      </c>
      <c r="AB49" s="33">
        <v>0.13</v>
      </c>
      <c r="AC49" s="33">
        <v>0.12</v>
      </c>
      <c r="AD49" s="33">
        <v>0.12</v>
      </c>
      <c r="AE49" s="33">
        <v>0.12</v>
      </c>
      <c r="AF49" s="33">
        <v>0.12</v>
      </c>
      <c r="AG49" s="33">
        <v>0.12</v>
      </c>
    </row>
    <row r="50" spans="1:33" s="33" customFormat="1" x14ac:dyDescent="0.25"/>
    <row r="51" spans="1:33" s="33" customFormat="1" x14ac:dyDescent="0.25">
      <c r="A51" s="33" t="s">
        <v>82</v>
      </c>
      <c r="B51" s="33" t="s">
        <v>90</v>
      </c>
      <c r="C51" s="33">
        <f>C15/C$5</f>
        <v>7.382443947255676</v>
      </c>
      <c r="D51" s="33">
        <f t="shared" ref="D51:J51" si="115">D15/D$5</f>
        <v>6.3544204322200386</v>
      </c>
      <c r="E51" s="33">
        <f t="shared" si="115"/>
        <v>0.71319464808581956</v>
      </c>
      <c r="F51" s="33">
        <f t="shared" si="115"/>
        <v>0.33940900641162702</v>
      </c>
      <c r="G51" s="33">
        <f t="shared" si="115"/>
        <v>0.32051645160437597</v>
      </c>
      <c r="H51" s="33">
        <f t="shared" si="115"/>
        <v>0.16092848640234411</v>
      </c>
      <c r="I51" s="33">
        <f t="shared" si="115"/>
        <v>0.1186340446431256</v>
      </c>
      <c r="J51" s="33" t="e">
        <f t="shared" si="115"/>
        <v>#DIV/0!</v>
      </c>
      <c r="O51" s="33">
        <f t="shared" ref="O51:AG51" si="116">O15/O$5</f>
        <v>9.5672484256885237E-2</v>
      </c>
      <c r="P51" s="33">
        <f t="shared" si="116"/>
        <v>9.9649719787879856E-2</v>
      </c>
      <c r="Q51" s="33">
        <f t="shared" si="116"/>
        <v>0.1053284795243173</v>
      </c>
      <c r="R51" s="33">
        <f t="shared" si="116"/>
        <v>0.10836341846028708</v>
      </c>
      <c r="S51" s="33">
        <f t="shared" si="116"/>
        <v>0.10888124181705382</v>
      </c>
      <c r="T51" s="33">
        <f t="shared" si="116"/>
        <v>0.11377764822695115</v>
      </c>
      <c r="U51" s="33">
        <f t="shared" si="116"/>
        <v>0.57915931917937535</v>
      </c>
      <c r="V51" s="33">
        <f t="shared" si="116"/>
        <v>0.84384688183271872</v>
      </c>
      <c r="W51" s="33">
        <f t="shared" si="116"/>
        <v>0.15181208914653427</v>
      </c>
      <c r="X51" s="33">
        <v>0.12</v>
      </c>
      <c r="Y51" s="33">
        <v>0.1</v>
      </c>
      <c r="Z51" s="33">
        <v>0.1</v>
      </c>
      <c r="AA51" s="33">
        <v>0.1</v>
      </c>
      <c r="AB51" s="33">
        <v>0.1</v>
      </c>
      <c r="AC51" s="33">
        <v>0.09</v>
      </c>
      <c r="AD51" s="33">
        <v>0.09</v>
      </c>
      <c r="AE51" s="33">
        <v>0.09</v>
      </c>
      <c r="AF51" s="33">
        <v>0.09</v>
      </c>
      <c r="AG51" s="33">
        <v>0.09</v>
      </c>
    </row>
    <row r="52" spans="1:33" s="35" customFormat="1" x14ac:dyDescent="0.25">
      <c r="B52" s="35" t="s">
        <v>91</v>
      </c>
      <c r="C52" s="35" t="e">
        <f>C15/C28</f>
        <v>#DIV/0!</v>
      </c>
      <c r="D52" s="35" t="e">
        <f t="shared" ref="D52:J52" si="117">D15/D28</f>
        <v>#DIV/0!</v>
      </c>
      <c r="E52" s="35" t="e">
        <f t="shared" si="117"/>
        <v>#DIV/0!</v>
      </c>
      <c r="F52" s="35" t="e">
        <f t="shared" si="117"/>
        <v>#DIV/0!</v>
      </c>
      <c r="G52" s="35" t="e">
        <f t="shared" si="117"/>
        <v>#DIV/0!</v>
      </c>
      <c r="H52" s="35" t="e">
        <f t="shared" si="117"/>
        <v>#DIV/0!</v>
      </c>
      <c r="I52" s="35">
        <f t="shared" si="117"/>
        <v>1.2821901662644023E-2</v>
      </c>
      <c r="J52" s="35" t="e">
        <f t="shared" si="117"/>
        <v>#DIV/0!</v>
      </c>
      <c r="O52" s="35">
        <f t="shared" ref="O52:AG52" si="118">O15/O28</f>
        <v>4.2456962888048552E-2</v>
      </c>
      <c r="P52" s="35">
        <f t="shared" si="118"/>
        <v>4.4041421942544109E-2</v>
      </c>
      <c r="Q52" s="35">
        <f t="shared" si="118"/>
        <v>4.4387542531768624E-2</v>
      </c>
      <c r="R52" s="35">
        <f t="shared" si="118"/>
        <v>4.8198192263764504E-2</v>
      </c>
      <c r="S52" s="35">
        <f t="shared" si="118"/>
        <v>4.4050667003037565E-2</v>
      </c>
      <c r="T52" s="35">
        <f t="shared" si="118"/>
        <v>4.8924074033934679E-2</v>
      </c>
      <c r="U52" s="35">
        <f t="shared" si="118"/>
        <v>5.0670189253206377E-2</v>
      </c>
      <c r="V52" s="35">
        <f t="shared" si="118"/>
        <v>4.9903601018220278E-2</v>
      </c>
      <c r="W52" s="35" t="e">
        <f t="shared" si="118"/>
        <v>#DIV/0!</v>
      </c>
      <c r="X52" s="35" t="e">
        <f t="shared" si="118"/>
        <v>#DIV/0!</v>
      </c>
      <c r="Y52" s="35" t="e">
        <f t="shared" si="118"/>
        <v>#DIV/0!</v>
      </c>
      <c r="Z52" s="35" t="e">
        <f t="shared" si="118"/>
        <v>#DIV/0!</v>
      </c>
      <c r="AA52" s="35" t="e">
        <f t="shared" si="118"/>
        <v>#DIV/0!</v>
      </c>
      <c r="AB52" s="35" t="e">
        <f t="shared" si="118"/>
        <v>#DIV/0!</v>
      </c>
      <c r="AC52" s="35" t="e">
        <f t="shared" si="118"/>
        <v>#DIV/0!</v>
      </c>
      <c r="AD52" s="35" t="e">
        <f t="shared" si="118"/>
        <v>#DIV/0!</v>
      </c>
      <c r="AE52" s="35" t="e">
        <f t="shared" si="118"/>
        <v>#DIV/0!</v>
      </c>
      <c r="AF52" s="35" t="e">
        <f t="shared" si="118"/>
        <v>#DIV/0!</v>
      </c>
      <c r="AG52" s="35" t="e">
        <f t="shared" si="118"/>
        <v>#DIV/0!</v>
      </c>
    </row>
    <row r="53" spans="1:33" s="33" customFormat="1" x14ac:dyDescent="0.25"/>
    <row r="54" spans="1:33" s="33" customFormat="1" x14ac:dyDescent="0.25"/>
    <row r="56" spans="1:33" x14ac:dyDescent="0.25">
      <c r="B56" t="s">
        <v>81</v>
      </c>
      <c r="Q56">
        <v>130.9</v>
      </c>
      <c r="R56">
        <v>135.6</v>
      </c>
      <c r="S56">
        <v>140.6</v>
      </c>
      <c r="T56">
        <v>145.6</v>
      </c>
      <c r="U56">
        <v>155.9</v>
      </c>
      <c r="V56">
        <v>166.6</v>
      </c>
    </row>
    <row r="57" spans="1:33" s="11" customFormat="1" x14ac:dyDescent="0.25">
      <c r="A57" s="11" t="s">
        <v>82</v>
      </c>
      <c r="B57" s="11" t="s">
        <v>83</v>
      </c>
      <c r="R57" s="34">
        <f t="shared" ref="R57:V57" si="119">R56/Q56-1</f>
        <v>3.59052711993888E-2</v>
      </c>
      <c r="S57" s="34">
        <f t="shared" si="119"/>
        <v>3.6873156342182911E-2</v>
      </c>
      <c r="T57" s="34">
        <f t="shared" si="119"/>
        <v>3.5561877667140918E-2</v>
      </c>
      <c r="U57" s="34">
        <f t="shared" si="119"/>
        <v>7.0741758241758212E-2</v>
      </c>
      <c r="V57" s="34">
        <f t="shared" si="119"/>
        <v>6.8633739576651642E-2</v>
      </c>
      <c r="W57" s="34">
        <v>5.6000000000000001E-2</v>
      </c>
      <c r="X57" s="34">
        <v>4.1000000000000002E-2</v>
      </c>
      <c r="Y57" s="34">
        <v>2.8000000000000001E-2</v>
      </c>
      <c r="Z57" s="34">
        <v>2.8000000000000001E-2</v>
      </c>
      <c r="AA57" s="34">
        <v>2.8000000000000001E-2</v>
      </c>
      <c r="AB57" s="34">
        <v>2.8000000000000001E-2</v>
      </c>
      <c r="AC57" s="34">
        <v>2.8000000000000001E-2</v>
      </c>
      <c r="AD57" s="34">
        <v>2.8000000000000001E-2</v>
      </c>
      <c r="AE57" s="34">
        <v>2.8000000000000001E-2</v>
      </c>
      <c r="AF57" s="34">
        <v>2.8000000000000001E-2</v>
      </c>
    </row>
    <row r="59" spans="1:33" s="34" customFormat="1" x14ac:dyDescent="0.25">
      <c r="A59" s="34" t="s">
        <v>82</v>
      </c>
      <c r="B59" s="34" t="s">
        <v>86</v>
      </c>
      <c r="Q59" s="34">
        <v>1.6E-2</v>
      </c>
      <c r="R59" s="34">
        <v>1.6E-2</v>
      </c>
      <c r="S59" s="34">
        <v>1.7999999999999999E-2</v>
      </c>
      <c r="T59" s="34">
        <v>3.9E-2</v>
      </c>
      <c r="U59" s="34">
        <v>6.3E-2</v>
      </c>
      <c r="V59" s="34">
        <v>0.104</v>
      </c>
      <c r="W59" s="34">
        <v>4.8000000000000001E-2</v>
      </c>
      <c r="X59" s="34">
        <v>3.7999999999999999E-2</v>
      </c>
      <c r="Y59" s="34">
        <v>2.9000000000000001E-2</v>
      </c>
      <c r="Z59" s="34">
        <v>2.9000000000000001E-2</v>
      </c>
      <c r="AA59" s="34">
        <v>2.9000000000000001E-2</v>
      </c>
      <c r="AB59" s="34">
        <v>2.9000000000000001E-2</v>
      </c>
      <c r="AC59" s="34">
        <v>2.9000000000000001E-2</v>
      </c>
      <c r="AD59" s="34">
        <v>2.9000000000000001E-2</v>
      </c>
      <c r="AE59" s="34">
        <v>2.9000000000000001E-2</v>
      </c>
      <c r="AF59" s="34">
        <v>2.9000000000000001E-2</v>
      </c>
    </row>
    <row r="60" spans="1:33" s="34" customFormat="1" x14ac:dyDescent="0.25"/>
    <row r="61" spans="1:33" s="15" customFormat="1" x14ac:dyDescent="0.25">
      <c r="B61" s="15" t="s">
        <v>84</v>
      </c>
      <c r="Q61" s="15">
        <v>1.7</v>
      </c>
      <c r="R61" s="15">
        <v>1.75</v>
      </c>
      <c r="S61" s="15">
        <v>1.7</v>
      </c>
      <c r="T61" s="15">
        <v>1.25</v>
      </c>
      <c r="U61" s="15">
        <v>2</v>
      </c>
      <c r="V61" s="15">
        <v>2.85</v>
      </c>
      <c r="W61" s="15">
        <v>2.5</v>
      </c>
      <c r="X61" s="15">
        <v>2.2999999999999998</v>
      </c>
      <c r="Y61" s="15">
        <v>2.2999999999999998</v>
      </c>
      <c r="Z61" s="15">
        <f>Y61*(1+Z62)</f>
        <v>2.3643999999999998</v>
      </c>
      <c r="AA61" s="15">
        <f t="shared" ref="AA61:AF61" si="120">Z61*(1+AA62)</f>
        <v>2.4306031999999997</v>
      </c>
      <c r="AB61" s="15">
        <f t="shared" si="120"/>
        <v>2.5108131055999996</v>
      </c>
      <c r="AC61" s="15">
        <f t="shared" si="120"/>
        <v>2.5936699380847994</v>
      </c>
      <c r="AD61" s="15">
        <f t="shared" si="120"/>
        <v>2.692229395732022</v>
      </c>
      <c r="AE61" s="15">
        <f t="shared" si="120"/>
        <v>2.7945341127698389</v>
      </c>
      <c r="AF61" s="15">
        <f t="shared" si="120"/>
        <v>2.900726409055093</v>
      </c>
    </row>
    <row r="62" spans="1:33" s="34" customFormat="1" x14ac:dyDescent="0.25">
      <c r="A62" s="34" t="s">
        <v>82</v>
      </c>
      <c r="B62" s="34" t="s">
        <v>85</v>
      </c>
      <c r="R62" s="34">
        <f>R61/Q61-1</f>
        <v>2.941176470588247E-2</v>
      </c>
      <c r="S62" s="34">
        <f t="shared" ref="S62:Y62" si="121">S61/R61-1</f>
        <v>-2.8571428571428581E-2</v>
      </c>
      <c r="T62" s="34">
        <f t="shared" si="121"/>
        <v>-0.26470588235294112</v>
      </c>
      <c r="U62" s="34">
        <f t="shared" si="121"/>
        <v>0.60000000000000009</v>
      </c>
      <c r="V62" s="34">
        <f t="shared" si="121"/>
        <v>0.42500000000000004</v>
      </c>
      <c r="W62" s="34">
        <f t="shared" si="121"/>
        <v>-0.1228070175438597</v>
      </c>
      <c r="X62" s="34">
        <f t="shared" si="121"/>
        <v>-8.0000000000000071E-2</v>
      </c>
      <c r="Y62" s="34">
        <f t="shared" si="121"/>
        <v>0</v>
      </c>
      <c r="Z62" s="34">
        <v>2.8000000000000001E-2</v>
      </c>
      <c r="AA62" s="34">
        <v>2.8000000000000001E-2</v>
      </c>
      <c r="AB62" s="34">
        <v>3.3000000000000002E-2</v>
      </c>
      <c r="AC62" s="34">
        <v>3.3000000000000002E-2</v>
      </c>
      <c r="AD62" s="34">
        <v>3.7999999999999999E-2</v>
      </c>
      <c r="AE62" s="34">
        <v>3.7999999999999999E-2</v>
      </c>
      <c r="AF62" s="34">
        <v>3.7999999999999999E-2</v>
      </c>
    </row>
    <row r="64" spans="1:33" s="34" customFormat="1" x14ac:dyDescent="0.25">
      <c r="A64" s="34" t="s">
        <v>82</v>
      </c>
      <c r="B64" s="34" t="s">
        <v>87</v>
      </c>
      <c r="Q64" s="34">
        <v>2.1254700000000001E-2</v>
      </c>
      <c r="R64" s="34">
        <v>2.37834E-2</v>
      </c>
      <c r="S64" s="34">
        <v>2.7244999999999998E-2</v>
      </c>
      <c r="T64" s="34">
        <v>1.6944500000000001E-2</v>
      </c>
      <c r="U64" s="34">
        <v>3.4670100000000002E-2</v>
      </c>
      <c r="V64" s="34">
        <v>6.6059999999999994E-2</v>
      </c>
      <c r="W64" s="34">
        <v>4.4999999999999998E-2</v>
      </c>
      <c r="X64" s="34">
        <v>3.5000000000000003E-2</v>
      </c>
      <c r="Y64" s="34">
        <v>2.7E-2</v>
      </c>
      <c r="Z64" s="34">
        <v>2.7E-2</v>
      </c>
      <c r="AA64" s="34">
        <v>2.7E-2</v>
      </c>
      <c r="AB64" s="34">
        <v>2.7E-2</v>
      </c>
      <c r="AC64" s="34">
        <v>2.7E-2</v>
      </c>
      <c r="AD64" s="34">
        <v>2.7E-2</v>
      </c>
      <c r="AE64" s="34">
        <v>2.7E-2</v>
      </c>
      <c r="AF64" s="34">
        <v>2.7E-2</v>
      </c>
    </row>
    <row r="65" spans="1:32" s="34" customFormat="1" x14ac:dyDescent="0.25">
      <c r="A65" s="34" t="s">
        <v>82</v>
      </c>
      <c r="B65" s="34" t="s">
        <v>88</v>
      </c>
      <c r="Y65" s="34">
        <v>2E-3</v>
      </c>
      <c r="Z65" s="34">
        <v>2E-3</v>
      </c>
      <c r="AA65" s="34">
        <v>3.0000000000000001E-3</v>
      </c>
      <c r="AB65" s="34">
        <v>3.0000000000000001E-3</v>
      </c>
      <c r="AC65" s="34">
        <v>3.0000000000000001E-3</v>
      </c>
      <c r="AD65" s="34">
        <v>5.0000000000000001E-3</v>
      </c>
      <c r="AE65" s="34">
        <v>5.0000000000000001E-3</v>
      </c>
      <c r="AF65" s="34">
        <v>5.0000000000000001E-3</v>
      </c>
    </row>
  </sheetData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8063-0DF5-4A99-9A0D-AA815BF05A21}">
  <dimension ref="B2:C4"/>
  <sheetViews>
    <sheetView workbookViewId="0">
      <selection activeCell="E14" sqref="E14"/>
    </sheetView>
  </sheetViews>
  <sheetFormatPr defaultRowHeight="15" x14ac:dyDescent="0.25"/>
  <cols>
    <col min="2" max="2" width="18.85546875" bestFit="1" customWidth="1"/>
    <col min="3" max="6" width="10" customWidth="1"/>
  </cols>
  <sheetData>
    <row r="2" spans="2:3" x14ac:dyDescent="0.25">
      <c r="B2" t="s">
        <v>19</v>
      </c>
      <c r="C2" s="36">
        <v>-0.01</v>
      </c>
    </row>
    <row r="3" spans="2:3" x14ac:dyDescent="0.25">
      <c r="B3" t="s">
        <v>20</v>
      </c>
      <c r="C3" s="36">
        <v>0.115</v>
      </c>
    </row>
    <row r="4" spans="2:3" x14ac:dyDescent="0.25">
      <c r="B4" t="s">
        <v>8</v>
      </c>
      <c r="C4" s="2">
        <f>NPV(C3,Model!X22:DT22)</f>
        <v>17804.335737361998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2023-02-12T18:42:19Z</dcterms:created>
  <dcterms:modified xsi:type="dcterms:W3CDTF">2023-02-15T23:16:16Z</dcterms:modified>
</cp:coreProperties>
</file>