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1DA6A34A-9A85-4B48-8981-956B76A2088F}" xr6:coauthVersionLast="47" xr6:coauthVersionMax="47" xr10:uidLastSave="{00000000-0000-0000-0000-000000000000}"/>
  <bookViews>
    <workbookView xWindow="19305" yWindow="5400" windowWidth="32700" windowHeight="15045" activeTab="1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2" l="1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J82" i="2"/>
  <c r="I82" i="2"/>
  <c r="H82" i="2"/>
  <c r="G82" i="2"/>
  <c r="F82" i="2"/>
  <c r="E82" i="2"/>
  <c r="D82" i="2"/>
  <c r="C82" i="2"/>
  <c r="J79" i="2"/>
  <c r="I79" i="2"/>
  <c r="H79" i="2"/>
  <c r="G79" i="2"/>
  <c r="F79" i="2"/>
  <c r="E79" i="2"/>
  <c r="D79" i="2"/>
  <c r="C79" i="2"/>
  <c r="J78" i="2"/>
  <c r="H78" i="2"/>
  <c r="G78" i="2"/>
  <c r="F78" i="2"/>
  <c r="E78" i="2"/>
  <c r="D78" i="2"/>
  <c r="C78" i="2"/>
  <c r="Z27" i="2" l="1"/>
  <c r="Y27" i="2"/>
  <c r="X27" i="2"/>
  <c r="W27" i="2"/>
  <c r="V27" i="2"/>
  <c r="U27" i="2"/>
  <c r="T27" i="2"/>
  <c r="S27" i="2"/>
  <c r="J27" i="2"/>
  <c r="I27" i="2"/>
  <c r="H27" i="2"/>
  <c r="G27" i="2"/>
  <c r="F27" i="2"/>
  <c r="E27" i="2"/>
  <c r="D27" i="2"/>
  <c r="C27" i="2"/>
  <c r="R5" i="2" l="1"/>
  <c r="Q5" i="2"/>
  <c r="P5" i="2"/>
  <c r="P70" i="2" s="1"/>
  <c r="O5" i="2"/>
  <c r="O71" i="2" s="1"/>
  <c r="R69" i="2"/>
  <c r="Q69" i="2"/>
  <c r="P69" i="2"/>
  <c r="O69" i="2"/>
  <c r="R73" i="2"/>
  <c r="R71" i="2"/>
  <c r="R70" i="2"/>
  <c r="Q73" i="2"/>
  <c r="Q71" i="2"/>
  <c r="Q70" i="2"/>
  <c r="P73" i="2"/>
  <c r="O73" i="2"/>
  <c r="AA67" i="2"/>
  <c r="W73" i="2"/>
  <c r="Z73" i="2"/>
  <c r="Y73" i="2"/>
  <c r="X73" i="2"/>
  <c r="V73" i="2"/>
  <c r="U73" i="2"/>
  <c r="T73" i="2"/>
  <c r="S73" i="2"/>
  <c r="I73" i="2"/>
  <c r="H73" i="2"/>
  <c r="G73" i="2"/>
  <c r="E73" i="2"/>
  <c r="AA66" i="2"/>
  <c r="AA69" i="2" s="1"/>
  <c r="S69" i="2"/>
  <c r="T69" i="2"/>
  <c r="U69" i="2"/>
  <c r="V69" i="2"/>
  <c r="W69" i="2"/>
  <c r="X69" i="2"/>
  <c r="Y69" i="2"/>
  <c r="I69" i="2"/>
  <c r="H69" i="2"/>
  <c r="G69" i="2"/>
  <c r="F69" i="2"/>
  <c r="E69" i="2"/>
  <c r="Z69" i="2"/>
  <c r="P71" i="2" l="1"/>
  <c r="O70" i="2"/>
  <c r="AD57" i="2" l="1"/>
  <c r="AC11" i="2"/>
  <c r="AA11" i="2"/>
  <c r="AB11" i="2" s="1"/>
  <c r="AC7" i="2"/>
  <c r="AD7" i="2" s="1"/>
  <c r="AE7" i="2" s="1"/>
  <c r="AF7" i="2" s="1"/>
  <c r="AG7" i="2" s="1"/>
  <c r="AH7" i="2" s="1"/>
  <c r="AI7" i="2" s="1"/>
  <c r="AJ7" i="2" s="1"/>
  <c r="AK7" i="2" s="1"/>
  <c r="AC6" i="2"/>
  <c r="AD11" i="2"/>
  <c r="AE11" i="2" s="1"/>
  <c r="AF11" i="2" s="1"/>
  <c r="AG11" i="2" s="1"/>
  <c r="AH11" i="2" s="1"/>
  <c r="AI11" i="2" s="1"/>
  <c r="AJ11" i="2" s="1"/>
  <c r="AK11" i="2" s="1"/>
  <c r="AD6" i="2"/>
  <c r="AC10" i="2"/>
  <c r="AD10" i="2" s="1"/>
  <c r="AC58" i="2"/>
  <c r="AB58" i="2"/>
  <c r="AA58" i="2"/>
  <c r="Z58" i="2"/>
  <c r="Y58" i="2"/>
  <c r="X58" i="2"/>
  <c r="W58" i="2"/>
  <c r="AE57" i="2"/>
  <c r="AF57" i="2" s="1"/>
  <c r="AG57" i="2" s="1"/>
  <c r="AH57" i="2" s="1"/>
  <c r="AI57" i="2" s="1"/>
  <c r="AJ57" i="2" s="1"/>
  <c r="AK57" i="2" s="1"/>
  <c r="AA55" i="2"/>
  <c r="Z55" i="2"/>
  <c r="Y55" i="2"/>
  <c r="AC8" i="2" s="1"/>
  <c r="X55" i="2"/>
  <c r="W55" i="2"/>
  <c r="AB9" i="2" l="1"/>
  <c r="AC9" i="2" s="1"/>
  <c r="AC12" i="2" s="1"/>
  <c r="AD8" i="2"/>
  <c r="AE10" i="2"/>
  <c r="AF10" i="2" s="1"/>
  <c r="AE6" i="2"/>
  <c r="AF6" i="2" s="1"/>
  <c r="AG6" i="2" s="1"/>
  <c r="AH6" i="2" s="1"/>
  <c r="AI6" i="2" s="1"/>
  <c r="AJ6" i="2" s="1"/>
  <c r="AK6" i="2" s="1"/>
  <c r="AD9" i="2" l="1"/>
  <c r="AE9" i="2" s="1"/>
  <c r="AD12" i="2"/>
  <c r="AE8" i="2"/>
  <c r="AE12" i="2" s="1"/>
  <c r="AG10" i="2"/>
  <c r="AF9" i="2"/>
  <c r="AF8" i="2" l="1"/>
  <c r="AH10" i="2"/>
  <c r="AG9" i="2"/>
  <c r="AF12" i="2" l="1"/>
  <c r="AG8" i="2"/>
  <c r="AI10" i="2"/>
  <c r="AH9" i="2"/>
  <c r="AH8" i="2" l="1"/>
  <c r="AH12" i="2" s="1"/>
  <c r="AG12" i="2"/>
  <c r="AJ10" i="2"/>
  <c r="AI9" i="2"/>
  <c r="AI8" i="2" l="1"/>
  <c r="AK10" i="2"/>
  <c r="AJ9" i="2"/>
  <c r="AJ8" i="2" l="1"/>
  <c r="AI12" i="2"/>
  <c r="AK9" i="2"/>
  <c r="AK8" i="2" l="1"/>
  <c r="AJ12" i="2"/>
  <c r="AK12" i="2" l="1"/>
  <c r="Z48" i="2" l="1"/>
  <c r="X48" i="2"/>
  <c r="W48" i="2"/>
  <c r="V48" i="2"/>
  <c r="U48" i="2"/>
  <c r="T48" i="2"/>
  <c r="S48" i="2"/>
  <c r="AA21" i="2"/>
  <c r="AA19" i="2"/>
  <c r="AA18" i="2"/>
  <c r="AA15" i="2"/>
  <c r="AA48" i="2" s="1"/>
  <c r="AA14" i="2"/>
  <c r="AA10" i="2"/>
  <c r="AA9" i="2"/>
  <c r="AA8" i="2"/>
  <c r="AA7" i="2"/>
  <c r="AB7" i="2" s="1"/>
  <c r="AA6" i="2"/>
  <c r="AA4" i="2"/>
  <c r="AA3" i="2"/>
  <c r="N8" i="1"/>
  <c r="S30" i="2"/>
  <c r="S32" i="2" s="1"/>
  <c r="T51" i="2" s="1"/>
  <c r="T30" i="2"/>
  <c r="T32" i="2" s="1"/>
  <c r="U51" i="2" s="1"/>
  <c r="U30" i="2"/>
  <c r="U32" i="2" s="1"/>
  <c r="V51" i="2" s="1"/>
  <c r="V30" i="2"/>
  <c r="V32" i="2" s="1"/>
  <c r="W51" i="2" s="1"/>
  <c r="W30" i="2"/>
  <c r="W32" i="2" s="1"/>
  <c r="X51" i="2" s="1"/>
  <c r="X30" i="2"/>
  <c r="X32" i="2" s="1"/>
  <c r="Y51" i="2" s="1"/>
  <c r="S12" i="2"/>
  <c r="S5" i="2"/>
  <c r="T12" i="2"/>
  <c r="T5" i="2"/>
  <c r="U12" i="2"/>
  <c r="U5" i="2"/>
  <c r="Y30" i="2"/>
  <c r="Z30" i="2"/>
  <c r="Z29" i="2"/>
  <c r="F21" i="2"/>
  <c r="F19" i="2"/>
  <c r="F18" i="2"/>
  <c r="F15" i="2"/>
  <c r="F14" i="2"/>
  <c r="F11" i="2"/>
  <c r="F10" i="2"/>
  <c r="F9" i="2"/>
  <c r="F8" i="2"/>
  <c r="F7" i="2"/>
  <c r="F6" i="2"/>
  <c r="F4" i="2"/>
  <c r="F3" i="2"/>
  <c r="F73" i="2" s="1"/>
  <c r="I30" i="2"/>
  <c r="I32" i="2" s="1"/>
  <c r="Z12" i="2"/>
  <c r="Z5" i="2"/>
  <c r="Y12" i="2"/>
  <c r="Y5" i="2"/>
  <c r="X12" i="2"/>
  <c r="X5" i="2"/>
  <c r="W12" i="2"/>
  <c r="W5" i="2"/>
  <c r="V12" i="2"/>
  <c r="V5" i="2"/>
  <c r="J12" i="2"/>
  <c r="J5" i="2"/>
  <c r="I12" i="2"/>
  <c r="I5" i="2"/>
  <c r="H12" i="2"/>
  <c r="H5" i="2"/>
  <c r="G12" i="2"/>
  <c r="G5" i="2"/>
  <c r="E12" i="2"/>
  <c r="E5" i="2"/>
  <c r="D12" i="2"/>
  <c r="D5" i="2"/>
  <c r="C12" i="2"/>
  <c r="C5" i="2"/>
  <c r="S71" i="2" l="1"/>
  <c r="S70" i="2"/>
  <c r="E70" i="2"/>
  <c r="E71" i="2"/>
  <c r="V71" i="2"/>
  <c r="V70" i="2"/>
  <c r="W71" i="2"/>
  <c r="W70" i="2"/>
  <c r="X71" i="2"/>
  <c r="X70" i="2"/>
  <c r="AD5" i="2"/>
  <c r="Y71" i="2"/>
  <c r="Y70" i="2"/>
  <c r="G70" i="2"/>
  <c r="G71" i="2"/>
  <c r="Z70" i="2"/>
  <c r="Z71" i="2"/>
  <c r="AA5" i="2"/>
  <c r="AA43" i="2" s="1"/>
  <c r="AA73" i="2"/>
  <c r="I71" i="2"/>
  <c r="I70" i="2"/>
  <c r="U70" i="2"/>
  <c r="U71" i="2"/>
  <c r="T71" i="2"/>
  <c r="T70" i="2"/>
  <c r="H70" i="2"/>
  <c r="H71" i="2"/>
  <c r="Y48" i="2"/>
  <c r="Y32" i="2"/>
  <c r="Z51" i="2" s="1"/>
  <c r="AB6" i="2"/>
  <c r="AA12" i="2"/>
  <c r="AA13" i="2" s="1"/>
  <c r="W46" i="2"/>
  <c r="W42" i="2"/>
  <c r="W44" i="2"/>
  <c r="W43" i="2"/>
  <c r="C46" i="2"/>
  <c r="C44" i="2"/>
  <c r="C42" i="2"/>
  <c r="C43" i="2"/>
  <c r="X49" i="2"/>
  <c r="X42" i="2"/>
  <c r="X44" i="2"/>
  <c r="X43" i="2"/>
  <c r="G46" i="2"/>
  <c r="G42" i="2"/>
  <c r="G43" i="2"/>
  <c r="G44" i="2"/>
  <c r="Z37" i="2"/>
  <c r="Y44" i="2"/>
  <c r="Y43" i="2"/>
  <c r="Y42" i="2"/>
  <c r="H46" i="2"/>
  <c r="H44" i="2"/>
  <c r="H43" i="2"/>
  <c r="H42" i="2"/>
  <c r="AB10" i="2"/>
  <c r="U49" i="2"/>
  <c r="U42" i="2"/>
  <c r="U43" i="2"/>
  <c r="U44" i="2"/>
  <c r="D46" i="2"/>
  <c r="D44" i="2"/>
  <c r="D42" i="2"/>
  <c r="D43" i="2"/>
  <c r="Z46" i="2"/>
  <c r="Z44" i="2"/>
  <c r="Z43" i="2"/>
  <c r="Z42" i="2"/>
  <c r="I46" i="2"/>
  <c r="I43" i="2"/>
  <c r="I44" i="2"/>
  <c r="I42" i="2"/>
  <c r="J46" i="2"/>
  <c r="J43" i="2"/>
  <c r="J44" i="2"/>
  <c r="J42" i="2"/>
  <c r="T49" i="2"/>
  <c r="T43" i="2"/>
  <c r="T44" i="2"/>
  <c r="T42" i="2"/>
  <c r="T46" i="2"/>
  <c r="U46" i="2"/>
  <c r="V42" i="2"/>
  <c r="V44" i="2"/>
  <c r="V43" i="2"/>
  <c r="S49" i="2"/>
  <c r="S43" i="2"/>
  <c r="S44" i="2"/>
  <c r="S42" i="2"/>
  <c r="AB8" i="2"/>
  <c r="E46" i="2"/>
  <c r="E44" i="2"/>
  <c r="E42" i="2"/>
  <c r="E43" i="2"/>
  <c r="X46" i="2"/>
  <c r="Z32" i="2"/>
  <c r="Z49" i="2"/>
  <c r="Y49" i="2"/>
  <c r="T37" i="2"/>
  <c r="V37" i="2"/>
  <c r="Y37" i="2"/>
  <c r="S46" i="2"/>
  <c r="F5" i="2"/>
  <c r="V46" i="2"/>
  <c r="W37" i="2"/>
  <c r="Y46" i="2"/>
  <c r="X37" i="2"/>
  <c r="U37" i="2"/>
  <c r="V49" i="2"/>
  <c r="W49" i="2"/>
  <c r="AA46" i="2"/>
  <c r="S13" i="2"/>
  <c r="T13" i="2"/>
  <c r="U13" i="2"/>
  <c r="X13" i="2"/>
  <c r="J13" i="2"/>
  <c r="W13" i="2"/>
  <c r="F12" i="2"/>
  <c r="F13" i="2" s="1"/>
  <c r="V13" i="2"/>
  <c r="Y13" i="2"/>
  <c r="Y39" i="2" s="1"/>
  <c r="Z13" i="2"/>
  <c r="C13" i="2"/>
  <c r="G13" i="2"/>
  <c r="D13" i="2"/>
  <c r="H13" i="2"/>
  <c r="E13" i="2"/>
  <c r="I13" i="2"/>
  <c r="N6" i="1"/>
  <c r="N9" i="1" s="1"/>
  <c r="AA49" i="2" l="1"/>
  <c r="AA42" i="2"/>
  <c r="AA44" i="2"/>
  <c r="AA37" i="2"/>
  <c r="AB12" i="2"/>
  <c r="F46" i="2"/>
  <c r="F70" i="2"/>
  <c r="F71" i="2"/>
  <c r="F44" i="2"/>
  <c r="AA71" i="2"/>
  <c r="AA70" i="2"/>
  <c r="AB5" i="2"/>
  <c r="AC5" i="2" s="1"/>
  <c r="AC44" i="2" s="1"/>
  <c r="F43" i="2"/>
  <c r="AC43" i="2"/>
  <c r="F42" i="2"/>
  <c r="AA51" i="2"/>
  <c r="I17" i="2"/>
  <c r="I26" i="2" s="1"/>
  <c r="I39" i="2"/>
  <c r="H17" i="2"/>
  <c r="H26" i="2" s="1"/>
  <c r="H39" i="2"/>
  <c r="Z17" i="2"/>
  <c r="Z26" i="2" s="1"/>
  <c r="Z39" i="2"/>
  <c r="E17" i="2"/>
  <c r="E26" i="2" s="1"/>
  <c r="E39" i="2"/>
  <c r="D17" i="2"/>
  <c r="D26" i="2" s="1"/>
  <c r="D39" i="2"/>
  <c r="V17" i="2"/>
  <c r="V26" i="2" s="1"/>
  <c r="V39" i="2"/>
  <c r="X17" i="2"/>
  <c r="X26" i="2" s="1"/>
  <c r="X39" i="2"/>
  <c r="S17" i="2"/>
  <c r="S26" i="2" s="1"/>
  <c r="S39" i="2"/>
  <c r="G17" i="2"/>
  <c r="G26" i="2" s="1"/>
  <c r="G39" i="2"/>
  <c r="T17" i="2"/>
  <c r="T26" i="2" s="1"/>
  <c r="T39" i="2"/>
  <c r="C17" i="2"/>
  <c r="C26" i="2" s="1"/>
  <c r="C39" i="2"/>
  <c r="F17" i="2"/>
  <c r="F26" i="2" s="1"/>
  <c r="F39" i="2"/>
  <c r="U17" i="2"/>
  <c r="U26" i="2" s="1"/>
  <c r="U39" i="2"/>
  <c r="W17" i="2"/>
  <c r="W26" i="2" s="1"/>
  <c r="W39" i="2"/>
  <c r="J17" i="2"/>
  <c r="J26" i="2" s="1"/>
  <c r="J39" i="2"/>
  <c r="AA17" i="2"/>
  <c r="AA39" i="2"/>
  <c r="Y17" i="2"/>
  <c r="Y26" i="2" s="1"/>
  <c r="AC14" i="2" l="1"/>
  <c r="AC15" i="2"/>
  <c r="AC48" i="2" s="1"/>
  <c r="AC42" i="2"/>
  <c r="AC37" i="2"/>
  <c r="AC13" i="2"/>
  <c r="AC39" i="2" s="1"/>
  <c r="AB42" i="2"/>
  <c r="AC17" i="2"/>
  <c r="AC40" i="2" s="1"/>
  <c r="AB15" i="2"/>
  <c r="AB48" i="2" s="1"/>
  <c r="AB43" i="2"/>
  <c r="AB13" i="2"/>
  <c r="AB14" i="2"/>
  <c r="AB37" i="2"/>
  <c r="AD14" i="2"/>
  <c r="AE5" i="2"/>
  <c r="AD15" i="2"/>
  <c r="AD48" i="2" s="1"/>
  <c r="AD44" i="2"/>
  <c r="AD42" i="2"/>
  <c r="AD13" i="2"/>
  <c r="AD43" i="2"/>
  <c r="AB44" i="2"/>
  <c r="J20" i="2"/>
  <c r="J22" i="2" s="1"/>
  <c r="J24" i="2" s="1"/>
  <c r="J40" i="2"/>
  <c r="X20" i="2"/>
  <c r="X40" i="2"/>
  <c r="U20" i="2"/>
  <c r="U40" i="2"/>
  <c r="D20" i="2"/>
  <c r="D22" i="2" s="1"/>
  <c r="D24" i="2" s="1"/>
  <c r="D40" i="2"/>
  <c r="E20" i="2"/>
  <c r="E22" i="2" s="1"/>
  <c r="E24" i="2" s="1"/>
  <c r="E40" i="2"/>
  <c r="H20" i="2"/>
  <c r="H22" i="2" s="1"/>
  <c r="H24" i="2" s="1"/>
  <c r="H40" i="2"/>
  <c r="V20" i="2"/>
  <c r="V40" i="2"/>
  <c r="F20" i="2"/>
  <c r="F22" i="2" s="1"/>
  <c r="F24" i="2" s="1"/>
  <c r="F40" i="2"/>
  <c r="C20" i="2"/>
  <c r="C22" i="2" s="1"/>
  <c r="C24" i="2" s="1"/>
  <c r="C40" i="2"/>
  <c r="T20" i="2"/>
  <c r="T40" i="2"/>
  <c r="S20" i="2"/>
  <c r="S40" i="2"/>
  <c r="W20" i="2"/>
  <c r="W40" i="2"/>
  <c r="Z20" i="2"/>
  <c r="Z40" i="2"/>
  <c r="Y20" i="2"/>
  <c r="Y40" i="2"/>
  <c r="G20" i="2"/>
  <c r="G22" i="2" s="1"/>
  <c r="G24" i="2" s="1"/>
  <c r="G40" i="2"/>
  <c r="I20" i="2"/>
  <c r="I22" i="2" s="1"/>
  <c r="I24" i="2" s="1"/>
  <c r="I40" i="2"/>
  <c r="AA20" i="2"/>
  <c r="AA40" i="2"/>
  <c r="AB17" i="2" l="1"/>
  <c r="AB39" i="2"/>
  <c r="AA22" i="2"/>
  <c r="AA52" i="2"/>
  <c r="AD17" i="2"/>
  <c r="AD40" i="2" s="1"/>
  <c r="AD39" i="2"/>
  <c r="AF5" i="2"/>
  <c r="AE15" i="2"/>
  <c r="AE48" i="2" s="1"/>
  <c r="AE14" i="2"/>
  <c r="AE44" i="2"/>
  <c r="AE43" i="2"/>
  <c r="AE13" i="2"/>
  <c r="AE42" i="2"/>
  <c r="V22" i="2"/>
  <c r="V24" i="2" s="1"/>
  <c r="V52" i="2"/>
  <c r="S22" i="2"/>
  <c r="S24" i="2" s="1"/>
  <c r="S52" i="2"/>
  <c r="Y22" i="2"/>
  <c r="Y24" i="2" s="1"/>
  <c r="Y52" i="2"/>
  <c r="T22" i="2"/>
  <c r="T24" i="2" s="1"/>
  <c r="T52" i="2"/>
  <c r="X22" i="2"/>
  <c r="X24" i="2" s="1"/>
  <c r="X52" i="2"/>
  <c r="U22" i="2"/>
  <c r="U24" i="2" s="1"/>
  <c r="U52" i="2"/>
  <c r="Z22" i="2"/>
  <c r="Z24" i="2" s="1"/>
  <c r="Z52" i="2"/>
  <c r="W22" i="2"/>
  <c r="W24" i="2" s="1"/>
  <c r="W52" i="2"/>
  <c r="AE17" i="2" l="1"/>
  <c r="AE40" i="2" s="1"/>
  <c r="AE39" i="2"/>
  <c r="AG5" i="2"/>
  <c r="AF15" i="2"/>
  <c r="AF48" i="2" s="1"/>
  <c r="AF14" i="2"/>
  <c r="AF44" i="2"/>
  <c r="AF43" i="2"/>
  <c r="AF42" i="2"/>
  <c r="AF13" i="2"/>
  <c r="AA24" i="2"/>
  <c r="AA32" i="2"/>
  <c r="AB40" i="2"/>
  <c r="AB18" i="2" l="1"/>
  <c r="AB20" i="2" s="1"/>
  <c r="AB21" i="2" s="1"/>
  <c r="AB22" i="2" s="1"/>
  <c r="AB24" i="2" s="1"/>
  <c r="AF17" i="2"/>
  <c r="AF40" i="2" s="1"/>
  <c r="AF39" i="2"/>
  <c r="AH5" i="2"/>
  <c r="AG14" i="2"/>
  <c r="AG15" i="2"/>
  <c r="AG48" i="2" s="1"/>
  <c r="AG44" i="2"/>
  <c r="AG43" i="2"/>
  <c r="AG42" i="2"/>
  <c r="AG13" i="2"/>
  <c r="AB32" i="2" l="1"/>
  <c r="AC18" i="2" s="1"/>
  <c r="AC20" i="2" s="1"/>
  <c r="AI5" i="2"/>
  <c r="AH15" i="2"/>
  <c r="AH48" i="2" s="1"/>
  <c r="AH14" i="2"/>
  <c r="AH44" i="2"/>
  <c r="AH43" i="2"/>
  <c r="AH42" i="2"/>
  <c r="AH13" i="2"/>
  <c r="AG17" i="2"/>
  <c r="AG40" i="2" s="1"/>
  <c r="AG39" i="2"/>
  <c r="AH17" i="2" l="1"/>
  <c r="AH40" i="2" s="1"/>
  <c r="AH39" i="2"/>
  <c r="AC21" i="2"/>
  <c r="AC22" i="2" s="1"/>
  <c r="AJ5" i="2"/>
  <c r="AI15" i="2"/>
  <c r="AI48" i="2" s="1"/>
  <c r="AI14" i="2"/>
  <c r="AI44" i="2"/>
  <c r="AI43" i="2"/>
  <c r="AI42" i="2"/>
  <c r="AI13" i="2"/>
  <c r="AC24" i="2" l="1"/>
  <c r="AC32" i="2"/>
  <c r="AI17" i="2"/>
  <c r="AI40" i="2" s="1"/>
  <c r="AI39" i="2"/>
  <c r="AK5" i="2"/>
  <c r="AJ14" i="2"/>
  <c r="AJ15" i="2"/>
  <c r="AJ48" i="2" s="1"/>
  <c r="AJ44" i="2"/>
  <c r="AJ43" i="2"/>
  <c r="AJ42" i="2"/>
  <c r="AJ13" i="2"/>
  <c r="AJ17" i="2" l="1"/>
  <c r="AJ40" i="2" s="1"/>
  <c r="AJ39" i="2"/>
  <c r="AK15" i="2"/>
  <c r="AK48" i="2" s="1"/>
  <c r="AK14" i="2"/>
  <c r="AK44" i="2"/>
  <c r="AK43" i="2"/>
  <c r="AK42" i="2"/>
  <c r="AK13" i="2"/>
  <c r="AD18" i="2"/>
  <c r="AD20" i="2" s="1"/>
  <c r="AD21" i="2" s="1"/>
  <c r="AD22" i="2" s="1"/>
  <c r="AD32" i="2" s="1"/>
  <c r="AE18" i="2" l="1"/>
  <c r="AE20" i="2" s="1"/>
  <c r="AK17" i="2"/>
  <c r="AK40" i="2" s="1"/>
  <c r="AK39" i="2"/>
  <c r="AD24" i="2"/>
  <c r="AE21" i="2" l="1"/>
  <c r="AE22" i="2" s="1"/>
  <c r="AE24" i="2" l="1"/>
  <c r="AE32" i="2"/>
  <c r="AF18" i="2" l="1"/>
  <c r="AF20" i="2" s="1"/>
  <c r="AF21" i="2" l="1"/>
  <c r="AF22" i="2" s="1"/>
  <c r="AF24" i="2" l="1"/>
  <c r="AF32" i="2"/>
  <c r="AG18" i="2" l="1"/>
  <c r="AG20" i="2" s="1"/>
  <c r="AG21" i="2" l="1"/>
  <c r="AG22" i="2" s="1"/>
  <c r="AG24" i="2" l="1"/>
  <c r="AG32" i="2"/>
  <c r="AH18" i="2" l="1"/>
  <c r="AH20" i="2" s="1"/>
  <c r="AH21" i="2" l="1"/>
  <c r="AH22" i="2" s="1"/>
  <c r="AH24" i="2" l="1"/>
  <c r="AH32" i="2"/>
  <c r="AI18" i="2" l="1"/>
  <c r="AI20" i="2" s="1"/>
  <c r="AI21" i="2" l="1"/>
  <c r="AI22" i="2" s="1"/>
  <c r="AI24" i="2" l="1"/>
  <c r="AI32" i="2"/>
  <c r="AJ18" i="2" l="1"/>
  <c r="AJ20" i="2" s="1"/>
  <c r="AJ21" i="2" l="1"/>
  <c r="AJ22" i="2" s="1"/>
  <c r="AJ24" i="2" l="1"/>
  <c r="AJ32" i="2"/>
  <c r="AK18" i="2" l="1"/>
  <c r="AK20" i="2" s="1"/>
  <c r="AK21" i="2" l="1"/>
  <c r="AK22" i="2" s="1"/>
  <c r="AL22" i="2" l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C4" i="3" s="1"/>
  <c r="N12" i="1" s="1"/>
  <c r="AK24" i="2"/>
  <c r="AK32" i="2"/>
  <c r="N13" i="1" l="1"/>
</calcChain>
</file>

<file path=xl/sharedStrings.xml><?xml version="1.0" encoding="utf-8"?>
<sst xmlns="http://schemas.openxmlformats.org/spreadsheetml/2006/main" count="98" uniqueCount="89">
  <si>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</si>
  <si>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</si>
  <si>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</si>
  <si>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</si>
  <si>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</si>
  <si>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</si>
  <si>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</si>
  <si>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</si>
  <si>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</si>
  <si>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</si>
  <si>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</si>
  <si>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</si>
  <si>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</si>
  <si>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</si>
  <si>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</si>
  <si>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</si>
  <si>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</si>
  <si>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Revenue y/y</t>
  </si>
  <si>
    <t>NPV/Sh</t>
  </si>
  <si>
    <t>Maturity decay</t>
  </si>
  <si>
    <t>Discount</t>
  </si>
  <si>
    <t>Passenger tickets</t>
  </si>
  <si>
    <t>Onboard extras</t>
  </si>
  <si>
    <t>Revenue</t>
  </si>
  <si>
    <t>Commissions, transp, etc. OpEx</t>
  </si>
  <si>
    <t>Onboard extra OpEx</t>
  </si>
  <si>
    <t>Payroll</t>
  </si>
  <si>
    <t>Fuel</t>
  </si>
  <si>
    <t>Food</t>
  </si>
  <si>
    <t>Other OpEx</t>
  </si>
  <si>
    <t xml:space="preserve">  COGS</t>
  </si>
  <si>
    <t>Gross profit</t>
  </si>
  <si>
    <t>SG&amp;A</t>
  </si>
  <si>
    <t>Depr&amp;Amort</t>
  </si>
  <si>
    <t>Operating profit</t>
  </si>
  <si>
    <t>Interest income</t>
  </si>
  <si>
    <t>Other income</t>
  </si>
  <si>
    <t xml:space="preserve">  EBT</t>
  </si>
  <si>
    <t>Tax income</t>
  </si>
  <si>
    <t>Net income</t>
  </si>
  <si>
    <t>EPS</t>
  </si>
  <si>
    <t>PPE</t>
  </si>
  <si>
    <t>NetCash</t>
  </si>
  <si>
    <t>CF to debt repayments</t>
  </si>
  <si>
    <t>Other/Impairments</t>
  </si>
  <si>
    <t>Gross margin</t>
  </si>
  <si>
    <t>Operating margin</t>
  </si>
  <si>
    <t>SG&amp;A %rev</t>
  </si>
  <si>
    <t>D&amp;A %PPE</t>
  </si>
  <si>
    <t>D&amp;A %rev</t>
  </si>
  <si>
    <t>Tax rate</t>
  </si>
  <si>
    <t>Payroll %rev</t>
  </si>
  <si>
    <t>Fuel %rev</t>
  </si>
  <si>
    <t>Food %rev</t>
  </si>
  <si>
    <t>Interest rate (ROIC)</t>
  </si>
  <si>
    <t>Employment cost index</t>
  </si>
  <si>
    <t>u</t>
  </si>
  <si>
    <t>Payroll inflation+growth rate</t>
  </si>
  <si>
    <t>Approx gas price</t>
  </si>
  <si>
    <t>Gas inflation+growth rate</t>
  </si>
  <si>
    <t>Food inflation+growth rate</t>
  </si>
  <si>
    <t>CPI less Food&amp;Energy rate</t>
  </si>
  <si>
    <t>General opcost growth rate</t>
  </si>
  <si>
    <t>"As of September 30, 2022, we had 29 ships with approximately 62,000 Berths and had orders for eight additional ships to be delivered through 2027"</t>
  </si>
  <si>
    <t>"In early May 2022, the Company completed the phased relaunch of its entire fleet with all ships now in operation with guests on board."</t>
  </si>
  <si>
    <t>"has approximately $2.2 billion of debt that will mature in January 2024"</t>
  </si>
  <si>
    <t>Year</t>
  </si>
  <si>
    <t>    </t>
  </si>
  <si>
    <t>Amount</t>
  </si>
  <si>
    <t>Remainder of 2022</t>
  </si>
  <si>
    <t>$</t>
  </si>
  <si>
    <t>Thereafter</t>
  </si>
  <si>
    <t>Total</t>
  </si>
  <si>
    <t>Debt schedule</t>
  </si>
  <si>
    <t>10Q stuff</t>
  </si>
  <si>
    <t>Passenger cruise days</t>
  </si>
  <si>
    <t>Occupancy</t>
  </si>
  <si>
    <t>Cash extraction per PCD</t>
  </si>
  <si>
    <t>Cash extraction per APCD</t>
  </si>
  <si>
    <t>Available Passenger Cruise Days (Capacity days)</t>
  </si>
  <si>
    <t>Ticket per PCD</t>
  </si>
  <si>
    <t>EBITDA</t>
  </si>
  <si>
    <t>EBIT</t>
  </si>
  <si>
    <t>RCL Cash extraction per PCD</t>
  </si>
  <si>
    <t>RCL Cash extraction per APCD</t>
  </si>
  <si>
    <t>RCL/NCLH Cash extract per PCD</t>
  </si>
  <si>
    <t>RCL/NCLH Cash extract per APCD</t>
  </si>
  <si>
    <t>RCL Ticket per PCD</t>
  </si>
  <si>
    <t>RCL/NCLH ticket price per APCD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</si>
</sst>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0</xdr:row>
      <xdr:rowOff>0</xdr:rowOff>
    </xdr:from>
    <xdr:to>
      <xdr:col>26</xdr:col>
      <xdr:colOff>19050</xdr:colOff>
      <xdr:row>60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4801850" y="0"/>
          <a:ext cx="0" cy="10601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0</xdr:row>
      <xdr:rowOff>0</xdr:rowOff>
    </xdr:from>
    <xdr:to>
      <xdr:col>37</xdr:col>
      <xdr:colOff>19050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N30"/>
  <sheetViews>
    <sheetView workbookViewId="0">
      <selection activeCell="N13" sqref="N13"/>
    </sheetView>
  </sheetViews>
  <sheetFormatPr defaultRowHeight="15" x14ac:dyDescent="0.25"/>
  <cols>
    <col min="14" max="14" width="9.7109375" bestFit="1" customWidth="1"/>
  </cols>
  <sheetData>
    <row r="2" spans="2:14" x14ac:dyDescent="0.25">
      <c r="M2" t="s">
        <v>7</v>
      </c>
      <c r="N2" s="1">
        <v>44972</v>
      </c>
    </row>
    <row r="4" spans="2:14" x14ac:dyDescent="0.25">
      <c r="M4" t="s">
        <v>0</v>
      </c>
      <c r="N4" s="2">
        <v>18.11</v>
      </c>
    </row>
    <row r="5" spans="2:14" x14ac:dyDescent="0.25">
      <c r="M5" t="s">
        <v>1</v>
      </c>
      <c r="N5" s="4">
        <v>365.44900000000001</v>
      </c>
    </row>
    <row r="6" spans="2:14" x14ac:dyDescent="0.25">
      <c r="M6" t="s">
        <v>2</v>
      </c>
      <c r="N6" s="4">
        <f>N4*N5</f>
        <v>6618.2813900000001</v>
      </c>
    </row>
    <row r="7" spans="2:14" x14ac:dyDescent="0.25">
      <c r="M7" t="s">
        <v>3</v>
      </c>
      <c r="N7" s="4">
        <v>1186.7</v>
      </c>
    </row>
    <row r="8" spans="2:14" x14ac:dyDescent="0.25">
      <c r="M8" t="s">
        <v>4</v>
      </c>
      <c r="N8" s="4">
        <f>1012.7+141.3+12893.407</f>
        <v>14047.406999999999</v>
      </c>
    </row>
    <row r="9" spans="2:14" x14ac:dyDescent="0.25">
      <c r="M9" t="s">
        <v>6</v>
      </c>
      <c r="N9" s="4">
        <f>+N6-N7+N8</f>
        <v>19478.988389999999</v>
      </c>
    </row>
    <row r="10" spans="2:14" x14ac:dyDescent="0.25">
      <c r="M10" t="s">
        <v>5</v>
      </c>
      <c r="N10" s="4">
        <v>2113</v>
      </c>
    </row>
    <row r="12" spans="2:14" x14ac:dyDescent="0.25">
      <c r="M12" t="s">
        <v>8</v>
      </c>
      <c r="N12" s="4">
        <f>Dash!C4</f>
        <v>9576.3280554549001</v>
      </c>
    </row>
    <row r="13" spans="2:14" x14ac:dyDescent="0.25">
      <c r="M13" t="s">
        <v>18</v>
      </c>
      <c r="N13" s="2">
        <f>N12/N5</f>
        <v>26.204280365946822</v>
      </c>
    </row>
    <row r="15" spans="2:14" x14ac:dyDescent="0.25">
      <c r="B15" t="s">
        <v>74</v>
      </c>
    </row>
    <row r="16" spans="2:14" x14ac:dyDescent="0.25">
      <c r="B16" t="s">
        <v>63</v>
      </c>
    </row>
    <row r="17" spans="2:5" x14ac:dyDescent="0.25">
      <c r="B17" t="s">
        <v>64</v>
      </c>
    </row>
    <row r="18" spans="2:5" x14ac:dyDescent="0.25">
      <c r="B18" t="s">
        <v>65</v>
      </c>
    </row>
    <row r="20" spans="2:5" x14ac:dyDescent="0.25">
      <c r="B20" t="s">
        <v>73</v>
      </c>
    </row>
    <row r="21" spans="2:5" ht="15.75" thickBot="1" x14ac:dyDescent="0.3">
      <c r="B21" s="10" t="s">
        <v>66</v>
      </c>
      <c r="C21" s="11" t="s">
        <v>67</v>
      </c>
      <c r="D21" s="25" t="s">
        <v>68</v>
      </c>
      <c r="E21" s="25"/>
    </row>
    <row r="22" spans="2:5" ht="25.5" x14ac:dyDescent="0.25">
      <c r="B22" s="12" t="s">
        <v>69</v>
      </c>
      <c r="C22" s="13"/>
      <c r="D22" s="14" t="s">
        <v>70</v>
      </c>
      <c r="E22" s="15">
        <v>332696</v>
      </c>
    </row>
    <row r="23" spans="2:5" x14ac:dyDescent="0.25">
      <c r="B23" s="16">
        <v>2023</v>
      </c>
      <c r="C23" s="17"/>
      <c r="D23" s="18"/>
      <c r="E23" s="19">
        <v>1001343</v>
      </c>
    </row>
    <row r="24" spans="2:5" x14ac:dyDescent="0.25">
      <c r="B24" s="12">
        <v>2024</v>
      </c>
      <c r="C24" s="13"/>
      <c r="D24" s="14"/>
      <c r="E24" s="15">
        <v>3763958</v>
      </c>
    </row>
    <row r="25" spans="2:5" x14ac:dyDescent="0.25">
      <c r="B25" s="16">
        <v>2025</v>
      </c>
      <c r="C25" s="17"/>
      <c r="D25" s="18"/>
      <c r="E25" s="19">
        <v>1148007</v>
      </c>
    </row>
    <row r="26" spans="2:5" x14ac:dyDescent="0.25">
      <c r="B26" s="12">
        <v>2026</v>
      </c>
      <c r="C26" s="13"/>
      <c r="D26" s="14"/>
      <c r="E26" s="15">
        <v>2050992</v>
      </c>
    </row>
    <row r="27" spans="2:5" x14ac:dyDescent="0.25">
      <c r="B27" s="16">
        <v>2027</v>
      </c>
      <c r="C27" s="17"/>
      <c r="D27" s="17"/>
      <c r="E27" s="19">
        <v>3101980</v>
      </c>
    </row>
    <row r="28" spans="2:5" ht="15.75" thickBot="1" x14ac:dyDescent="0.3">
      <c r="B28" s="12" t="s">
        <v>71</v>
      </c>
      <c r="C28" s="13"/>
      <c r="D28" s="20"/>
      <c r="E28" s="21">
        <v>2753755</v>
      </c>
    </row>
    <row r="29" spans="2:5" ht="15.75" thickBot="1" x14ac:dyDescent="0.3">
      <c r="B29" s="16" t="s">
        <v>72</v>
      </c>
      <c r="C29" s="17"/>
      <c r="D29" s="22" t="s">
        <v>70</v>
      </c>
      <c r="E29" s="23">
        <v>14152731</v>
      </c>
    </row>
    <row r="30" spans="2:5" ht="15.75" thickTop="1" x14ac:dyDescent="0.25"/>
  </sheetData>
  <mergeCells count="1"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X82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O61" sqref="O61"/>
    </sheetView>
  </sheetViews>
  <sheetFormatPr defaultRowHeight="15" x14ac:dyDescent="0.25"/>
  <cols>
    <col min="2" max="2" width="29.7109375" bestFit="1" customWidth="1"/>
  </cols>
  <sheetData>
    <row r="2" spans="2:128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  <c r="AO2">
        <v>2036</v>
      </c>
      <c r="AP2">
        <v>2037</v>
      </c>
      <c r="AQ2">
        <v>2038</v>
      </c>
      <c r="AR2">
        <v>2039</v>
      </c>
      <c r="AS2">
        <v>2040</v>
      </c>
      <c r="AT2">
        <v>2041</v>
      </c>
      <c r="AU2">
        <v>2042</v>
      </c>
      <c r="AV2">
        <v>2043</v>
      </c>
      <c r="AW2">
        <v>2044</v>
      </c>
      <c r="AX2">
        <v>2045</v>
      </c>
      <c r="AY2">
        <v>2046</v>
      </c>
      <c r="AZ2">
        <v>2047</v>
      </c>
      <c r="BA2">
        <v>2048</v>
      </c>
      <c r="BB2">
        <v>2049</v>
      </c>
      <c r="BC2">
        <v>2050</v>
      </c>
      <c r="BD2">
        <v>2051</v>
      </c>
      <c r="BE2">
        <v>2052</v>
      </c>
      <c r="BF2">
        <v>2053</v>
      </c>
      <c r="BG2">
        <v>2054</v>
      </c>
      <c r="BH2">
        <v>2055</v>
      </c>
      <c r="BI2">
        <v>2056</v>
      </c>
      <c r="BJ2">
        <v>2057</v>
      </c>
      <c r="BK2">
        <v>2058</v>
      </c>
      <c r="BL2">
        <v>2059</v>
      </c>
      <c r="BM2">
        <v>2060</v>
      </c>
      <c r="BN2">
        <v>2061</v>
      </c>
      <c r="BO2">
        <v>2062</v>
      </c>
      <c r="BP2">
        <v>2063</v>
      </c>
      <c r="BQ2">
        <v>2064</v>
      </c>
      <c r="BR2">
        <v>2065</v>
      </c>
      <c r="BS2">
        <v>2066</v>
      </c>
      <c r="BT2">
        <v>2067</v>
      </c>
      <c r="BU2">
        <v>2068</v>
      </c>
      <c r="BV2">
        <v>2069</v>
      </c>
      <c r="BW2">
        <v>2070</v>
      </c>
      <c r="BX2">
        <v>2071</v>
      </c>
      <c r="BY2">
        <v>2072</v>
      </c>
      <c r="BZ2">
        <v>2073</v>
      </c>
      <c r="CA2">
        <v>2074</v>
      </c>
      <c r="CB2">
        <v>2075</v>
      </c>
      <c r="CC2">
        <v>2076</v>
      </c>
      <c r="CD2">
        <v>2077</v>
      </c>
      <c r="CE2">
        <v>2078</v>
      </c>
      <c r="CF2">
        <v>2079</v>
      </c>
      <c r="CG2">
        <v>2080</v>
      </c>
      <c r="CH2">
        <v>2081</v>
      </c>
      <c r="CI2">
        <v>2082</v>
      </c>
      <c r="CJ2">
        <v>2083</v>
      </c>
      <c r="CK2">
        <v>2084</v>
      </c>
      <c r="CL2">
        <v>2085</v>
      </c>
      <c r="CM2">
        <v>2086</v>
      </c>
      <c r="CN2">
        <v>2087</v>
      </c>
      <c r="CO2">
        <v>2088</v>
      </c>
      <c r="CP2">
        <v>2089</v>
      </c>
      <c r="CQ2">
        <v>2090</v>
      </c>
      <c r="CR2">
        <v>2091</v>
      </c>
      <c r="CS2">
        <v>2092</v>
      </c>
      <c r="CT2">
        <v>2093</v>
      </c>
      <c r="CU2">
        <v>2094</v>
      </c>
      <c r="CV2">
        <v>2095</v>
      </c>
      <c r="CW2">
        <v>2096</v>
      </c>
      <c r="CX2">
        <v>2097</v>
      </c>
      <c r="CY2">
        <v>2098</v>
      </c>
      <c r="CZ2">
        <v>2099</v>
      </c>
      <c r="DA2">
        <v>2100</v>
      </c>
      <c r="DB2">
        <v>2101</v>
      </c>
      <c r="DC2">
        <v>2102</v>
      </c>
      <c r="DD2">
        <v>2103</v>
      </c>
      <c r="DE2">
        <v>2104</v>
      </c>
      <c r="DF2">
        <v>2105</v>
      </c>
      <c r="DG2">
        <v>2106</v>
      </c>
      <c r="DH2">
        <v>2107</v>
      </c>
      <c r="DI2">
        <v>2108</v>
      </c>
      <c r="DJ2">
        <v>2109</v>
      </c>
      <c r="DK2">
        <v>2110</v>
      </c>
      <c r="DL2">
        <v>2111</v>
      </c>
      <c r="DM2">
        <v>2112</v>
      </c>
      <c r="DN2">
        <v>2113</v>
      </c>
      <c r="DO2">
        <v>2114</v>
      </c>
      <c r="DP2">
        <v>2115</v>
      </c>
      <c r="DQ2">
        <v>2116</v>
      </c>
      <c r="DR2">
        <v>2117</v>
      </c>
      <c r="DS2">
        <v>2118</v>
      </c>
      <c r="DT2">
        <v>2119</v>
      </c>
      <c r="DU2">
        <v>2120</v>
      </c>
      <c r="DV2">
        <v>2121</v>
      </c>
      <c r="DW2">
        <v>2122</v>
      </c>
      <c r="DX2">
        <v>2123</v>
      </c>
    </row>
    <row r="3" spans="2:128" s="4" customFormat="1" x14ac:dyDescent="0.25">
      <c r="B3" s="4" t="s">
        <v>21</v>
      </c>
      <c r="C3" s="4">
        <v>0.16600000000000001</v>
      </c>
      <c r="D3" s="4">
        <v>1.5840000000000001</v>
      </c>
      <c r="E3" s="4">
        <v>86.126999999999995</v>
      </c>
      <c r="F3" s="4">
        <f>Z3-E3-D3-C3</f>
        <v>304.875</v>
      </c>
      <c r="G3" s="4">
        <v>342.45499999999998</v>
      </c>
      <c r="H3" s="4">
        <v>793.89200000000005</v>
      </c>
      <c r="I3" s="4">
        <v>1105.9000000000001</v>
      </c>
      <c r="O3" s="4">
        <v>1411.8</v>
      </c>
      <c r="P3" s="4">
        <v>1563.3630000000001</v>
      </c>
      <c r="Q3" s="4">
        <v>1604.6</v>
      </c>
      <c r="R3" s="4">
        <v>1815.9</v>
      </c>
      <c r="S3" s="4">
        <v>2176.15</v>
      </c>
      <c r="T3" s="4">
        <v>3129.1</v>
      </c>
      <c r="U3" s="4">
        <v>3388.9540000000002</v>
      </c>
      <c r="V3" s="4">
        <v>3750.03</v>
      </c>
      <c r="W3" s="4">
        <v>4259.8149999999996</v>
      </c>
      <c r="X3" s="4">
        <v>4517.3999999999996</v>
      </c>
      <c r="Y3" s="4">
        <v>867.11</v>
      </c>
      <c r="Z3" s="4">
        <v>392.75200000000001</v>
      </c>
      <c r="AA3" s="4">
        <f>G3+H3+I3+I3</f>
        <v>3348.1470000000004</v>
      </c>
    </row>
    <row r="4" spans="2:128" s="4" customFormat="1" x14ac:dyDescent="0.25">
      <c r="B4" s="4" t="s">
        <v>22</v>
      </c>
      <c r="C4" s="4">
        <v>2.9340000000000002</v>
      </c>
      <c r="D4" s="4">
        <v>2.8</v>
      </c>
      <c r="E4" s="4">
        <v>66.953999999999994</v>
      </c>
      <c r="F4" s="4">
        <f>Z4-E4-D4-C4</f>
        <v>182.542</v>
      </c>
      <c r="G4" s="4">
        <v>179.5</v>
      </c>
      <c r="H4" s="4">
        <v>393.3</v>
      </c>
      <c r="I4" s="4">
        <v>509.6</v>
      </c>
      <c r="O4" s="4">
        <v>600.29999999999995</v>
      </c>
      <c r="P4" s="4">
        <v>655.96</v>
      </c>
      <c r="Q4" s="4">
        <v>671.7</v>
      </c>
      <c r="R4" s="4">
        <v>754.42</v>
      </c>
      <c r="S4" s="4">
        <v>949.73</v>
      </c>
      <c r="T4" s="4">
        <v>1215.973</v>
      </c>
      <c r="U4" s="4">
        <v>1485.4</v>
      </c>
      <c r="V4" s="4">
        <v>1646.145</v>
      </c>
      <c r="W4" s="4">
        <v>1795.3</v>
      </c>
      <c r="X4" s="4">
        <v>1944.98</v>
      </c>
      <c r="Y4" s="4">
        <v>412.8</v>
      </c>
      <c r="Z4" s="4">
        <v>255.23</v>
      </c>
      <c r="AA4" s="4">
        <f>G4+H4+I4+I4</f>
        <v>1592</v>
      </c>
    </row>
    <row r="5" spans="2:128" s="5" customFormat="1" x14ac:dyDescent="0.25">
      <c r="B5" s="5" t="s">
        <v>23</v>
      </c>
      <c r="C5" s="5">
        <f t="shared" ref="C5:J5" si="0">+C3+C4</f>
        <v>3.1</v>
      </c>
      <c r="D5" s="5">
        <f t="shared" si="0"/>
        <v>4.3840000000000003</v>
      </c>
      <c r="E5" s="5">
        <f t="shared" si="0"/>
        <v>153.08099999999999</v>
      </c>
      <c r="F5" s="5">
        <f t="shared" si="0"/>
        <v>487.41700000000003</v>
      </c>
      <c r="G5" s="5">
        <f t="shared" si="0"/>
        <v>521.95499999999993</v>
      </c>
      <c r="H5" s="5">
        <f t="shared" si="0"/>
        <v>1187.192</v>
      </c>
      <c r="I5" s="5">
        <f t="shared" si="0"/>
        <v>1615.5</v>
      </c>
      <c r="J5" s="5">
        <f t="shared" si="0"/>
        <v>0</v>
      </c>
      <c r="O5" s="5">
        <f>+O3+O4</f>
        <v>2012.1</v>
      </c>
      <c r="P5" s="5">
        <f>+P3+P4</f>
        <v>2219.3230000000003</v>
      </c>
      <c r="Q5" s="5">
        <f>+Q3+Q4</f>
        <v>2276.3000000000002</v>
      </c>
      <c r="R5" s="5">
        <f>+R3+R4</f>
        <v>2570.3200000000002</v>
      </c>
      <c r="S5" s="5">
        <f t="shared" ref="S5:AA5" si="1">+S3+S4</f>
        <v>3125.88</v>
      </c>
      <c r="T5" s="5">
        <f t="shared" si="1"/>
        <v>4345.0730000000003</v>
      </c>
      <c r="U5" s="5">
        <f t="shared" si="1"/>
        <v>4874.3540000000003</v>
      </c>
      <c r="V5" s="5">
        <f t="shared" si="1"/>
        <v>5396.1750000000002</v>
      </c>
      <c r="W5" s="5">
        <f t="shared" si="1"/>
        <v>6055.1149999999998</v>
      </c>
      <c r="X5" s="5">
        <f t="shared" si="1"/>
        <v>6462.3799999999992</v>
      </c>
      <c r="Y5" s="5">
        <f t="shared" si="1"/>
        <v>1279.9100000000001</v>
      </c>
      <c r="Z5" s="5">
        <f t="shared" si="1"/>
        <v>647.98199999999997</v>
      </c>
      <c r="AA5" s="5">
        <f t="shared" si="1"/>
        <v>4940.1470000000008</v>
      </c>
      <c r="AB5" s="5">
        <f>AA5+(-$AA$5+$AD$5)/3</f>
        <v>5977.4103737637524</v>
      </c>
      <c r="AC5" s="5">
        <f>AB5+(-$AA$5+$AD$5)/3</f>
        <v>7014.673747527504</v>
      </c>
      <c r="AD5" s="5">
        <f>X5*(1+Y62)*(1+Z62)*(1+AA62)*(1+AB62)*(1+AC62)*(1+AD62)</f>
        <v>8051.9371212912547</v>
      </c>
      <c r="AE5" s="5">
        <f>AD5*(1+AE37)</f>
        <v>8535.0533485687301</v>
      </c>
      <c r="AF5" s="5">
        <f t="shared" ref="AF5:AK5" si="2">AE5*(1+AF37)</f>
        <v>8961.8060159971665</v>
      </c>
      <c r="AG5" s="5">
        <f t="shared" si="2"/>
        <v>9320.2782566370533</v>
      </c>
      <c r="AH5" s="5">
        <f t="shared" si="2"/>
        <v>9693.0893869025367</v>
      </c>
      <c r="AI5" s="5">
        <f t="shared" si="2"/>
        <v>10080.812962378639</v>
      </c>
      <c r="AJ5" s="5">
        <f t="shared" si="2"/>
        <v>10484.045480873785</v>
      </c>
      <c r="AK5" s="5">
        <f t="shared" si="2"/>
        <v>10903.407300108736</v>
      </c>
    </row>
    <row r="6" spans="2:128" s="4" customFormat="1" x14ac:dyDescent="0.25">
      <c r="B6" s="4" t="s">
        <v>24</v>
      </c>
      <c r="C6" s="4">
        <v>9.0329999999999995</v>
      </c>
      <c r="D6" s="4">
        <v>6.5640000000000001</v>
      </c>
      <c r="E6" s="4">
        <v>32.338000000000001</v>
      </c>
      <c r="F6" s="4">
        <f t="shared" ref="F6:F11" si="3">Z6-E6-D6-C6</f>
        <v>95.589000000000013</v>
      </c>
      <c r="G6" s="4">
        <v>87.957999999999998</v>
      </c>
      <c r="H6" s="4">
        <v>256.2</v>
      </c>
      <c r="I6" s="4">
        <v>352.8</v>
      </c>
      <c r="S6" s="4">
        <v>503.72199999999998</v>
      </c>
      <c r="T6" s="4">
        <v>765.3</v>
      </c>
      <c r="U6" s="4">
        <v>813.55899999999997</v>
      </c>
      <c r="V6" s="4">
        <v>894.4</v>
      </c>
      <c r="W6" s="4">
        <v>998.95</v>
      </c>
      <c r="X6" s="4">
        <v>1120.9000000000001</v>
      </c>
      <c r="Y6" s="4">
        <v>380.7</v>
      </c>
      <c r="Z6" s="4">
        <v>143.524</v>
      </c>
      <c r="AA6" s="4">
        <f t="shared" ref="AA6:AA11" si="4">G6+H6+I6+I6</f>
        <v>1049.758</v>
      </c>
      <c r="AB6" s="4">
        <f>AC6/2+AA6/2</f>
        <v>1204.8248272524147</v>
      </c>
      <c r="AC6" s="4">
        <f>X6*(1+Y62)*(1+Z62)*(1+AA62)*(1+AB62)*(1+AC62)</f>
        <v>1359.8916545048294</v>
      </c>
      <c r="AD6" s="4">
        <f>AC6*(1+AD62+AD63)</f>
        <v>1402.0482957944789</v>
      </c>
      <c r="AE6" s="4">
        <f t="shared" ref="AE6:AK6" si="5">AD6*(1+AE62+AE63)</f>
        <v>1445.5117929641076</v>
      </c>
      <c r="AF6" s="4">
        <f t="shared" si="5"/>
        <v>1491.7681703389587</v>
      </c>
      <c r="AG6" s="4">
        <f t="shared" si="5"/>
        <v>1539.5047517898051</v>
      </c>
      <c r="AH6" s="4">
        <f t="shared" si="5"/>
        <v>1588.7689038470787</v>
      </c>
      <c r="AI6" s="4">
        <f t="shared" si="5"/>
        <v>1642.787046577879</v>
      </c>
      <c r="AJ6" s="4">
        <f t="shared" si="5"/>
        <v>1698.6418061615266</v>
      </c>
      <c r="AK6" s="4">
        <f t="shared" si="5"/>
        <v>1756.3956275710182</v>
      </c>
    </row>
    <row r="7" spans="2:128" s="4" customFormat="1" x14ac:dyDescent="0.25">
      <c r="B7" s="4" t="s">
        <v>25</v>
      </c>
      <c r="C7" s="4">
        <v>1.2589999999999999</v>
      </c>
      <c r="D7" s="4">
        <v>1.276</v>
      </c>
      <c r="E7" s="4">
        <v>19.306000000000001</v>
      </c>
      <c r="F7" s="4">
        <f t="shared" si="3"/>
        <v>32.189</v>
      </c>
      <c r="G7" s="4">
        <v>32.549999999999997</v>
      </c>
      <c r="H7" s="4">
        <v>96.155000000000001</v>
      </c>
      <c r="I7" s="4">
        <v>126.74</v>
      </c>
      <c r="S7" s="4">
        <v>224</v>
      </c>
      <c r="T7" s="4">
        <v>272.8</v>
      </c>
      <c r="U7" s="4">
        <v>298.89999999999998</v>
      </c>
      <c r="V7" s="4">
        <v>319.3</v>
      </c>
      <c r="W7" s="4">
        <v>348.65</v>
      </c>
      <c r="X7" s="4">
        <v>394.7</v>
      </c>
      <c r="Y7" s="4">
        <v>85.7</v>
      </c>
      <c r="Z7" s="4">
        <v>54.03</v>
      </c>
      <c r="AA7" s="4">
        <f t="shared" si="4"/>
        <v>382.185</v>
      </c>
      <c r="AB7" s="4">
        <f>AC7/2+AA7/2</f>
        <v>430.5202973204818</v>
      </c>
      <c r="AC7" s="4">
        <f>X7*(1+Y62)*(1+Z62)*(1+AA62)*(1+AB62)*(1+AC62)</f>
        <v>478.8555946409636</v>
      </c>
      <c r="AD7" s="4">
        <f>AC7*(1+AD62+AD63)</f>
        <v>493.70011807483343</v>
      </c>
      <c r="AE7" s="4">
        <f t="shared" ref="AE7:AJ7" si="6">AD7*(1+AE62+AE63)</f>
        <v>509.0048217351532</v>
      </c>
      <c r="AF7" s="4">
        <f t="shared" si="6"/>
        <v>525.29297603067801</v>
      </c>
      <c r="AG7" s="4">
        <f t="shared" si="6"/>
        <v>542.10235126365956</v>
      </c>
      <c r="AH7" s="4">
        <f t="shared" si="6"/>
        <v>559.44962650409661</v>
      </c>
      <c r="AI7" s="4">
        <f t="shared" si="6"/>
        <v>578.4709138052358</v>
      </c>
      <c r="AJ7" s="4">
        <f t="shared" si="6"/>
        <v>598.13892487461374</v>
      </c>
      <c r="AK7" s="4">
        <f>AJ7*(1+AK62+AK63)</f>
        <v>618.4756483203505</v>
      </c>
    </row>
    <row r="8" spans="2:128" s="4" customFormat="1" x14ac:dyDescent="0.25">
      <c r="B8" s="4" t="s">
        <v>26</v>
      </c>
      <c r="C8" s="4">
        <v>82.138000000000005</v>
      </c>
      <c r="D8" s="4">
        <v>86.65</v>
      </c>
      <c r="E8" s="4">
        <v>154.44</v>
      </c>
      <c r="F8" s="4">
        <f t="shared" si="3"/>
        <v>214.21200000000002</v>
      </c>
      <c r="G8" s="4">
        <v>240.727</v>
      </c>
      <c r="H8" s="4">
        <v>262.60000000000002</v>
      </c>
      <c r="I8" s="4">
        <v>287.39999999999998</v>
      </c>
      <c r="S8" s="4">
        <v>452.65</v>
      </c>
      <c r="T8" s="4">
        <v>666.11</v>
      </c>
      <c r="U8" s="4">
        <v>746.14</v>
      </c>
      <c r="V8" s="4">
        <v>803.63</v>
      </c>
      <c r="W8" s="4">
        <v>881.60599999999999</v>
      </c>
      <c r="X8" s="4">
        <v>924.2</v>
      </c>
      <c r="Y8" s="4">
        <v>521.29999999999995</v>
      </c>
      <c r="Z8" s="4">
        <v>537.44000000000005</v>
      </c>
      <c r="AA8" s="4">
        <f t="shared" si="4"/>
        <v>1078.127</v>
      </c>
      <c r="AB8" s="4">
        <f>AC8/2+AA8/2</f>
        <v>1147.9241882822189</v>
      </c>
      <c r="AC8" s="4">
        <f>X8*(1+Y55)*(1+Z55)*(1+AA55)*(1+AB55)*(1+AC55)</f>
        <v>1217.7213765644381</v>
      </c>
      <c r="AD8" s="4">
        <f>AC8*(1+AC55)</f>
        <v>1282.2606095223532</v>
      </c>
      <c r="AE8" s="4">
        <f t="shared" ref="AE8:AK8" si="7">AD8*(1+AD55)</f>
        <v>1320.7284278080238</v>
      </c>
      <c r="AF8" s="4">
        <f t="shared" si="7"/>
        <v>1360.3502806422646</v>
      </c>
      <c r="AG8" s="4">
        <f t="shared" si="7"/>
        <v>1401.1607890615326</v>
      </c>
      <c r="AH8" s="4">
        <f t="shared" si="7"/>
        <v>1443.1956127333785</v>
      </c>
      <c r="AI8" s="4">
        <f t="shared" si="7"/>
        <v>1486.4914811153799</v>
      </c>
      <c r="AJ8" s="4">
        <f t="shared" si="7"/>
        <v>1531.0862255488414</v>
      </c>
      <c r="AK8" s="4">
        <f t="shared" si="7"/>
        <v>1577.0188123153066</v>
      </c>
    </row>
    <row r="9" spans="2:128" s="4" customFormat="1" x14ac:dyDescent="0.25">
      <c r="B9" s="4" t="s">
        <v>27</v>
      </c>
      <c r="C9" s="4">
        <v>42.6</v>
      </c>
      <c r="D9" s="4">
        <v>54.1</v>
      </c>
      <c r="E9" s="4">
        <v>79.238</v>
      </c>
      <c r="F9" s="4">
        <f t="shared" si="3"/>
        <v>125.91200000000003</v>
      </c>
      <c r="G9" s="4">
        <v>135.5</v>
      </c>
      <c r="H9" s="4">
        <v>181.2</v>
      </c>
      <c r="I9" s="4">
        <v>186.98400000000001</v>
      </c>
      <c r="S9" s="4">
        <v>326.23</v>
      </c>
      <c r="T9" s="4">
        <v>358.65</v>
      </c>
      <c r="U9" s="4">
        <v>335.17</v>
      </c>
      <c r="V9" s="4">
        <v>361.03199999999998</v>
      </c>
      <c r="W9" s="4">
        <v>392.7</v>
      </c>
      <c r="X9" s="4">
        <v>409.6</v>
      </c>
      <c r="Y9" s="4">
        <v>264.7</v>
      </c>
      <c r="Z9" s="4">
        <v>301.85000000000002</v>
      </c>
      <c r="AA9" s="4">
        <f t="shared" si="4"/>
        <v>690.66800000000001</v>
      </c>
      <c r="AB9" s="4">
        <f>X9*(1+Y58)*(1+Z58)*(1+AA58)*(1+AB58)</f>
        <v>602.35294117647061</v>
      </c>
      <c r="AC9" s="4">
        <f>AB9*(1+AC58)</f>
        <v>554.16470588235291</v>
      </c>
      <c r="AD9" s="4">
        <f t="shared" ref="AD9:AK9" si="8">AC9*(1+AD58)</f>
        <v>571.34381176470583</v>
      </c>
      <c r="AE9" s="4">
        <f t="shared" si="8"/>
        <v>590.1981575529411</v>
      </c>
      <c r="AF9" s="4">
        <f t="shared" si="8"/>
        <v>612.03548938239987</v>
      </c>
      <c r="AG9" s="4">
        <f t="shared" si="8"/>
        <v>634.68080248954857</v>
      </c>
      <c r="AH9" s="4">
        <f t="shared" si="8"/>
        <v>658.1639921816618</v>
      </c>
      <c r="AI9" s="4">
        <f t="shared" si="8"/>
        <v>682.51605989238328</v>
      </c>
      <c r="AJ9" s="4">
        <f t="shared" si="8"/>
        <v>707.76915410840138</v>
      </c>
      <c r="AK9" s="4">
        <f t="shared" si="8"/>
        <v>733.95661281041214</v>
      </c>
    </row>
    <row r="10" spans="2:128" s="4" customFormat="1" x14ac:dyDescent="0.25">
      <c r="B10" s="4" t="s">
        <v>28</v>
      </c>
      <c r="C10" s="4">
        <v>6.3</v>
      </c>
      <c r="D10" s="4">
        <v>4.33</v>
      </c>
      <c r="E10" s="4">
        <v>16.670000000000002</v>
      </c>
      <c r="F10" s="4">
        <f t="shared" si="3"/>
        <v>35.700000000000003</v>
      </c>
      <c r="G10" s="4">
        <v>39.515999999999998</v>
      </c>
      <c r="H10" s="4">
        <v>61.2</v>
      </c>
      <c r="I10" s="4">
        <v>76.81</v>
      </c>
      <c r="S10" s="4">
        <v>168.24</v>
      </c>
      <c r="T10" s="4">
        <v>179.64099999999999</v>
      </c>
      <c r="U10" s="4">
        <v>200</v>
      </c>
      <c r="V10" s="4">
        <v>198.357</v>
      </c>
      <c r="W10" s="4">
        <v>216.03</v>
      </c>
      <c r="X10" s="4">
        <v>222.6</v>
      </c>
      <c r="Y10" s="4">
        <v>65.400000000000006</v>
      </c>
      <c r="Z10" s="4">
        <v>63</v>
      </c>
      <c r="AA10" s="4">
        <f t="shared" si="4"/>
        <v>254.33600000000001</v>
      </c>
      <c r="AB10" s="4">
        <f>AC10/2+AA10/2</f>
        <v>275.0814516653947</v>
      </c>
      <c r="AC10" s="4">
        <f>X10*(1+Y60)*(1+Z60)*(1+AA60)*(1+AB60)*(1+AC60)</f>
        <v>295.82690333078938</v>
      </c>
      <c r="AD10" s="4">
        <f>AC10*(1+AD60)</f>
        <v>304.99753733404384</v>
      </c>
      <c r="AE10" s="4">
        <f t="shared" ref="AE10:AK10" si="9">AD10*(1+AE60)</f>
        <v>314.45246099139916</v>
      </c>
      <c r="AF10" s="4">
        <f t="shared" si="9"/>
        <v>324.20048728213249</v>
      </c>
      <c r="AG10" s="4">
        <f t="shared" si="9"/>
        <v>334.25070238787856</v>
      </c>
      <c r="AH10" s="4">
        <f t="shared" si="9"/>
        <v>344.61247416190275</v>
      </c>
      <c r="AI10" s="4">
        <f t="shared" si="9"/>
        <v>355.29546086092171</v>
      </c>
      <c r="AJ10" s="4">
        <f t="shared" si="9"/>
        <v>366.30962014761025</v>
      </c>
      <c r="AK10" s="4">
        <f t="shared" si="9"/>
        <v>377.66521837218613</v>
      </c>
    </row>
    <row r="11" spans="2:128" s="4" customFormat="1" x14ac:dyDescent="0.25">
      <c r="B11" s="4" t="s">
        <v>29</v>
      </c>
      <c r="C11" s="4">
        <v>59.5</v>
      </c>
      <c r="D11" s="4">
        <v>96.816000000000003</v>
      </c>
      <c r="E11" s="4">
        <v>137.76</v>
      </c>
      <c r="F11" s="4">
        <f t="shared" si="3"/>
        <v>214.11</v>
      </c>
      <c r="G11" s="4">
        <v>199.15299999999999</v>
      </c>
      <c r="H11" s="4">
        <v>216.0455</v>
      </c>
      <c r="I11" s="4">
        <v>208.17599999999999</v>
      </c>
      <c r="S11" s="4">
        <v>271.8</v>
      </c>
      <c r="T11" s="4">
        <v>412.94799999999998</v>
      </c>
      <c r="U11" s="4">
        <v>456.4</v>
      </c>
      <c r="V11" s="4">
        <v>486.92399999999998</v>
      </c>
      <c r="W11" s="4">
        <v>539.15</v>
      </c>
      <c r="X11" s="4">
        <v>591.34</v>
      </c>
      <c r="Y11" s="4">
        <v>375.3</v>
      </c>
      <c r="Z11" s="4">
        <v>508.18599999999998</v>
      </c>
      <c r="AA11" s="4">
        <f t="shared" si="4"/>
        <v>831.55049999999983</v>
      </c>
      <c r="AB11" s="4">
        <f>AC11/2+AA11/2</f>
        <v>774.48625498478248</v>
      </c>
      <c r="AC11" s="4">
        <f>X11*(1+Y62)*(1+Z62)*(1+AA62)*(1+AB62)*(1+AC62)</f>
        <v>717.42200996956512</v>
      </c>
      <c r="AD11" s="4">
        <f>AC11*(1+AD62+AD63)</f>
        <v>739.66209227862157</v>
      </c>
      <c r="AE11" s="4">
        <f t="shared" ref="AE11:AK11" si="10">AD11*(1+AE62+AE63)</f>
        <v>762.5916171392588</v>
      </c>
      <c r="AF11" s="4">
        <f t="shared" si="10"/>
        <v>786.99454888771493</v>
      </c>
      <c r="AG11" s="4">
        <f t="shared" si="10"/>
        <v>812.1783744521216</v>
      </c>
      <c r="AH11" s="4">
        <f t="shared" si="10"/>
        <v>838.16808243458934</v>
      </c>
      <c r="AI11" s="4">
        <f t="shared" si="10"/>
        <v>866.66579723736527</v>
      </c>
      <c r="AJ11" s="4">
        <f t="shared" si="10"/>
        <v>896.13243434343553</v>
      </c>
      <c r="AK11" s="4">
        <f t="shared" si="10"/>
        <v>926.60093711111222</v>
      </c>
    </row>
    <row r="12" spans="2:128" s="4" customFormat="1" x14ac:dyDescent="0.25">
      <c r="B12" s="4" t="s">
        <v>30</v>
      </c>
      <c r="C12" s="4">
        <f t="shared" ref="C12:J12" si="11">+C6+C7+C8+C9+C10+C11</f>
        <v>200.83</v>
      </c>
      <c r="D12" s="4">
        <f t="shared" si="11"/>
        <v>249.73600000000002</v>
      </c>
      <c r="E12" s="4">
        <f t="shared" si="11"/>
        <v>439.75200000000001</v>
      </c>
      <c r="F12" s="4">
        <f t="shared" si="11"/>
        <v>717.71199999999999</v>
      </c>
      <c r="G12" s="4">
        <f t="shared" si="11"/>
        <v>735.404</v>
      </c>
      <c r="H12" s="4">
        <f t="shared" si="11"/>
        <v>1073.4005</v>
      </c>
      <c r="I12" s="4">
        <f t="shared" si="11"/>
        <v>1238.9100000000001</v>
      </c>
      <c r="J12" s="4">
        <f t="shared" si="11"/>
        <v>0</v>
      </c>
      <c r="S12" s="4">
        <f t="shared" ref="S12:AC12" si="12">+S6+S7+S8+S9+S10+S11</f>
        <v>1946.6419999999998</v>
      </c>
      <c r="T12" s="4">
        <f t="shared" si="12"/>
        <v>2655.4490000000001</v>
      </c>
      <c r="U12" s="4">
        <f t="shared" si="12"/>
        <v>2850.1689999999999</v>
      </c>
      <c r="V12" s="4">
        <f t="shared" si="12"/>
        <v>3063.643</v>
      </c>
      <c r="W12" s="4">
        <f t="shared" si="12"/>
        <v>3377.0860000000002</v>
      </c>
      <c r="X12" s="4">
        <f t="shared" si="12"/>
        <v>3663.34</v>
      </c>
      <c r="Y12" s="4">
        <f t="shared" si="12"/>
        <v>1693.1</v>
      </c>
      <c r="Z12" s="4">
        <f t="shared" si="12"/>
        <v>1608.03</v>
      </c>
      <c r="AA12" s="4">
        <f>+AA6+AA7+AA8+AA9+AA10+AA11</f>
        <v>4286.6244999999999</v>
      </c>
      <c r="AB12" s="4">
        <f>+AB6+AB7+AB8+AB9+AB10+AB11</f>
        <v>4435.1899606817633</v>
      </c>
      <c r="AC12" s="4">
        <f t="shared" si="12"/>
        <v>4623.8822448929386</v>
      </c>
      <c r="AD12" s="4">
        <f t="shared" ref="AD12:AK12" si="13">+AD6+AD7+AD8+AD9+AD10+AD11</f>
        <v>4794.0124647690363</v>
      </c>
      <c r="AE12" s="4">
        <f t="shared" si="13"/>
        <v>4942.4872781908844</v>
      </c>
      <c r="AF12" s="4">
        <f t="shared" si="13"/>
        <v>5100.6419525641486</v>
      </c>
      <c r="AG12" s="4">
        <f t="shared" si="13"/>
        <v>5263.8777714445459</v>
      </c>
      <c r="AH12" s="4">
        <f t="shared" si="13"/>
        <v>5432.3586918627079</v>
      </c>
      <c r="AI12" s="4">
        <f t="shared" si="13"/>
        <v>5612.2267594891646</v>
      </c>
      <c r="AJ12" s="4">
        <f t="shared" si="13"/>
        <v>5798.0781651844291</v>
      </c>
      <c r="AK12" s="4">
        <f t="shared" si="13"/>
        <v>5990.1128565003864</v>
      </c>
    </row>
    <row r="13" spans="2:128" s="5" customFormat="1" x14ac:dyDescent="0.25">
      <c r="B13" s="5" t="s">
        <v>31</v>
      </c>
      <c r="C13" s="5">
        <f t="shared" ref="C13:J13" si="14">+C5-C12</f>
        <v>-197.73000000000002</v>
      </c>
      <c r="D13" s="5">
        <f t="shared" si="14"/>
        <v>-245.35200000000003</v>
      </c>
      <c r="E13" s="5">
        <f t="shared" si="14"/>
        <v>-286.67100000000005</v>
      </c>
      <c r="F13" s="5">
        <f t="shared" si="14"/>
        <v>-230.29499999999996</v>
      </c>
      <c r="G13" s="5">
        <f t="shared" si="14"/>
        <v>-213.44900000000007</v>
      </c>
      <c r="H13" s="5">
        <f t="shared" si="14"/>
        <v>113.79150000000004</v>
      </c>
      <c r="I13" s="5">
        <f t="shared" si="14"/>
        <v>376.58999999999992</v>
      </c>
      <c r="J13" s="5">
        <f t="shared" si="14"/>
        <v>0</v>
      </c>
      <c r="S13" s="5">
        <f t="shared" ref="S13:AA13" si="15">+S5-S12</f>
        <v>1179.2380000000003</v>
      </c>
      <c r="T13" s="5">
        <f t="shared" si="15"/>
        <v>1689.6240000000003</v>
      </c>
      <c r="U13" s="5">
        <f t="shared" si="15"/>
        <v>2024.1850000000004</v>
      </c>
      <c r="V13" s="5">
        <f t="shared" si="15"/>
        <v>2332.5320000000002</v>
      </c>
      <c r="W13" s="5">
        <f t="shared" si="15"/>
        <v>2678.0289999999995</v>
      </c>
      <c r="X13" s="5">
        <f t="shared" si="15"/>
        <v>2799.0399999999991</v>
      </c>
      <c r="Y13" s="5">
        <f t="shared" si="15"/>
        <v>-413.18999999999983</v>
      </c>
      <c r="Z13" s="5">
        <f t="shared" si="15"/>
        <v>-960.048</v>
      </c>
      <c r="AA13" s="5">
        <f t="shared" si="15"/>
        <v>653.52250000000095</v>
      </c>
      <c r="AB13" s="5">
        <f t="shared" ref="AB13:AK13" si="16">+AB5-AB12</f>
        <v>1542.2204130819891</v>
      </c>
      <c r="AC13" s="5">
        <f>+AC5-AC12</f>
        <v>2390.7915026345654</v>
      </c>
      <c r="AD13" s="5">
        <f>+AD5-AD12</f>
        <v>3257.9246565222184</v>
      </c>
      <c r="AE13" s="5">
        <f t="shared" si="16"/>
        <v>3592.5660703778458</v>
      </c>
      <c r="AF13" s="5">
        <f t="shared" si="16"/>
        <v>3861.1640634330179</v>
      </c>
      <c r="AG13" s="5">
        <f t="shared" si="16"/>
        <v>4056.4004851925074</v>
      </c>
      <c r="AH13" s="5">
        <f t="shared" si="16"/>
        <v>4260.7306950398288</v>
      </c>
      <c r="AI13" s="5">
        <f t="shared" si="16"/>
        <v>4468.5862028894744</v>
      </c>
      <c r="AJ13" s="5">
        <f t="shared" si="16"/>
        <v>4685.9673156893559</v>
      </c>
      <c r="AK13" s="5">
        <f t="shared" si="16"/>
        <v>4913.2944436083499</v>
      </c>
    </row>
    <row r="14" spans="2:128" s="4" customFormat="1" x14ac:dyDescent="0.25">
      <c r="B14" s="4" t="s">
        <v>32</v>
      </c>
      <c r="C14" s="4">
        <v>203.2</v>
      </c>
      <c r="D14" s="4">
        <v>185.483</v>
      </c>
      <c r="E14" s="4">
        <v>229.14</v>
      </c>
      <c r="F14" s="4">
        <f>Z14-E14-D14-C14</f>
        <v>273.62700000000007</v>
      </c>
      <c r="G14" s="4">
        <v>296.20699999999999</v>
      </c>
      <c r="H14" s="4">
        <v>329.08</v>
      </c>
      <c r="I14" s="4">
        <v>375.29</v>
      </c>
      <c r="S14" s="4">
        <v>403.17</v>
      </c>
      <c r="T14" s="4">
        <v>555</v>
      </c>
      <c r="U14" s="4">
        <v>666.15599999999995</v>
      </c>
      <c r="V14" s="4">
        <v>773.755</v>
      </c>
      <c r="W14" s="4">
        <v>897.92899999999997</v>
      </c>
      <c r="X14" s="4">
        <v>974.85</v>
      </c>
      <c r="Y14" s="4">
        <v>745.3</v>
      </c>
      <c r="Z14" s="4">
        <v>891.45</v>
      </c>
      <c r="AA14" s="4">
        <f>G14+H14+I14+I14</f>
        <v>1375.867</v>
      </c>
      <c r="AB14" s="4">
        <f>AB46*AB5</f>
        <v>1195.4820747527506</v>
      </c>
      <c r="AC14" s="4">
        <f>AC46*AC5</f>
        <v>1052.2010621291256</v>
      </c>
      <c r="AD14" s="4">
        <f>AD46*AD5</f>
        <v>1207.7905681936882</v>
      </c>
      <c r="AE14" s="4">
        <f t="shared" ref="AE14:AK14" si="17">AE46*AE5</f>
        <v>1194.9074687996224</v>
      </c>
      <c r="AF14" s="4">
        <f t="shared" si="17"/>
        <v>1254.6528422396034</v>
      </c>
      <c r="AG14" s="4">
        <f t="shared" si="17"/>
        <v>1211.6361733628171</v>
      </c>
      <c r="AH14" s="4">
        <f t="shared" si="17"/>
        <v>1260.1016202973299</v>
      </c>
      <c r="AI14" s="4">
        <f t="shared" si="17"/>
        <v>1310.5056851092231</v>
      </c>
      <c r="AJ14" s="4">
        <f t="shared" si="17"/>
        <v>1362.925912513592</v>
      </c>
      <c r="AK14" s="4">
        <f t="shared" si="17"/>
        <v>1417.4429490141358</v>
      </c>
    </row>
    <row r="15" spans="2:128" s="4" customFormat="1" x14ac:dyDescent="0.25">
      <c r="B15" s="4" t="s">
        <v>33</v>
      </c>
      <c r="C15" s="4">
        <v>170.3</v>
      </c>
      <c r="D15" s="4">
        <v>174.3</v>
      </c>
      <c r="E15" s="4">
        <v>173.28899999999999</v>
      </c>
      <c r="F15" s="4">
        <f>Z15-E15-D15-C15</f>
        <v>182.95600000000002</v>
      </c>
      <c r="G15" s="4">
        <v>179.07599999999999</v>
      </c>
      <c r="H15" s="4">
        <v>181.6</v>
      </c>
      <c r="I15" s="4">
        <v>186.55</v>
      </c>
      <c r="S15" s="4">
        <v>273.14699999999999</v>
      </c>
      <c r="T15" s="4">
        <v>432.11399999999998</v>
      </c>
      <c r="U15" s="4">
        <v>432.5</v>
      </c>
      <c r="V15" s="4">
        <v>509.95699999999999</v>
      </c>
      <c r="W15" s="4">
        <v>561.05999999999995</v>
      </c>
      <c r="X15" s="4">
        <v>646.20000000000005</v>
      </c>
      <c r="Y15" s="4">
        <v>717.8</v>
      </c>
      <c r="Z15" s="4">
        <v>700.84500000000003</v>
      </c>
      <c r="AA15" s="4">
        <f>G15+H15+I15+I15</f>
        <v>733.77600000000007</v>
      </c>
      <c r="AB15" s="4">
        <f>AB49*AB5</f>
        <v>777.0633485892879</v>
      </c>
      <c r="AC15" s="4">
        <f>AC49*AC5</f>
        <v>841.76084970330044</v>
      </c>
      <c r="AD15" s="4">
        <f>AD49*AD5</f>
        <v>885.71308334203798</v>
      </c>
      <c r="AE15" s="4">
        <f t="shared" ref="AE15:AK15" si="18">AE49*AE5</f>
        <v>853.50533485687311</v>
      </c>
      <c r="AF15" s="4">
        <f t="shared" si="18"/>
        <v>806.5625414397449</v>
      </c>
      <c r="AG15" s="4">
        <f t="shared" si="18"/>
        <v>838.82504309733474</v>
      </c>
      <c r="AH15" s="4">
        <f t="shared" si="18"/>
        <v>872.37804482122829</v>
      </c>
      <c r="AI15" s="4">
        <f t="shared" si="18"/>
        <v>806.46503699029108</v>
      </c>
      <c r="AJ15" s="4">
        <f t="shared" si="18"/>
        <v>838.72363846990277</v>
      </c>
      <c r="AK15" s="4">
        <f t="shared" si="18"/>
        <v>872.27258400869891</v>
      </c>
    </row>
    <row r="16" spans="2:128" s="4" customFormat="1" x14ac:dyDescent="0.25">
      <c r="B16" s="4" t="s">
        <v>44</v>
      </c>
      <c r="Y16" s="4">
        <v>1607.8</v>
      </c>
    </row>
    <row r="17" spans="2:128" s="5" customFormat="1" x14ac:dyDescent="0.25">
      <c r="B17" s="5" t="s">
        <v>34</v>
      </c>
      <c r="C17" s="5">
        <f t="shared" ref="C17:J17" si="19">+C13-C14-C15</f>
        <v>-571.23</v>
      </c>
      <c r="D17" s="5">
        <f t="shared" si="19"/>
        <v>-605.13499999999999</v>
      </c>
      <c r="E17" s="5">
        <f t="shared" si="19"/>
        <v>-689.1</v>
      </c>
      <c r="F17" s="5">
        <f t="shared" si="19"/>
        <v>-686.87800000000004</v>
      </c>
      <c r="G17" s="5">
        <f t="shared" si="19"/>
        <v>-688.73200000000008</v>
      </c>
      <c r="H17" s="5">
        <f t="shared" si="19"/>
        <v>-396.88849999999991</v>
      </c>
      <c r="I17" s="5">
        <f t="shared" si="19"/>
        <v>-185.25000000000011</v>
      </c>
      <c r="J17" s="5">
        <f t="shared" si="19"/>
        <v>0</v>
      </c>
      <c r="S17" s="5">
        <f t="shared" ref="S17:X17" si="20">+S13-S14-S15</f>
        <v>502.92100000000022</v>
      </c>
      <c r="T17" s="5">
        <f t="shared" si="20"/>
        <v>702.51000000000022</v>
      </c>
      <c r="U17" s="5">
        <f t="shared" si="20"/>
        <v>925.52900000000045</v>
      </c>
      <c r="V17" s="5">
        <f t="shared" si="20"/>
        <v>1048.8200000000002</v>
      </c>
      <c r="W17" s="5">
        <f t="shared" si="20"/>
        <v>1219.0399999999995</v>
      </c>
      <c r="X17" s="5">
        <f t="shared" si="20"/>
        <v>1177.9899999999991</v>
      </c>
      <c r="Y17" s="5">
        <f>+Y13-Y14-Y15-Y16</f>
        <v>-3484.0899999999997</v>
      </c>
      <c r="Z17" s="5">
        <f>+Z13-Z14-Z15</f>
        <v>-2552.3429999999998</v>
      </c>
      <c r="AA17" s="5">
        <f>+AA13-AA14-AA15</f>
        <v>-1456.1204999999991</v>
      </c>
      <c r="AB17" s="5">
        <f t="shared" ref="AB17:AK17" si="21">+AB13-AB14-AB15</f>
        <v>-430.32501026004934</v>
      </c>
      <c r="AC17" s="5">
        <f t="shared" si="21"/>
        <v>496.82959080213936</v>
      </c>
      <c r="AD17" s="5">
        <f t="shared" si="21"/>
        <v>1164.4210049864923</v>
      </c>
      <c r="AE17" s="5">
        <f t="shared" si="21"/>
        <v>1544.1532667213501</v>
      </c>
      <c r="AF17" s="5">
        <f t="shared" si="21"/>
        <v>1799.9486797536697</v>
      </c>
      <c r="AG17" s="5">
        <f t="shared" si="21"/>
        <v>2005.9392687323552</v>
      </c>
      <c r="AH17" s="5">
        <f t="shared" si="21"/>
        <v>2128.2510299212709</v>
      </c>
      <c r="AI17" s="5">
        <f t="shared" si="21"/>
        <v>2351.6154807899602</v>
      </c>
      <c r="AJ17" s="5">
        <f t="shared" si="21"/>
        <v>2484.317764705861</v>
      </c>
      <c r="AK17" s="5">
        <f t="shared" si="21"/>
        <v>2623.5789105855156</v>
      </c>
    </row>
    <row r="18" spans="2:128" s="4" customFormat="1" x14ac:dyDescent="0.25">
      <c r="B18" s="4" t="s">
        <v>35</v>
      </c>
      <c r="C18" s="4">
        <v>-824.44</v>
      </c>
      <c r="D18" s="4">
        <v>-137.25899999999999</v>
      </c>
      <c r="E18" s="4">
        <v>-161.19999999999999</v>
      </c>
      <c r="F18" s="4">
        <f>Z18-E18-D18-C18</f>
        <v>-950.02600000000007</v>
      </c>
      <c r="G18" s="4">
        <v>-327.7</v>
      </c>
      <c r="H18" s="4">
        <v>-144.37700000000001</v>
      </c>
      <c r="I18" s="4">
        <v>-152.33000000000001</v>
      </c>
      <c r="S18" s="4">
        <v>-151.75</v>
      </c>
      <c r="T18" s="4">
        <v>-221.9</v>
      </c>
      <c r="U18" s="4">
        <v>-276.85000000000002</v>
      </c>
      <c r="V18" s="4">
        <v>-267.80399999999997</v>
      </c>
      <c r="W18" s="4">
        <v>-270.39999999999998</v>
      </c>
      <c r="X18" s="4">
        <v>-272.86700000000002</v>
      </c>
      <c r="Y18" s="4">
        <v>-482.3</v>
      </c>
      <c r="Z18" s="4">
        <v>-2072.9250000000002</v>
      </c>
      <c r="AA18" s="4">
        <f>G18+H18+I18+I18</f>
        <v>-776.73700000000008</v>
      </c>
      <c r="AB18" s="4">
        <f>AA32*AB51</f>
        <v>-911.12633500000015</v>
      </c>
      <c r="AC18" s="4">
        <f t="shared" ref="AC18:AK18" si="22">AB32*AC51</f>
        <v>-1004.0889132265215</v>
      </c>
      <c r="AD18" s="4">
        <f t="shared" si="22"/>
        <v>-890.62666586372791</v>
      </c>
      <c r="AE18" s="4">
        <f t="shared" si="22"/>
        <v>-728.77296560275784</v>
      </c>
      <c r="AF18" s="4">
        <f t="shared" si="22"/>
        <v>-620.12085833090373</v>
      </c>
      <c r="AG18" s="4">
        <f t="shared" si="22"/>
        <v>-568.62137392580007</v>
      </c>
      <c r="AH18" s="4">
        <f t="shared" si="22"/>
        <v>-506.20584434382539</v>
      </c>
      <c r="AI18" s="4">
        <f t="shared" si="22"/>
        <v>-436.13349232687972</v>
      </c>
      <c r="AJ18" s="4">
        <f t="shared" si="22"/>
        <v>-353.38467042527463</v>
      </c>
      <c r="AK18" s="4">
        <f t="shared" si="22"/>
        <v>-261.32836075235332</v>
      </c>
    </row>
    <row r="19" spans="2:128" s="4" customFormat="1" x14ac:dyDescent="0.25">
      <c r="B19" s="4" t="s">
        <v>36</v>
      </c>
      <c r="C19" s="4">
        <v>27.242999999999999</v>
      </c>
      <c r="D19" s="4">
        <v>25.5</v>
      </c>
      <c r="E19" s="4">
        <v>4.72</v>
      </c>
      <c r="F19" s="4">
        <f>Z19-E19-D19-C19</f>
        <v>66.490000000000009</v>
      </c>
      <c r="G19" s="4">
        <v>38.119999999999997</v>
      </c>
      <c r="H19" s="4">
        <v>30.99</v>
      </c>
      <c r="I19" s="4">
        <v>31.46</v>
      </c>
      <c r="S19" s="4">
        <v>-10.85</v>
      </c>
      <c r="T19" s="4">
        <v>-46.7</v>
      </c>
      <c r="U19" s="4">
        <v>-8.3000000000000007</v>
      </c>
      <c r="V19" s="4">
        <v>-10.4</v>
      </c>
      <c r="W19" s="4">
        <v>20.65</v>
      </c>
      <c r="X19" s="4">
        <v>6.1550000000000002</v>
      </c>
      <c r="Y19" s="4">
        <v>-33.6</v>
      </c>
      <c r="Z19" s="4">
        <v>123.953</v>
      </c>
      <c r="AA19" s="4">
        <f>G19+H19+I19+I19</f>
        <v>132.03</v>
      </c>
    </row>
    <row r="20" spans="2:128" s="4" customFormat="1" x14ac:dyDescent="0.25">
      <c r="B20" s="4" t="s">
        <v>37</v>
      </c>
      <c r="C20" s="4">
        <f t="shared" ref="C20:J20" si="23">+C17+C18+C19</f>
        <v>-1368.4270000000001</v>
      </c>
      <c r="D20" s="4">
        <f t="shared" si="23"/>
        <v>-716.89400000000001</v>
      </c>
      <c r="E20" s="4">
        <f t="shared" si="23"/>
        <v>-845.57999999999993</v>
      </c>
      <c r="F20" s="4">
        <f t="shared" si="23"/>
        <v>-1570.414</v>
      </c>
      <c r="G20" s="4">
        <f t="shared" si="23"/>
        <v>-978.31200000000001</v>
      </c>
      <c r="H20" s="4">
        <f t="shared" si="23"/>
        <v>-510.27549999999997</v>
      </c>
      <c r="I20" s="4">
        <f t="shared" si="23"/>
        <v>-306.12000000000018</v>
      </c>
      <c r="J20" s="4">
        <f t="shared" si="23"/>
        <v>0</v>
      </c>
      <c r="S20" s="4">
        <f t="shared" ref="S20:AA20" si="24">+S17+S18+S19</f>
        <v>340.3210000000002</v>
      </c>
      <c r="T20" s="4">
        <f t="shared" si="24"/>
        <v>433.91000000000025</v>
      </c>
      <c r="U20" s="4">
        <f t="shared" si="24"/>
        <v>640.37900000000047</v>
      </c>
      <c r="V20" s="4">
        <f t="shared" si="24"/>
        <v>770.61600000000021</v>
      </c>
      <c r="W20" s="4">
        <f t="shared" si="24"/>
        <v>969.28999999999951</v>
      </c>
      <c r="X20" s="4">
        <f t="shared" si="24"/>
        <v>911.27799999999911</v>
      </c>
      <c r="Y20" s="4">
        <f t="shared" si="24"/>
        <v>-3999.99</v>
      </c>
      <c r="Z20" s="4">
        <f t="shared" si="24"/>
        <v>-4501.3149999999996</v>
      </c>
      <c r="AA20" s="4">
        <f t="shared" si="24"/>
        <v>-2100.827499999999</v>
      </c>
      <c r="AB20" s="4">
        <f t="shared" ref="AB20:AK20" si="25">+AB17+AB18+AB19</f>
        <v>-1341.4513452600495</v>
      </c>
      <c r="AC20" s="4">
        <f t="shared" si="25"/>
        <v>-507.25932242438216</v>
      </c>
      <c r="AD20" s="4">
        <f t="shared" si="25"/>
        <v>273.79433912276443</v>
      </c>
      <c r="AE20" s="4">
        <f t="shared" si="25"/>
        <v>815.38030111859223</v>
      </c>
      <c r="AF20" s="4">
        <f t="shared" si="25"/>
        <v>1179.827821422766</v>
      </c>
      <c r="AG20" s="4">
        <f t="shared" si="25"/>
        <v>1437.3178948065552</v>
      </c>
      <c r="AH20" s="4">
        <f t="shared" si="25"/>
        <v>1622.0451855774454</v>
      </c>
      <c r="AI20" s="4">
        <f t="shared" si="25"/>
        <v>1915.4819884630806</v>
      </c>
      <c r="AJ20" s="4">
        <f t="shared" si="25"/>
        <v>2130.9330942805864</v>
      </c>
      <c r="AK20" s="4">
        <f t="shared" si="25"/>
        <v>2362.250549833162</v>
      </c>
    </row>
    <row r="21" spans="2:128" s="4" customFormat="1" x14ac:dyDescent="0.25">
      <c r="B21" s="4" t="s">
        <v>38</v>
      </c>
      <c r="C21" s="4">
        <v>-1.728</v>
      </c>
      <c r="D21" s="4">
        <v>-0.92700000000000005</v>
      </c>
      <c r="E21" s="4">
        <v>-0.29399999999999998</v>
      </c>
      <c r="F21" s="4">
        <f>Z21-E21-D21-C21</f>
        <v>-2.3180000000000014</v>
      </c>
      <c r="G21" s="4">
        <v>-4.3899999999999997</v>
      </c>
      <c r="H21" s="4">
        <v>0.86699999999999999</v>
      </c>
      <c r="I21" s="4">
        <v>10.705</v>
      </c>
      <c r="S21" s="4">
        <v>2.2669999999999999</v>
      </c>
      <c r="T21" s="4">
        <v>-6.77</v>
      </c>
      <c r="U21" s="4">
        <v>-7.2</v>
      </c>
      <c r="V21" s="4">
        <v>-10.742000000000001</v>
      </c>
      <c r="W21" s="4">
        <v>-14.5</v>
      </c>
      <c r="X21" s="4">
        <v>18.86</v>
      </c>
      <c r="Y21" s="4">
        <v>-12.5</v>
      </c>
      <c r="Z21" s="4">
        <v>-5.2670000000000003</v>
      </c>
      <c r="AA21" s="4">
        <f>G21+H21+I21+I21</f>
        <v>17.887</v>
      </c>
      <c r="AB21" s="4">
        <f>AB20*-AB52</f>
        <v>13.414513452600495</v>
      </c>
      <c r="AC21" s="4">
        <f t="shared" ref="AC21:AK21" si="26">AC20*-AC52</f>
        <v>7.6088898363657318</v>
      </c>
      <c r="AD21" s="4">
        <f t="shared" si="26"/>
        <v>-5.475886782455289</v>
      </c>
      <c r="AE21" s="4">
        <f t="shared" si="26"/>
        <v>-20.384507527964807</v>
      </c>
      <c r="AF21" s="4">
        <f t="shared" si="26"/>
        <v>-35.39483464268298</v>
      </c>
      <c r="AG21" s="4">
        <f t="shared" si="26"/>
        <v>-50.306126318229438</v>
      </c>
      <c r="AH21" s="4">
        <f t="shared" si="26"/>
        <v>-64.881807423097811</v>
      </c>
      <c r="AI21" s="4">
        <f t="shared" si="26"/>
        <v>-76.61927953852323</v>
      </c>
      <c r="AJ21" s="4">
        <f t="shared" si="26"/>
        <v>-85.237323771223458</v>
      </c>
      <c r="AK21" s="4">
        <f t="shared" si="26"/>
        <v>-94.490021993326479</v>
      </c>
    </row>
    <row r="22" spans="2:128" s="5" customFormat="1" x14ac:dyDescent="0.25">
      <c r="B22" s="5" t="s">
        <v>39</v>
      </c>
      <c r="C22" s="5">
        <f t="shared" ref="C22:J22" si="27">+C20+C21</f>
        <v>-1370.1550000000002</v>
      </c>
      <c r="D22" s="5">
        <f t="shared" si="27"/>
        <v>-717.82100000000003</v>
      </c>
      <c r="E22" s="5">
        <f t="shared" si="27"/>
        <v>-845.87399999999991</v>
      </c>
      <c r="F22" s="5">
        <f t="shared" si="27"/>
        <v>-1572.732</v>
      </c>
      <c r="G22" s="5">
        <f t="shared" si="27"/>
        <v>-982.702</v>
      </c>
      <c r="H22" s="5">
        <f t="shared" si="27"/>
        <v>-509.40849999999995</v>
      </c>
      <c r="I22" s="5">
        <f t="shared" si="27"/>
        <v>-295.41500000000019</v>
      </c>
      <c r="J22" s="5">
        <f t="shared" si="27"/>
        <v>0</v>
      </c>
      <c r="S22" s="5">
        <f t="shared" ref="S22:AA22" si="28">+S20+S21</f>
        <v>342.58800000000019</v>
      </c>
      <c r="T22" s="5">
        <f t="shared" si="28"/>
        <v>427.14000000000027</v>
      </c>
      <c r="U22" s="5">
        <f t="shared" si="28"/>
        <v>633.17900000000043</v>
      </c>
      <c r="V22" s="5">
        <f t="shared" si="28"/>
        <v>759.87400000000025</v>
      </c>
      <c r="W22" s="5">
        <f t="shared" si="28"/>
        <v>954.78999999999951</v>
      </c>
      <c r="X22" s="5">
        <f t="shared" si="28"/>
        <v>930.13799999999912</v>
      </c>
      <c r="Y22" s="5">
        <f t="shared" si="28"/>
        <v>-4012.49</v>
      </c>
      <c r="Z22" s="5">
        <f t="shared" si="28"/>
        <v>-4506.5819999999994</v>
      </c>
      <c r="AA22" s="5">
        <f t="shared" si="28"/>
        <v>-2082.9404999999988</v>
      </c>
      <c r="AB22" s="5">
        <f t="shared" ref="AB22:AK22" si="29">+AB20+AB21</f>
        <v>-1328.0368318074491</v>
      </c>
      <c r="AC22" s="5">
        <f t="shared" si="29"/>
        <v>-499.65043258801643</v>
      </c>
      <c r="AD22" s="5">
        <f t="shared" si="29"/>
        <v>268.31845234030914</v>
      </c>
      <c r="AE22" s="5">
        <f t="shared" si="29"/>
        <v>794.99579359062739</v>
      </c>
      <c r="AF22" s="5">
        <f t="shared" si="29"/>
        <v>1144.432986780083</v>
      </c>
      <c r="AG22" s="5">
        <f t="shared" si="29"/>
        <v>1387.0117684883257</v>
      </c>
      <c r="AH22" s="5">
        <f t="shared" si="29"/>
        <v>1557.1633781543476</v>
      </c>
      <c r="AI22" s="5">
        <f t="shared" si="29"/>
        <v>1838.8627089245574</v>
      </c>
      <c r="AJ22" s="5">
        <f t="shared" si="29"/>
        <v>2045.695770509363</v>
      </c>
      <c r="AK22" s="5">
        <f t="shared" si="29"/>
        <v>2267.7605278398355</v>
      </c>
      <c r="AL22" s="5">
        <f>AK22*(1+Dash!$C$2)</f>
        <v>2245.082922561437</v>
      </c>
      <c r="AM22" s="5">
        <f>AL22*(1+Dash!$C$2)</f>
        <v>2222.6320933358224</v>
      </c>
      <c r="AN22" s="5">
        <f>AM22*(1+Dash!$C$2)</f>
        <v>2200.4057724024642</v>
      </c>
      <c r="AO22" s="5">
        <f>AN22*(1+Dash!$C$2)</f>
        <v>2178.4017146784395</v>
      </c>
      <c r="AP22" s="5">
        <f>AO22*(1+Dash!$C$2)</f>
        <v>2156.6176975316553</v>
      </c>
      <c r="AQ22" s="5">
        <f>AP22*(1+Dash!$C$2)</f>
        <v>2135.0515205563388</v>
      </c>
      <c r="AR22" s="5">
        <f>AQ22*(1+Dash!$C$2)</f>
        <v>2113.7010053507752</v>
      </c>
      <c r="AS22" s="5">
        <f>AR22*(1+Dash!$C$2)</f>
        <v>2092.5639952972674</v>
      </c>
      <c r="AT22" s="5">
        <f>AS22*(1+Dash!$C$2)</f>
        <v>2071.6383553442947</v>
      </c>
      <c r="AU22" s="5">
        <f>AT22*(1+Dash!$C$2)</f>
        <v>2050.9219717908518</v>
      </c>
      <c r="AV22" s="5">
        <f>AU22*(1+Dash!$C$2)</f>
        <v>2030.4127520729432</v>
      </c>
      <c r="AW22" s="5">
        <f>AV22*(1+Dash!$C$2)</f>
        <v>2010.1086245522138</v>
      </c>
      <c r="AX22" s="5">
        <f>AW22*(1+Dash!$C$2)</f>
        <v>1990.0075383066917</v>
      </c>
      <c r="AY22" s="5">
        <f>AX22*(1+Dash!$C$2)</f>
        <v>1970.1074629236248</v>
      </c>
      <c r="AZ22" s="5">
        <f>AY22*(1+Dash!$C$2)</f>
        <v>1950.4063882943885</v>
      </c>
      <c r="BA22" s="5">
        <f>AZ22*(1+Dash!$C$2)</f>
        <v>1930.9023244114446</v>
      </c>
      <c r="BB22" s="5">
        <f>BA22*(1+Dash!$C$2)</f>
        <v>1911.5933011673301</v>
      </c>
      <c r="BC22" s="5">
        <f>BB22*(1+Dash!$C$2)</f>
        <v>1892.4773681556567</v>
      </c>
      <c r="BD22" s="5">
        <f>BC22*(1+Dash!$C$2)</f>
        <v>1873.5525944741</v>
      </c>
      <c r="BE22" s="5">
        <f>BD22*(1+Dash!$C$2)</f>
        <v>1854.8170685293589</v>
      </c>
      <c r="BF22" s="5">
        <f>BE22*(1+Dash!$C$2)</f>
        <v>1836.2688978440654</v>
      </c>
      <c r="BG22" s="5">
        <f>BF22*(1+Dash!$C$2)</f>
        <v>1817.9062088656246</v>
      </c>
      <c r="BH22" s="5">
        <f>BG22*(1+Dash!$C$2)</f>
        <v>1799.7271467769683</v>
      </c>
      <c r="BI22" s="5">
        <f>BH22*(1+Dash!$C$2)</f>
        <v>1781.7298753091986</v>
      </c>
      <c r="BJ22" s="5">
        <f>BI22*(1+Dash!$C$2)</f>
        <v>1763.9125765561066</v>
      </c>
      <c r="BK22" s="5">
        <f>BJ22*(1+Dash!$C$2)</f>
        <v>1746.2734507905454</v>
      </c>
      <c r="BL22" s="5">
        <f>BK22*(1+Dash!$C$2)</f>
        <v>1728.81071628264</v>
      </c>
      <c r="BM22" s="5">
        <f>BL22*(1+Dash!$C$2)</f>
        <v>1711.5226091198135</v>
      </c>
      <c r="BN22" s="5">
        <f>BM22*(1+Dash!$C$2)</f>
        <v>1694.4073830286154</v>
      </c>
      <c r="BO22" s="5">
        <f>BN22*(1+Dash!$C$2)</f>
        <v>1677.4633091983292</v>
      </c>
      <c r="BP22" s="5">
        <f>BO22*(1+Dash!$C$2)</f>
        <v>1660.6886761063458</v>
      </c>
      <c r="BQ22" s="5">
        <f>BP22*(1+Dash!$C$2)</f>
        <v>1644.0817893452825</v>
      </c>
      <c r="BR22" s="5">
        <f>BQ22*(1+Dash!$C$2)</f>
        <v>1627.6409714518297</v>
      </c>
      <c r="BS22" s="5">
        <f>BR22*(1+Dash!$C$2)</f>
        <v>1611.3645617373113</v>
      </c>
      <c r="BT22" s="5">
        <f>BS22*(1+Dash!$C$2)</f>
        <v>1595.2509161199382</v>
      </c>
      <c r="BU22" s="5">
        <f>BT22*(1+Dash!$C$2)</f>
        <v>1579.2984069587387</v>
      </c>
      <c r="BV22" s="5">
        <f>BU22*(1+Dash!$C$2)</f>
        <v>1563.5054228891513</v>
      </c>
      <c r="BW22" s="5">
        <f>BV22*(1+Dash!$C$2)</f>
        <v>1547.8703686602598</v>
      </c>
      <c r="BX22" s="5">
        <f>BW22*(1+Dash!$C$2)</f>
        <v>1532.3916649736573</v>
      </c>
      <c r="BY22" s="5">
        <f>BX22*(1+Dash!$C$2)</f>
        <v>1517.0677483239208</v>
      </c>
      <c r="BZ22" s="5">
        <f>BY22*(1+Dash!$C$2)</f>
        <v>1501.8970708406816</v>
      </c>
      <c r="CA22" s="5">
        <f>BZ22*(1+Dash!$C$2)</f>
        <v>1486.8781001322748</v>
      </c>
      <c r="CB22" s="5">
        <f>CA22*(1+Dash!$C$2)</f>
        <v>1472.009319130952</v>
      </c>
      <c r="CC22" s="5">
        <f>CB22*(1+Dash!$C$2)</f>
        <v>1457.2892259396424</v>
      </c>
      <c r="CD22" s="5">
        <f>CC22*(1+Dash!$C$2)</f>
        <v>1442.716333680246</v>
      </c>
      <c r="CE22" s="5">
        <f>CD22*(1+Dash!$C$2)</f>
        <v>1428.2891703434434</v>
      </c>
      <c r="CF22" s="5">
        <f>CE22*(1+Dash!$C$2)</f>
        <v>1414.006278640009</v>
      </c>
      <c r="CG22" s="5">
        <f>CF22*(1+Dash!$C$2)</f>
        <v>1399.866215853609</v>
      </c>
      <c r="CH22" s="5">
        <f>CG22*(1+Dash!$C$2)</f>
        <v>1385.867553695073</v>
      </c>
      <c r="CI22" s="5">
        <f>CH22*(1+Dash!$C$2)</f>
        <v>1372.0088781581221</v>
      </c>
      <c r="CJ22" s="5">
        <f>CI22*(1+Dash!$C$2)</f>
        <v>1358.288789376541</v>
      </c>
      <c r="CK22" s="5">
        <f>CJ22*(1+Dash!$C$2)</f>
        <v>1344.7059014827755</v>
      </c>
      <c r="CL22" s="5">
        <f>CK22*(1+Dash!$C$2)</f>
        <v>1331.2588424679477</v>
      </c>
      <c r="CM22" s="5">
        <f>CL22*(1+Dash!$C$2)</f>
        <v>1317.9462540432683</v>
      </c>
      <c r="CN22" s="5">
        <f>CM22*(1+Dash!$C$2)</f>
        <v>1304.7667915028355</v>
      </c>
      <c r="CO22" s="5">
        <f>CN22*(1+Dash!$C$2)</f>
        <v>1291.7191235878072</v>
      </c>
      <c r="CP22" s="5">
        <f>CO22*(1+Dash!$C$2)</f>
        <v>1278.8019323519291</v>
      </c>
      <c r="CQ22" s="5">
        <f>CP22*(1+Dash!$C$2)</f>
        <v>1266.0139130284097</v>
      </c>
      <c r="CR22" s="5">
        <f>CQ22*(1+Dash!$C$2)</f>
        <v>1253.3537738981256</v>
      </c>
      <c r="CS22" s="5">
        <f>CR22*(1+Dash!$C$2)</f>
        <v>1240.8202361591443</v>
      </c>
      <c r="CT22" s="5">
        <f>CS22*(1+Dash!$C$2)</f>
        <v>1228.4120337975528</v>
      </c>
      <c r="CU22" s="5">
        <f>CT22*(1+Dash!$C$2)</f>
        <v>1216.1279134595773</v>
      </c>
      <c r="CV22" s="5">
        <f>CU22*(1+Dash!$C$2)</f>
        <v>1203.9666343249814</v>
      </c>
      <c r="CW22" s="5">
        <f>CV22*(1+Dash!$C$2)</f>
        <v>1191.9269679817317</v>
      </c>
      <c r="CX22" s="5">
        <f>CW22*(1+Dash!$C$2)</f>
        <v>1180.0076983019144</v>
      </c>
      <c r="CY22" s="5">
        <f>CX22*(1+Dash!$C$2)</f>
        <v>1168.2076213188952</v>
      </c>
      <c r="CZ22" s="5">
        <f>CY22*(1+Dash!$C$2)</f>
        <v>1156.5255451057062</v>
      </c>
      <c r="DA22" s="5">
        <f>CZ22*(1+Dash!$C$2)</f>
        <v>1144.9602896546492</v>
      </c>
      <c r="DB22" s="5">
        <f>DA22*(1+Dash!$C$2)</f>
        <v>1133.5106867581026</v>
      </c>
      <c r="DC22" s="5">
        <f>DB22*(1+Dash!$C$2)</f>
        <v>1122.1755798905215</v>
      </c>
      <c r="DD22" s="5">
        <f>DC22*(1+Dash!$C$2)</f>
        <v>1110.9538240916163</v>
      </c>
      <c r="DE22" s="5">
        <f>DD22*(1+Dash!$C$2)</f>
        <v>1099.8442858507001</v>
      </c>
      <c r="DF22" s="5">
        <f>DE22*(1+Dash!$C$2)</f>
        <v>1088.8458429921932</v>
      </c>
      <c r="DG22" s="5">
        <f>DF22*(1+Dash!$C$2)</f>
        <v>1077.9573845622713</v>
      </c>
      <c r="DH22" s="5">
        <f>DG22*(1+Dash!$C$2)</f>
        <v>1067.1778107166485</v>
      </c>
      <c r="DI22" s="5">
        <f>DH22*(1+Dash!$C$2)</f>
        <v>1056.506032609482</v>
      </c>
      <c r="DJ22" s="5">
        <f>DI22*(1+Dash!$C$2)</f>
        <v>1045.9409722833871</v>
      </c>
      <c r="DK22" s="5">
        <f>DJ22*(1+Dash!$C$2)</f>
        <v>1035.4815625605531</v>
      </c>
      <c r="DL22" s="5">
        <f>DK22*(1+Dash!$C$2)</f>
        <v>1025.1267469349475</v>
      </c>
      <c r="DM22" s="5">
        <f>DL22*(1+Dash!$C$2)</f>
        <v>1014.875479465598</v>
      </c>
      <c r="DN22" s="5">
        <f>DM22*(1+Dash!$C$2)</f>
        <v>1004.726724670942</v>
      </c>
      <c r="DO22" s="5">
        <f>DN22*(1+Dash!$C$2)</f>
        <v>994.67945742423251</v>
      </c>
      <c r="DP22" s="5">
        <f>DO22*(1+Dash!$C$2)</f>
        <v>984.73266284999022</v>
      </c>
      <c r="DQ22" s="5">
        <f>DP22*(1+Dash!$C$2)</f>
        <v>974.88533622149032</v>
      </c>
      <c r="DR22" s="5">
        <f>DQ22*(1+Dash!$C$2)</f>
        <v>965.13648285927536</v>
      </c>
      <c r="DS22" s="5">
        <f>DR22*(1+Dash!$C$2)</f>
        <v>955.48511803068254</v>
      </c>
      <c r="DT22" s="5">
        <f>DS22*(1+Dash!$C$2)</f>
        <v>945.93026685037569</v>
      </c>
      <c r="DU22" s="5">
        <f>DT22*(1+Dash!$C$2)</f>
        <v>936.47096418187198</v>
      </c>
      <c r="DV22" s="5">
        <f>DU22*(1+Dash!$C$2)</f>
        <v>927.10625454005321</v>
      </c>
      <c r="DW22" s="5">
        <f>DV22*(1+Dash!$C$2)</f>
        <v>917.83519199465263</v>
      </c>
      <c r="DX22" s="5">
        <f>DW22*(1+Dash!$C$2)</f>
        <v>908.65684007470611</v>
      </c>
    </row>
    <row r="23" spans="2:128" s="4" customFormat="1" x14ac:dyDescent="0.25">
      <c r="B23" s="4" t="s">
        <v>1</v>
      </c>
      <c r="C23" s="4">
        <v>329.37700000000001</v>
      </c>
      <c r="D23" s="4">
        <v>369.93299999999999</v>
      </c>
      <c r="E23" s="4">
        <v>370.01639999999998</v>
      </c>
      <c r="F23" s="4">
        <v>365.44900000000001</v>
      </c>
      <c r="G23" s="4">
        <v>417.73450000000003</v>
      </c>
      <c r="H23" s="4">
        <v>419.10700000000003</v>
      </c>
      <c r="I23" s="4">
        <v>420.79849999999999</v>
      </c>
      <c r="S23" s="4">
        <v>206.5249</v>
      </c>
      <c r="T23" s="4">
        <v>226.59100000000001</v>
      </c>
      <c r="U23" s="4">
        <v>227.12100000000001</v>
      </c>
      <c r="V23" s="4">
        <v>228.04</v>
      </c>
      <c r="W23" s="4">
        <v>223.00200000000001</v>
      </c>
      <c r="X23" s="4">
        <v>214.9299</v>
      </c>
      <c r="Y23" s="4">
        <v>254.73</v>
      </c>
      <c r="Z23" s="4">
        <v>365.44900000000001</v>
      </c>
      <c r="AA23" s="4">
        <v>365.44900000000001</v>
      </c>
      <c r="AB23" s="4">
        <v>365.44900000000001</v>
      </c>
      <c r="AC23" s="4">
        <v>365.44900000000001</v>
      </c>
      <c r="AD23" s="4">
        <v>365.44900000000001</v>
      </c>
      <c r="AE23" s="4">
        <v>365.44900000000001</v>
      </c>
      <c r="AF23" s="4">
        <v>365.44900000000001</v>
      </c>
      <c r="AG23" s="4">
        <v>365.44900000000001</v>
      </c>
      <c r="AH23" s="4">
        <v>365.44900000000001</v>
      </c>
      <c r="AI23" s="4">
        <v>365.44900000000001</v>
      </c>
      <c r="AJ23" s="4">
        <v>365.44900000000001</v>
      </c>
      <c r="AK23" s="4">
        <v>365.44900000000001</v>
      </c>
    </row>
    <row r="24" spans="2:128" s="6" customFormat="1" x14ac:dyDescent="0.25">
      <c r="B24" s="6" t="s">
        <v>40</v>
      </c>
      <c r="C24" s="6">
        <f t="shared" ref="C24:J24" si="30">+C22/C23</f>
        <v>-4.1598381186300202</v>
      </c>
      <c r="D24" s="6">
        <f t="shared" si="30"/>
        <v>-1.9404081279583061</v>
      </c>
      <c r="E24" s="6">
        <f t="shared" si="30"/>
        <v>-2.2860446185628529</v>
      </c>
      <c r="F24" s="6">
        <f t="shared" si="30"/>
        <v>-4.3035608251767004</v>
      </c>
      <c r="G24" s="6">
        <f t="shared" si="30"/>
        <v>-2.3524559259529676</v>
      </c>
      <c r="H24" s="6">
        <f t="shared" si="30"/>
        <v>-1.2154616840090953</v>
      </c>
      <c r="I24" s="6">
        <f t="shared" si="30"/>
        <v>-0.70203434660532349</v>
      </c>
      <c r="J24" s="6" t="e">
        <f t="shared" si="30"/>
        <v>#DIV/0!</v>
      </c>
      <c r="S24" s="6">
        <f t="shared" ref="S24:AA24" si="31">+S22/S23</f>
        <v>1.6588217691910283</v>
      </c>
      <c r="T24" s="6">
        <f t="shared" si="31"/>
        <v>1.8850704573438497</v>
      </c>
      <c r="U24" s="6">
        <f t="shared" si="31"/>
        <v>2.78784876783741</v>
      </c>
      <c r="V24" s="6">
        <f t="shared" si="31"/>
        <v>3.3321961059463265</v>
      </c>
      <c r="W24" s="6">
        <f t="shared" si="31"/>
        <v>4.2815311073443265</v>
      </c>
      <c r="X24" s="6">
        <f t="shared" si="31"/>
        <v>4.3276342658699374</v>
      </c>
      <c r="Y24" s="6">
        <f t="shared" si="31"/>
        <v>-15.75193341969929</v>
      </c>
      <c r="Z24" s="6">
        <f t="shared" si="31"/>
        <v>-12.331630405336995</v>
      </c>
      <c r="AA24" s="6">
        <f t="shared" si="31"/>
        <v>-5.6996749204403319</v>
      </c>
      <c r="AB24" s="6">
        <f t="shared" ref="AB24:AK24" si="32">+AB22/AB23</f>
        <v>-3.6339867719092105</v>
      </c>
      <c r="AC24" s="6">
        <f t="shared" si="32"/>
        <v>-1.3672234226609361</v>
      </c>
      <c r="AD24" s="6">
        <f t="shared" si="32"/>
        <v>0.73421586142063355</v>
      </c>
      <c r="AE24" s="6">
        <f t="shared" si="32"/>
        <v>2.1753946339725307</v>
      </c>
      <c r="AF24" s="6">
        <f t="shared" si="32"/>
        <v>3.131580567411822</v>
      </c>
      <c r="AG24" s="6">
        <f t="shared" si="32"/>
        <v>3.7953634255075968</v>
      </c>
      <c r="AH24" s="6">
        <f t="shared" si="32"/>
        <v>4.2609594721954291</v>
      </c>
      <c r="AI24" s="6">
        <f t="shared" si="32"/>
        <v>5.0317902331777002</v>
      </c>
      <c r="AJ24" s="6">
        <f t="shared" si="32"/>
        <v>5.5977599350644356</v>
      </c>
      <c r="AK24" s="6">
        <f t="shared" si="32"/>
        <v>6.2054090388531247</v>
      </c>
    </row>
    <row r="25" spans="2:128" x14ac:dyDescent="0.25">
      <c r="B25" s="4"/>
    </row>
    <row r="26" spans="2:128" x14ac:dyDescent="0.25">
      <c r="B26" s="4" t="s">
        <v>81</v>
      </c>
      <c r="C26" s="4">
        <f>C17+C15</f>
        <v>-400.93</v>
      </c>
      <c r="D26" s="4">
        <f t="shared" ref="D26:I26" si="33">D17+D15</f>
        <v>-430.83499999999998</v>
      </c>
      <c r="E26" s="4">
        <f t="shared" si="33"/>
        <v>-515.81100000000004</v>
      </c>
      <c r="F26" s="4">
        <f t="shared" si="33"/>
        <v>-503.92200000000003</v>
      </c>
      <c r="G26" s="4">
        <f t="shared" si="33"/>
        <v>-509.65600000000006</v>
      </c>
      <c r="H26" s="4">
        <f t="shared" si="33"/>
        <v>-215.28849999999991</v>
      </c>
      <c r="I26" s="4">
        <f t="shared" si="33"/>
        <v>1.2999999999998977</v>
      </c>
      <c r="J26" s="4">
        <f>J17+J15</f>
        <v>0</v>
      </c>
      <c r="S26" s="4">
        <f t="shared" ref="S26:Z26" si="34">S17+S15</f>
        <v>776.06800000000021</v>
      </c>
      <c r="T26" s="4">
        <f t="shared" si="34"/>
        <v>1134.6240000000003</v>
      </c>
      <c r="U26" s="4">
        <f t="shared" si="34"/>
        <v>1358.0290000000005</v>
      </c>
      <c r="V26" s="4">
        <f t="shared" si="34"/>
        <v>1558.777</v>
      </c>
      <c r="W26" s="4">
        <f t="shared" si="34"/>
        <v>1780.0999999999995</v>
      </c>
      <c r="X26" s="4">
        <f t="shared" si="34"/>
        <v>1824.1899999999991</v>
      </c>
      <c r="Y26" s="4">
        <f t="shared" si="34"/>
        <v>-2766.29</v>
      </c>
      <c r="Z26" s="4">
        <f t="shared" si="34"/>
        <v>-1851.4979999999998</v>
      </c>
    </row>
    <row r="27" spans="2:128" x14ac:dyDescent="0.25">
      <c r="B27" s="4" t="s">
        <v>82</v>
      </c>
      <c r="C27" s="4">
        <f>+C22-C21-C18</f>
        <v>-543.98700000000008</v>
      </c>
      <c r="D27" s="4">
        <f t="shared" ref="D27:J27" si="35">+D22-D21-D18</f>
        <v>-579.63499999999999</v>
      </c>
      <c r="E27" s="4">
        <f t="shared" si="35"/>
        <v>-684.37999999999988</v>
      </c>
      <c r="F27" s="4">
        <f t="shared" si="35"/>
        <v>-620.38799999999992</v>
      </c>
      <c r="G27" s="4">
        <f t="shared" si="35"/>
        <v>-650.61200000000008</v>
      </c>
      <c r="H27" s="4">
        <f t="shared" si="35"/>
        <v>-365.89849999999996</v>
      </c>
      <c r="I27" s="4">
        <f t="shared" si="35"/>
        <v>-153.79000000000016</v>
      </c>
      <c r="J27" s="4">
        <f t="shared" si="35"/>
        <v>0</v>
      </c>
      <c r="S27" s="4">
        <f t="shared" ref="S27:Z27" si="36">+S22-S21-S18</f>
        <v>492.0710000000002</v>
      </c>
      <c r="T27" s="4">
        <f t="shared" si="36"/>
        <v>655.81000000000029</v>
      </c>
      <c r="U27" s="4">
        <f t="shared" si="36"/>
        <v>917.2290000000005</v>
      </c>
      <c r="V27" s="4">
        <f t="shared" si="36"/>
        <v>1038.42</v>
      </c>
      <c r="W27" s="4">
        <f t="shared" si="36"/>
        <v>1239.6899999999996</v>
      </c>
      <c r="X27" s="4">
        <f t="shared" si="36"/>
        <v>1184.1449999999991</v>
      </c>
      <c r="Y27" s="4">
        <f t="shared" si="36"/>
        <v>-3517.6899999999996</v>
      </c>
      <c r="Z27" s="4">
        <f t="shared" si="36"/>
        <v>-2428.3899999999994</v>
      </c>
    </row>
    <row r="28" spans="2:128" x14ac:dyDescent="0.25">
      <c r="X28" s="4"/>
    </row>
    <row r="29" spans="2:128" s="4" customFormat="1" x14ac:dyDescent="0.25">
      <c r="B29" s="4" t="s">
        <v>3</v>
      </c>
      <c r="I29" s="4">
        <v>1186.7</v>
      </c>
      <c r="S29" s="4">
        <v>84.823999999999998</v>
      </c>
      <c r="T29" s="4">
        <v>115.937</v>
      </c>
      <c r="U29" s="4">
        <v>128.34700000000001</v>
      </c>
      <c r="V29" s="4">
        <v>176.19</v>
      </c>
      <c r="W29" s="4">
        <v>163.851</v>
      </c>
      <c r="X29" s="4">
        <v>252.876</v>
      </c>
      <c r="Y29" s="4">
        <v>3300.5</v>
      </c>
      <c r="Z29" s="4">
        <f>1506.65+240</f>
        <v>1746.65</v>
      </c>
    </row>
    <row r="30" spans="2:128" s="4" customFormat="1" x14ac:dyDescent="0.25">
      <c r="B30" s="4" t="s">
        <v>4</v>
      </c>
      <c r="I30" s="4">
        <f>1012.7+141.3+12893.407</f>
        <v>14047.406999999999</v>
      </c>
      <c r="S30" s="4">
        <f>576.947+101.98+5503.076</f>
        <v>6182.0029999999997</v>
      </c>
      <c r="T30" s="4">
        <f>629.84+51.4+5767.7</f>
        <v>6448.94</v>
      </c>
      <c r="U30" s="4">
        <f>560.193+38+5838.5</f>
        <v>6436.6930000000002</v>
      </c>
      <c r="V30" s="4">
        <f>619.4+53.433+5688.4</f>
        <v>6361.2329999999993</v>
      </c>
      <c r="W30" s="4">
        <f>681.218+159.6+5810.9</f>
        <v>6651.7179999999998</v>
      </c>
      <c r="X30" s="4">
        <f>746.358+100.777+6055.335</f>
        <v>6902.47</v>
      </c>
      <c r="Y30" s="4">
        <f>124.885+83.136+11681.2</f>
        <v>11889.221000000001</v>
      </c>
      <c r="Z30" s="4">
        <f>876.9+233.2+11569.7</f>
        <v>12679.800000000001</v>
      </c>
    </row>
    <row r="31" spans="2:128" s="4" customFormat="1" x14ac:dyDescent="0.25">
      <c r="B31" s="4" t="s">
        <v>41</v>
      </c>
      <c r="I31" s="4">
        <v>14511.648999999999</v>
      </c>
      <c r="S31" s="4">
        <v>8623.77</v>
      </c>
      <c r="T31" s="4">
        <v>9458.7999999999993</v>
      </c>
      <c r="U31" s="4">
        <v>10117.700000000001</v>
      </c>
      <c r="V31" s="4">
        <v>11040.487999999999</v>
      </c>
      <c r="W31" s="4">
        <v>12119.253000000001</v>
      </c>
      <c r="X31" s="4">
        <v>13135.33</v>
      </c>
      <c r="Y31" s="4">
        <v>13411.22</v>
      </c>
      <c r="Z31" s="4">
        <v>13528.8</v>
      </c>
    </row>
    <row r="32" spans="2:128" s="5" customFormat="1" x14ac:dyDescent="0.25">
      <c r="B32" s="5" t="s">
        <v>42</v>
      </c>
      <c r="I32" s="5">
        <f>+I29-I30</f>
        <v>-12860.706999999999</v>
      </c>
      <c r="S32" s="5">
        <f t="shared" ref="S32:Z32" si="37">+S29-S30</f>
        <v>-6097.1790000000001</v>
      </c>
      <c r="T32" s="5">
        <f t="shared" si="37"/>
        <v>-6333.0029999999997</v>
      </c>
      <c r="U32" s="5">
        <f t="shared" si="37"/>
        <v>-6308.3460000000005</v>
      </c>
      <c r="V32" s="5">
        <f t="shared" si="37"/>
        <v>-6185.0429999999997</v>
      </c>
      <c r="W32" s="5">
        <f t="shared" si="37"/>
        <v>-6487.8670000000002</v>
      </c>
      <c r="X32" s="5">
        <f t="shared" si="37"/>
        <v>-6649.5940000000001</v>
      </c>
      <c r="Y32" s="5">
        <f t="shared" si="37"/>
        <v>-8588.7210000000014</v>
      </c>
      <c r="Z32" s="5">
        <f t="shared" si="37"/>
        <v>-10933.150000000001</v>
      </c>
      <c r="AA32" s="5">
        <f>Z32+AA22</f>
        <v>-13016.0905</v>
      </c>
      <c r="AB32" s="5">
        <f t="shared" ref="AB32:AK32" si="38">AA32+AB22</f>
        <v>-14344.127331807449</v>
      </c>
      <c r="AC32" s="5">
        <f t="shared" si="38"/>
        <v>-14843.777764395465</v>
      </c>
      <c r="AD32" s="5">
        <f t="shared" si="38"/>
        <v>-14575.459312055156</v>
      </c>
      <c r="AE32" s="5">
        <f t="shared" si="38"/>
        <v>-13780.463518464529</v>
      </c>
      <c r="AF32" s="5">
        <f t="shared" si="38"/>
        <v>-12636.030531684446</v>
      </c>
      <c r="AG32" s="5">
        <f t="shared" si="38"/>
        <v>-11249.01876319612</v>
      </c>
      <c r="AH32" s="5">
        <f t="shared" si="38"/>
        <v>-9691.855385041772</v>
      </c>
      <c r="AI32" s="5">
        <f t="shared" si="38"/>
        <v>-7852.9926761172146</v>
      </c>
      <c r="AJ32" s="5">
        <f t="shared" si="38"/>
        <v>-5807.2969056078518</v>
      </c>
      <c r="AK32" s="5">
        <f t="shared" si="38"/>
        <v>-3539.5363777680163</v>
      </c>
    </row>
    <row r="34" spans="2:37" s="4" customFormat="1" x14ac:dyDescent="0.25">
      <c r="B34" s="4" t="s">
        <v>43</v>
      </c>
      <c r="S34" s="4">
        <v>1688.7</v>
      </c>
      <c r="T34" s="4">
        <v>1569.3</v>
      </c>
      <c r="U34" s="4">
        <v>3744.03</v>
      </c>
      <c r="V34" s="4">
        <v>1916.885</v>
      </c>
      <c r="W34" s="4">
        <v>1716.2439999999999</v>
      </c>
      <c r="X34" s="4">
        <v>3806.732</v>
      </c>
      <c r="Y34" s="4">
        <v>892.48099999999999</v>
      </c>
      <c r="Z34" s="4">
        <v>2113.06</v>
      </c>
    </row>
    <row r="37" spans="2:37" s="8" customFormat="1" x14ac:dyDescent="0.25">
      <c r="B37" s="8" t="s">
        <v>17</v>
      </c>
      <c r="T37" s="8">
        <f>T5/S5-1</f>
        <v>0.39003192700935418</v>
      </c>
      <c r="U37" s="8">
        <f t="shared" ref="U37:AB37" si="39">U5/T5-1</f>
        <v>0.12181176242608571</v>
      </c>
      <c r="V37" s="8">
        <f t="shared" si="39"/>
        <v>0.10705439120753235</v>
      </c>
      <c r="W37" s="8">
        <f t="shared" si="39"/>
        <v>0.12211242222500185</v>
      </c>
      <c r="X37" s="8">
        <f t="shared" si="39"/>
        <v>6.7259663937018432E-2</v>
      </c>
      <c r="Y37" s="8">
        <f t="shared" si="39"/>
        <v>-0.80194448484923508</v>
      </c>
      <c r="Z37" s="8">
        <f t="shared" si="39"/>
        <v>-0.4937284652827153</v>
      </c>
      <c r="AA37" s="8">
        <f t="shared" si="39"/>
        <v>6.6238954168480007</v>
      </c>
      <c r="AB37" s="8">
        <f t="shared" si="39"/>
        <v>0.20996609488821916</v>
      </c>
      <c r="AC37" s="8">
        <f>AC5/AB5-1</f>
        <v>0.17353056071179962</v>
      </c>
      <c r="AD37" s="8">
        <v>0.06</v>
      </c>
      <c r="AE37" s="8">
        <v>0.06</v>
      </c>
      <c r="AF37" s="8">
        <v>0.05</v>
      </c>
      <c r="AG37" s="8">
        <v>0.04</v>
      </c>
      <c r="AH37" s="8">
        <v>0.04</v>
      </c>
      <c r="AI37" s="8">
        <v>0.04</v>
      </c>
      <c r="AJ37" s="8">
        <v>0.04</v>
      </c>
      <c r="AK37" s="8">
        <v>0.04</v>
      </c>
    </row>
    <row r="39" spans="2:37" s="7" customFormat="1" x14ac:dyDescent="0.25">
      <c r="B39" s="7" t="s">
        <v>45</v>
      </c>
      <c r="C39" s="7">
        <f>C13/C5</f>
        <v>-63.78387096774194</v>
      </c>
      <c r="D39" s="7">
        <f t="shared" ref="D39:J39" si="40">D13/D5</f>
        <v>-55.965328467153284</v>
      </c>
      <c r="E39" s="7">
        <f t="shared" si="40"/>
        <v>-1.8726752503576543</v>
      </c>
      <c r="F39" s="7">
        <f t="shared" si="40"/>
        <v>-0.4724804428241115</v>
      </c>
      <c r="G39" s="7">
        <f t="shared" si="40"/>
        <v>-0.4089413838357715</v>
      </c>
      <c r="H39" s="7">
        <f t="shared" si="40"/>
        <v>9.5849281329389052E-2</v>
      </c>
      <c r="I39" s="7">
        <f t="shared" si="40"/>
        <v>0.23311049210770654</v>
      </c>
      <c r="J39" s="7" t="e">
        <f t="shared" si="40"/>
        <v>#DIV/0!</v>
      </c>
      <c r="S39" s="7">
        <f t="shared" ref="S39:AK39" si="41">S13/S5</f>
        <v>0.37724992642072003</v>
      </c>
      <c r="T39" s="7">
        <f t="shared" si="41"/>
        <v>0.38885974988222294</v>
      </c>
      <c r="U39" s="7">
        <f t="shared" si="41"/>
        <v>0.41527246482303098</v>
      </c>
      <c r="V39" s="7">
        <f t="shared" si="41"/>
        <v>0.43225655209477087</v>
      </c>
      <c r="W39" s="7">
        <f t="shared" si="41"/>
        <v>0.4422754976577653</v>
      </c>
      <c r="X39" s="7">
        <f t="shared" si="41"/>
        <v>0.43312835209319156</v>
      </c>
      <c r="Y39" s="7">
        <f t="shared" si="41"/>
        <v>-0.3228273863005991</v>
      </c>
      <c r="Z39" s="7">
        <f t="shared" si="41"/>
        <v>-1.4815967110197505</v>
      </c>
      <c r="AA39" s="7">
        <f t="shared" si="41"/>
        <v>0.13228806754131017</v>
      </c>
      <c r="AB39" s="7">
        <f t="shared" si="41"/>
        <v>0.25800812001316725</v>
      </c>
      <c r="AC39" s="7">
        <f>AC13/AC5</f>
        <v>0.34082718436866138</v>
      </c>
      <c r="AD39" s="7">
        <f>AD13/AD5</f>
        <v>0.40461377274140448</v>
      </c>
      <c r="AE39" s="7">
        <f t="shared" si="41"/>
        <v>0.42091899413614026</v>
      </c>
      <c r="AF39" s="7">
        <f t="shared" si="41"/>
        <v>0.43084664592613281</v>
      </c>
      <c r="AG39" s="7">
        <f t="shared" si="41"/>
        <v>0.43522310960017835</v>
      </c>
      <c r="AH39" s="7">
        <f t="shared" si="41"/>
        <v>0.43956374742576898</v>
      </c>
      <c r="AI39" s="7">
        <f t="shared" si="41"/>
        <v>0.44327637260666725</v>
      </c>
      <c r="AJ39" s="7">
        <f t="shared" si="41"/>
        <v>0.44696175004563293</v>
      </c>
      <c r="AK39" s="7">
        <f t="shared" si="41"/>
        <v>0.45062009593637314</v>
      </c>
    </row>
    <row r="40" spans="2:37" s="7" customFormat="1" x14ac:dyDescent="0.25">
      <c r="B40" s="7" t="s">
        <v>46</v>
      </c>
      <c r="C40" s="7">
        <f>C17/C5</f>
        <v>-184.26774193548388</v>
      </c>
      <c r="D40" s="7">
        <f t="shared" ref="D40:J40" si="42">D17/D5</f>
        <v>-138.03261861313868</v>
      </c>
      <c r="E40" s="7">
        <f t="shared" si="42"/>
        <v>-4.5015384012385606</v>
      </c>
      <c r="F40" s="7">
        <f t="shared" si="42"/>
        <v>-1.4092204416341654</v>
      </c>
      <c r="G40" s="7">
        <f t="shared" si="42"/>
        <v>-1.3195237137301112</v>
      </c>
      <c r="H40" s="7">
        <f t="shared" si="42"/>
        <v>-0.33430860383156213</v>
      </c>
      <c r="I40" s="7">
        <f t="shared" si="42"/>
        <v>-0.11467038068709384</v>
      </c>
      <c r="J40" s="7" t="e">
        <f t="shared" si="42"/>
        <v>#DIV/0!</v>
      </c>
      <c r="S40" s="7">
        <f t="shared" ref="S40:AK40" si="43">S17/S5</f>
        <v>0.16088941354114689</v>
      </c>
      <c r="T40" s="7">
        <f t="shared" si="43"/>
        <v>0.16167967718839249</v>
      </c>
      <c r="U40" s="7">
        <f t="shared" si="43"/>
        <v>0.18987726373587155</v>
      </c>
      <c r="V40" s="7">
        <f t="shared" si="43"/>
        <v>0.19436360014269369</v>
      </c>
      <c r="W40" s="7">
        <f t="shared" si="43"/>
        <v>0.20132400458125066</v>
      </c>
      <c r="X40" s="7">
        <f t="shared" si="43"/>
        <v>0.18228423583880848</v>
      </c>
      <c r="Y40" s="7">
        <f t="shared" si="43"/>
        <v>-2.7221367127376142</v>
      </c>
      <c r="Z40" s="7">
        <f t="shared" si="43"/>
        <v>-3.9389103401020398</v>
      </c>
      <c r="AA40" s="7">
        <f t="shared" si="43"/>
        <v>-0.29475246384368703</v>
      </c>
      <c r="AB40" s="7">
        <f t="shared" si="43"/>
        <v>-7.1991879986832777E-2</v>
      </c>
      <c r="AC40" s="7">
        <f>AC17/AC5</f>
        <v>7.0827184368661381E-2</v>
      </c>
      <c r="AD40" s="7">
        <f>AD17/AD5</f>
        <v>0.14461377274140449</v>
      </c>
      <c r="AE40" s="7">
        <f t="shared" si="43"/>
        <v>0.18091899413614021</v>
      </c>
      <c r="AF40" s="7">
        <f t="shared" si="43"/>
        <v>0.2008466459261328</v>
      </c>
      <c r="AG40" s="7">
        <f t="shared" si="43"/>
        <v>0.21522310960017829</v>
      </c>
      <c r="AH40" s="7">
        <f t="shared" si="43"/>
        <v>0.21956374742576901</v>
      </c>
      <c r="AI40" s="7">
        <f t="shared" si="43"/>
        <v>0.23327637260666723</v>
      </c>
      <c r="AJ40" s="7">
        <f t="shared" si="43"/>
        <v>0.23696175004563291</v>
      </c>
      <c r="AK40" s="7">
        <f t="shared" si="43"/>
        <v>0.24062009593637315</v>
      </c>
    </row>
    <row r="42" spans="2:37" s="7" customFormat="1" x14ac:dyDescent="0.25">
      <c r="B42" s="7" t="s">
        <v>51</v>
      </c>
      <c r="C42" s="7">
        <f>C8/C$5</f>
        <v>26.496129032258064</v>
      </c>
      <c r="D42" s="7">
        <f t="shared" ref="D42:J42" si="44">D8/D$5</f>
        <v>19.765054744525546</v>
      </c>
      <c r="E42" s="7">
        <f t="shared" si="44"/>
        <v>1.0088776530072314</v>
      </c>
      <c r="F42" s="7">
        <f t="shared" si="44"/>
        <v>0.43948405574692717</v>
      </c>
      <c r="G42" s="7">
        <f t="shared" si="44"/>
        <v>0.46120259409336062</v>
      </c>
      <c r="H42" s="7">
        <f t="shared" si="44"/>
        <v>0.22119421289900876</v>
      </c>
      <c r="I42" s="7">
        <f t="shared" si="44"/>
        <v>0.17790157845868151</v>
      </c>
      <c r="J42" s="7" t="e">
        <f t="shared" si="44"/>
        <v>#DIV/0!</v>
      </c>
      <c r="S42" s="7">
        <f t="shared" ref="S42:AK42" si="45">S8/S$5</f>
        <v>0.14480722228620418</v>
      </c>
      <c r="T42" s="7">
        <f t="shared" si="45"/>
        <v>0.15330237259535109</v>
      </c>
      <c r="U42" s="7">
        <f t="shared" si="45"/>
        <v>0.15307464332709522</v>
      </c>
      <c r="V42" s="7">
        <f t="shared" si="45"/>
        <v>0.14892585952086432</v>
      </c>
      <c r="W42" s="7">
        <f t="shared" si="45"/>
        <v>0.14559690443534104</v>
      </c>
      <c r="X42" s="7">
        <f t="shared" si="45"/>
        <v>0.1430123267279238</v>
      </c>
      <c r="Y42" s="7">
        <f t="shared" si="45"/>
        <v>0.40729426287785853</v>
      </c>
      <c r="Z42" s="7">
        <f t="shared" si="45"/>
        <v>0.82940575509813552</v>
      </c>
      <c r="AA42" s="7">
        <f t="shared" si="45"/>
        <v>0.21823783786190973</v>
      </c>
      <c r="AB42" s="7">
        <f t="shared" si="45"/>
        <v>0.19204373073007097</v>
      </c>
      <c r="AC42" s="7">
        <f t="shared" ref="AC42:AD44" si="46">AC8/AC$5</f>
        <v>0.17359629547898137</v>
      </c>
      <c r="AD42" s="7">
        <f t="shared" si="46"/>
        <v>0.1592487112364239</v>
      </c>
      <c r="AE42" s="7">
        <f t="shared" si="45"/>
        <v>0.1547416722391666</v>
      </c>
      <c r="AF42" s="7">
        <f t="shared" si="45"/>
        <v>0.15179421181556343</v>
      </c>
      <c r="AG42" s="7">
        <f t="shared" si="45"/>
        <v>0.15033465208656763</v>
      </c>
      <c r="AH42" s="7">
        <f t="shared" si="45"/>
        <v>0.14888912658573525</v>
      </c>
      <c r="AI42" s="7">
        <f t="shared" si="45"/>
        <v>0.1474575003685647</v>
      </c>
      <c r="AJ42" s="7">
        <f t="shared" si="45"/>
        <v>0.14603963978809772</v>
      </c>
      <c r="AK42" s="7">
        <f t="shared" si="45"/>
        <v>0.14463541248244294</v>
      </c>
    </row>
    <row r="43" spans="2:37" s="7" customFormat="1" x14ac:dyDescent="0.25">
      <c r="B43" s="7" t="s">
        <v>52</v>
      </c>
      <c r="C43" s="7">
        <f t="shared" ref="C43:J43" si="47">C9/C$5</f>
        <v>13.741935483870968</v>
      </c>
      <c r="D43" s="7">
        <f t="shared" si="47"/>
        <v>12.340328467153284</v>
      </c>
      <c r="E43" s="7">
        <f t="shared" si="47"/>
        <v>0.51762138998308094</v>
      </c>
      <c r="F43" s="7">
        <f t="shared" si="47"/>
        <v>0.25832500712941903</v>
      </c>
      <c r="G43" s="7">
        <f t="shared" si="47"/>
        <v>0.25960092345125541</v>
      </c>
      <c r="H43" s="7">
        <f t="shared" si="47"/>
        <v>0.15262906084272804</v>
      </c>
      <c r="I43" s="7">
        <f t="shared" si="47"/>
        <v>0.11574373259052925</v>
      </c>
      <c r="J43" s="7" t="e">
        <f t="shared" si="47"/>
        <v>#DIV/0!</v>
      </c>
      <c r="S43" s="7">
        <f t="shared" ref="S43:AK43" si="48">S9/S$5</f>
        <v>0.10436421103817166</v>
      </c>
      <c r="T43" s="7">
        <f t="shared" si="48"/>
        <v>8.2541766271820971E-2</v>
      </c>
      <c r="U43" s="7">
        <f t="shared" si="48"/>
        <v>6.8761932350420177E-2</v>
      </c>
      <c r="V43" s="7">
        <f t="shared" si="48"/>
        <v>6.6905168939109638E-2</v>
      </c>
      <c r="W43" s="7">
        <f t="shared" si="48"/>
        <v>6.485425958053645E-2</v>
      </c>
      <c r="X43" s="7">
        <f t="shared" si="48"/>
        <v>6.3382221410687709E-2</v>
      </c>
      <c r="Y43" s="7">
        <f t="shared" si="48"/>
        <v>0.20681141642771755</v>
      </c>
      <c r="Z43" s="7">
        <f t="shared" si="48"/>
        <v>0.46583084098015076</v>
      </c>
      <c r="AA43" s="7">
        <f t="shared" si="48"/>
        <v>0.13980717577837257</v>
      </c>
      <c r="AB43" s="7">
        <f t="shared" si="48"/>
        <v>0.10077155549171228</v>
      </c>
      <c r="AC43" s="7">
        <f t="shared" si="46"/>
        <v>7.9000781194946093E-2</v>
      </c>
      <c r="AD43" s="7">
        <f t="shared" si="46"/>
        <v>7.0957311657828981E-2</v>
      </c>
      <c r="AE43" s="7">
        <f t="shared" si="48"/>
        <v>6.9149908436355975E-2</v>
      </c>
      <c r="AF43" s="7">
        <f t="shared" si="48"/>
        <v>6.8293766712858223E-2</v>
      </c>
      <c r="AG43" s="7">
        <f t="shared" si="48"/>
        <v>6.8096765462724973E-2</v>
      </c>
      <c r="AH43" s="7">
        <f t="shared" si="48"/>
        <v>6.7900332485428636E-2</v>
      </c>
      <c r="AI43" s="7">
        <f t="shared" si="48"/>
        <v>6.7704466141720654E-2</v>
      </c>
      <c r="AJ43" s="7">
        <f t="shared" si="48"/>
        <v>6.7509164797081064E-2</v>
      </c>
      <c r="AK43" s="7">
        <f t="shared" si="48"/>
        <v>6.7314426821704867E-2</v>
      </c>
    </row>
    <row r="44" spans="2:37" s="7" customFormat="1" x14ac:dyDescent="0.25">
      <c r="B44" s="7" t="s">
        <v>53</v>
      </c>
      <c r="C44" s="7">
        <f t="shared" ref="C44:J44" si="49">C10/C$5</f>
        <v>2.032258064516129</v>
      </c>
      <c r="D44" s="7">
        <f t="shared" si="49"/>
        <v>0.98768248175182471</v>
      </c>
      <c r="E44" s="7">
        <f t="shared" si="49"/>
        <v>0.10889659722630504</v>
      </c>
      <c r="F44" s="7">
        <f t="shared" si="49"/>
        <v>7.3243239361778525E-2</v>
      </c>
      <c r="G44" s="7">
        <f t="shared" si="49"/>
        <v>7.5707675949076084E-2</v>
      </c>
      <c r="H44" s="7">
        <f t="shared" si="49"/>
        <v>5.1550212602510803E-2</v>
      </c>
      <c r="I44" s="7">
        <f t="shared" si="49"/>
        <v>4.7545651501083259E-2</v>
      </c>
      <c r="J44" s="7" t="e">
        <f t="shared" si="49"/>
        <v>#DIV/0!</v>
      </c>
      <c r="S44" s="7">
        <f t="shared" ref="S44:AK44" si="50">S10/S$5</f>
        <v>5.3821643825098853E-2</v>
      </c>
      <c r="T44" s="7">
        <f t="shared" si="50"/>
        <v>4.1343609186773149E-2</v>
      </c>
      <c r="U44" s="7">
        <f t="shared" si="50"/>
        <v>4.1031078169537952E-2</v>
      </c>
      <c r="V44" s="7">
        <f t="shared" si="50"/>
        <v>3.6758815271928723E-2</v>
      </c>
      <c r="W44" s="7">
        <f t="shared" si="50"/>
        <v>3.5677274502631251E-2</v>
      </c>
      <c r="X44" s="7">
        <f t="shared" si="50"/>
        <v>3.4445513881882529E-2</v>
      </c>
      <c r="Y44" s="7">
        <f t="shared" si="50"/>
        <v>5.1097342781914357E-2</v>
      </c>
      <c r="Z44" s="7">
        <f t="shared" si="50"/>
        <v>9.7224922914525405E-2</v>
      </c>
      <c r="AA44" s="7">
        <f t="shared" si="50"/>
        <v>5.1483488244378144E-2</v>
      </c>
      <c r="AB44" s="7">
        <f t="shared" si="50"/>
        <v>4.6020171690535308E-2</v>
      </c>
      <c r="AC44" s="7">
        <f t="shared" si="46"/>
        <v>4.2172581930137648E-2</v>
      </c>
      <c r="AD44" s="7">
        <f t="shared" si="46"/>
        <v>3.7878777831927814E-2</v>
      </c>
      <c r="AE44" s="7">
        <f t="shared" si="50"/>
        <v>3.6842471645959975E-2</v>
      </c>
      <c r="AF44" s="7">
        <f t="shared" si="50"/>
        <v>3.6175798349509264E-2</v>
      </c>
      <c r="AG44" s="7">
        <f t="shared" si="50"/>
        <v>3.5862738556100046E-2</v>
      </c>
      <c r="AH44" s="7">
        <f t="shared" si="50"/>
        <v>3.555238793397994E-2</v>
      </c>
      <c r="AI44" s="7">
        <f t="shared" si="50"/>
        <v>3.5244723038397416E-2</v>
      </c>
      <c r="AJ44" s="7">
        <f t="shared" si="50"/>
        <v>3.4939720627488201E-2</v>
      </c>
      <c r="AK44" s="7">
        <f t="shared" si="50"/>
        <v>3.4637357660519549E-2</v>
      </c>
    </row>
    <row r="46" spans="2:37" s="7" customFormat="1" x14ac:dyDescent="0.25">
      <c r="B46" s="7" t="s">
        <v>47</v>
      </c>
      <c r="C46" s="7">
        <f>C14/C5</f>
        <v>65.548387096774192</v>
      </c>
      <c r="D46" s="7">
        <f t="shared" ref="D46:J46" si="51">D14/D5</f>
        <v>42.309078467153284</v>
      </c>
      <c r="E46" s="7">
        <f t="shared" si="51"/>
        <v>1.4968546063848551</v>
      </c>
      <c r="F46" s="7">
        <f t="shared" si="51"/>
        <v>0.56138173268474434</v>
      </c>
      <c r="G46" s="7">
        <f t="shared" si="51"/>
        <v>0.56749528216033951</v>
      </c>
      <c r="H46" s="7">
        <f t="shared" si="51"/>
        <v>0.27719189482408907</v>
      </c>
      <c r="I46" s="7">
        <f t="shared" si="51"/>
        <v>0.23230578768183227</v>
      </c>
      <c r="J46" s="7" t="e">
        <f t="shared" si="51"/>
        <v>#DIV/0!</v>
      </c>
      <c r="S46" s="7">
        <f t="shared" ref="S46:AA46" si="52">S14/S5</f>
        <v>0.12897807977273601</v>
      </c>
      <c r="T46" s="7">
        <f t="shared" si="52"/>
        <v>0.12773088047082293</v>
      </c>
      <c r="U46" s="7">
        <f t="shared" si="52"/>
        <v>0.13666549454553362</v>
      </c>
      <c r="V46" s="7">
        <f t="shared" si="52"/>
        <v>0.14338953054710049</v>
      </c>
      <c r="W46" s="7">
        <f t="shared" si="52"/>
        <v>0.14829264184082383</v>
      </c>
      <c r="X46" s="7">
        <f t="shared" si="52"/>
        <v>0.15084999644093974</v>
      </c>
      <c r="Y46" s="7">
        <f t="shared" si="52"/>
        <v>0.5823065684305927</v>
      </c>
      <c r="Z46" s="7">
        <f t="shared" si="52"/>
        <v>1.3757326592405346</v>
      </c>
      <c r="AA46" s="7">
        <f t="shared" si="52"/>
        <v>0.27850729947914499</v>
      </c>
      <c r="AB46" s="7">
        <v>0.2</v>
      </c>
      <c r="AC46" s="7">
        <v>0.15</v>
      </c>
      <c r="AD46" s="7">
        <v>0.15</v>
      </c>
      <c r="AE46" s="7">
        <v>0.14000000000000001</v>
      </c>
      <c r="AF46" s="7">
        <v>0.14000000000000001</v>
      </c>
      <c r="AG46" s="7">
        <v>0.13</v>
      </c>
      <c r="AH46" s="7">
        <v>0.13</v>
      </c>
      <c r="AI46" s="7">
        <v>0.13</v>
      </c>
      <c r="AJ46" s="7">
        <v>0.13</v>
      </c>
      <c r="AK46" s="7">
        <v>0.13</v>
      </c>
    </row>
    <row r="48" spans="2:37" s="8" customFormat="1" x14ac:dyDescent="0.25">
      <c r="B48" s="8" t="s">
        <v>48</v>
      </c>
      <c r="S48" s="8">
        <f>S15/S31</f>
        <v>3.1673734341245187E-2</v>
      </c>
      <c r="T48" s="8">
        <f t="shared" ref="T48:AK48" si="53">T15/T31</f>
        <v>4.5683807671163361E-2</v>
      </c>
      <c r="U48" s="8">
        <f t="shared" si="53"/>
        <v>4.2746869347776668E-2</v>
      </c>
      <c r="V48" s="8">
        <f t="shared" si="53"/>
        <v>4.6189715527067285E-2</v>
      </c>
      <c r="W48" s="8">
        <f t="shared" si="53"/>
        <v>4.6294932534208168E-2</v>
      </c>
      <c r="X48" s="8">
        <f t="shared" si="53"/>
        <v>4.9195566460835019E-2</v>
      </c>
      <c r="Y48" s="8">
        <f>Y15/Y30</f>
        <v>6.0374014411877772E-2</v>
      </c>
      <c r="Z48" s="8">
        <f t="shared" si="53"/>
        <v>5.1803929395068303E-2</v>
      </c>
      <c r="AA48" s="8" t="e">
        <f t="shared" si="53"/>
        <v>#DIV/0!</v>
      </c>
      <c r="AB48" s="8" t="e">
        <f t="shared" si="53"/>
        <v>#DIV/0!</v>
      </c>
      <c r="AC48" s="8" t="e">
        <f t="shared" si="53"/>
        <v>#DIV/0!</v>
      </c>
      <c r="AD48" s="8" t="e">
        <f t="shared" si="53"/>
        <v>#DIV/0!</v>
      </c>
      <c r="AE48" s="8" t="e">
        <f t="shared" si="53"/>
        <v>#DIV/0!</v>
      </c>
      <c r="AF48" s="8" t="e">
        <f t="shared" si="53"/>
        <v>#DIV/0!</v>
      </c>
      <c r="AG48" s="8" t="e">
        <f t="shared" si="53"/>
        <v>#DIV/0!</v>
      </c>
      <c r="AH48" s="8" t="e">
        <f t="shared" si="53"/>
        <v>#DIV/0!</v>
      </c>
      <c r="AI48" s="8" t="e">
        <f t="shared" si="53"/>
        <v>#DIV/0!</v>
      </c>
      <c r="AJ48" s="8" t="e">
        <f t="shared" si="53"/>
        <v>#DIV/0!</v>
      </c>
      <c r="AK48" s="8" t="e">
        <f t="shared" si="53"/>
        <v>#DIV/0!</v>
      </c>
    </row>
    <row r="49" spans="1:37" s="8" customFormat="1" x14ac:dyDescent="0.25">
      <c r="B49" s="8" t="s">
        <v>49</v>
      </c>
      <c r="S49" s="8">
        <f>S15/S5</f>
        <v>8.7382433106837104E-2</v>
      </c>
      <c r="T49" s="8">
        <f t="shared" ref="T49:AA49" si="54">T15/T5</f>
        <v>9.9449192223007521E-2</v>
      </c>
      <c r="U49" s="8">
        <f t="shared" si="54"/>
        <v>8.8729706541625819E-2</v>
      </c>
      <c r="V49" s="8">
        <f t="shared" si="54"/>
        <v>9.4503421404976667E-2</v>
      </c>
      <c r="W49" s="8">
        <f t="shared" si="54"/>
        <v>9.2658851235690814E-2</v>
      </c>
      <c r="X49" s="8">
        <f t="shared" si="54"/>
        <v>9.9994119813443361E-2</v>
      </c>
      <c r="Y49" s="8">
        <f t="shared" si="54"/>
        <v>0.56082068270425256</v>
      </c>
      <c r="Z49" s="8">
        <f t="shared" si="54"/>
        <v>1.0815809698417549</v>
      </c>
      <c r="AA49" s="8">
        <f t="shared" si="54"/>
        <v>0.14853323190585219</v>
      </c>
      <c r="AB49" s="8">
        <v>0.13</v>
      </c>
      <c r="AC49" s="8">
        <v>0.12</v>
      </c>
      <c r="AD49" s="8">
        <v>0.11</v>
      </c>
      <c r="AE49" s="8">
        <v>0.1</v>
      </c>
      <c r="AF49" s="8">
        <v>0.09</v>
      </c>
      <c r="AG49" s="8">
        <v>0.09</v>
      </c>
      <c r="AH49" s="8">
        <v>0.09</v>
      </c>
      <c r="AI49" s="8">
        <v>0.08</v>
      </c>
      <c r="AJ49" s="8">
        <v>0.08</v>
      </c>
      <c r="AK49" s="8">
        <v>0.08</v>
      </c>
    </row>
    <row r="51" spans="1:37" s="8" customFormat="1" x14ac:dyDescent="0.25">
      <c r="B51" s="8" t="s">
        <v>54</v>
      </c>
      <c r="T51" s="8">
        <f t="shared" ref="T51:AA51" si="55">T18/S32</f>
        <v>3.6393879858209841E-2</v>
      </c>
      <c r="U51" s="8">
        <f t="shared" si="55"/>
        <v>4.3715437999950424E-2</v>
      </c>
      <c r="V51" s="8">
        <f t="shared" si="55"/>
        <v>4.2452332196109721E-2</v>
      </c>
      <c r="W51" s="8">
        <f t="shared" si="55"/>
        <v>4.3718370268403951E-2</v>
      </c>
      <c r="X51" s="8">
        <f t="shared" si="55"/>
        <v>4.2058044654737836E-2</v>
      </c>
      <c r="Y51" s="8">
        <f t="shared" si="55"/>
        <v>7.2530743982264181E-2</v>
      </c>
      <c r="Z51" s="8">
        <f t="shared" si="55"/>
        <v>0.24135432970753151</v>
      </c>
      <c r="AA51" s="8">
        <f t="shared" si="55"/>
        <v>7.1044209582782639E-2</v>
      </c>
      <c r="AB51" s="8">
        <v>7.0000000000000007E-2</v>
      </c>
      <c r="AC51" s="8">
        <v>7.0000000000000007E-2</v>
      </c>
      <c r="AD51" s="8">
        <v>0.06</v>
      </c>
      <c r="AE51" s="8">
        <v>0.05</v>
      </c>
      <c r="AF51" s="8">
        <v>4.4999999999999998E-2</v>
      </c>
      <c r="AG51" s="8">
        <v>4.4999999999999998E-2</v>
      </c>
      <c r="AH51" s="8">
        <v>4.4999999999999998E-2</v>
      </c>
      <c r="AI51" s="8">
        <v>4.4999999999999998E-2</v>
      </c>
      <c r="AJ51" s="8">
        <v>4.4999999999999998E-2</v>
      </c>
      <c r="AK51" s="8">
        <v>4.4999999999999998E-2</v>
      </c>
    </row>
    <row r="52" spans="1:37" s="8" customFormat="1" x14ac:dyDescent="0.25">
      <c r="B52" s="8" t="s">
        <v>50</v>
      </c>
      <c r="S52" s="8">
        <f>S21/S20</f>
        <v>6.6613579532265087E-3</v>
      </c>
      <c r="T52" s="8">
        <f t="shared" ref="T52:AA52" si="56">T21/T20</f>
        <v>-1.5602313843884667E-2</v>
      </c>
      <c r="U52" s="8">
        <f t="shared" si="56"/>
        <v>-1.1243341833507961E-2</v>
      </c>
      <c r="V52" s="8">
        <f t="shared" si="56"/>
        <v>-1.3939497752447389E-2</v>
      </c>
      <c r="W52" s="8">
        <f t="shared" si="56"/>
        <v>-1.49594032745618E-2</v>
      </c>
      <c r="X52" s="8">
        <f t="shared" si="56"/>
        <v>2.0696209060242887E-2</v>
      </c>
      <c r="Y52" s="8">
        <f t="shared" si="56"/>
        <v>3.1250078125195316E-3</v>
      </c>
      <c r="Z52" s="8">
        <f t="shared" si="56"/>
        <v>1.1701025144874332E-3</v>
      </c>
      <c r="AA52" s="8">
        <f t="shared" si="56"/>
        <v>-8.5142640221531792E-3</v>
      </c>
      <c r="AB52" s="8">
        <v>0.01</v>
      </c>
      <c r="AC52" s="8">
        <v>1.4999999999999999E-2</v>
      </c>
      <c r="AD52" s="8">
        <v>0.02</v>
      </c>
      <c r="AE52" s="8">
        <v>2.5000000000000001E-2</v>
      </c>
      <c r="AF52" s="8">
        <v>0.03</v>
      </c>
      <c r="AG52" s="8">
        <v>3.5000000000000003E-2</v>
      </c>
      <c r="AH52" s="8">
        <v>0.04</v>
      </c>
      <c r="AI52" s="8">
        <v>0.04</v>
      </c>
      <c r="AJ52" s="8">
        <v>0.04</v>
      </c>
      <c r="AK52" s="8">
        <v>0.04</v>
      </c>
    </row>
    <row r="54" spans="1:37" x14ac:dyDescent="0.25">
      <c r="B54" t="s">
        <v>55</v>
      </c>
      <c r="V54">
        <v>130.9</v>
      </c>
      <c r="W54">
        <v>135.6</v>
      </c>
      <c r="X54">
        <v>140.6</v>
      </c>
      <c r="Y54">
        <v>145.6</v>
      </c>
      <c r="Z54">
        <v>155.9</v>
      </c>
      <c r="AA54">
        <v>166.6</v>
      </c>
    </row>
    <row r="55" spans="1:37" s="3" customFormat="1" x14ac:dyDescent="0.25">
      <c r="A55" s="3" t="s">
        <v>56</v>
      </c>
      <c r="B55" s="3" t="s">
        <v>57</v>
      </c>
      <c r="W55" s="9">
        <f>W54/V54-1</f>
        <v>3.59052711993888E-2</v>
      </c>
      <c r="X55" s="9">
        <f>X54/W54-1</f>
        <v>3.6873156342182911E-2</v>
      </c>
      <c r="Y55" s="9">
        <f>Y54/X54-1</f>
        <v>3.5561877667140918E-2</v>
      </c>
      <c r="Z55" s="9">
        <f>Z54/Y54-1</f>
        <v>7.0741758241758212E-2</v>
      </c>
      <c r="AA55" s="9">
        <f>AA54/Z54-1</f>
        <v>6.8633739576651642E-2</v>
      </c>
      <c r="AB55" s="9">
        <v>5.6000000000000001E-2</v>
      </c>
      <c r="AC55" s="9">
        <v>5.2999999999999999E-2</v>
      </c>
      <c r="AD55" s="9">
        <v>0.03</v>
      </c>
      <c r="AE55" s="9">
        <v>0.03</v>
      </c>
      <c r="AF55" s="9">
        <v>0.03</v>
      </c>
      <c r="AG55" s="9">
        <v>0.03</v>
      </c>
      <c r="AH55" s="9">
        <v>0.03</v>
      </c>
      <c r="AI55" s="9">
        <v>0.03</v>
      </c>
      <c r="AJ55" s="9">
        <v>0.03</v>
      </c>
      <c r="AK55" s="9">
        <v>0.03</v>
      </c>
    </row>
    <row r="57" spans="1:37" s="2" customFormat="1" x14ac:dyDescent="0.25">
      <c r="B57" s="2" t="s">
        <v>58</v>
      </c>
      <c r="V57" s="2">
        <v>1.7</v>
      </c>
      <c r="W57" s="2">
        <v>1.75</v>
      </c>
      <c r="X57" s="2">
        <v>1.7</v>
      </c>
      <c r="Y57" s="2">
        <v>1.25</v>
      </c>
      <c r="Z57" s="2">
        <v>2</v>
      </c>
      <c r="AA57" s="2">
        <v>2.85</v>
      </c>
      <c r="AB57" s="2">
        <v>2.5</v>
      </c>
      <c r="AC57" s="2">
        <v>2.2999999999999998</v>
      </c>
      <c r="AD57" s="2">
        <f>AC57*(1+AD58)</f>
        <v>2.3712999999999997</v>
      </c>
      <c r="AE57" s="2">
        <f>AD57*(1+AE58)</f>
        <v>2.4495528999999996</v>
      </c>
      <c r="AF57" s="2">
        <f t="shared" ref="AF57:AK57" si="57">AE57*(1+AF58)</f>
        <v>2.5401863572999992</v>
      </c>
      <c r="AG57" s="2">
        <f t="shared" si="57"/>
        <v>2.6341732525200992</v>
      </c>
      <c r="AH57" s="2">
        <f t="shared" si="57"/>
        <v>2.7316376628633425</v>
      </c>
      <c r="AI57" s="2">
        <f t="shared" si="57"/>
        <v>2.832708256389286</v>
      </c>
      <c r="AJ57" s="2">
        <f t="shared" si="57"/>
        <v>2.9375184618756895</v>
      </c>
      <c r="AK57" s="2">
        <f t="shared" si="57"/>
        <v>3.04620664496509</v>
      </c>
    </row>
    <row r="58" spans="1:37" s="9" customFormat="1" x14ac:dyDescent="0.25">
      <c r="A58" s="9" t="s">
        <v>56</v>
      </c>
      <c r="B58" s="9" t="s">
        <v>59</v>
      </c>
      <c r="W58" s="9">
        <f>W57/V57-1</f>
        <v>2.941176470588247E-2</v>
      </c>
      <c r="X58" s="9">
        <f t="shared" ref="X58:AC58" si="58">X57/W57-1</f>
        <v>-2.8571428571428581E-2</v>
      </c>
      <c r="Y58" s="9">
        <f t="shared" si="58"/>
        <v>-0.26470588235294112</v>
      </c>
      <c r="Z58" s="9">
        <f t="shared" si="58"/>
        <v>0.60000000000000009</v>
      </c>
      <c r="AA58" s="9">
        <f t="shared" si="58"/>
        <v>0.42500000000000004</v>
      </c>
      <c r="AB58" s="9">
        <f t="shared" si="58"/>
        <v>-0.1228070175438597</v>
      </c>
      <c r="AC58" s="9">
        <f t="shared" si="58"/>
        <v>-8.0000000000000071E-2</v>
      </c>
      <c r="AD58" s="9">
        <v>3.1E-2</v>
      </c>
      <c r="AE58" s="9">
        <v>3.3000000000000002E-2</v>
      </c>
      <c r="AF58" s="9">
        <v>3.6999999999999998E-2</v>
      </c>
      <c r="AG58" s="9">
        <v>3.6999999999999998E-2</v>
      </c>
      <c r="AH58" s="9">
        <v>3.6999999999999998E-2</v>
      </c>
      <c r="AI58" s="9">
        <v>3.6999999999999998E-2</v>
      </c>
      <c r="AJ58" s="9">
        <v>3.6999999999999998E-2</v>
      </c>
      <c r="AK58" s="9">
        <v>3.6999999999999998E-2</v>
      </c>
    </row>
    <row r="60" spans="1:37" s="9" customFormat="1" x14ac:dyDescent="0.25">
      <c r="A60" s="9" t="s">
        <v>56</v>
      </c>
      <c r="B60" s="9" t="s">
        <v>60</v>
      </c>
      <c r="V60" s="9">
        <v>1.6E-2</v>
      </c>
      <c r="W60" s="9">
        <v>1.6E-2</v>
      </c>
      <c r="X60" s="9">
        <v>1.7999999999999999E-2</v>
      </c>
      <c r="Y60" s="9">
        <v>3.9E-2</v>
      </c>
      <c r="Z60" s="9">
        <v>6.3E-2</v>
      </c>
      <c r="AA60" s="9">
        <v>0.104</v>
      </c>
      <c r="AB60" s="9">
        <v>4.8000000000000001E-2</v>
      </c>
      <c r="AC60" s="9">
        <v>0.04</v>
      </c>
      <c r="AD60" s="9">
        <v>3.1E-2</v>
      </c>
      <c r="AE60" s="9">
        <v>3.1E-2</v>
      </c>
      <c r="AF60" s="9">
        <v>3.1E-2</v>
      </c>
      <c r="AG60" s="9">
        <v>3.1E-2</v>
      </c>
      <c r="AH60" s="9">
        <v>3.1E-2</v>
      </c>
      <c r="AI60" s="9">
        <v>3.1E-2</v>
      </c>
      <c r="AJ60" s="9">
        <v>3.1E-2</v>
      </c>
      <c r="AK60" s="9">
        <v>3.1E-2</v>
      </c>
    </row>
    <row r="62" spans="1:37" s="9" customFormat="1" x14ac:dyDescent="0.25">
      <c r="A62" s="9" t="s">
        <v>56</v>
      </c>
      <c r="B62" s="9" t="s">
        <v>61</v>
      </c>
      <c r="V62" s="9">
        <v>2.1254700000000001E-2</v>
      </c>
      <c r="W62" s="9">
        <v>2.37834E-2</v>
      </c>
      <c r="X62" s="9">
        <v>2.7244999999999998E-2</v>
      </c>
      <c r="Y62" s="9">
        <v>1.6944500000000001E-2</v>
      </c>
      <c r="Z62" s="9">
        <v>3.4670100000000002E-2</v>
      </c>
      <c r="AA62" s="9">
        <v>6.6059999999999994E-2</v>
      </c>
      <c r="AB62" s="9">
        <v>4.4999999999999998E-2</v>
      </c>
      <c r="AC62" s="9">
        <v>3.5000000000000003E-2</v>
      </c>
      <c r="AD62" s="9">
        <v>2.7E-2</v>
      </c>
      <c r="AE62" s="9">
        <v>2.7E-2</v>
      </c>
      <c r="AF62" s="9">
        <v>2.7E-2</v>
      </c>
      <c r="AG62" s="9">
        <v>2.7E-2</v>
      </c>
      <c r="AH62" s="9">
        <v>2.7E-2</v>
      </c>
      <c r="AI62" s="9">
        <v>2.7E-2</v>
      </c>
      <c r="AJ62" s="9">
        <v>2.7E-2</v>
      </c>
      <c r="AK62" s="9">
        <v>2.7E-2</v>
      </c>
    </row>
    <row r="63" spans="1:37" s="9" customFormat="1" x14ac:dyDescent="0.25">
      <c r="A63" s="9" t="s">
        <v>56</v>
      </c>
      <c r="B63" s="9" t="s">
        <v>62</v>
      </c>
      <c r="AD63" s="9">
        <v>4.0000000000000001E-3</v>
      </c>
      <c r="AE63" s="9">
        <v>4.0000000000000001E-3</v>
      </c>
      <c r="AF63" s="9">
        <v>5.0000000000000001E-3</v>
      </c>
      <c r="AG63" s="9">
        <v>5.0000000000000001E-3</v>
      </c>
      <c r="AH63" s="9">
        <v>5.0000000000000001E-3</v>
      </c>
      <c r="AI63" s="9">
        <v>7.0000000000000001E-3</v>
      </c>
      <c r="AJ63" s="9">
        <v>7.0000000000000001E-3</v>
      </c>
      <c r="AK63" s="9">
        <v>7.0000000000000001E-3</v>
      </c>
    </row>
    <row r="66" spans="2:27" s="24" customFormat="1" x14ac:dyDescent="0.25">
      <c r="B66" s="24" t="s">
        <v>75</v>
      </c>
      <c r="E66" s="24">
        <v>0.40265600000000001</v>
      </c>
      <c r="F66" s="24">
        <v>1.3762000000000001</v>
      </c>
      <c r="G66" s="24">
        <v>1.429446</v>
      </c>
      <c r="H66" s="24">
        <v>2.9992999999999999</v>
      </c>
      <c r="I66" s="24">
        <v>3.9825590000000002</v>
      </c>
      <c r="O66" s="24">
        <v>9.5589999999999993</v>
      </c>
      <c r="P66" s="24">
        <v>10.227</v>
      </c>
      <c r="Q66" s="24">
        <v>10.3329</v>
      </c>
      <c r="R66" s="24">
        <v>11.4009</v>
      </c>
      <c r="S66" s="24">
        <v>13.634</v>
      </c>
      <c r="T66" s="24">
        <v>16.027000000000001</v>
      </c>
      <c r="U66" s="24">
        <v>17.588699999999999</v>
      </c>
      <c r="V66" s="24">
        <v>18.523</v>
      </c>
      <c r="W66" s="24">
        <v>20.276499999999999</v>
      </c>
      <c r="X66" s="24">
        <v>20.637899999999998</v>
      </c>
      <c r="Y66" s="24">
        <v>4.2786</v>
      </c>
      <c r="Z66" s="24">
        <v>1.7788999999999999</v>
      </c>
      <c r="AA66" s="24">
        <f>G66+H66+I66+I66</f>
        <v>12.393864000000001</v>
      </c>
    </row>
    <row r="67" spans="2:27" s="24" customFormat="1" x14ac:dyDescent="0.25">
      <c r="B67" s="24" t="s">
        <v>79</v>
      </c>
      <c r="E67" s="24">
        <v>0.70135000000000003</v>
      </c>
      <c r="F67" s="24">
        <v>2.6753499999999999</v>
      </c>
      <c r="G67" s="24">
        <v>2.9783529999999998</v>
      </c>
      <c r="H67" s="24">
        <v>4.6391</v>
      </c>
      <c r="I67" s="24">
        <v>4.8874149999999998</v>
      </c>
      <c r="O67" s="24">
        <v>8.7909799999999994</v>
      </c>
      <c r="P67" s="24">
        <v>9.4544999999999995</v>
      </c>
      <c r="Q67" s="24">
        <v>9.6027000000000005</v>
      </c>
      <c r="R67" s="24">
        <v>10.446199999999999</v>
      </c>
      <c r="S67" s="24">
        <v>12.512</v>
      </c>
      <c r="T67" s="24">
        <v>14.7</v>
      </c>
      <c r="U67" s="24">
        <v>16.376000000000001</v>
      </c>
      <c r="V67" s="24">
        <v>17.363399999999999</v>
      </c>
      <c r="W67" s="24">
        <v>18.8416</v>
      </c>
      <c r="X67" s="24">
        <v>19.233450000000001</v>
      </c>
      <c r="Y67" s="24">
        <v>4.1238000000000001</v>
      </c>
      <c r="Z67" s="24">
        <v>3.3767</v>
      </c>
      <c r="AA67" s="24">
        <f>G67+H67+I67+I67</f>
        <v>17.392282999999999</v>
      </c>
    </row>
    <row r="68" spans="2:27" s="24" customFormat="1" x14ac:dyDescent="0.25"/>
    <row r="69" spans="2:27" s="8" customFormat="1" x14ac:dyDescent="0.25">
      <c r="B69" s="8" t="s">
        <v>76</v>
      </c>
      <c r="E69" s="8">
        <f>E66/E67</f>
        <v>0.57411563413416977</v>
      </c>
      <c r="F69" s="8">
        <f>F66/F67</f>
        <v>0.51439998504868523</v>
      </c>
      <c r="G69" s="8">
        <f>G66/G67</f>
        <v>0.47994512403331641</v>
      </c>
      <c r="H69" s="8">
        <f>H66/H67</f>
        <v>0.64652626587053519</v>
      </c>
      <c r="I69" s="8">
        <f>I66/I67</f>
        <v>0.81486000268035363</v>
      </c>
      <c r="O69" s="8">
        <f t="shared" ref="O69:AA69" si="59">O66/O67</f>
        <v>1.0873645486623789</v>
      </c>
      <c r="P69" s="8">
        <f t="shared" si="59"/>
        <v>1.0817071235919404</v>
      </c>
      <c r="Q69" s="8">
        <f t="shared" si="59"/>
        <v>1.0760411134368459</v>
      </c>
      <c r="R69" s="8">
        <f t="shared" si="59"/>
        <v>1.091392085160154</v>
      </c>
      <c r="S69" s="8">
        <f t="shared" si="59"/>
        <v>1.0896739130434783</v>
      </c>
      <c r="T69" s="8">
        <f t="shared" si="59"/>
        <v>1.0902721088435376</v>
      </c>
      <c r="U69" s="8">
        <f t="shared" si="59"/>
        <v>1.0740534929164629</v>
      </c>
      <c r="V69" s="8">
        <f t="shared" si="59"/>
        <v>1.0667841551769814</v>
      </c>
      <c r="W69" s="8">
        <f t="shared" si="59"/>
        <v>1.0761559527853259</v>
      </c>
      <c r="X69" s="8">
        <f t="shared" si="59"/>
        <v>1.0730212208418144</v>
      </c>
      <c r="Y69" s="8">
        <f t="shared" si="59"/>
        <v>1.0375381929288521</v>
      </c>
      <c r="Z69" s="8">
        <f t="shared" si="59"/>
        <v>0.52681612224953356</v>
      </c>
      <c r="AA69" s="8">
        <f t="shared" si="59"/>
        <v>0.71260707981810101</v>
      </c>
    </row>
    <row r="70" spans="2:27" s="24" customFormat="1" x14ac:dyDescent="0.25">
      <c r="B70" s="24" t="s">
        <v>77</v>
      </c>
      <c r="E70" s="24">
        <f>E5/E66</f>
        <v>380.17811730112049</v>
      </c>
      <c r="F70" s="24">
        <f>F5/F66</f>
        <v>354.17599186164801</v>
      </c>
      <c r="G70" s="24">
        <f>G5/G66</f>
        <v>365.1449582565553</v>
      </c>
      <c r="H70" s="24">
        <f>H5/H66</f>
        <v>395.82302537258698</v>
      </c>
      <c r="I70" s="24">
        <f>I5/I66</f>
        <v>405.64370797770977</v>
      </c>
      <c r="O70" s="24">
        <f t="shared" ref="O70:AA70" si="60">O5/O66</f>
        <v>210.49272936499634</v>
      </c>
      <c r="P70" s="24">
        <f t="shared" si="60"/>
        <v>217.00625794465634</v>
      </c>
      <c r="Q70" s="24">
        <f t="shared" si="60"/>
        <v>220.29633500759709</v>
      </c>
      <c r="R70" s="24">
        <f t="shared" si="60"/>
        <v>225.44886807181891</v>
      </c>
      <c r="S70" s="24">
        <f t="shared" si="60"/>
        <v>229.27094029631803</v>
      </c>
      <c r="T70" s="24">
        <f t="shared" si="60"/>
        <v>271.10956510887877</v>
      </c>
      <c r="U70" s="24">
        <f t="shared" si="60"/>
        <v>277.12986178626051</v>
      </c>
      <c r="V70" s="24">
        <f t="shared" si="60"/>
        <v>291.32294984613725</v>
      </c>
      <c r="W70" s="24">
        <f t="shared" si="60"/>
        <v>298.62722856508765</v>
      </c>
      <c r="X70" s="24">
        <f t="shared" si="60"/>
        <v>313.13166552798492</v>
      </c>
      <c r="Y70" s="24">
        <f t="shared" si="60"/>
        <v>299.1422427896976</v>
      </c>
      <c r="Z70" s="24">
        <f t="shared" si="60"/>
        <v>364.25993591545335</v>
      </c>
      <c r="AA70" s="24">
        <f t="shared" si="60"/>
        <v>398.59619243845185</v>
      </c>
    </row>
    <row r="71" spans="2:27" s="24" customFormat="1" x14ac:dyDescent="0.25">
      <c r="B71" s="24" t="s">
        <v>78</v>
      </c>
      <c r="E71" s="24">
        <f>E5/E67</f>
        <v>218.26620089826761</v>
      </c>
      <c r="F71" s="24">
        <f>F5/F67</f>
        <v>182.18812491823502</v>
      </c>
      <c r="G71" s="24">
        <f>G5/G67</f>
        <v>175.24954228058257</v>
      </c>
      <c r="H71" s="24">
        <f>H5/H67</f>
        <v>255.90998253971676</v>
      </c>
      <c r="I71" s="24">
        <f>I5/I67</f>
        <v>330.54283296998517</v>
      </c>
      <c r="O71" s="24">
        <f t="shared" ref="O71:AA71" si="61">O5/O67</f>
        <v>228.88233166268154</v>
      </c>
      <c r="P71" s="24">
        <f t="shared" si="61"/>
        <v>234.73721508276486</v>
      </c>
      <c r="Q71" s="24">
        <f t="shared" si="61"/>
        <v>237.04791360763119</v>
      </c>
      <c r="R71" s="24">
        <f t="shared" si="61"/>
        <v>246.05311022189892</v>
      </c>
      <c r="S71" s="24">
        <f t="shared" si="61"/>
        <v>249.83056265984655</v>
      </c>
      <c r="T71" s="24">
        <f t="shared" si="61"/>
        <v>295.5831972789116</v>
      </c>
      <c r="U71" s="24">
        <f t="shared" si="61"/>
        <v>297.65229604298975</v>
      </c>
      <c r="V71" s="24">
        <f t="shared" si="61"/>
        <v>310.77870693527768</v>
      </c>
      <c r="W71" s="24">
        <f t="shared" si="61"/>
        <v>321.36946968410325</v>
      </c>
      <c r="X71" s="24">
        <f t="shared" si="61"/>
        <v>335.99692202906908</v>
      </c>
      <c r="Y71" s="24">
        <f t="shared" si="61"/>
        <v>310.37150201270674</v>
      </c>
      <c r="Z71" s="24">
        <f t="shared" si="61"/>
        <v>191.89800692984272</v>
      </c>
      <c r="AA71" s="24">
        <f t="shared" si="61"/>
        <v>284.04246872017899</v>
      </c>
    </row>
    <row r="73" spans="2:27" s="24" customFormat="1" x14ac:dyDescent="0.25">
      <c r="B73" s="24" t="s">
        <v>80</v>
      </c>
      <c r="E73" s="24">
        <f>E3/E66</f>
        <v>213.8972224429786</v>
      </c>
      <c r="F73" s="24">
        <f>F3/F66</f>
        <v>221.53393402121785</v>
      </c>
      <c r="G73" s="24">
        <f>G3/G66</f>
        <v>239.57183412314978</v>
      </c>
      <c r="H73" s="24">
        <f>H3/H66</f>
        <v>264.69242823325447</v>
      </c>
      <c r="I73" s="24">
        <f>I3/I66</f>
        <v>277.68577941971483</v>
      </c>
      <c r="O73" s="24">
        <f>O3/O66</f>
        <v>147.69327335495345</v>
      </c>
      <c r="P73" s="24">
        <f>P3/P66</f>
        <v>152.86623643297153</v>
      </c>
      <c r="Q73" s="24">
        <f>Q3/Q66</f>
        <v>155.29038314509961</v>
      </c>
      <c r="R73" s="24">
        <f>R3/R66</f>
        <v>159.27689919216905</v>
      </c>
      <c r="S73" s="24">
        <f t="shared" ref="S73:Z73" si="62">S3/S66</f>
        <v>159.61199941323164</v>
      </c>
      <c r="T73" s="24">
        <f t="shared" si="62"/>
        <v>195.23928370874148</v>
      </c>
      <c r="U73" s="24">
        <f t="shared" si="62"/>
        <v>192.67791252338151</v>
      </c>
      <c r="V73" s="24">
        <f t="shared" si="62"/>
        <v>202.45262646439562</v>
      </c>
      <c r="W73" s="24">
        <f>W3/W66</f>
        <v>210.08630680837422</v>
      </c>
      <c r="X73" s="24">
        <f t="shared" si="62"/>
        <v>218.8885497070923</v>
      </c>
      <c r="Y73" s="24">
        <f t="shared" si="62"/>
        <v>202.66208572897676</v>
      </c>
      <c r="Z73" s="24">
        <f t="shared" si="62"/>
        <v>220.78363033335208</v>
      </c>
      <c r="AA73" s="24">
        <f>AA3/AA66</f>
        <v>270.1455333058359</v>
      </c>
    </row>
    <row r="75" spans="2:27" x14ac:dyDescent="0.25">
      <c r="B75" s="24" t="s">
        <v>83</v>
      </c>
      <c r="C75" s="24">
        <v>289.95169082125608</v>
      </c>
      <c r="D75" s="24">
        <v>392.86210462944382</v>
      </c>
      <c r="E75" s="24">
        <v>305.45320855614978</v>
      </c>
      <c r="F75" s="24">
        <v>243.65075034106411</v>
      </c>
      <c r="G75" s="24">
        <v>239.70405297790245</v>
      </c>
      <c r="H75" s="24">
        <v>258.67806767175529</v>
      </c>
      <c r="I75" s="24">
        <v>268.77424568965523</v>
      </c>
      <c r="J75" s="24">
        <v>235.59227573428294</v>
      </c>
      <c r="K75" s="24"/>
      <c r="L75" s="24"/>
      <c r="M75" s="24"/>
      <c r="N75" s="24"/>
      <c r="O75" s="24">
        <v>209.37347679141735</v>
      </c>
      <c r="P75" s="24">
        <v>216.47406679820668</v>
      </c>
      <c r="Q75" s="24">
        <v>218.42274233048656</v>
      </c>
      <c r="R75" s="24">
        <v>223.83350627219733</v>
      </c>
      <c r="S75" s="24">
        <v>219.93590302369924</v>
      </c>
      <c r="T75" s="24">
        <v>215.43156036653426</v>
      </c>
      <c r="U75" s="24">
        <v>211.0911801242236</v>
      </c>
      <c r="V75" s="24">
        <v>219.26585566907298</v>
      </c>
      <c r="W75" s="24">
        <v>226.83750268797934</v>
      </c>
      <c r="X75" s="24">
        <v>244.41274188462788</v>
      </c>
      <c r="Y75" s="24">
        <v>253.9471340932798</v>
      </c>
      <c r="Z75" s="24">
        <v>264.04624699831902</v>
      </c>
      <c r="AA75" s="24">
        <v>252.21143504346409</v>
      </c>
    </row>
    <row r="76" spans="2:27" x14ac:dyDescent="0.25">
      <c r="B76" s="24" t="s">
        <v>84</v>
      </c>
      <c r="C76" s="24">
        <v>109.35450286309215</v>
      </c>
      <c r="D76" s="24">
        <v>108.15979600509988</v>
      </c>
      <c r="E76" s="24">
        <v>111.12791828793775</v>
      </c>
      <c r="F76" s="24">
        <v>144.44493624825617</v>
      </c>
      <c r="G76" s="24">
        <v>137.68903794407831</v>
      </c>
      <c r="H76" s="24">
        <v>212.14269757864781</v>
      </c>
      <c r="I76" s="24">
        <v>258.82653061224494</v>
      </c>
      <c r="J76" s="24">
        <v>223.63215111946101</v>
      </c>
      <c r="K76" s="24"/>
      <c r="L76" s="24"/>
      <c r="M76" s="24"/>
      <c r="N76" s="24"/>
      <c r="O76" s="24">
        <v>218.44937752073935</v>
      </c>
      <c r="P76" s="24">
        <v>226.78337921800482</v>
      </c>
      <c r="Q76" s="24">
        <v>228.09266116016332</v>
      </c>
      <c r="R76" s="24">
        <v>234.28835489833639</v>
      </c>
      <c r="S76" s="24">
        <v>232.1811334731795</v>
      </c>
      <c r="T76" s="24">
        <v>226.4619683131105</v>
      </c>
      <c r="U76" s="24">
        <v>224.50785902491248</v>
      </c>
      <c r="V76" s="24">
        <v>237.68336894981192</v>
      </c>
      <c r="W76" s="24">
        <v>247.07234586875359</v>
      </c>
      <c r="X76" s="24">
        <v>264.30145298428033</v>
      </c>
      <c r="Y76" s="24">
        <v>258.64520943621955</v>
      </c>
      <c r="Z76" s="24">
        <v>130.20247987646593</v>
      </c>
      <c r="AA76" s="24">
        <v>214.58723980615397</v>
      </c>
    </row>
    <row r="77" spans="2:27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x14ac:dyDescent="0.25">
      <c r="B78" s="24" t="s">
        <v>85</v>
      </c>
      <c r="C78" s="7" t="e">
        <f t="shared" ref="C78:J79" si="63">C75/C70-1</f>
        <v>#DIV/0!</v>
      </c>
      <c r="D78" s="7" t="e">
        <f t="shared" si="63"/>
        <v>#DIV/0!</v>
      </c>
      <c r="E78" s="7">
        <f t="shared" si="63"/>
        <v>-0.19655236675756582</v>
      </c>
      <c r="F78" s="7">
        <f t="shared" si="63"/>
        <v>-0.31206305356733055</v>
      </c>
      <c r="G78" s="7">
        <f t="shared" si="63"/>
        <v>-0.34353727866760397</v>
      </c>
      <c r="H78" s="7">
        <f t="shared" si="63"/>
        <v>-0.34648049484169741</v>
      </c>
      <c r="I78" s="7">
        <f>I75/I70-1</f>
        <v>-0.33741300455614498</v>
      </c>
      <c r="J78" s="7" t="e">
        <f t="shared" si="63"/>
        <v>#DIV/0!</v>
      </c>
      <c r="K78" s="7"/>
      <c r="L78" s="7"/>
      <c r="M78" s="7"/>
      <c r="N78" s="7"/>
      <c r="O78" s="7">
        <f>O75/O70-1</f>
        <v>-5.3172980223853417E-3</v>
      </c>
      <c r="P78" s="7">
        <f t="shared" ref="P78:AA78" si="64">P75/P70-1</f>
        <v>-2.4524230383502488E-3</v>
      </c>
      <c r="Q78" s="7">
        <f t="shared" si="64"/>
        <v>-8.5048744775800822E-3</v>
      </c>
      <c r="R78" s="7">
        <f t="shared" si="64"/>
        <v>-7.1650916389032204E-3</v>
      </c>
      <c r="S78" s="7">
        <f t="shared" si="64"/>
        <v>-4.0716181739185342E-2</v>
      </c>
      <c r="T78" s="7">
        <f t="shared" si="64"/>
        <v>-0.20537086074400945</v>
      </c>
      <c r="U78" s="7">
        <f t="shared" si="64"/>
        <v>-0.23829507667048155</v>
      </c>
      <c r="V78" s="7">
        <f t="shared" si="64"/>
        <v>-0.24734437920226116</v>
      </c>
      <c r="W78" s="7">
        <f t="shared" si="64"/>
        <v>-0.24039912978484912</v>
      </c>
      <c r="X78" s="7">
        <f t="shared" si="64"/>
        <v>-0.21945696078832233</v>
      </c>
      <c r="Y78" s="7">
        <f t="shared" si="64"/>
        <v>-0.15108233553022732</v>
      </c>
      <c r="Z78" s="7">
        <f t="shared" si="64"/>
        <v>-0.27511586929064435</v>
      </c>
      <c r="AA78" s="7">
        <f t="shared" si="64"/>
        <v>-0.36725076699670522</v>
      </c>
    </row>
    <row r="79" spans="2:27" x14ac:dyDescent="0.25">
      <c r="B79" s="24" t="s">
        <v>86</v>
      </c>
      <c r="C79" s="7" t="e">
        <f t="shared" si="63"/>
        <v>#DIV/0!</v>
      </c>
      <c r="D79" s="7" t="e">
        <f t="shared" si="63"/>
        <v>#DIV/0!</v>
      </c>
      <c r="E79" s="7">
        <f t="shared" si="63"/>
        <v>-0.4908606195984796</v>
      </c>
      <c r="F79" s="7">
        <f t="shared" si="63"/>
        <v>-0.20716601966740578</v>
      </c>
      <c r="G79" s="7">
        <f t="shared" si="63"/>
        <v>-0.21432583416604978</v>
      </c>
      <c r="H79" s="7">
        <f>H76/H71-1</f>
        <v>-0.17102609490536913</v>
      </c>
      <c r="I79" s="7">
        <f t="shared" si="63"/>
        <v>-0.21696523174729498</v>
      </c>
      <c r="J79" s="7" t="e">
        <f t="shared" si="63"/>
        <v>#DIV/0!</v>
      </c>
      <c r="N79" s="7"/>
      <c r="O79" s="7">
        <f>O76/O71-1</f>
        <v>-4.5582173451981012E-2</v>
      </c>
      <c r="P79" s="7">
        <f>P76/P71-1</f>
        <v>-3.3884000293501138E-2</v>
      </c>
      <c r="Q79" s="7">
        <f>Q76/Q71-1</f>
        <v>-3.7778237788208768E-2</v>
      </c>
      <c r="R79" s="7">
        <f>R76/R71-1</f>
        <v>-4.781388584339652E-2</v>
      </c>
      <c r="S79" s="7">
        <f>S76/S71-1</f>
        <v>-7.0645596754698836E-2</v>
      </c>
      <c r="T79" s="7">
        <f>T76/T71-1</f>
        <v>-0.2338469493601778</v>
      </c>
      <c r="U79" s="7">
        <f>U76/U71-1</f>
        <v>-0.24573785584880237</v>
      </c>
      <c r="V79" s="7">
        <f>V76/V71-1</f>
        <v>-0.23520059886435041</v>
      </c>
      <c r="W79" s="7">
        <f>W76/W71-1</f>
        <v>-0.23118911665249831</v>
      </c>
      <c r="X79" s="7">
        <f>X76/X71-1</f>
        <v>-0.21338132686401801</v>
      </c>
      <c r="Y79" s="7">
        <f>Y76/Y71-1</f>
        <v>-0.1666592848926236</v>
      </c>
      <c r="Z79" s="7">
        <f>Z76/Z71-1</f>
        <v>-0.3215016562206009</v>
      </c>
      <c r="AA79" s="7">
        <f>AA76/AA71-1</f>
        <v>-0.24452409960725974</v>
      </c>
    </row>
    <row r="81" spans="2:27" x14ac:dyDescent="0.25">
      <c r="B81" s="24" t="s">
        <v>87</v>
      </c>
      <c r="C81" s="24">
        <v>143.85093167701865</v>
      </c>
      <c r="D81" s="24">
        <v>175.9775242740927</v>
      </c>
      <c r="E81" s="24">
        <v>187.26804812834226</v>
      </c>
      <c r="F81" s="24">
        <v>153.14473521021952</v>
      </c>
      <c r="G81" s="24">
        <v>147.51593100453303</v>
      </c>
      <c r="H81" s="24">
        <v>167.9595438018878</v>
      </c>
      <c r="I81" s="24">
        <v>181.48078304597703</v>
      </c>
      <c r="J81" s="24">
        <v>154.02724699989867</v>
      </c>
      <c r="O81">
        <v>152.20129608384238</v>
      </c>
      <c r="P81">
        <v>158.70677201356756</v>
      </c>
      <c r="Q81">
        <v>158.94743421463843</v>
      </c>
      <c r="R81">
        <v>160.92312797194734</v>
      </c>
      <c r="S81">
        <v>160.55153909016616</v>
      </c>
      <c r="T81">
        <v>157.27798977234377</v>
      </c>
      <c r="U81">
        <v>152.77813664596272</v>
      </c>
      <c r="V81">
        <v>157.69914820273274</v>
      </c>
      <c r="W81">
        <v>162.29899887702194</v>
      </c>
      <c r="X81">
        <v>175.36526297132755</v>
      </c>
      <c r="Y81">
        <v>172.98085869761789</v>
      </c>
      <c r="Z81">
        <v>162.20365347702111</v>
      </c>
      <c r="AA81">
        <v>165.28305170333135</v>
      </c>
    </row>
    <row r="82" spans="2:27" x14ac:dyDescent="0.25">
      <c r="B82" s="24" t="s">
        <v>88</v>
      </c>
      <c r="C82" s="7" t="e">
        <f t="shared" ref="C82:J82" si="65">C81/C73-1</f>
        <v>#DIV/0!</v>
      </c>
      <c r="D82" s="7" t="e">
        <f t="shared" si="65"/>
        <v>#DIV/0!</v>
      </c>
      <c r="E82" s="7">
        <f t="shared" si="65"/>
        <v>-0.12449518516648916</v>
      </c>
      <c r="F82" s="7">
        <f t="shared" si="65"/>
        <v>-0.30870755359965851</v>
      </c>
      <c r="G82" s="7">
        <f t="shared" si="65"/>
        <v>-0.38425177757455509</v>
      </c>
      <c r="H82" s="7">
        <f t="shared" si="65"/>
        <v>-0.36545391599234911</v>
      </c>
      <c r="I82" s="7">
        <f t="shared" si="65"/>
        <v>-0.34645273004177302</v>
      </c>
      <c r="J82" s="7" t="e">
        <f t="shared" si="65"/>
        <v>#DIV/0!</v>
      </c>
      <c r="K82" s="7"/>
      <c r="L82" s="7"/>
      <c r="M82" s="7"/>
      <c r="N82" s="7"/>
      <c r="O82" s="7">
        <f>O81/O73-1</f>
        <v>3.0522870991251727E-2</v>
      </c>
      <c r="P82" s="7">
        <f t="shared" ref="P82:AA82" si="66">P81/P73-1</f>
        <v>3.8206838324020387E-2</v>
      </c>
      <c r="Q82" s="7">
        <f t="shared" si="66"/>
        <v>2.3549758816177047E-2</v>
      </c>
      <c r="R82" s="7">
        <f t="shared" si="66"/>
        <v>1.0335640561360382E-2</v>
      </c>
      <c r="S82" s="7">
        <f t="shared" si="66"/>
        <v>5.886397516405184E-3</v>
      </c>
      <c r="T82" s="7">
        <f t="shared" si="66"/>
        <v>-0.19443471219157138</v>
      </c>
      <c r="U82" s="7">
        <f t="shared" si="66"/>
        <v>-0.20708017517356558</v>
      </c>
      <c r="V82" s="7">
        <f t="shared" si="66"/>
        <v>-0.22105654563850996</v>
      </c>
      <c r="W82" s="7">
        <f t="shared" si="66"/>
        <v>-0.22746512448781564</v>
      </c>
      <c r="X82" s="7">
        <f t="shared" si="66"/>
        <v>-0.19883765868066572</v>
      </c>
      <c r="Y82" s="7">
        <f t="shared" si="66"/>
        <v>-0.14645673325918518</v>
      </c>
      <c r="Z82" s="7">
        <f t="shared" si="66"/>
        <v>-0.26532753704558387</v>
      </c>
      <c r="AA82" s="7">
        <f t="shared" si="66"/>
        <v>-0.38817033292861491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F8" sqref="F8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19</v>
      </c>
      <c r="C2" s="8">
        <v>-0.01</v>
      </c>
    </row>
    <row r="3" spans="2:3" x14ac:dyDescent="0.25">
      <c r="B3" t="s">
        <v>20</v>
      </c>
      <c r="C3" s="8">
        <v>0.115</v>
      </c>
    </row>
    <row r="4" spans="2:3" x14ac:dyDescent="0.25">
      <c r="B4" t="s">
        <v>8</v>
      </c>
      <c r="C4" s="4">
        <f>NPV(C3,Model!AB22:DX22)</f>
        <v>9576.3280554549001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2023-02-17T10:32:20Z</dcterms:modified>
</cp:coreProperties>
</file>