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6C88807B-B2E6-4941-8DE7-214CAD848C11}" xr6:coauthVersionLast="47" xr6:coauthVersionMax="47" xr10:uidLastSave="{00000000-0000-0000-0000-000000000000}"/>
  <bookViews>
    <workbookView xWindow="14085" yWindow="0" windowWidth="32835" windowHeight="21600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2" l="1"/>
  <c r="V3" i="2" l="1"/>
  <c r="V10" i="2" s="1"/>
  <c r="U36" i="2"/>
  <c r="T36" i="2"/>
  <c r="S36" i="2"/>
  <c r="R36" i="2"/>
  <c r="Q36" i="2"/>
  <c r="P36" i="2"/>
  <c r="O36" i="2"/>
  <c r="N36" i="2"/>
  <c r="U35" i="2"/>
  <c r="T35" i="2"/>
  <c r="S35" i="2"/>
  <c r="R35" i="2"/>
  <c r="Q35" i="2"/>
  <c r="P35" i="2"/>
  <c r="O35" i="2"/>
  <c r="N35" i="2"/>
  <c r="M35" i="2"/>
  <c r="J35" i="2"/>
  <c r="I35" i="2"/>
  <c r="H35" i="2"/>
  <c r="G35" i="2"/>
  <c r="F35" i="2"/>
  <c r="E35" i="2"/>
  <c r="D35" i="2"/>
  <c r="C35" i="2"/>
  <c r="J33" i="2"/>
  <c r="U33" i="2"/>
  <c r="T33" i="2"/>
  <c r="S33" i="2"/>
  <c r="R33" i="2"/>
  <c r="Q33" i="2"/>
  <c r="P33" i="2"/>
  <c r="O33" i="2"/>
  <c r="N33" i="2"/>
  <c r="I33" i="2"/>
  <c r="H33" i="2"/>
  <c r="G33" i="2"/>
  <c r="D31" i="2"/>
  <c r="C31" i="2"/>
  <c r="D30" i="2"/>
  <c r="C30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J31" i="2"/>
  <c r="I31" i="2"/>
  <c r="H31" i="2"/>
  <c r="G31" i="2"/>
  <c r="F31" i="2"/>
  <c r="J30" i="2"/>
  <c r="I30" i="2"/>
  <c r="H30" i="2"/>
  <c r="G30" i="2"/>
  <c r="F30" i="2"/>
  <c r="E31" i="2"/>
  <c r="E30" i="2"/>
  <c r="U14" i="2"/>
  <c r="U12" i="2"/>
  <c r="U11" i="2"/>
  <c r="U9" i="2"/>
  <c r="U8" i="2"/>
  <c r="U7" i="2"/>
  <c r="U6" i="2"/>
  <c r="U4" i="2"/>
  <c r="U3" i="2"/>
  <c r="V5" i="2" l="1"/>
  <c r="W3" i="2"/>
  <c r="W10" i="2" s="1"/>
  <c r="M22" i="2"/>
  <c r="N22" i="2"/>
  <c r="M9" i="2"/>
  <c r="N9" i="2"/>
  <c r="O22" i="2"/>
  <c r="P22" i="2"/>
  <c r="O9" i="2"/>
  <c r="P11" i="2"/>
  <c r="P9" i="2"/>
  <c r="Q22" i="2"/>
  <c r="R22" i="2"/>
  <c r="R11" i="2"/>
  <c r="Q11" i="2"/>
  <c r="Q5" i="2"/>
  <c r="Q10" i="2" s="1"/>
  <c r="Q13" i="2" s="1"/>
  <c r="Q15" i="2" s="1"/>
  <c r="Q17" i="2" s="1"/>
  <c r="N23" i="2"/>
  <c r="M23" i="2"/>
  <c r="N5" i="2"/>
  <c r="N10" i="2" s="1"/>
  <c r="N28" i="2" s="1"/>
  <c r="M5" i="2"/>
  <c r="M10" i="2" s="1"/>
  <c r="F15" i="2"/>
  <c r="F14" i="2"/>
  <c r="F12" i="2"/>
  <c r="F11" i="2"/>
  <c r="F9" i="2"/>
  <c r="F8" i="2"/>
  <c r="F7" i="2"/>
  <c r="F6" i="2"/>
  <c r="F4" i="2"/>
  <c r="F3" i="2"/>
  <c r="S25" i="2"/>
  <c r="T25" i="2"/>
  <c r="S22" i="2"/>
  <c r="S11" i="2"/>
  <c r="T11" i="2"/>
  <c r="I26" i="2"/>
  <c r="I25" i="2"/>
  <c r="H26" i="2"/>
  <c r="H25" i="2"/>
  <c r="I22" i="2"/>
  <c r="E11" i="2"/>
  <c r="I11" i="2"/>
  <c r="H22" i="2"/>
  <c r="T22" i="2"/>
  <c r="D11" i="2"/>
  <c r="H11" i="2"/>
  <c r="J15" i="2"/>
  <c r="G15" i="2"/>
  <c r="G17" i="2" s="1"/>
  <c r="C15" i="2"/>
  <c r="C17" i="2" s="1"/>
  <c r="J17" i="2"/>
  <c r="X3" i="2" l="1"/>
  <c r="X10" i="2" s="1"/>
  <c r="W5" i="2"/>
  <c r="M28" i="2"/>
  <c r="M13" i="2"/>
  <c r="M15" i="2" s="1"/>
  <c r="M17" i="2" s="1"/>
  <c r="N13" i="2"/>
  <c r="N15" i="2" s="1"/>
  <c r="N17" i="2" s="1"/>
  <c r="G25" i="2"/>
  <c r="G22" i="2"/>
  <c r="G23" i="2" s="1"/>
  <c r="C11" i="2"/>
  <c r="G11" i="2"/>
  <c r="U5" i="2"/>
  <c r="U10" i="2" s="1"/>
  <c r="T23" i="2"/>
  <c r="T5" i="2"/>
  <c r="T10" i="2" s="1"/>
  <c r="S23" i="2"/>
  <c r="S5" i="2"/>
  <c r="S10" i="2" s="1"/>
  <c r="R23" i="2"/>
  <c r="R5" i="2"/>
  <c r="R10" i="2" s="1"/>
  <c r="Q23" i="2"/>
  <c r="P23" i="2"/>
  <c r="P5" i="2"/>
  <c r="P10" i="2" s="1"/>
  <c r="O23" i="2"/>
  <c r="O5" i="2"/>
  <c r="O10" i="2" s="1"/>
  <c r="J23" i="2"/>
  <c r="J5" i="2"/>
  <c r="J10" i="2" s="1"/>
  <c r="H23" i="2"/>
  <c r="H5" i="2"/>
  <c r="H10" i="2" s="1"/>
  <c r="I23" i="2"/>
  <c r="I5" i="2"/>
  <c r="I10" i="2" s="1"/>
  <c r="C23" i="2"/>
  <c r="C5" i="2"/>
  <c r="C10" i="2" s="1"/>
  <c r="D23" i="2"/>
  <c r="D5" i="2"/>
  <c r="D10" i="2" s="1"/>
  <c r="E23" i="2"/>
  <c r="E5" i="2"/>
  <c r="E10" i="2" s="1"/>
  <c r="F23" i="2"/>
  <c r="F5" i="2"/>
  <c r="F10" i="2" s="1"/>
  <c r="F13" i="2" s="1"/>
  <c r="F17" i="2" s="1"/>
  <c r="G5" i="2"/>
  <c r="G10" i="2" s="1"/>
  <c r="X5" i="2" l="1"/>
  <c r="Y3" i="2"/>
  <c r="Z3" i="2" s="1"/>
  <c r="G13" i="2"/>
  <c r="F28" i="2"/>
  <c r="G28" i="2"/>
  <c r="U13" i="2"/>
  <c r="U15" i="2" s="1"/>
  <c r="T28" i="2"/>
  <c r="T13" i="2"/>
  <c r="T15" i="2" s="1"/>
  <c r="T17" i="2" s="1"/>
  <c r="S28" i="2"/>
  <c r="S13" i="2"/>
  <c r="S15" i="2" s="1"/>
  <c r="S17" i="2" s="1"/>
  <c r="R28" i="2"/>
  <c r="R13" i="2"/>
  <c r="R15" i="2" s="1"/>
  <c r="R17" i="2" s="1"/>
  <c r="Q28" i="2"/>
  <c r="P28" i="2"/>
  <c r="P13" i="2"/>
  <c r="P15" i="2" s="1"/>
  <c r="P17" i="2" s="1"/>
  <c r="O28" i="2"/>
  <c r="O13" i="2"/>
  <c r="O15" i="2" s="1"/>
  <c r="O17" i="2" s="1"/>
  <c r="J28" i="2"/>
  <c r="J13" i="2"/>
  <c r="H28" i="2"/>
  <c r="H13" i="2"/>
  <c r="H15" i="2" s="1"/>
  <c r="H17" i="2" s="1"/>
  <c r="I28" i="2"/>
  <c r="I13" i="2"/>
  <c r="I15" i="2" s="1"/>
  <c r="I17" i="2" s="1"/>
  <c r="C13" i="2"/>
  <c r="D13" i="2"/>
  <c r="D15" i="2" s="1"/>
  <c r="D17" i="2" s="1"/>
  <c r="E13" i="2"/>
  <c r="E15" i="2" s="1"/>
  <c r="E17" i="2" s="1"/>
  <c r="N8" i="1"/>
  <c r="N11" i="1" s="1"/>
  <c r="Y10" i="2" l="1"/>
  <c r="Y5" i="2"/>
  <c r="AA3" i="2"/>
  <c r="Z10" i="2"/>
  <c r="Z5" i="2"/>
  <c r="U17" i="2"/>
  <c r="AB3" i="2" l="1"/>
  <c r="AA5" i="2"/>
  <c r="AA10" i="2"/>
  <c r="V11" i="2"/>
  <c r="V13" i="2" s="1"/>
  <c r="V14" i="2" l="1"/>
  <c r="V15" i="2" s="1"/>
  <c r="V23" i="2" s="1"/>
  <c r="AB5" i="2"/>
  <c r="AB10" i="2"/>
  <c r="AC3" i="2"/>
  <c r="W11" i="2" l="1"/>
  <c r="W13" i="2" s="1"/>
  <c r="AC5" i="2"/>
  <c r="AC10" i="2"/>
  <c r="AD3" i="2"/>
  <c r="W14" i="2" l="1"/>
  <c r="W15" i="2" s="1"/>
  <c r="W23" i="2" s="1"/>
  <c r="X11" i="2" s="1"/>
  <c r="X13" i="2" s="1"/>
  <c r="X14" i="2" s="1"/>
  <c r="X15" i="2" s="1"/>
  <c r="X23" i="2" s="1"/>
  <c r="Y11" i="2" s="1"/>
  <c r="Y13" i="2" s="1"/>
  <c r="AD10" i="2"/>
  <c r="AE3" i="2"/>
  <c r="AD5" i="2"/>
  <c r="Y14" i="2" l="1"/>
  <c r="Y15" i="2" s="1"/>
  <c r="AE10" i="2"/>
  <c r="AE5" i="2"/>
  <c r="Y23" i="2" l="1"/>
  <c r="Z11" i="2" s="1"/>
  <c r="Z13" i="2" s="1"/>
  <c r="Z14" i="2" l="1"/>
  <c r="Z15" i="2" s="1"/>
  <c r="Z23" i="2" l="1"/>
  <c r="AA11" i="2" s="1"/>
  <c r="AA13" i="2" s="1"/>
  <c r="AA14" i="2" l="1"/>
  <c r="AA15" i="2" s="1"/>
  <c r="AA23" i="2" l="1"/>
  <c r="AB11" i="2" s="1"/>
  <c r="AB13" i="2" s="1"/>
  <c r="AB14" i="2" l="1"/>
  <c r="AB15" i="2" s="1"/>
  <c r="AB23" i="2" l="1"/>
  <c r="AC11" i="2" s="1"/>
  <c r="AC13" i="2" s="1"/>
  <c r="AC14" i="2" l="1"/>
  <c r="AC15" i="2" s="1"/>
  <c r="AC23" i="2" l="1"/>
  <c r="AD11" i="2" s="1"/>
  <c r="AD13" i="2" s="1"/>
  <c r="AD14" i="2" l="1"/>
  <c r="AD15" i="2" s="1"/>
  <c r="AD23" i="2" s="1"/>
  <c r="AE11" i="2" l="1"/>
  <c r="AE13" i="2" s="1"/>
  <c r="AE14" i="2" l="1"/>
  <c r="AE15" i="2" s="1"/>
  <c r="AE23" i="2" l="1"/>
  <c r="AF15" i="2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C4" i="3" s="1"/>
  <c r="N14" i="1" s="1"/>
  <c r="N15" i="1" l="1"/>
</calcChain>
</file>

<file path=xl/sharedStrings.xml><?xml version="1.0" encoding="utf-8"?>
<sst xmlns="http://schemas.openxmlformats.org/spreadsheetml/2006/main" count="65" uniqueCount="56">
  <si>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</si>
  <si>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</si>
  <si>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</si>
  <si>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</si>
  <si>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</si>
  <si>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</si>
  <si>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</si>
  <si>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</si>
  <si>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</si>
  <si>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</si>
  <si>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</si>
  <si>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</si>
  <si>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</si>
  <si>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NPV/Sh</t>
  </si>
  <si>
    <t>Maturity decay</t>
  </si>
  <si>
    <t>Discount</t>
  </si>
  <si>
    <t>Ticker</t>
  </si>
  <si>
    <t>Company</t>
  </si>
  <si>
    <t>2023Q1</t>
  </si>
  <si>
    <t>2023Q2</t>
  </si>
  <si>
    <t>2023Q3</t>
  </si>
  <si>
    <t>2023Q4</t>
  </si>
  <si>
    <t>Inventory</t>
  </si>
  <si>
    <t>PPE</t>
  </si>
  <si>
    <t>Net cash</t>
  </si>
  <si>
    <t>Revenue</t>
  </si>
  <si>
    <t>COGS</t>
  </si>
  <si>
    <t>Gross income</t>
  </si>
  <si>
    <t>R&amp;D</t>
  </si>
  <si>
    <t>SG&amp;A</t>
  </si>
  <si>
    <t>Operating income</t>
  </si>
  <si>
    <t>Interest, net</t>
  </si>
  <si>
    <t>EBT</t>
  </si>
  <si>
    <t>Taxes</t>
  </si>
  <si>
    <t>Net income</t>
  </si>
  <si>
    <t>EPS</t>
  </si>
  <si>
    <t>EBITDA</t>
  </si>
  <si>
    <t>Gross margin</t>
  </si>
  <si>
    <t>Operating margin</t>
  </si>
  <si>
    <t>Rev y/y</t>
  </si>
  <si>
    <t>Tax rate</t>
  </si>
  <si>
    <t>Semtech Corp</t>
  </si>
  <si>
    <t>SMTC</t>
  </si>
  <si>
    <t>In. Amort</t>
  </si>
  <si>
    <t>Other Opex</t>
  </si>
  <si>
    <t>Other,net</t>
  </si>
  <si>
    <t>Interest on cash</t>
  </si>
  <si>
    <t>Year end: +1 3/31</t>
  </si>
  <si>
    <t>CF Depr. &amp; Amort</t>
  </si>
  <si>
    <t>CF Capex</t>
  </si>
  <si>
    <t>Outsouces fabrication</t>
  </si>
  <si>
    <t>focus more of our resources on defining, developing and marketing our products</t>
  </si>
  <si>
    <t>u</t>
  </si>
  <si>
    <t>Note</t>
  </si>
  <si>
    <t>Sierra Acquisition with 2021 Rev+473,Op-80,Net-89</t>
  </si>
  <si>
    <t>They did a realy bad acquisition, 1.2B for Sierra Wireless, 2021 Rev+473,Op-80,Net-89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</si>
</sst>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0</xdr:row>
      <xdr:rowOff>38100</xdr:rowOff>
    </xdr:from>
    <xdr:to>
      <xdr:col>31</xdr:col>
      <xdr:colOff>38100</xdr:colOff>
      <xdr:row>26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9459575" y="38100"/>
          <a:ext cx="0" cy="4933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15"/>
  <sheetViews>
    <sheetView tabSelected="1" workbookViewId="0">
      <selection activeCell="T31" sqref="T31"/>
    </sheetView>
  </sheetViews>
  <sheetFormatPr defaultRowHeight="15" x14ac:dyDescent="0.25"/>
  <cols>
    <col min="14" max="14" width="9.7109375" bestFit="1" customWidth="1"/>
  </cols>
  <sheetData>
    <row r="2" spans="2:14" x14ac:dyDescent="0.25">
      <c r="B2" s="10" t="s">
        <v>50</v>
      </c>
      <c r="M2" t="s">
        <v>7</v>
      </c>
      <c r="N2" s="1">
        <v>44983</v>
      </c>
    </row>
    <row r="3" spans="2:14" x14ac:dyDescent="0.25">
      <c r="B3" t="s">
        <v>51</v>
      </c>
      <c r="M3" t="s">
        <v>16</v>
      </c>
      <c r="N3" t="s">
        <v>42</v>
      </c>
    </row>
    <row r="4" spans="2:14" x14ac:dyDescent="0.25">
      <c r="M4" t="s">
        <v>17</v>
      </c>
      <c r="N4" t="s">
        <v>41</v>
      </c>
    </row>
    <row r="5" spans="2:14" x14ac:dyDescent="0.25">
      <c r="B5" t="s">
        <v>55</v>
      </c>
    </row>
    <row r="6" spans="2:14" x14ac:dyDescent="0.25">
      <c r="M6" t="s">
        <v>0</v>
      </c>
      <c r="N6" s="2">
        <v>30.52</v>
      </c>
    </row>
    <row r="7" spans="2:14" x14ac:dyDescent="0.25">
      <c r="M7" t="s">
        <v>1</v>
      </c>
      <c r="N7" s="3">
        <v>63.764000000000003</v>
      </c>
    </row>
    <row r="8" spans="2:14" x14ac:dyDescent="0.25">
      <c r="M8" t="s">
        <v>2</v>
      </c>
      <c r="N8" s="3">
        <f>N6*N7</f>
        <v>1946.07728</v>
      </c>
    </row>
    <row r="9" spans="2:14" x14ac:dyDescent="0.25">
      <c r="M9" t="s">
        <v>3</v>
      </c>
      <c r="N9" s="3">
        <v>617.79999999999995</v>
      </c>
    </row>
    <row r="10" spans="2:14" x14ac:dyDescent="0.25">
      <c r="M10" t="s">
        <v>4</v>
      </c>
      <c r="N10" s="3">
        <v>500.18299999999999</v>
      </c>
    </row>
    <row r="11" spans="2:14" x14ac:dyDescent="0.25">
      <c r="M11" t="s">
        <v>6</v>
      </c>
      <c r="N11" s="3">
        <f>+N8-N9+N10</f>
        <v>1828.46028</v>
      </c>
    </row>
    <row r="12" spans="2:14" x14ac:dyDescent="0.25">
      <c r="M12" t="s">
        <v>5</v>
      </c>
      <c r="N12" s="3">
        <v>85</v>
      </c>
    </row>
    <row r="13" spans="2:14" x14ac:dyDescent="0.25">
      <c r="N13" s="3"/>
    </row>
    <row r="14" spans="2:14" x14ac:dyDescent="0.25">
      <c r="M14" t="s">
        <v>8</v>
      </c>
      <c r="N14" s="3">
        <f>Dash!C4</f>
        <v>2173.7463596759726</v>
      </c>
    </row>
    <row r="15" spans="2:14" x14ac:dyDescent="0.25">
      <c r="M15" t="s">
        <v>13</v>
      </c>
      <c r="N15" s="2">
        <f>N14/N7</f>
        <v>34.090495572360147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Q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33" sqref="X33"/>
    </sheetView>
  </sheetViews>
  <sheetFormatPr defaultRowHeight="15" x14ac:dyDescent="0.25"/>
  <cols>
    <col min="2" max="2" width="17" bestFit="1" customWidth="1"/>
  </cols>
  <sheetData>
    <row r="1" spans="2:121" x14ac:dyDescent="0.25">
      <c r="C1" t="s">
        <v>47</v>
      </c>
      <c r="O1" t="s">
        <v>47</v>
      </c>
    </row>
    <row r="2" spans="2:121" x14ac:dyDescent="0.25">
      <c r="C2" t="s">
        <v>12</v>
      </c>
      <c r="D2" t="s">
        <v>11</v>
      </c>
      <c r="E2" t="s">
        <v>10</v>
      </c>
      <c r="F2" t="s">
        <v>9</v>
      </c>
      <c r="G2" t="s">
        <v>18</v>
      </c>
      <c r="H2" t="s">
        <v>19</v>
      </c>
      <c r="I2" t="s">
        <v>20</v>
      </c>
      <c r="J2" t="s">
        <v>21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4" customFormat="1" x14ac:dyDescent="0.25">
      <c r="B3" s="4" t="s">
        <v>25</v>
      </c>
      <c r="C3" s="4">
        <v>170.37200000000001</v>
      </c>
      <c r="D3" s="4">
        <v>185</v>
      </c>
      <c r="E3" s="4">
        <v>194.93</v>
      </c>
      <c r="F3" s="4">
        <f>+T3-E3-D3-C3</f>
        <v>190.55599999999987</v>
      </c>
      <c r="G3" s="4">
        <v>202.15</v>
      </c>
      <c r="H3" s="4">
        <v>209.25399999999999</v>
      </c>
      <c r="I3" s="4">
        <v>177.61799999999999</v>
      </c>
      <c r="M3" s="4">
        <v>557.88499999999999</v>
      </c>
      <c r="N3" s="4">
        <v>490.2</v>
      </c>
      <c r="O3" s="4">
        <v>544.27</v>
      </c>
      <c r="P3" s="4">
        <v>587.85</v>
      </c>
      <c r="Q3" s="4">
        <v>627.20000000000005</v>
      </c>
      <c r="R3" s="4">
        <v>547.51199999999994</v>
      </c>
      <c r="S3" s="4">
        <v>595.11699999999996</v>
      </c>
      <c r="T3" s="4">
        <v>740.85799999999995</v>
      </c>
      <c r="U3" s="4">
        <f>SUM(F3:I3)</f>
        <v>779.57799999999997</v>
      </c>
      <c r="V3" s="4">
        <f>U3*(1+V33)</f>
        <v>1169.367</v>
      </c>
      <c r="W3" s="4">
        <f t="shared" ref="W3:AE3" si="0">V3*(1+W33)</f>
        <v>1262.9163599999999</v>
      </c>
      <c r="X3" s="4">
        <f t="shared" si="0"/>
        <v>1363.9496687999999</v>
      </c>
      <c r="Y3" s="4">
        <f t="shared" si="0"/>
        <v>1459.426145616</v>
      </c>
      <c r="Z3" s="4">
        <f t="shared" si="0"/>
        <v>1546.9917143529601</v>
      </c>
      <c r="AA3" s="4">
        <f t="shared" si="0"/>
        <v>1624.3413000706082</v>
      </c>
      <c r="AB3" s="4">
        <f t="shared" si="0"/>
        <v>1705.5583650741387</v>
      </c>
      <c r="AC3" s="4">
        <f t="shared" si="0"/>
        <v>1790.8362833278456</v>
      </c>
      <c r="AD3" s="4">
        <f t="shared" si="0"/>
        <v>1880.3780974942381</v>
      </c>
      <c r="AE3" s="4">
        <f t="shared" si="0"/>
        <v>1974.3970023689501</v>
      </c>
    </row>
    <row r="4" spans="2:121" s="3" customFormat="1" x14ac:dyDescent="0.25">
      <c r="B4" s="3" t="s">
        <v>26</v>
      </c>
      <c r="C4" s="3">
        <v>65.5</v>
      </c>
      <c r="D4" s="3">
        <v>69.569999999999993</v>
      </c>
      <c r="E4" s="3">
        <v>71.239999999999995</v>
      </c>
      <c r="F4" s="9">
        <f>+T4-E4-D4-C4</f>
        <v>68.466999999999985</v>
      </c>
      <c r="G4" s="3">
        <v>71.900000000000006</v>
      </c>
      <c r="H4" s="3">
        <v>73.435000000000002</v>
      </c>
      <c r="I4" s="3">
        <v>62.05</v>
      </c>
      <c r="M4" s="3">
        <v>229.09299999999999</v>
      </c>
      <c r="N4" s="3">
        <v>197.1</v>
      </c>
      <c r="O4" s="3">
        <v>219.4</v>
      </c>
      <c r="P4" s="3">
        <v>235.9</v>
      </c>
      <c r="Q4" s="3">
        <v>250.17400000000001</v>
      </c>
      <c r="R4" s="3">
        <v>210.828</v>
      </c>
      <c r="S4" s="3">
        <v>231.56800000000001</v>
      </c>
      <c r="T4" s="3">
        <v>274.77699999999999</v>
      </c>
      <c r="U4" s="9">
        <f>SUM(F4:I4)</f>
        <v>275.85199999999998</v>
      </c>
    </row>
    <row r="5" spans="2:121" s="4" customFormat="1" x14ac:dyDescent="0.25">
      <c r="B5" s="4" t="s">
        <v>27</v>
      </c>
      <c r="C5" s="4">
        <f t="shared" ref="C5:J5" si="1">+C3-C4</f>
        <v>104.87200000000001</v>
      </c>
      <c r="D5" s="4">
        <f t="shared" si="1"/>
        <v>115.43</v>
      </c>
      <c r="E5" s="4">
        <f t="shared" si="1"/>
        <v>123.69000000000001</v>
      </c>
      <c r="F5" s="4">
        <f t="shared" si="1"/>
        <v>122.08899999999988</v>
      </c>
      <c r="G5" s="4">
        <f t="shared" si="1"/>
        <v>130.25</v>
      </c>
      <c r="H5" s="4">
        <f t="shared" si="1"/>
        <v>135.81899999999999</v>
      </c>
      <c r="I5" s="4">
        <f t="shared" si="1"/>
        <v>115.568</v>
      </c>
      <c r="J5" s="4">
        <f t="shared" si="1"/>
        <v>0</v>
      </c>
      <c r="M5" s="4">
        <f t="shared" ref="M5" si="2">+M3-M4</f>
        <v>328.79200000000003</v>
      </c>
      <c r="N5" s="4">
        <f t="shared" ref="N5" si="3">+N3-N4</f>
        <v>293.10000000000002</v>
      </c>
      <c r="O5" s="4">
        <f t="shared" ref="O5:U5" si="4">+O3-O4</f>
        <v>324.87</v>
      </c>
      <c r="P5" s="4">
        <f t="shared" si="4"/>
        <v>351.95000000000005</v>
      </c>
      <c r="Q5" s="4">
        <f t="shared" si="4"/>
        <v>377.02600000000007</v>
      </c>
      <c r="R5" s="4">
        <f t="shared" si="4"/>
        <v>336.68399999999997</v>
      </c>
      <c r="S5" s="4">
        <f t="shared" si="4"/>
        <v>363.54899999999998</v>
      </c>
      <c r="T5" s="4">
        <f t="shared" si="4"/>
        <v>466.08099999999996</v>
      </c>
      <c r="U5" s="4">
        <f t="shared" si="4"/>
        <v>503.726</v>
      </c>
      <c r="V5" s="4">
        <f>V3*V30</f>
        <v>643.15185000000008</v>
      </c>
      <c r="W5" s="4">
        <f t="shared" ref="W5:AE5" si="5">W3*W30</f>
        <v>707.23316160000002</v>
      </c>
      <c r="X5" s="4">
        <f t="shared" si="5"/>
        <v>777.45131121599991</v>
      </c>
      <c r="Y5" s="4">
        <f t="shared" si="5"/>
        <v>861.06142591343996</v>
      </c>
      <c r="Z5" s="4">
        <f t="shared" si="5"/>
        <v>943.66494575530567</v>
      </c>
      <c r="AA5" s="4">
        <f t="shared" si="5"/>
        <v>1007.0916060437771</v>
      </c>
      <c r="AB5" s="4">
        <f t="shared" si="5"/>
        <v>1057.446186345966</v>
      </c>
      <c r="AC5" s="4">
        <f t="shared" si="5"/>
        <v>1110.3184956632642</v>
      </c>
      <c r="AD5" s="4">
        <f t="shared" si="5"/>
        <v>1165.8344204464277</v>
      </c>
      <c r="AE5" s="4">
        <f t="shared" si="5"/>
        <v>1224.126141468749</v>
      </c>
    </row>
    <row r="6" spans="2:121" s="3" customFormat="1" x14ac:dyDescent="0.25">
      <c r="B6" s="3" t="s">
        <v>29</v>
      </c>
      <c r="C6" s="3">
        <v>38.799999999999997</v>
      </c>
      <c r="D6" s="3">
        <v>41.976999999999997</v>
      </c>
      <c r="E6" s="3">
        <v>47.62</v>
      </c>
      <c r="F6" s="9">
        <f t="shared" ref="F6:F9" si="6">+T6-E6-D6-C6</f>
        <v>39.813000000000002</v>
      </c>
      <c r="G6" s="3">
        <v>43.363999999999997</v>
      </c>
      <c r="H6" s="3">
        <v>48.119</v>
      </c>
      <c r="I6" s="3">
        <v>42.366</v>
      </c>
      <c r="M6" s="3">
        <v>127.134</v>
      </c>
      <c r="N6" s="3">
        <v>136.15</v>
      </c>
      <c r="O6" s="3">
        <v>138.69999999999999</v>
      </c>
      <c r="P6" s="3">
        <v>146.30000000000001</v>
      </c>
      <c r="Q6" s="3">
        <v>145.25</v>
      </c>
      <c r="R6" s="3">
        <v>163.1</v>
      </c>
      <c r="S6" s="3">
        <v>162.83199999999999</v>
      </c>
      <c r="T6" s="3">
        <v>168.21</v>
      </c>
      <c r="U6" s="9">
        <f t="shared" ref="U6:U9" si="7">SUM(F6:I6)</f>
        <v>173.66199999999998</v>
      </c>
    </row>
    <row r="7" spans="2:121" s="3" customFormat="1" x14ac:dyDescent="0.25">
      <c r="B7" s="3" t="s">
        <v>28</v>
      </c>
      <c r="C7" s="3">
        <v>36.799999999999997</v>
      </c>
      <c r="D7" s="3">
        <v>35.5</v>
      </c>
      <c r="E7" s="3">
        <v>37.35</v>
      </c>
      <c r="F7" s="9">
        <f t="shared" si="6"/>
        <v>38.27500000000002</v>
      </c>
      <c r="G7" s="3">
        <v>38.799999999999997</v>
      </c>
      <c r="H7" s="3">
        <v>40.6</v>
      </c>
      <c r="I7" s="3">
        <v>35.159999999999997</v>
      </c>
      <c r="M7" s="3">
        <v>119.371</v>
      </c>
      <c r="N7" s="3">
        <v>113.74</v>
      </c>
      <c r="O7" s="3">
        <v>102.5</v>
      </c>
      <c r="P7" s="3">
        <v>104.8</v>
      </c>
      <c r="Q7" s="3">
        <v>109.05</v>
      </c>
      <c r="R7" s="3">
        <v>107.37</v>
      </c>
      <c r="S7" s="3">
        <v>117.53</v>
      </c>
      <c r="T7" s="3">
        <v>147.92500000000001</v>
      </c>
      <c r="U7" s="9">
        <f t="shared" si="7"/>
        <v>152.83500000000001</v>
      </c>
    </row>
    <row r="8" spans="2:121" s="3" customFormat="1" x14ac:dyDescent="0.25">
      <c r="B8" s="3" t="s">
        <v>43</v>
      </c>
      <c r="C8" s="3">
        <v>1.3</v>
      </c>
      <c r="D8" s="3">
        <v>1.3</v>
      </c>
      <c r="E8" s="3">
        <v>1.3</v>
      </c>
      <c r="F8" s="9">
        <f t="shared" si="6"/>
        <v>1.0400000000000007</v>
      </c>
      <c r="G8" s="3">
        <v>1.05</v>
      </c>
      <c r="H8" s="3">
        <v>1.05</v>
      </c>
      <c r="I8" s="3">
        <v>1</v>
      </c>
      <c r="M8" s="3">
        <v>25.718</v>
      </c>
      <c r="N8" s="3">
        <v>25.06</v>
      </c>
      <c r="O8" s="3">
        <v>25.3</v>
      </c>
      <c r="P8" s="3">
        <v>27.87</v>
      </c>
      <c r="Q8" s="3">
        <v>26.65</v>
      </c>
      <c r="R8" s="3">
        <v>16.55</v>
      </c>
      <c r="S8" s="3">
        <v>8.2650000000000006</v>
      </c>
      <c r="T8" s="3">
        <v>4.9400000000000004</v>
      </c>
      <c r="U8" s="9">
        <f t="shared" si="7"/>
        <v>4.1400000000000006</v>
      </c>
    </row>
    <row r="9" spans="2:121" s="3" customFormat="1" x14ac:dyDescent="0.25">
      <c r="B9" s="3" t="s">
        <v>44</v>
      </c>
      <c r="F9" s="9">
        <f t="shared" si="6"/>
        <v>-1.2999999999999999E-2</v>
      </c>
      <c r="H9" s="3">
        <v>-17.986000000000001</v>
      </c>
      <c r="I9" s="3">
        <v>-0.32700000000000001</v>
      </c>
      <c r="M9" s="3">
        <f>11.636+1.39+1.29</f>
        <v>14.315999999999999</v>
      </c>
      <c r="N9" s="3">
        <f>-16.36+4.526</f>
        <v>-11.834</v>
      </c>
      <c r="O9" s="3">
        <f>-25.5-0.2</f>
        <v>-25.7</v>
      </c>
      <c r="P9" s="3">
        <f>0.375+3.892</f>
        <v>4.2669999999999995</v>
      </c>
      <c r="Q9" s="3">
        <v>-9.4</v>
      </c>
      <c r="R9" s="3">
        <v>-2.3450000000000002</v>
      </c>
      <c r="S9" s="3">
        <v>-3.3000000000000002E-2</v>
      </c>
      <c r="T9" s="3">
        <v>-1.2999999999999999E-2</v>
      </c>
      <c r="U9" s="9">
        <f t="shared" si="7"/>
        <v>-18.326000000000004</v>
      </c>
    </row>
    <row r="10" spans="2:121" s="4" customFormat="1" x14ac:dyDescent="0.25">
      <c r="B10" s="4" t="s">
        <v>30</v>
      </c>
      <c r="C10" s="4">
        <f t="shared" ref="C10:J10" si="8">+C5-SUM(C6:C9)</f>
        <v>27.972000000000023</v>
      </c>
      <c r="D10" s="4">
        <f t="shared" si="8"/>
        <v>36.653000000000006</v>
      </c>
      <c r="E10" s="4">
        <f t="shared" si="8"/>
        <v>37.420000000000016</v>
      </c>
      <c r="F10" s="4">
        <f t="shared" si="8"/>
        <v>42.973999999999862</v>
      </c>
      <c r="G10" s="4">
        <f t="shared" si="8"/>
        <v>47.036000000000016</v>
      </c>
      <c r="H10" s="4">
        <f t="shared" si="8"/>
        <v>64.036000000000001</v>
      </c>
      <c r="I10" s="4">
        <f t="shared" si="8"/>
        <v>37.369</v>
      </c>
      <c r="J10" s="4">
        <f t="shared" si="8"/>
        <v>0</v>
      </c>
      <c r="M10" s="4">
        <f t="shared" ref="M10" si="9">+M5-SUM(M6:M9)</f>
        <v>42.253000000000043</v>
      </c>
      <c r="N10" s="4">
        <f t="shared" ref="N10" si="10">+N5-SUM(N6:N9)</f>
        <v>29.984000000000037</v>
      </c>
      <c r="O10" s="4">
        <f t="shared" ref="O10:U10" si="11">+O5-SUM(O6:O9)</f>
        <v>84.07</v>
      </c>
      <c r="P10" s="4">
        <f t="shared" si="11"/>
        <v>68.713000000000022</v>
      </c>
      <c r="Q10" s="4">
        <f t="shared" si="11"/>
        <v>105.47600000000006</v>
      </c>
      <c r="R10" s="4">
        <f t="shared" si="11"/>
        <v>52.008999999999958</v>
      </c>
      <c r="S10" s="4">
        <f t="shared" si="11"/>
        <v>74.955000000000041</v>
      </c>
      <c r="T10" s="4">
        <f t="shared" si="11"/>
        <v>145.01899999999995</v>
      </c>
      <c r="U10" s="4">
        <f t="shared" si="11"/>
        <v>191.41500000000008</v>
      </c>
      <c r="V10" s="4">
        <f>V3*V31</f>
        <v>140.32404</v>
      </c>
      <c r="W10" s="4">
        <f t="shared" ref="W10:AE10" si="12">W3*W31</f>
        <v>164.17912680000001</v>
      </c>
      <c r="X10" s="4">
        <f t="shared" si="12"/>
        <v>190.952953632</v>
      </c>
      <c r="Y10" s="4">
        <f t="shared" si="12"/>
        <v>204.31966038624003</v>
      </c>
      <c r="Z10" s="4">
        <f t="shared" si="12"/>
        <v>216.57884000941445</v>
      </c>
      <c r="AA10" s="4">
        <f t="shared" si="12"/>
        <v>243.65119501059121</v>
      </c>
      <c r="AB10" s="4">
        <f t="shared" si="12"/>
        <v>255.83375476112079</v>
      </c>
      <c r="AC10" s="4">
        <f t="shared" si="12"/>
        <v>268.62544249917681</v>
      </c>
      <c r="AD10" s="4">
        <f t="shared" si="12"/>
        <v>282.05671462413568</v>
      </c>
      <c r="AE10" s="4">
        <f t="shared" si="12"/>
        <v>296.1595503553425</v>
      </c>
    </row>
    <row r="11" spans="2:121" s="3" customFormat="1" x14ac:dyDescent="0.25">
      <c r="B11" s="3" t="s">
        <v>31</v>
      </c>
      <c r="C11" s="3">
        <f>-1.2-0.25</f>
        <v>-1.45</v>
      </c>
      <c r="D11" s="3">
        <f>-1.185-0.468+0.674</f>
        <v>-0.97899999999999998</v>
      </c>
      <c r="E11" s="3">
        <f>-1.233+-0.216+1.363</f>
        <v>-8.6000000000000076E-2</v>
      </c>
      <c r="F11" s="9">
        <f t="shared" ref="F11:F12" si="13">+T11-E11-D11-C11</f>
        <v>-1.796999999999999</v>
      </c>
      <c r="G11" s="3">
        <f>-1.2-0.024</f>
        <v>-1.224</v>
      </c>
      <c r="H11" s="3">
        <f>-1.259+0.429+0.283</f>
        <v>-0.54699999999999993</v>
      </c>
      <c r="I11" s="3">
        <f>-9-0.029-0.036</f>
        <v>-9.0649999999999995</v>
      </c>
      <c r="M11" s="3">
        <v>-5.9269999999999996</v>
      </c>
      <c r="N11" s="3">
        <v>-7.819</v>
      </c>
      <c r="O11" s="3">
        <v>-9.3000000000000007</v>
      </c>
      <c r="P11" s="3">
        <f>-7.96-0.256</f>
        <v>-8.2159999999999993</v>
      </c>
      <c r="Q11" s="3">
        <f>-9.2-30-0.126</f>
        <v>-39.326000000000001</v>
      </c>
      <c r="R11" s="3">
        <f>-9.106-1.211+0.1</f>
        <v>-10.217000000000001</v>
      </c>
      <c r="S11" s="3">
        <f>-5.336-6.769+0.329</f>
        <v>-11.776</v>
      </c>
      <c r="T11" s="3">
        <f>-5.09-1.337+2.115</f>
        <v>-4.3119999999999994</v>
      </c>
      <c r="U11" s="9">
        <f t="shared" ref="U11:U12" si="14">SUM(F11:I11)</f>
        <v>-12.632999999999999</v>
      </c>
      <c r="V11" s="3">
        <f>U23*V36</f>
        <v>-84.620644999999996</v>
      </c>
      <c r="W11" s="3">
        <f t="shared" ref="W11:AE11" si="15">V23*W36</f>
        <v>-75.89969185599999</v>
      </c>
      <c r="X11" s="3">
        <f t="shared" si="15"/>
        <v>-69.826066731852791</v>
      </c>
      <c r="Y11" s="3">
        <f t="shared" si="15"/>
        <v>-57.467563025702269</v>
      </c>
      <c r="Z11" s="3">
        <f t="shared" si="15"/>
        <v>-41.405281319919212</v>
      </c>
      <c r="AA11" s="3">
        <f t="shared" si="15"/>
        <v>-26.556837799360068</v>
      </c>
      <c r="AB11" s="3">
        <f t="shared" si="15"/>
        <v>-16.049470910336485</v>
      </c>
      <c r="AC11" s="3">
        <f t="shared" si="15"/>
        <v>-4.443911571958524</v>
      </c>
      <c r="AD11" s="3">
        <f t="shared" si="15"/>
        <v>5.9155728449424503</v>
      </c>
      <c r="AE11" s="3">
        <f t="shared" si="15"/>
        <v>15.798781750881211</v>
      </c>
    </row>
    <row r="12" spans="2:121" s="3" customFormat="1" x14ac:dyDescent="0.25">
      <c r="B12" s="3" t="s">
        <v>45</v>
      </c>
      <c r="C12" s="3">
        <v>9.4E-2</v>
      </c>
      <c r="D12" s="3">
        <v>0.21299999999999999</v>
      </c>
      <c r="E12" s="3">
        <v>0.105</v>
      </c>
      <c r="F12" s="9">
        <f t="shared" si="13"/>
        <v>6.8000000000000005E-2</v>
      </c>
      <c r="G12" s="3">
        <v>0.26200000000000001</v>
      </c>
      <c r="H12" s="3">
        <v>0.125</v>
      </c>
      <c r="I12" s="3">
        <v>0.77500000000000002</v>
      </c>
      <c r="M12" s="3">
        <v>0.16500000000000001</v>
      </c>
      <c r="N12" s="3">
        <v>-1.8</v>
      </c>
      <c r="O12" s="3">
        <v>-1.72</v>
      </c>
      <c r="P12" s="3">
        <v>-0.9</v>
      </c>
      <c r="Q12" s="3">
        <v>3.823</v>
      </c>
      <c r="R12" s="3">
        <v>2.9</v>
      </c>
      <c r="S12" s="3">
        <v>0.124</v>
      </c>
      <c r="T12" s="3">
        <v>0.48</v>
      </c>
      <c r="U12" s="9">
        <f t="shared" si="14"/>
        <v>1.23</v>
      </c>
    </row>
    <row r="13" spans="2:121" s="4" customFormat="1" x14ac:dyDescent="0.25">
      <c r="B13" s="4" t="s">
        <v>32</v>
      </c>
      <c r="C13" s="4">
        <f t="shared" ref="C13:J13" si="16">+C10+C11+C12</f>
        <v>26.616000000000025</v>
      </c>
      <c r="D13" s="4">
        <f t="shared" si="16"/>
        <v>35.887000000000008</v>
      </c>
      <c r="E13" s="4">
        <f t="shared" si="16"/>
        <v>37.439000000000014</v>
      </c>
      <c r="F13" s="4">
        <f t="shared" si="16"/>
        <v>41.244999999999862</v>
      </c>
      <c r="G13" s="4">
        <f t="shared" si="16"/>
        <v>46.074000000000019</v>
      </c>
      <c r="H13" s="4">
        <f t="shared" si="16"/>
        <v>63.614000000000004</v>
      </c>
      <c r="I13" s="4">
        <f t="shared" si="16"/>
        <v>29.079000000000001</v>
      </c>
      <c r="J13" s="4">
        <f t="shared" si="16"/>
        <v>0</v>
      </c>
      <c r="M13" s="4">
        <f t="shared" ref="M13" si="17">+M10+M11+M12</f>
        <v>36.491000000000042</v>
      </c>
      <c r="N13" s="4">
        <f t="shared" ref="N13" si="18">+N10+N11+N12</f>
        <v>20.365000000000038</v>
      </c>
      <c r="O13" s="4">
        <f t="shared" ref="O13:V13" si="19">+O10+O11+O12</f>
        <v>73.05</v>
      </c>
      <c r="P13" s="4">
        <f t="shared" si="19"/>
        <v>59.597000000000023</v>
      </c>
      <c r="Q13" s="4">
        <f t="shared" si="19"/>
        <v>69.973000000000056</v>
      </c>
      <c r="R13" s="4">
        <f t="shared" si="19"/>
        <v>44.691999999999958</v>
      </c>
      <c r="S13" s="4">
        <f t="shared" si="19"/>
        <v>63.303000000000047</v>
      </c>
      <c r="T13" s="4">
        <f t="shared" si="19"/>
        <v>141.18699999999993</v>
      </c>
      <c r="U13" s="4">
        <f t="shared" si="19"/>
        <v>180.01200000000006</v>
      </c>
      <c r="V13" s="4">
        <f t="shared" si="19"/>
        <v>55.703395</v>
      </c>
      <c r="W13" s="4">
        <f t="shared" ref="W13" si="20">+W10+W11+W12</f>
        <v>88.279434944000016</v>
      </c>
      <c r="X13" s="4">
        <f t="shared" ref="X13" si="21">+X10+X11+X12</f>
        <v>121.12688690014721</v>
      </c>
      <c r="Y13" s="4">
        <f t="shared" ref="Y13" si="22">+Y10+Y11+Y12</f>
        <v>146.85209736053775</v>
      </c>
      <c r="Z13" s="4">
        <f t="shared" ref="Z13" si="23">+Z10+Z11+Z12</f>
        <v>175.17355868949522</v>
      </c>
      <c r="AA13" s="4">
        <f t="shared" ref="AA13" si="24">+AA10+AA11+AA12</f>
        <v>217.09435721123114</v>
      </c>
      <c r="AB13" s="4">
        <f t="shared" ref="AB13" si="25">+AB10+AB11+AB12</f>
        <v>239.78428385078431</v>
      </c>
      <c r="AC13" s="4">
        <f t="shared" ref="AC13" si="26">+AC10+AC11+AC12</f>
        <v>264.18153092721826</v>
      </c>
      <c r="AD13" s="4">
        <f t="shared" ref="AD13" si="27">+AD10+AD11+AD12</f>
        <v>287.97228746907814</v>
      </c>
      <c r="AE13" s="4">
        <f t="shared" ref="AE13" si="28">+AE10+AE11+AE12</f>
        <v>311.95833210622374</v>
      </c>
    </row>
    <row r="14" spans="2:121" s="3" customFormat="1" x14ac:dyDescent="0.25">
      <c r="B14" s="3" t="s">
        <v>33</v>
      </c>
      <c r="C14" s="3">
        <v>3.2</v>
      </c>
      <c r="D14" s="3">
        <v>2.9630000000000001</v>
      </c>
      <c r="E14" s="3">
        <v>3.0179999999999998</v>
      </c>
      <c r="F14" s="9">
        <f>+T14-E14-D14-C14</f>
        <v>6.3579999999999997</v>
      </c>
      <c r="G14" s="3">
        <v>8.0690000000000008</v>
      </c>
      <c r="H14" s="3">
        <v>12.019</v>
      </c>
      <c r="I14" s="3">
        <v>6.327</v>
      </c>
      <c r="M14" s="3">
        <v>8.5500000000000007</v>
      </c>
      <c r="N14" s="3">
        <v>8.8879999999999999</v>
      </c>
      <c r="O14" s="3">
        <v>18.399999999999999</v>
      </c>
      <c r="P14" s="3">
        <v>23.190999999999999</v>
      </c>
      <c r="Q14" s="3">
        <v>0.35499999999999998</v>
      </c>
      <c r="R14" s="3">
        <v>12.83</v>
      </c>
      <c r="S14" s="3">
        <v>3.4369999999999998</v>
      </c>
      <c r="T14" s="3">
        <v>15.539</v>
      </c>
      <c r="U14" s="9">
        <f>SUM(F14:I14)</f>
        <v>32.772999999999996</v>
      </c>
      <c r="V14" s="3">
        <f>V13*V35</f>
        <v>8.9125432</v>
      </c>
      <c r="W14" s="3">
        <f t="shared" ref="W14:AE14" si="29">W13*W35</f>
        <v>12.359120892160004</v>
      </c>
      <c r="X14" s="3">
        <f t="shared" si="29"/>
        <v>14.535226428017666</v>
      </c>
      <c r="Y14" s="3">
        <f t="shared" si="29"/>
        <v>17.62225168326453</v>
      </c>
      <c r="Z14" s="3">
        <f t="shared" si="29"/>
        <v>21.020827042739427</v>
      </c>
      <c r="AA14" s="3">
        <f t="shared" si="29"/>
        <v>26.051322865347736</v>
      </c>
      <c r="AB14" s="3">
        <f t="shared" si="29"/>
        <v>28.774114062094117</v>
      </c>
      <c r="AC14" s="3">
        <f t="shared" si="29"/>
        <v>31.701783711266192</v>
      </c>
      <c r="AD14" s="3">
        <f t="shared" si="29"/>
        <v>34.556674496289375</v>
      </c>
      <c r="AE14" s="3">
        <f t="shared" si="29"/>
        <v>37.434999852746849</v>
      </c>
    </row>
    <row r="15" spans="2:121" s="4" customFormat="1" x14ac:dyDescent="0.25">
      <c r="B15" s="4" t="s">
        <v>34</v>
      </c>
      <c r="C15" s="4">
        <f>+C13-C14</f>
        <v>23.416000000000025</v>
      </c>
      <c r="D15" s="4">
        <f t="shared" ref="D15:J15" si="30">+D13-D14</f>
        <v>32.924000000000007</v>
      </c>
      <c r="E15" s="4">
        <f t="shared" si="30"/>
        <v>34.421000000000014</v>
      </c>
      <c r="F15" s="4">
        <f t="shared" si="30"/>
        <v>34.886999999999865</v>
      </c>
      <c r="G15" s="4">
        <f t="shared" si="30"/>
        <v>38.005000000000017</v>
      </c>
      <c r="H15" s="4">
        <f t="shared" si="30"/>
        <v>51.595000000000006</v>
      </c>
      <c r="I15" s="4">
        <f t="shared" si="30"/>
        <v>22.752000000000002</v>
      </c>
      <c r="J15" s="4">
        <f t="shared" si="30"/>
        <v>0</v>
      </c>
      <c r="M15" s="4">
        <f t="shared" ref="M15:N15" si="31">+M13-M14</f>
        <v>27.941000000000042</v>
      </c>
      <c r="N15" s="4">
        <f t="shared" si="31"/>
        <v>11.477000000000038</v>
      </c>
      <c r="O15" s="4">
        <f t="shared" ref="O15:V15" si="32">+O13-O14</f>
        <v>54.65</v>
      </c>
      <c r="P15" s="4">
        <f t="shared" si="32"/>
        <v>36.40600000000002</v>
      </c>
      <c r="Q15" s="4">
        <f t="shared" ref="Q15" si="33">+Q13-Q14</f>
        <v>69.618000000000052</v>
      </c>
      <c r="R15" s="4">
        <f t="shared" si="32"/>
        <v>31.861999999999959</v>
      </c>
      <c r="S15" s="4">
        <f t="shared" si="32"/>
        <v>59.866000000000049</v>
      </c>
      <c r="T15" s="4">
        <f t="shared" si="32"/>
        <v>125.64799999999993</v>
      </c>
      <c r="U15" s="4">
        <f t="shared" si="32"/>
        <v>147.23900000000006</v>
      </c>
      <c r="V15" s="4">
        <f t="shared" si="32"/>
        <v>46.790851799999999</v>
      </c>
      <c r="W15" s="4">
        <f t="shared" ref="W15:AE15" si="34">+W13-W14</f>
        <v>75.920314051840009</v>
      </c>
      <c r="X15" s="4">
        <f t="shared" si="34"/>
        <v>106.59166047212955</v>
      </c>
      <c r="Y15" s="4">
        <f t="shared" si="34"/>
        <v>129.22984567727323</v>
      </c>
      <c r="Z15" s="4">
        <f t="shared" si="34"/>
        <v>154.1527316467558</v>
      </c>
      <c r="AA15" s="4">
        <f t="shared" si="34"/>
        <v>191.0430343458834</v>
      </c>
      <c r="AB15" s="4">
        <f t="shared" si="34"/>
        <v>211.01016978869018</v>
      </c>
      <c r="AC15" s="4">
        <f t="shared" si="34"/>
        <v>232.47974721595207</v>
      </c>
      <c r="AD15" s="4">
        <f t="shared" si="34"/>
        <v>253.41561297278878</v>
      </c>
      <c r="AE15" s="4">
        <f t="shared" si="34"/>
        <v>274.52333225347689</v>
      </c>
      <c r="AF15" s="4">
        <f>AE15*(1+Dash!$C$2)</f>
        <v>273.15071559220951</v>
      </c>
      <c r="AG15" s="4">
        <f>AF15*(1+Dash!$C$2)</f>
        <v>271.78496201424844</v>
      </c>
      <c r="AH15" s="4">
        <f>AG15*(1+Dash!$C$2)</f>
        <v>270.42603720417719</v>
      </c>
      <c r="AI15" s="4">
        <f>AH15*(1+Dash!$C$2)</f>
        <v>269.07390701815632</v>
      </c>
      <c r="AJ15" s="4">
        <f>AI15*(1+Dash!$C$2)</f>
        <v>267.72853748306551</v>
      </c>
      <c r="AK15" s="4">
        <f>AJ15*(1+Dash!$C$2)</f>
        <v>266.38989479565021</v>
      </c>
      <c r="AL15" s="4">
        <f>AK15*(1+Dash!$C$2)</f>
        <v>265.05794532167198</v>
      </c>
      <c r="AM15" s="4">
        <f>AL15*(1+Dash!$C$2)</f>
        <v>263.73265559506359</v>
      </c>
      <c r="AN15" s="4">
        <f>AM15*(1+Dash!$C$2)</f>
        <v>262.41399231708829</v>
      </c>
      <c r="AO15" s="4">
        <f>AN15*(1+Dash!$C$2)</f>
        <v>261.10192235550284</v>
      </c>
      <c r="AP15" s="4">
        <f>AO15*(1+Dash!$C$2)</f>
        <v>259.79641274372534</v>
      </c>
      <c r="AQ15" s="4">
        <f>AP15*(1+Dash!$C$2)</f>
        <v>258.49743068000669</v>
      </c>
      <c r="AR15" s="4">
        <f>AQ15*(1+Dash!$C$2)</f>
        <v>257.20494352660666</v>
      </c>
      <c r="AS15" s="4">
        <f>AR15*(1+Dash!$C$2)</f>
        <v>255.91891880897361</v>
      </c>
      <c r="AT15" s="4">
        <f>AS15*(1+Dash!$C$2)</f>
        <v>254.63932421492873</v>
      </c>
      <c r="AU15" s="4">
        <f>AT15*(1+Dash!$C$2)</f>
        <v>253.36612759385409</v>
      </c>
      <c r="AV15" s="4">
        <f>AU15*(1+Dash!$C$2)</f>
        <v>252.09929695588482</v>
      </c>
      <c r="AW15" s="4">
        <f>AV15*(1+Dash!$C$2)</f>
        <v>250.8388004711054</v>
      </c>
      <c r="AX15" s="4">
        <f>AW15*(1+Dash!$C$2)</f>
        <v>249.58460646874988</v>
      </c>
      <c r="AY15" s="4">
        <f>AX15*(1+Dash!$C$2)</f>
        <v>248.33668343640613</v>
      </c>
      <c r="AZ15" s="4">
        <f>AY15*(1+Dash!$C$2)</f>
        <v>247.0950000192241</v>
      </c>
      <c r="BA15" s="4">
        <f>AZ15*(1+Dash!$C$2)</f>
        <v>245.85952501912797</v>
      </c>
      <c r="BB15" s="4">
        <f>BA15*(1+Dash!$C$2)</f>
        <v>244.63022739403232</v>
      </c>
      <c r="BC15" s="4">
        <f>BB15*(1+Dash!$C$2)</f>
        <v>243.40707625706216</v>
      </c>
      <c r="BD15" s="4">
        <f>BC15*(1+Dash!$C$2)</f>
        <v>242.19004087577684</v>
      </c>
      <c r="BE15" s="4">
        <f>BD15*(1+Dash!$C$2)</f>
        <v>240.97909067139796</v>
      </c>
      <c r="BF15" s="4">
        <f>BE15*(1+Dash!$C$2)</f>
        <v>239.77419521804097</v>
      </c>
      <c r="BG15" s="4">
        <f>BF15*(1+Dash!$C$2)</f>
        <v>238.57532424195077</v>
      </c>
      <c r="BH15" s="4">
        <f>BG15*(1+Dash!$C$2)</f>
        <v>237.382447620741</v>
      </c>
      <c r="BI15" s="4">
        <f>BH15*(1+Dash!$C$2)</f>
        <v>236.1955353826373</v>
      </c>
      <c r="BJ15" s="4">
        <f>BI15*(1+Dash!$C$2)</f>
        <v>235.01455770572412</v>
      </c>
      <c r="BK15" s="4">
        <f>BJ15*(1+Dash!$C$2)</f>
        <v>233.83948491719551</v>
      </c>
      <c r="BL15" s="4">
        <f>BK15*(1+Dash!$C$2)</f>
        <v>232.67028749260953</v>
      </c>
      <c r="BM15" s="4">
        <f>BL15*(1+Dash!$C$2)</f>
        <v>231.5069360551465</v>
      </c>
      <c r="BN15" s="4">
        <f>BM15*(1+Dash!$C$2)</f>
        <v>230.34940137487075</v>
      </c>
      <c r="BO15" s="4">
        <f>BN15*(1+Dash!$C$2)</f>
        <v>229.19765436799639</v>
      </c>
      <c r="BP15" s="4">
        <f>BO15*(1+Dash!$C$2)</f>
        <v>228.0516660961564</v>
      </c>
      <c r="BQ15" s="4">
        <f>BP15*(1+Dash!$C$2)</f>
        <v>226.91140776567562</v>
      </c>
      <c r="BR15" s="4">
        <f>BQ15*(1+Dash!$C$2)</f>
        <v>225.77685072684724</v>
      </c>
      <c r="BS15" s="4">
        <f>BR15*(1+Dash!$C$2)</f>
        <v>224.64796647321302</v>
      </c>
      <c r="BT15" s="4">
        <f>BS15*(1+Dash!$C$2)</f>
        <v>223.52472664084695</v>
      </c>
      <c r="BU15" s="4">
        <f>BT15*(1+Dash!$C$2)</f>
        <v>222.40710300764272</v>
      </c>
      <c r="BV15" s="4">
        <f>BU15*(1+Dash!$C$2)</f>
        <v>221.29506749260452</v>
      </c>
      <c r="BW15" s="4">
        <f>BV15*(1+Dash!$C$2)</f>
        <v>220.18859215514149</v>
      </c>
      <c r="BX15" s="4">
        <f>BW15*(1+Dash!$C$2)</f>
        <v>219.08764919436578</v>
      </c>
      <c r="BY15" s="4">
        <f>BX15*(1+Dash!$C$2)</f>
        <v>217.99221094839396</v>
      </c>
      <c r="BZ15" s="4">
        <f>BY15*(1+Dash!$C$2)</f>
        <v>216.902249893652</v>
      </c>
      <c r="CA15" s="4">
        <f>BZ15*(1+Dash!$C$2)</f>
        <v>215.81773864418375</v>
      </c>
      <c r="CB15" s="4">
        <f>CA15*(1+Dash!$C$2)</f>
        <v>214.73864995096284</v>
      </c>
      <c r="CC15" s="4">
        <f>CB15*(1+Dash!$C$2)</f>
        <v>213.66495670120801</v>
      </c>
      <c r="CD15" s="4">
        <f>CC15*(1+Dash!$C$2)</f>
        <v>212.59663191770198</v>
      </c>
      <c r="CE15" s="4">
        <f>CD15*(1+Dash!$C$2)</f>
        <v>211.53364875811349</v>
      </c>
      <c r="CF15" s="4">
        <f>CE15*(1+Dash!$C$2)</f>
        <v>210.47598051432291</v>
      </c>
      <c r="CG15" s="4">
        <f>CF15*(1+Dash!$C$2)</f>
        <v>209.42360061175131</v>
      </c>
      <c r="CH15" s="4">
        <f>CG15*(1+Dash!$C$2)</f>
        <v>208.37648260869256</v>
      </c>
      <c r="CI15" s="4">
        <f>CH15*(1+Dash!$C$2)</f>
        <v>207.3346001956491</v>
      </c>
      <c r="CJ15" s="4">
        <f>CI15*(1+Dash!$C$2)</f>
        <v>206.29792719467085</v>
      </c>
      <c r="CK15" s="4">
        <f>CJ15*(1+Dash!$C$2)</f>
        <v>205.2664375586975</v>
      </c>
      <c r="CL15" s="4">
        <f>CK15*(1+Dash!$C$2)</f>
        <v>204.24010537090402</v>
      </c>
      <c r="CM15" s="4">
        <f>CL15*(1+Dash!$C$2)</f>
        <v>203.21890484404949</v>
      </c>
      <c r="CN15" s="4">
        <f>CM15*(1+Dash!$C$2)</f>
        <v>202.20281031982924</v>
      </c>
      <c r="CO15" s="4">
        <f>CN15*(1+Dash!$C$2)</f>
        <v>201.19179626823009</v>
      </c>
      <c r="CP15" s="4">
        <f>CO15*(1+Dash!$C$2)</f>
        <v>200.18583728688895</v>
      </c>
      <c r="CQ15" s="4">
        <f>CP15*(1+Dash!$C$2)</f>
        <v>199.18490810045452</v>
      </c>
      <c r="CR15" s="4">
        <f>CQ15*(1+Dash!$C$2)</f>
        <v>198.18898355995225</v>
      </c>
      <c r="CS15" s="4">
        <f>CR15*(1+Dash!$C$2)</f>
        <v>197.19803864215248</v>
      </c>
      <c r="CT15" s="4">
        <f>CS15*(1+Dash!$C$2)</f>
        <v>196.21204844894172</v>
      </c>
      <c r="CU15" s="4">
        <f>CT15*(1+Dash!$C$2)</f>
        <v>195.23098820669699</v>
      </c>
      <c r="CV15" s="4">
        <f>CU15*(1+Dash!$C$2)</f>
        <v>194.25483326566351</v>
      </c>
      <c r="CW15" s="4">
        <f>CV15*(1+Dash!$C$2)</f>
        <v>193.28355909933518</v>
      </c>
      <c r="CX15" s="4">
        <f>CW15*(1+Dash!$C$2)</f>
        <v>192.3171413038385</v>
      </c>
      <c r="CY15" s="4">
        <f>CX15*(1+Dash!$C$2)</f>
        <v>191.3555555973193</v>
      </c>
      <c r="CZ15" s="4">
        <f>CY15*(1+Dash!$C$2)</f>
        <v>190.39877781933271</v>
      </c>
      <c r="DA15" s="4">
        <f>CZ15*(1+Dash!$C$2)</f>
        <v>189.44678393023605</v>
      </c>
      <c r="DB15" s="4">
        <f>DA15*(1+Dash!$C$2)</f>
        <v>188.49955001058487</v>
      </c>
      <c r="DC15" s="4">
        <f>DB15*(1+Dash!$C$2)</f>
        <v>187.55705226053195</v>
      </c>
      <c r="DD15" s="4">
        <f>DC15*(1+Dash!$C$2)</f>
        <v>186.6192669992293</v>
      </c>
      <c r="DE15" s="4">
        <f>DD15*(1+Dash!$C$2)</f>
        <v>185.68617066423315</v>
      </c>
      <c r="DF15" s="4">
        <f>DE15*(1+Dash!$C$2)</f>
        <v>184.75773981091197</v>
      </c>
      <c r="DG15" s="4">
        <f>DF15*(1+Dash!$C$2)</f>
        <v>183.8339511118574</v>
      </c>
      <c r="DH15" s="4">
        <f>DG15*(1+Dash!$C$2)</f>
        <v>182.91478135629811</v>
      </c>
      <c r="DI15" s="4">
        <f>DH15*(1+Dash!$C$2)</f>
        <v>182.00020744951661</v>
      </c>
      <c r="DJ15" s="4">
        <f>DI15*(1+Dash!$C$2)</f>
        <v>181.09020641226903</v>
      </c>
      <c r="DK15" s="4">
        <f>DJ15*(1+Dash!$C$2)</f>
        <v>180.18475538020769</v>
      </c>
      <c r="DL15" s="4">
        <f>DK15*(1+Dash!$C$2)</f>
        <v>179.28383160330665</v>
      </c>
      <c r="DM15" s="4">
        <f>DL15*(1+Dash!$C$2)</f>
        <v>178.38741244529012</v>
      </c>
      <c r="DN15" s="4">
        <f>DM15*(1+Dash!$C$2)</f>
        <v>177.49547538306368</v>
      </c>
      <c r="DO15" s="4">
        <f>DN15*(1+Dash!$C$2)</f>
        <v>176.60799800614836</v>
      </c>
      <c r="DP15" s="4">
        <f>DO15*(1+Dash!$C$2)</f>
        <v>175.72495801611763</v>
      </c>
      <c r="DQ15" s="4">
        <f>DP15*(1+Dash!$C$2)</f>
        <v>174.84633322603705</v>
      </c>
    </row>
    <row r="16" spans="2:121" s="3" customFormat="1" x14ac:dyDescent="0.25">
      <c r="B16" s="3" t="s">
        <v>1</v>
      </c>
      <c r="C16" s="3">
        <v>65.088999999999999</v>
      </c>
      <c r="D16" s="3">
        <v>64.721000000000004</v>
      </c>
      <c r="E16" s="3">
        <v>64.546000000000006</v>
      </c>
      <c r="F16" s="3">
        <v>64.662000000000006</v>
      </c>
      <c r="G16" s="3">
        <v>63.95</v>
      </c>
      <c r="H16" s="3">
        <v>63.5</v>
      </c>
      <c r="I16" s="3">
        <v>63.764000000000003</v>
      </c>
      <c r="M16" s="3">
        <v>67.099999999999994</v>
      </c>
      <c r="N16" s="3">
        <v>65.656999999999996</v>
      </c>
      <c r="O16" s="3">
        <v>65.427000000000007</v>
      </c>
      <c r="P16" s="3">
        <v>66.027000000000001</v>
      </c>
      <c r="Q16" s="3">
        <v>65.981999999999999</v>
      </c>
      <c r="R16" s="3">
        <v>66.263000000000005</v>
      </c>
      <c r="S16" s="3">
        <v>65.207999999999998</v>
      </c>
      <c r="T16" s="3">
        <v>64.662000000000006</v>
      </c>
      <c r="U16" s="3">
        <v>64.662000000000006</v>
      </c>
    </row>
    <row r="17" spans="1:31" s="5" customFormat="1" x14ac:dyDescent="0.25">
      <c r="B17" s="5" t="s">
        <v>35</v>
      </c>
      <c r="C17" s="5">
        <f>+C15/C16</f>
        <v>0.35975356819124621</v>
      </c>
      <c r="D17" s="5">
        <f t="shared" ref="D17:J17" si="35">+D15/D16</f>
        <v>0.50870660218476238</v>
      </c>
      <c r="E17" s="5">
        <f t="shared" si="35"/>
        <v>0.53327859201189864</v>
      </c>
      <c r="F17" s="5">
        <f t="shared" si="35"/>
        <v>0.5395286257771158</v>
      </c>
      <c r="G17" s="5">
        <f t="shared" si="35"/>
        <v>0.59429241594996118</v>
      </c>
      <c r="H17" s="5">
        <f t="shared" si="35"/>
        <v>0.81251968503937022</v>
      </c>
      <c r="I17" s="5">
        <f t="shared" si="35"/>
        <v>0.35681575810802335</v>
      </c>
      <c r="J17" s="5" t="e">
        <f t="shared" si="35"/>
        <v>#DIV/0!</v>
      </c>
      <c r="M17" s="5">
        <f t="shared" ref="M17:N17" si="36">+M15/M16</f>
        <v>0.41640834575260871</v>
      </c>
      <c r="N17" s="5">
        <f t="shared" si="36"/>
        <v>0.17480238207654991</v>
      </c>
      <c r="O17" s="5">
        <f t="shared" ref="O17:U17" si="37">+O15/O16</f>
        <v>0.8352820700933864</v>
      </c>
      <c r="P17" s="5">
        <f t="shared" si="37"/>
        <v>0.5513804958577555</v>
      </c>
      <c r="Q17" s="5">
        <f t="shared" ref="Q17" si="38">+Q15/Q16</f>
        <v>1.0551059379830872</v>
      </c>
      <c r="R17" s="5">
        <f t="shared" si="37"/>
        <v>0.48084149525376085</v>
      </c>
      <c r="S17" s="5">
        <f t="shared" si="37"/>
        <v>0.91807753649858992</v>
      </c>
      <c r="T17" s="5">
        <f t="shared" si="37"/>
        <v>1.9431505366366633</v>
      </c>
      <c r="U17" s="5">
        <f t="shared" si="37"/>
        <v>2.2770560762116863</v>
      </c>
    </row>
    <row r="18" spans="1:31" s="3" customFormat="1" x14ac:dyDescent="0.25"/>
    <row r="19" spans="1:31" s="3" customFormat="1" x14ac:dyDescent="0.25">
      <c r="B19" s="3" t="s">
        <v>3</v>
      </c>
      <c r="G19" s="3">
        <v>275.18400000000003</v>
      </c>
      <c r="H19" s="3">
        <v>362.15</v>
      </c>
      <c r="I19" s="3">
        <v>617.79999999999995</v>
      </c>
      <c r="M19" s="3">
        <v>230.328</v>
      </c>
      <c r="N19" s="3">
        <v>211.8</v>
      </c>
      <c r="O19" s="3">
        <v>297.13400000000001</v>
      </c>
      <c r="P19" s="3">
        <v>307.923</v>
      </c>
      <c r="Q19" s="3">
        <v>312.12</v>
      </c>
      <c r="R19" s="3">
        <v>293.32400000000001</v>
      </c>
      <c r="S19" s="3">
        <v>268.89100000000002</v>
      </c>
      <c r="T19" s="3">
        <v>279.60000000000002</v>
      </c>
    </row>
    <row r="20" spans="1:31" s="3" customFormat="1" x14ac:dyDescent="0.25">
      <c r="B20" s="3" t="s">
        <v>22</v>
      </c>
      <c r="G20" s="3">
        <v>106.9</v>
      </c>
      <c r="H20" s="3">
        <v>107.63</v>
      </c>
      <c r="I20" s="3">
        <v>111.08</v>
      </c>
      <c r="M20" s="3">
        <v>73.668000000000006</v>
      </c>
      <c r="N20" s="3">
        <v>63.88</v>
      </c>
      <c r="O20" s="3">
        <v>65.900000000000006</v>
      </c>
      <c r="P20" s="3">
        <v>71.069999999999993</v>
      </c>
      <c r="Q20" s="3">
        <v>63.7</v>
      </c>
      <c r="R20" s="3">
        <v>73</v>
      </c>
      <c r="S20" s="3">
        <v>87.494</v>
      </c>
      <c r="T20" s="3">
        <v>114</v>
      </c>
    </row>
    <row r="21" spans="1:31" s="3" customFormat="1" x14ac:dyDescent="0.25">
      <c r="B21" s="3" t="s">
        <v>23</v>
      </c>
      <c r="G21" s="3">
        <v>133.59</v>
      </c>
      <c r="H21" s="3">
        <v>134.01499999999999</v>
      </c>
      <c r="I21" s="3">
        <v>135.57</v>
      </c>
      <c r="M21" s="3">
        <v>115.47</v>
      </c>
      <c r="N21" s="3">
        <v>101</v>
      </c>
      <c r="O21" s="3">
        <v>108.91</v>
      </c>
      <c r="P21" s="3">
        <v>124.6</v>
      </c>
      <c r="Q21" s="3">
        <v>118.5</v>
      </c>
      <c r="R21" s="3">
        <v>124.42</v>
      </c>
      <c r="S21" s="3">
        <v>130.934</v>
      </c>
      <c r="T21" s="3">
        <v>134.94</v>
      </c>
    </row>
    <row r="22" spans="1:31" s="3" customFormat="1" x14ac:dyDescent="0.25">
      <c r="B22" s="3" t="s">
        <v>4</v>
      </c>
      <c r="G22" s="3">
        <f>48.4+181.8</f>
        <v>230.20000000000002</v>
      </c>
      <c r="H22" s="3">
        <f>53.759+171.917</f>
        <v>225.67599999999999</v>
      </c>
      <c r="I22" s="3">
        <f>45.07+455.113</f>
        <v>500.18299999999999</v>
      </c>
      <c r="M22" s="3">
        <f>32.5+18.55+234.75</f>
        <v>285.8</v>
      </c>
      <c r="N22" s="3">
        <f>35.5+18.57+239.177</f>
        <v>293.24700000000001</v>
      </c>
      <c r="O22" s="3">
        <f>41.96+14.43+226.52</f>
        <v>282.91000000000003</v>
      </c>
      <c r="P22" s="3">
        <f>37.2+15.4+211.114</f>
        <v>263.714</v>
      </c>
      <c r="Q22" s="3">
        <f>43.2+18.3+192.85</f>
        <v>254.35</v>
      </c>
      <c r="R22" s="3">
        <f>48+194.74</f>
        <v>242.74</v>
      </c>
      <c r="S22" s="3">
        <f>50.189+179.195</f>
        <v>229.38399999999999</v>
      </c>
      <c r="T22" s="3">
        <f>50.7+171.676</f>
        <v>222.37599999999998</v>
      </c>
    </row>
    <row r="23" spans="1:31" s="3" customFormat="1" x14ac:dyDescent="0.25">
      <c r="B23" s="3" t="s">
        <v>24</v>
      </c>
      <c r="C23" s="3">
        <f t="shared" ref="C23:J23" si="39">+C19-C22</f>
        <v>0</v>
      </c>
      <c r="D23" s="3">
        <f t="shared" si="39"/>
        <v>0</v>
      </c>
      <c r="E23" s="3">
        <f t="shared" si="39"/>
        <v>0</v>
      </c>
      <c r="F23" s="3">
        <f t="shared" si="39"/>
        <v>0</v>
      </c>
      <c r="G23" s="3">
        <f t="shared" si="39"/>
        <v>44.984000000000009</v>
      </c>
      <c r="H23" s="3">
        <f t="shared" si="39"/>
        <v>136.47399999999999</v>
      </c>
      <c r="I23" s="3">
        <f t="shared" si="39"/>
        <v>117.61699999999996</v>
      </c>
      <c r="J23" s="3">
        <f t="shared" si="39"/>
        <v>0</v>
      </c>
      <c r="M23" s="3">
        <f t="shared" ref="M23" si="40">+M19-M22</f>
        <v>-55.472000000000008</v>
      </c>
      <c r="N23" s="3">
        <f t="shared" ref="N23" si="41">+N19-N22</f>
        <v>-81.447000000000003</v>
      </c>
      <c r="O23" s="3">
        <f t="shared" ref="O23:U23" si="42">+O19-O22</f>
        <v>14.22399999999999</v>
      </c>
      <c r="P23" s="3">
        <f t="shared" si="42"/>
        <v>44.209000000000003</v>
      </c>
      <c r="Q23" s="3">
        <f t="shared" si="42"/>
        <v>57.77000000000001</v>
      </c>
      <c r="R23" s="3">
        <f t="shared" si="42"/>
        <v>50.584000000000003</v>
      </c>
      <c r="S23" s="3">
        <f t="shared" si="42"/>
        <v>39.507000000000033</v>
      </c>
      <c r="T23" s="3">
        <f t="shared" si="42"/>
        <v>57.224000000000046</v>
      </c>
      <c r="U23" s="3">
        <f>+T23+U15-1200</f>
        <v>-995.53699999999992</v>
      </c>
      <c r="V23" s="3">
        <f t="shared" ref="V23:AE23" si="43">+U23+V15</f>
        <v>-948.74614819999988</v>
      </c>
      <c r="W23" s="3">
        <f t="shared" si="43"/>
        <v>-872.82583414815986</v>
      </c>
      <c r="X23" s="3">
        <f t="shared" si="43"/>
        <v>-766.23417367603031</v>
      </c>
      <c r="Y23" s="3">
        <f t="shared" si="43"/>
        <v>-637.00432799875705</v>
      </c>
      <c r="Z23" s="3">
        <f t="shared" si="43"/>
        <v>-482.85159635200125</v>
      </c>
      <c r="AA23" s="3">
        <f t="shared" si="43"/>
        <v>-291.80856200611788</v>
      </c>
      <c r="AB23" s="3">
        <f t="shared" si="43"/>
        <v>-80.798392217427704</v>
      </c>
      <c r="AC23" s="3">
        <f t="shared" si="43"/>
        <v>151.68135499852437</v>
      </c>
      <c r="AD23" s="3">
        <f t="shared" si="43"/>
        <v>405.09696797131312</v>
      </c>
      <c r="AE23" s="3">
        <f t="shared" si="43"/>
        <v>679.62030022479007</v>
      </c>
    </row>
    <row r="24" spans="1:31" x14ac:dyDescent="0.25">
      <c r="B24" s="3"/>
    </row>
    <row r="25" spans="1:31" s="3" customFormat="1" x14ac:dyDescent="0.25">
      <c r="B25" s="3" t="s">
        <v>48</v>
      </c>
      <c r="F25" s="3">
        <v>9.3159999999999989</v>
      </c>
      <c r="G25" s="3">
        <f>7.668+1.14</f>
        <v>8.8079999999999998</v>
      </c>
      <c r="H25" s="3">
        <f>14.998+2.3-G25</f>
        <v>8.4899999999999984</v>
      </c>
      <c r="I25" s="3">
        <f>22.321+3.475-H25-G25</f>
        <v>8.4980000000000047</v>
      </c>
      <c r="M25" s="3">
        <v>69.3</v>
      </c>
      <c r="N25" s="3">
        <v>48.93</v>
      </c>
      <c r="O25" s="3">
        <v>47.06</v>
      </c>
      <c r="P25" s="3">
        <v>49</v>
      </c>
      <c r="Q25" s="3">
        <v>49.64</v>
      </c>
      <c r="R25" s="3">
        <v>39.58</v>
      </c>
      <c r="S25" s="3">
        <f>31.867+3.99</f>
        <v>35.856999999999999</v>
      </c>
      <c r="T25" s="3">
        <f>30.892+4.41</f>
        <v>35.302</v>
      </c>
    </row>
    <row r="26" spans="1:31" s="3" customFormat="1" x14ac:dyDescent="0.25">
      <c r="B26" s="3" t="s">
        <v>49</v>
      </c>
      <c r="F26" s="3">
        <v>8.1010000000000026</v>
      </c>
      <c r="G26" s="3">
        <v>8.3149999999999995</v>
      </c>
      <c r="H26" s="3">
        <f>15.58-G26</f>
        <v>7.2650000000000006</v>
      </c>
      <c r="I26" s="3">
        <f>22.643-H26-G26</f>
        <v>7.0630000000000006</v>
      </c>
      <c r="M26" s="3">
        <v>31.8</v>
      </c>
      <c r="N26" s="3">
        <v>13.03</v>
      </c>
      <c r="O26" s="3">
        <v>32.92</v>
      </c>
      <c r="P26" s="3">
        <v>35.5</v>
      </c>
      <c r="Q26" s="3">
        <v>17.052</v>
      </c>
      <c r="R26" s="3">
        <v>23.056000000000001</v>
      </c>
      <c r="S26" s="3">
        <v>32.734000000000002</v>
      </c>
      <c r="T26" s="3">
        <v>26.181000000000001</v>
      </c>
    </row>
    <row r="27" spans="1:31" s="3" customFormat="1" x14ac:dyDescent="0.25"/>
    <row r="28" spans="1:31" x14ac:dyDescent="0.25">
      <c r="B28" s="3" t="s">
        <v>36</v>
      </c>
      <c r="C28" s="3"/>
      <c r="D28" s="3"/>
      <c r="E28" s="3"/>
      <c r="F28" s="3">
        <f t="shared" ref="C28:J28" si="44">+F10+F25</f>
        <v>52.289999999999864</v>
      </c>
      <c r="G28" s="3">
        <f t="shared" si="44"/>
        <v>55.844000000000015</v>
      </c>
      <c r="H28" s="3">
        <f t="shared" si="44"/>
        <v>72.525999999999996</v>
      </c>
      <c r="I28" s="3">
        <f t="shared" si="44"/>
        <v>45.867000000000004</v>
      </c>
      <c r="J28" s="3">
        <f t="shared" si="44"/>
        <v>0</v>
      </c>
      <c r="M28" s="3">
        <f t="shared" ref="M28:N28" si="45">+M10+M25</f>
        <v>111.55300000000004</v>
      </c>
      <c r="N28" s="3">
        <f t="shared" si="45"/>
        <v>78.914000000000044</v>
      </c>
      <c r="O28" s="3">
        <f t="shared" ref="O28:U28" si="46">+O10+O25</f>
        <v>131.13</v>
      </c>
      <c r="P28" s="3">
        <f t="shared" si="46"/>
        <v>117.71300000000002</v>
      </c>
      <c r="Q28" s="3">
        <f t="shared" si="46"/>
        <v>155.11600000000004</v>
      </c>
      <c r="R28" s="3">
        <f t="shared" si="46"/>
        <v>91.588999999999956</v>
      </c>
      <c r="S28" s="3">
        <f t="shared" si="46"/>
        <v>110.81200000000004</v>
      </c>
      <c r="T28" s="3">
        <f t="shared" si="46"/>
        <v>180.32099999999994</v>
      </c>
      <c r="U28" s="3"/>
    </row>
    <row r="29" spans="1:31" x14ac:dyDescent="0.25">
      <c r="F29" s="3"/>
      <c r="G29" s="3"/>
      <c r="H29" s="3"/>
      <c r="I29" s="3"/>
      <c r="N29" s="3"/>
      <c r="O29" s="3"/>
      <c r="P29" s="3"/>
      <c r="Q29" s="3"/>
      <c r="R29" s="3"/>
      <c r="S29" s="3"/>
      <c r="T29" s="3"/>
    </row>
    <row r="30" spans="1:31" s="6" customFormat="1" x14ac:dyDescent="0.25">
      <c r="A30" s="6" t="s">
        <v>52</v>
      </c>
      <c r="B30" s="6" t="s">
        <v>37</v>
      </c>
      <c r="C30" s="6">
        <f t="shared" ref="C30:D30" si="47">+C5/C3</f>
        <v>0.61554715563590268</v>
      </c>
      <c r="D30" s="6">
        <f t="shared" si="47"/>
        <v>0.62394594594594599</v>
      </c>
      <c r="E30" s="6">
        <f>+E5/E3</f>
        <v>0.63453547427281587</v>
      </c>
      <c r="F30" s="6">
        <f t="shared" ref="F30:J30" si="48">+F5/F3</f>
        <v>0.64069879720397138</v>
      </c>
      <c r="G30" s="6">
        <f t="shared" si="48"/>
        <v>0.64432352213702693</v>
      </c>
      <c r="H30" s="6">
        <f t="shared" si="48"/>
        <v>0.64906286140288838</v>
      </c>
      <c r="I30" s="6">
        <f t="shared" si="48"/>
        <v>0.65065477597991195</v>
      </c>
      <c r="J30" s="6" t="e">
        <f t="shared" si="48"/>
        <v>#DIV/0!</v>
      </c>
      <c r="M30" s="6">
        <f t="shared" ref="M30:U30" si="49">+M5/M3</f>
        <v>0.58935443684630351</v>
      </c>
      <c r="N30" s="6">
        <f t="shared" si="49"/>
        <v>0.5979192166462669</v>
      </c>
      <c r="O30" s="6">
        <f t="shared" si="49"/>
        <v>0.59689124882870637</v>
      </c>
      <c r="P30" s="6">
        <f t="shared" si="49"/>
        <v>0.5987071531853364</v>
      </c>
      <c r="Q30" s="6">
        <f t="shared" si="49"/>
        <v>0.60112563775510208</v>
      </c>
      <c r="R30" s="6">
        <f t="shared" si="49"/>
        <v>0.61493446718976019</v>
      </c>
      <c r="S30" s="6">
        <f t="shared" si="49"/>
        <v>0.61088659876965368</v>
      </c>
      <c r="T30" s="6">
        <f t="shared" si="49"/>
        <v>0.62910976192468726</v>
      </c>
      <c r="U30" s="6">
        <f t="shared" si="49"/>
        <v>0.64615214898316786</v>
      </c>
      <c r="V30" s="6">
        <v>0.55000000000000004</v>
      </c>
      <c r="W30" s="6">
        <v>0.56000000000000005</v>
      </c>
      <c r="X30" s="6">
        <v>0.56999999999999995</v>
      </c>
      <c r="Y30" s="6">
        <v>0.59</v>
      </c>
      <c r="Z30" s="6">
        <v>0.61</v>
      </c>
      <c r="AA30" s="6">
        <v>0.62</v>
      </c>
      <c r="AB30" s="6">
        <v>0.62</v>
      </c>
      <c r="AC30" s="6">
        <v>0.62</v>
      </c>
      <c r="AD30" s="6">
        <v>0.62</v>
      </c>
      <c r="AE30" s="6">
        <v>0.62</v>
      </c>
    </row>
    <row r="31" spans="1:31" s="6" customFormat="1" x14ac:dyDescent="0.25">
      <c r="A31" s="6" t="s">
        <v>52</v>
      </c>
      <c r="B31" s="6" t="s">
        <v>38</v>
      </c>
      <c r="C31" s="6">
        <f t="shared" ref="C31:D31" si="50">+C10/C3</f>
        <v>0.16418190782522962</v>
      </c>
      <c r="D31" s="6">
        <f t="shared" si="50"/>
        <v>0.19812432432432436</v>
      </c>
      <c r="E31" s="6">
        <f>+E10/E3</f>
        <v>0.1919663468937568</v>
      </c>
      <c r="F31" s="6">
        <f t="shared" ref="F31:J31" si="51">+F10/F3</f>
        <v>0.22551900753584192</v>
      </c>
      <c r="G31" s="6">
        <f t="shared" si="51"/>
        <v>0.2326787039327233</v>
      </c>
      <c r="H31" s="6">
        <f t="shared" si="51"/>
        <v>0.30602043449587585</v>
      </c>
      <c r="I31" s="6">
        <f t="shared" si="51"/>
        <v>0.21038971275433796</v>
      </c>
      <c r="J31" s="6" t="e">
        <f t="shared" si="51"/>
        <v>#DIV/0!</v>
      </c>
      <c r="M31" s="6">
        <f t="shared" ref="M31:U31" si="52">+M10/M3</f>
        <v>7.5737831273470418E-2</v>
      </c>
      <c r="N31" s="6">
        <f t="shared" si="52"/>
        <v>6.1166870665034755E-2</v>
      </c>
      <c r="O31" s="6">
        <f t="shared" si="52"/>
        <v>0.15446377716941959</v>
      </c>
      <c r="P31" s="6">
        <f t="shared" si="52"/>
        <v>0.11688866207365828</v>
      </c>
      <c r="Q31" s="6">
        <f t="shared" si="52"/>
        <v>0.16816964285714292</v>
      </c>
      <c r="R31" s="6">
        <f t="shared" si="52"/>
        <v>9.4991525299902041E-2</v>
      </c>
      <c r="S31" s="6">
        <f t="shared" si="52"/>
        <v>0.12595002327273469</v>
      </c>
      <c r="T31" s="6">
        <f t="shared" si="52"/>
        <v>0.19574466361974893</v>
      </c>
      <c r="U31" s="6">
        <f t="shared" si="52"/>
        <v>0.24553668779775736</v>
      </c>
      <c r="V31" s="6">
        <v>0.12</v>
      </c>
      <c r="W31" s="6">
        <v>0.13</v>
      </c>
      <c r="X31" s="6">
        <v>0.14000000000000001</v>
      </c>
      <c r="Y31" s="6">
        <v>0.14000000000000001</v>
      </c>
      <c r="Z31" s="6">
        <v>0.14000000000000001</v>
      </c>
      <c r="AA31" s="6">
        <v>0.15</v>
      </c>
      <c r="AB31" s="6">
        <v>0.15</v>
      </c>
      <c r="AC31" s="6">
        <v>0.15</v>
      </c>
      <c r="AD31" s="6">
        <v>0.15</v>
      </c>
      <c r="AE31" s="6">
        <v>0.15</v>
      </c>
    </row>
    <row r="32" spans="1:31" s="6" customFormat="1" x14ac:dyDescent="0.25"/>
    <row r="33" spans="1:31" s="7" customFormat="1" x14ac:dyDescent="0.25">
      <c r="A33" s="7" t="s">
        <v>52</v>
      </c>
      <c r="B33" s="7" t="s">
        <v>39</v>
      </c>
      <c r="G33" s="7">
        <f>(G3/C3)-1</f>
        <v>0.18652125936186681</v>
      </c>
      <c r="H33" s="7">
        <f>(H3/D3)-1</f>
        <v>0.13110270270270274</v>
      </c>
      <c r="I33" s="7">
        <f>(I3/E3)-1</f>
        <v>-8.8811368183450479E-2</v>
      </c>
      <c r="J33" s="7">
        <f>(J3/F3)-1</f>
        <v>-1</v>
      </c>
      <c r="N33" s="7">
        <f>N3/M3-1</f>
        <v>-0.12132428726350408</v>
      </c>
      <c r="O33" s="7">
        <f t="shared" ref="O33:U33" si="53">O3/N3-1</f>
        <v>0.11030191758465935</v>
      </c>
      <c r="P33" s="7">
        <f t="shared" si="53"/>
        <v>8.0070553218071883E-2</v>
      </c>
      <c r="Q33" s="7">
        <f t="shared" si="53"/>
        <v>6.6938844943438047E-2</v>
      </c>
      <c r="R33" s="7">
        <f t="shared" si="53"/>
        <v>-0.12705357142857154</v>
      </c>
      <c r="S33" s="7">
        <f t="shared" si="53"/>
        <v>8.6947865982845984E-2</v>
      </c>
      <c r="T33" s="7">
        <f t="shared" si="53"/>
        <v>0.24489470137804825</v>
      </c>
      <c r="U33" s="7">
        <f t="shared" si="53"/>
        <v>5.2263726652070908E-2</v>
      </c>
      <c r="V33" s="7">
        <v>0.5</v>
      </c>
      <c r="W33" s="7">
        <v>0.08</v>
      </c>
      <c r="X33" s="7">
        <v>0.08</v>
      </c>
      <c r="Y33" s="7">
        <v>7.0000000000000007E-2</v>
      </c>
      <c r="Z33" s="7">
        <v>0.06</v>
      </c>
      <c r="AA33" s="7">
        <v>0.05</v>
      </c>
      <c r="AB33" s="7">
        <v>0.05</v>
      </c>
      <c r="AC33" s="7">
        <v>0.05</v>
      </c>
      <c r="AD33" s="7">
        <v>0.05</v>
      </c>
      <c r="AE33" s="7">
        <v>0.05</v>
      </c>
    </row>
    <row r="34" spans="1:31" s="7" customFormat="1" x14ac:dyDescent="0.25"/>
    <row r="35" spans="1:31" s="6" customFormat="1" x14ac:dyDescent="0.25">
      <c r="A35" s="6" t="s">
        <v>52</v>
      </c>
      <c r="B35" s="6" t="s">
        <v>40</v>
      </c>
      <c r="C35" s="6">
        <f>C14/C13</f>
        <v>0.12022843402464672</v>
      </c>
      <c r="D35" s="6">
        <f t="shared" ref="D35:J35" si="54">D14/D13</f>
        <v>8.2564717028450405E-2</v>
      </c>
      <c r="E35" s="6">
        <f t="shared" si="54"/>
        <v>8.0611127433959207E-2</v>
      </c>
      <c r="F35" s="6">
        <f t="shared" si="54"/>
        <v>0.15415201842647644</v>
      </c>
      <c r="G35" s="6">
        <f t="shared" si="54"/>
        <v>0.17513131050049915</v>
      </c>
      <c r="H35" s="6">
        <f t="shared" si="54"/>
        <v>0.18893639764831641</v>
      </c>
      <c r="I35" s="6">
        <f t="shared" si="54"/>
        <v>0.21757969668833177</v>
      </c>
      <c r="J35" s="6" t="e">
        <f t="shared" si="54"/>
        <v>#DIV/0!</v>
      </c>
      <c r="M35" s="6">
        <f t="shared" ref="M35:U35" si="55">M14/M13</f>
        <v>0.23430434901756572</v>
      </c>
      <c r="N35" s="6">
        <f t="shared" si="55"/>
        <v>0.43643506015222117</v>
      </c>
      <c r="O35" s="6">
        <f t="shared" si="55"/>
        <v>0.2518822724161533</v>
      </c>
      <c r="P35" s="6">
        <f t="shared" si="55"/>
        <v>0.38913032535194708</v>
      </c>
      <c r="Q35" s="6">
        <f t="shared" si="55"/>
        <v>5.073385448673055E-3</v>
      </c>
      <c r="R35" s="6">
        <f t="shared" si="55"/>
        <v>0.28707598675378171</v>
      </c>
      <c r="S35" s="6">
        <f t="shared" si="55"/>
        <v>5.4294425224712846E-2</v>
      </c>
      <c r="T35" s="6">
        <f t="shared" si="55"/>
        <v>0.1100597080467749</v>
      </c>
      <c r="U35" s="6">
        <f t="shared" si="55"/>
        <v>0.18206008488322992</v>
      </c>
      <c r="V35" s="6">
        <v>0.16</v>
      </c>
      <c r="W35" s="6">
        <v>0.14000000000000001</v>
      </c>
      <c r="X35" s="6">
        <v>0.12</v>
      </c>
      <c r="Y35" s="6">
        <v>0.12</v>
      </c>
      <c r="Z35" s="6">
        <v>0.12</v>
      </c>
      <c r="AA35" s="6">
        <v>0.12</v>
      </c>
      <c r="AB35" s="6">
        <v>0.12</v>
      </c>
      <c r="AC35" s="6">
        <v>0.12</v>
      </c>
      <c r="AD35" s="6">
        <v>0.12</v>
      </c>
      <c r="AE35" s="6">
        <v>0.12</v>
      </c>
    </row>
    <row r="36" spans="1:31" s="7" customFormat="1" x14ac:dyDescent="0.25">
      <c r="A36" s="7" t="s">
        <v>52</v>
      </c>
      <c r="B36" s="7" t="s">
        <v>46</v>
      </c>
      <c r="N36" s="7">
        <f>N11/M23</f>
        <v>0.14095399480819149</v>
      </c>
      <c r="O36" s="7">
        <f t="shared" ref="O36:U36" si="56">O11/N23</f>
        <v>0.11418468451876682</v>
      </c>
      <c r="P36" s="7">
        <f t="shared" si="56"/>
        <v>-0.57761529808773937</v>
      </c>
      <c r="Q36" s="7">
        <f t="shared" si="56"/>
        <v>-0.88954737723088051</v>
      </c>
      <c r="R36" s="7">
        <f t="shared" si="56"/>
        <v>-0.17685649991344987</v>
      </c>
      <c r="S36" s="7">
        <f t="shared" si="56"/>
        <v>-0.23280088565554324</v>
      </c>
      <c r="T36" s="7">
        <f t="shared" si="56"/>
        <v>-0.1091452147720656</v>
      </c>
      <c r="U36" s="7">
        <f t="shared" si="56"/>
        <v>-0.22076401509855986</v>
      </c>
      <c r="V36" s="7">
        <v>8.5000000000000006E-2</v>
      </c>
      <c r="W36" s="7">
        <v>0.08</v>
      </c>
      <c r="X36" s="7">
        <v>0.08</v>
      </c>
      <c r="Y36" s="7">
        <v>7.4999999999999997E-2</v>
      </c>
      <c r="Z36" s="7">
        <v>6.5000000000000002E-2</v>
      </c>
      <c r="AA36" s="7">
        <v>5.5E-2</v>
      </c>
      <c r="AB36" s="7">
        <v>5.5E-2</v>
      </c>
      <c r="AC36" s="7">
        <v>5.5E-2</v>
      </c>
      <c r="AD36" s="7">
        <v>3.9E-2</v>
      </c>
      <c r="AE36" s="7">
        <v>3.9E-2</v>
      </c>
    </row>
    <row r="37" spans="1:31" s="7" customFormat="1" x14ac:dyDescent="0.25"/>
    <row r="38" spans="1:31" x14ac:dyDescent="0.25">
      <c r="B38" s="7" t="s">
        <v>53</v>
      </c>
      <c r="I38">
        <v>1</v>
      </c>
      <c r="V38" s="11">
        <v>1</v>
      </c>
    </row>
    <row r="44" spans="1:31" x14ac:dyDescent="0.25">
      <c r="C44">
        <v>1</v>
      </c>
      <c r="D44" t="s">
        <v>54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G11" sqref="G11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14</v>
      </c>
      <c r="C2" s="8">
        <v>-5.0000000000000001E-3</v>
      </c>
    </row>
    <row r="3" spans="2:3" x14ac:dyDescent="0.25">
      <c r="B3" t="s">
        <v>15</v>
      </c>
      <c r="C3" s="8">
        <v>0.09</v>
      </c>
    </row>
    <row r="4" spans="2:3" x14ac:dyDescent="0.25">
      <c r="B4" t="s">
        <v>8</v>
      </c>
      <c r="C4" s="3">
        <f>NPV(C3,Model!V15:DQ15)</f>
        <v>2173.7463596759726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2023-02-27T00:11:44Z</dcterms:modified>
</cp:coreProperties>
</file>