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481B27EA-7E80-4BDB-BF06-DCDF4F809521}" xr6:coauthVersionLast="47" xr6:coauthVersionMax="47" xr10:uidLastSave="{00000000-0000-0000-0000-000000000000}"/>
  <bookViews>
    <workbookView xWindow="13560" yWindow="6210" windowWidth="30720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K28" i="1"/>
  <c r="I28" i="1"/>
  <c r="H28" i="1"/>
  <c r="G28" i="1"/>
  <c r="D28" i="1"/>
  <c r="C28" i="1"/>
  <c r="M28" i="1" l="1"/>
  <c r="G27" i="1"/>
  <c r="O27" i="1" l="1"/>
  <c r="N27" i="1"/>
  <c r="K27" i="1"/>
  <c r="J27" i="1"/>
  <c r="I27" i="1"/>
  <c r="H27" i="1"/>
  <c r="D27" i="1"/>
  <c r="C27" i="1"/>
  <c r="N26" i="1"/>
  <c r="K26" i="1"/>
  <c r="I26" i="1"/>
  <c r="H26" i="1"/>
  <c r="G26" i="1"/>
  <c r="L27" i="1" l="1"/>
  <c r="M27" i="1"/>
  <c r="P27" i="1"/>
  <c r="M26" i="1"/>
  <c r="D26" i="1"/>
  <c r="C26" i="1"/>
  <c r="O25" i="1"/>
  <c r="N25" i="1"/>
  <c r="K25" i="1"/>
  <c r="J25" i="1"/>
  <c r="I25" i="1"/>
  <c r="H25" i="1"/>
  <c r="G25" i="1"/>
  <c r="D25" i="1"/>
  <c r="C25" i="1"/>
  <c r="P25" i="1" l="1"/>
  <c r="M25" i="1"/>
  <c r="L25" i="1"/>
  <c r="O24" i="1" l="1"/>
  <c r="N24" i="1"/>
  <c r="K24" i="1"/>
  <c r="J24" i="1"/>
  <c r="I24" i="1"/>
  <c r="H24" i="1"/>
  <c r="M24" i="1" s="1"/>
  <c r="G24" i="1"/>
  <c r="D24" i="1"/>
  <c r="C24" i="1"/>
  <c r="O23" i="1"/>
  <c r="N23" i="1"/>
  <c r="K23" i="1"/>
  <c r="I23" i="1"/>
  <c r="H23" i="1"/>
  <c r="G23" i="1"/>
  <c r="K16" i="1"/>
  <c r="P24" i="1" l="1"/>
  <c r="L24" i="1"/>
  <c r="M23" i="1"/>
  <c r="P23" i="1"/>
  <c r="C16" i="1"/>
  <c r="O28" i="1" l="1"/>
  <c r="P28" i="1" s="1"/>
  <c r="J28" i="1"/>
  <c r="L28" i="1" s="1"/>
  <c r="K13" i="1"/>
  <c r="I13" i="1"/>
  <c r="N22" i="1" l="1"/>
  <c r="K22" i="1"/>
  <c r="I22" i="1"/>
  <c r="H22" i="1"/>
  <c r="M22" i="1" l="1"/>
  <c r="I14" i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l="1"/>
  <c r="P21" i="1"/>
  <c r="L21" i="1"/>
  <c r="O20" i="1" l="1"/>
  <c r="N20" i="1"/>
  <c r="K20" i="1"/>
  <c r="J20" i="1"/>
  <c r="H20" i="1"/>
  <c r="O26" i="1" l="1"/>
  <c r="J26" i="1"/>
  <c r="P20" i="1"/>
  <c r="M20" i="1"/>
  <c r="L20" i="1"/>
  <c r="L26" i="1" l="1"/>
  <c r="P26" i="1"/>
  <c r="N19" i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O15" i="1"/>
  <c r="O14" i="1"/>
  <c r="J17" i="1"/>
  <c r="J16" i="1"/>
  <c r="J15" i="1"/>
  <c r="J14" i="1"/>
  <c r="H14" i="1"/>
  <c r="M14" i="1" s="1"/>
  <c r="H17" i="1"/>
  <c r="M17" i="1" s="1"/>
  <c r="H16" i="1"/>
  <c r="M16" i="1" s="1"/>
  <c r="H15" i="1"/>
  <c r="M15" i="1" s="1"/>
  <c r="L15" i="1" l="1"/>
  <c r="L16" i="1"/>
  <c r="P16" i="1"/>
  <c r="L14" i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I6" i="2"/>
  <c r="H6" i="2"/>
  <c r="G6" i="2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J12" i="1"/>
  <c r="J11" i="1"/>
  <c r="J10" i="1"/>
  <c r="J9" i="1"/>
  <c r="J8" i="1"/>
  <c r="J7" i="1"/>
  <c r="J6" i="1"/>
  <c r="J5" i="1"/>
  <c r="J4" i="1"/>
  <c r="J3" i="1"/>
  <c r="J2" i="1"/>
  <c r="H13" i="1"/>
  <c r="M13" i="1" s="1"/>
  <c r="H12" i="1"/>
  <c r="H11" i="1"/>
  <c r="H10" i="1"/>
  <c r="H9" i="1"/>
  <c r="H8" i="1"/>
  <c r="H7" i="1"/>
  <c r="H6" i="1"/>
  <c r="H5" i="1"/>
  <c r="H4" i="1"/>
  <c r="H3" i="1"/>
  <c r="H2" i="1"/>
  <c r="G2" i="3"/>
  <c r="H2" i="3"/>
  <c r="I2" i="3"/>
  <c r="J2" i="3"/>
  <c r="K6" i="2" l="1"/>
  <c r="K3" i="4"/>
  <c r="K2" i="4" l="1"/>
  <c r="K2" i="3" l="1"/>
  <c r="O22" i="1" l="1"/>
  <c r="P22" i="1" s="1"/>
  <c r="J22" i="1"/>
  <c r="K4" i="4"/>
  <c r="L22" i="1" l="1"/>
  <c r="P4" i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  <c r="O13" i="1" l="1"/>
  <c r="P13" i="1" s="1"/>
  <c r="J13" i="1"/>
  <c r="L13" i="1" l="1"/>
  <c r="J23" i="1" l="1"/>
  <c r="L23" i="1" s="1"/>
</calcChain>
</file>

<file path=xl/sharedStrings.xml><?xml version="1.0" encoding="utf-8"?>
<sst xmlns="http://schemas.openxmlformats.org/spreadsheetml/2006/main" count="262" uniqueCount="154">
  <si>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</si>
  <si>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</si>
  <si>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</si>
  <si>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</si>
  <si>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</si>
  <si>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</si>
  <si>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</si>
  <si>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</si>
  <si>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</si>
  <si>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</si>
  <si>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</si>
  <si>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</si>
  <si>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</si>
  <si>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</si>
  <si>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</si>
  <si>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</si>
  <si>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</si>
  <si>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</si>
  <si>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</si>
  <si>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</si>
  <si>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</si>
  <si>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Texas Instruments</t>
  </si>
  <si>
    <t>22Q2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</si>
  <si>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</si>
  <si>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</si>
  <si>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</si>
  <si>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</si>
  <si>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</si>
  <si>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</si>
  <si>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</si>
  <si>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</si>
  <si>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</si>
  <si>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</si>
  <si>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</si>
  <si>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</si>
  <si>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</si>
  <si>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</si>
  <si>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</si>
  <si>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</si>
  <si>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</si>
  <si>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</si>
  <si>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</si>
  <si>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</si>
  <si>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</si>
  <si>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</si>
  <si>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</si>
  <si>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</si>
  <si>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</si>
  <si>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</si>
  <si>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</si>
  <si>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</si>
  <si>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</si>
  <si>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</si>
  <si>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</si>
  <si>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</si>
  <si>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</si>
  <si>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</si>
  <si>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</si>
  <si>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</si>
  <si>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</si>
  <si>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</si>
  <si>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</si>
  <si>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</si>
  <si>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</si>
  <si>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</si>
  <si>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</si>
  <si>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</si>
  <si>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</si>
  <si>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</si>
  <si>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</si>
  <si>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</si>
  <si>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</si>
  <si>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</si>
  <si>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</si>
  <si>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</si>
  <si>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</si>
  <si>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</si>
  <si>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</si>
  <si>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</si>
  <si>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</si>
  <si>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</si>
  <si>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</si>
  <si>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</si>
  <si>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</si>
  <si>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</si>
  <si>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</si>
  <si>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</si>
  <si>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</si>
  <si>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</si>
  <si>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</si>
  <si>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</si>
  <si>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</si>
  <si>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</si>
  <si>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</si>
  <si>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</si>
  <si>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</si>
  <si>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</si>
  <si>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</si>
  <si>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</si>
  <si>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</si>
  <si>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</si>
  <si>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</si>
  <si>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</si>
  <si>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</si>
  <si>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</si>
  <si>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</si>
  <si>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</si>
  <si>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</si>
  <si>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</si>
  <si>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</si>
  <si>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</si>
  <si>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</si>
  <si>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</si>
  <si>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</si>
  <si>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</si>
  <si>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</si>
  <si>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</si>
  <si>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</si>
  <si>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</si>
  <si>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</si>
  <si>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</si>
  <si>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</si>
  <si>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</si>
  <si>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</si>
  <si>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</si>
  <si>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</si>
  <si>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</si>
  <si>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</si>
  <si>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</si>
  <si>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</si>
  <si>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</si>
  <si>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</si>
  <si>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</si>
  <si>
    <t>SMTC</t>
  </si>
  <si>
    <t>Semtech Corp</t>
  </si>
  <si>
    <t>20% fab outsourced, looking to reduce</t>
  </si>
  <si>
    <t>60% fab outsourced, looking to reduce</t>
  </si>
  <si>
    <t>43% fab outsourced, looking to increase</t>
  </si>
  <si>
    <t>&gt;50% fab outsourced, looking to maintain/increase</t>
  </si>
  <si>
    <t>100% fab outsourced, is the 2023Q3 acquisition bullish?</t>
  </si>
  <si>
    <t>Industrials</t>
  </si>
  <si>
    <t>Trucking</t>
  </si>
  <si>
    <t>ODFL</t>
  </si>
  <si>
    <t>SAIA</t>
  </si>
  <si>
    <t>PTSI</t>
  </si>
  <si>
    <t>98% LTL (less then truckload)</t>
  </si>
  <si>
    <t>96% LTL</t>
  </si>
  <si>
    <t>CVLG</t>
  </si>
  <si>
    <t>Low LTL, 4.0% op margin</t>
  </si>
  <si>
    <t>Low LTL, I tried everything I could to kill these guys, and even at a 2.6% op margin they survived</t>
  </si>
  <si>
    <t>HTLD</t>
  </si>
  <si>
    <t>ARCB</t>
  </si>
  <si>
    <t>Trying to be a tech company, I tried to kill these guys, and even at a 2.5% op margin they survived</t>
  </si>
  <si>
    <t>This is a mid company, 5.8% margin and still no 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</si>
</sst>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  <numFmt numFmtId="166" formatCode="0.00\x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4" fontId="0" fillId="0" borderId="0" xfId="0" applyNumberFormat="1"/>
    <xf numFmtId="9" fontId="0" fillId="0" borderId="0" xfId="0" applyNumberFormat="1"/>
    <xf numFmtId="8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0" fillId="0" borderId="5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DHI.xlsx" TargetMode="External"/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MTC.xlsx" TargetMode="External"/><Relationship Id="rId1" Type="http://schemas.openxmlformats.org/officeDocument/2006/relationships/externalLinkPath" Target="DCF%20Models/SMTC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DFL.xlsx" TargetMode="External"/><Relationship Id="rId1" Type="http://schemas.openxmlformats.org/officeDocument/2006/relationships/externalLinkPath" Target="DCF%20Models/ODFL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AIA.xlsx" TargetMode="External"/><Relationship Id="rId1" Type="http://schemas.openxmlformats.org/officeDocument/2006/relationships/externalLinkPath" Target="DCF%20Models/SAIA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PTSI.xlsx" TargetMode="External"/><Relationship Id="rId1" Type="http://schemas.openxmlformats.org/officeDocument/2006/relationships/externalLinkPath" Target="DCF%20Models/PTSI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VLG.xlsx" TargetMode="External"/><Relationship Id="rId1" Type="http://schemas.openxmlformats.org/officeDocument/2006/relationships/externalLinkPath" Target="DCF%20Models/CVLG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HTLD.xlsx" TargetMode="External"/><Relationship Id="rId1" Type="http://schemas.openxmlformats.org/officeDocument/2006/relationships/externalLinkPath" Target="DCF%20Models/HTLD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RCB.xlsx" TargetMode="External"/><Relationship Id="rId1" Type="http://schemas.openxmlformats.org/officeDocument/2006/relationships/externalLinkPath" Target="DCF%20Models/ARCB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91.49</v>
          </cell>
        </row>
        <row r="7">
          <cell r="N7">
            <v>31490.857999999997</v>
          </cell>
        </row>
        <row r="10">
          <cell r="N10">
            <v>34568.657999999996</v>
          </cell>
        </row>
        <row r="13">
          <cell r="N13">
            <v>56115.999003056495</v>
          </cell>
        </row>
        <row r="14">
          <cell r="N14">
            <v>163.0331173825</v>
          </cell>
        </row>
      </sheetData>
      <sheetData sheetId="1">
        <row r="15">
          <cell r="L15">
            <v>1874.0000000000005</v>
          </cell>
          <cell r="M15">
            <v>2168.1</v>
          </cell>
          <cell r="N15">
            <v>2046.4999999999977</v>
          </cell>
          <cell r="O15">
            <v>1229.5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44985</v>
          </cell>
        </row>
        <row r="4">
          <cell r="N4">
            <v>14.56</v>
          </cell>
        </row>
        <row r="6">
          <cell r="N6">
            <v>5320.9374400000006</v>
          </cell>
        </row>
        <row r="9">
          <cell r="N9">
            <v>18224.220440000001</v>
          </cell>
        </row>
        <row r="12">
          <cell r="N12">
            <v>9564.1035156825055</v>
          </cell>
        </row>
        <row r="13">
          <cell r="N13">
            <v>26.170829625152908</v>
          </cell>
        </row>
      </sheetData>
      <sheetData sheetId="1">
        <row r="26">
          <cell r="G26">
            <v>-509.65600000000006</v>
          </cell>
          <cell r="H26">
            <v>-215.28849999999991</v>
          </cell>
          <cell r="I26">
            <v>1.2999999999998977</v>
          </cell>
          <cell r="J26">
            <v>-78.775500000000051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30.52</v>
          </cell>
        </row>
        <row r="8">
          <cell r="N8">
            <v>1946.07728</v>
          </cell>
        </row>
        <row r="11">
          <cell r="N11">
            <v>1828.46028</v>
          </cell>
        </row>
        <row r="14">
          <cell r="N14">
            <v>2173.7463596759726</v>
          </cell>
        </row>
        <row r="15">
          <cell r="N15">
            <v>34.090495572360147</v>
          </cell>
        </row>
      </sheetData>
      <sheetData sheetId="1">
        <row r="28">
          <cell r="F28">
            <v>52.289999999999864</v>
          </cell>
          <cell r="G28">
            <v>55.844000000000015</v>
          </cell>
          <cell r="H28">
            <v>72.525999999999996</v>
          </cell>
          <cell r="I28">
            <v>45.867000000000004</v>
          </cell>
        </row>
      </sheetData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 t="str">
            <v>Old Dominion Freight Line</v>
          </cell>
        </row>
        <row r="6">
          <cell r="N6">
            <v>352.95</v>
          </cell>
        </row>
        <row r="8">
          <cell r="N8">
            <v>39650.402999999998</v>
          </cell>
        </row>
        <row r="11">
          <cell r="N11">
            <v>39621.008000000002</v>
          </cell>
        </row>
        <row r="14">
          <cell r="N14">
            <v>34330.520064169796</v>
          </cell>
        </row>
        <row r="15">
          <cell r="N15">
            <v>305.59480206667075</v>
          </cell>
        </row>
      </sheetData>
      <sheetData sheetId="1">
        <row r="32">
          <cell r="T32">
            <v>2116.6350000000002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Saia</v>
          </cell>
        </row>
        <row r="6">
          <cell r="N6">
            <v>288.77</v>
          </cell>
        </row>
        <row r="8">
          <cell r="N8">
            <v>7658.1803999999993</v>
          </cell>
        </row>
        <row r="11">
          <cell r="N11">
            <v>7707.5203999999994</v>
          </cell>
        </row>
        <row r="14">
          <cell r="N14">
            <v>7684.7281871497207</v>
          </cell>
        </row>
        <row r="15">
          <cell r="N15">
            <v>289.77104778090956</v>
          </cell>
        </row>
      </sheetData>
      <sheetData sheetId="1">
        <row r="1">
          <cell r="J1">
            <v>44595</v>
          </cell>
        </row>
        <row r="28">
          <cell r="T28">
            <v>627.74999999999977</v>
          </cell>
        </row>
      </sheetData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P.A.M. Transportation Services</v>
          </cell>
        </row>
        <row r="6">
          <cell r="N6">
            <v>29.24</v>
          </cell>
        </row>
        <row r="8">
          <cell r="N8">
            <v>656.02864</v>
          </cell>
        </row>
        <row r="11">
          <cell r="N11">
            <v>853.44364000000007</v>
          </cell>
        </row>
        <row r="14">
          <cell r="N14">
            <v>970.90412687107221</v>
          </cell>
        </row>
        <row r="15">
          <cell r="N15">
            <v>43.274386114774124</v>
          </cell>
        </row>
      </sheetData>
      <sheetData sheetId="1">
        <row r="1">
          <cell r="J1">
            <v>44605</v>
          </cell>
        </row>
        <row r="31">
          <cell r="T31">
            <v>186.68</v>
          </cell>
        </row>
      </sheetData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44992</v>
          </cell>
        </row>
        <row r="4">
          <cell r="N4" t="str">
            <v>Covenant Logistics Group</v>
          </cell>
        </row>
        <row r="6">
          <cell r="N6">
            <v>35.369999999999997</v>
          </cell>
        </row>
        <row r="8">
          <cell r="N8">
            <v>530.76221999999996</v>
          </cell>
        </row>
        <row r="11">
          <cell r="N11">
            <v>635.8222199999999</v>
          </cell>
        </row>
        <row r="14">
          <cell r="N14">
            <v>675.0558523176453</v>
          </cell>
        </row>
        <row r="15">
          <cell r="N15">
            <v>44.985729196164556</v>
          </cell>
        </row>
      </sheetData>
      <sheetData sheetId="1">
        <row r="1">
          <cell r="J1">
            <v>44951</v>
          </cell>
        </row>
        <row r="35">
          <cell r="T35">
            <v>178.19999999999982</v>
          </cell>
        </row>
      </sheetData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44993</v>
          </cell>
        </row>
        <row r="4">
          <cell r="N4" t="str">
            <v>Heartland Express</v>
          </cell>
        </row>
        <row r="6">
          <cell r="N6">
            <v>16.260000000000002</v>
          </cell>
        </row>
        <row r="8">
          <cell r="N8">
            <v>1283.5806600000001</v>
          </cell>
        </row>
        <row r="11">
          <cell r="N11">
            <v>1763.72066</v>
          </cell>
        </row>
        <row r="14">
          <cell r="N14">
            <v>1294.1990734380452</v>
          </cell>
        </row>
        <row r="15">
          <cell r="N15">
            <v>16.394510754082734</v>
          </cell>
        </row>
        <row r="17">
          <cell r="N17">
            <v>321.39600000000002</v>
          </cell>
        </row>
      </sheetData>
      <sheetData sheetId="1">
        <row r="1">
          <cell r="J1">
            <v>44595</v>
          </cell>
        </row>
      </sheetData>
      <sheetData sheetId="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2">
          <cell r="N2">
            <v>44993</v>
          </cell>
        </row>
        <row r="4">
          <cell r="N4" t="str">
            <v>ArcBest Corporation</v>
          </cell>
        </row>
        <row r="6">
          <cell r="N6">
            <v>101.62</v>
          </cell>
        </row>
        <row r="8">
          <cell r="N8">
            <v>2498.3277000000003</v>
          </cell>
        </row>
        <row r="11">
          <cell r="N11">
            <v>2754.4777000000004</v>
          </cell>
        </row>
        <row r="14">
          <cell r="N14">
            <v>3083.7037867156318</v>
          </cell>
        </row>
        <row r="15">
          <cell r="N15">
            <v>125.4302943549169</v>
          </cell>
        </row>
        <row r="17">
          <cell r="N17">
            <v>539.48500000000149</v>
          </cell>
        </row>
      </sheetData>
      <sheetData sheetId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26" Type="http://schemas.openxmlformats.org/officeDocument/2006/relationships/hyperlink" Target="DCF%20Models\HTLD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hyperlink" Target="DCF%20Models\SMT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5" Type="http://schemas.openxmlformats.org/officeDocument/2006/relationships/hyperlink" Target="DCF%20Models\CVLG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24" Type="http://schemas.openxmlformats.org/officeDocument/2006/relationships/hyperlink" Target="DCF%20Models\PTSI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23" Type="http://schemas.openxmlformats.org/officeDocument/2006/relationships/hyperlink" Target="DCF%20Models\SAIA.xls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Relationship Id="rId22" Type="http://schemas.openxmlformats.org/officeDocument/2006/relationships/hyperlink" Target="DCF%20Models\ODFL.xlsx" TargetMode="External"/><Relationship Id="rId27" Type="http://schemas.openxmlformats.org/officeDocument/2006/relationships/hyperlink" Target="DCF%20Models\ARCB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30"/>
  <sheetViews>
    <sheetView tabSelected="1" workbookViewId="0">
      <pane ySplit="1" topLeftCell="A2" activePane="bottomLeft" state="frozen"/>
      <selection pane="bottomLeft" activeCell="F26" sqref="F26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customWidth="1"/>
    <col min="10" max="10" width="7.5703125" style="13" bestFit="1" customWidth="1"/>
    <col min="11" max="11" width="8.42578125" style="13" bestFit="1" customWidth="1"/>
    <col min="12" max="12" width="10.28515625" style="30" bestFit="1" customWidth="1"/>
    <col min="13" max="13" width="10.42578125" style="31" bestFit="1" customWidth="1"/>
    <col min="14" max="15" width="10.5703125" style="19" customWidth="1"/>
    <col min="16" max="16" width="5.5703125" style="32" bestFit="1" customWidth="1"/>
    <col min="20" max="20" width="13.5703125" bestFit="1" customWidth="1"/>
  </cols>
  <sheetData>
    <row r="1" spans="1:19" x14ac:dyDescent="0.25">
      <c r="A1" t="s">
        <v>108</v>
      </c>
      <c r="B1" s="3" t="s">
        <v>80</v>
      </c>
      <c r="C1" s="21" t="s">
        <v>78</v>
      </c>
      <c r="D1" s="10" t="s">
        <v>128</v>
      </c>
      <c r="E1" s="2" t="s">
        <v>4</v>
      </c>
      <c r="F1" s="2" t="s">
        <v>0</v>
      </c>
      <c r="G1" s="2" t="s">
        <v>1</v>
      </c>
      <c r="H1" s="8" t="s">
        <v>85</v>
      </c>
      <c r="I1" s="9" t="s">
        <v>132</v>
      </c>
      <c r="J1" s="9" t="s">
        <v>81</v>
      </c>
      <c r="K1" s="13" t="s">
        <v>124</v>
      </c>
      <c r="L1" s="30" t="s">
        <v>126</v>
      </c>
      <c r="M1" s="31" t="s">
        <v>125</v>
      </c>
      <c r="N1" s="19" t="s">
        <v>82</v>
      </c>
      <c r="O1" s="19" t="s">
        <v>83</v>
      </c>
      <c r="P1" s="32" t="s">
        <v>84</v>
      </c>
      <c r="Q1" t="s">
        <v>36</v>
      </c>
    </row>
    <row r="2" spans="1:19" x14ac:dyDescent="0.25">
      <c r="A2" t="s">
        <v>109</v>
      </c>
      <c r="B2" s="6" t="s">
        <v>50</v>
      </c>
      <c r="C2" s="4">
        <v>44775</v>
      </c>
      <c r="D2" s="28"/>
      <c r="E2" t="s">
        <v>73</v>
      </c>
      <c r="F2" s="5" t="s">
        <v>44</v>
      </c>
      <c r="G2" t="s">
        <v>45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32">
        <f>O2/N2</f>
        <v>4.733613984693994</v>
      </c>
      <c r="Q2" t="s">
        <v>87</v>
      </c>
    </row>
    <row r="3" spans="1:19" outlineLevel="1" x14ac:dyDescent="0.25">
      <c r="A3" t="s">
        <v>109</v>
      </c>
      <c r="B3" s="6" t="s">
        <v>52</v>
      </c>
      <c r="C3" s="4">
        <v>44772</v>
      </c>
      <c r="D3" s="28"/>
      <c r="E3" t="s">
        <v>22</v>
      </c>
      <c r="F3" s="5" t="s">
        <v>46</v>
      </c>
      <c r="G3" t="s">
        <v>47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32">
        <f>O3/N3</f>
        <v>4.3731421333760139</v>
      </c>
      <c r="Q3" t="s">
        <v>49</v>
      </c>
    </row>
    <row r="4" spans="1:19" outlineLevel="1" x14ac:dyDescent="0.25">
      <c r="A4" t="s">
        <v>109</v>
      </c>
      <c r="B4" s="6" t="s">
        <v>53</v>
      </c>
      <c r="C4" s="4">
        <v>44773</v>
      </c>
      <c r="D4" s="28"/>
      <c r="E4" t="s">
        <v>22</v>
      </c>
      <c r="F4" s="5" t="s">
        <v>56</v>
      </c>
      <c r="G4" t="s">
        <v>48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32">
        <f t="shared" ref="P4:P17" si="0">O4/N4</f>
        <v>1.5006798622261339</v>
      </c>
    </row>
    <row r="5" spans="1:19" outlineLevel="1" x14ac:dyDescent="0.25">
      <c r="A5" t="s">
        <v>109</v>
      </c>
      <c r="B5" s="6" t="s">
        <v>51</v>
      </c>
      <c r="C5" s="4">
        <v>44773</v>
      </c>
      <c r="D5" s="28"/>
      <c r="E5" t="s">
        <v>5</v>
      </c>
      <c r="F5" s="5" t="s">
        <v>54</v>
      </c>
      <c r="G5" t="s">
        <v>55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32">
        <f t="shared" si="0"/>
        <v>1.0333132801995888</v>
      </c>
    </row>
    <row r="6" spans="1:19" outlineLevel="1" x14ac:dyDescent="0.25">
      <c r="A6" t="s">
        <v>109</v>
      </c>
      <c r="B6" s="6" t="s">
        <v>57</v>
      </c>
      <c r="C6" s="4">
        <v>44773</v>
      </c>
      <c r="D6" s="28"/>
      <c r="E6" t="s">
        <v>22</v>
      </c>
      <c r="F6" s="5" t="s">
        <v>58</v>
      </c>
      <c r="G6" t="s">
        <v>59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32">
        <f t="shared" si="0"/>
        <v>5.0194709524003231</v>
      </c>
    </row>
    <row r="7" spans="1:19" outlineLevel="1" x14ac:dyDescent="0.25">
      <c r="A7" t="s">
        <v>109</v>
      </c>
      <c r="B7" s="6" t="s">
        <v>57</v>
      </c>
      <c r="C7" s="4">
        <v>44774</v>
      </c>
      <c r="D7" s="28"/>
      <c r="E7" t="s">
        <v>22</v>
      </c>
      <c r="F7" s="5" t="s">
        <v>61</v>
      </c>
      <c r="G7" t="s">
        <v>60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32">
        <f t="shared" si="0"/>
        <v>4.0109206727437767</v>
      </c>
    </row>
    <row r="8" spans="1:19" outlineLevel="1" x14ac:dyDescent="0.25">
      <c r="A8" t="s">
        <v>109</v>
      </c>
      <c r="B8" s="6" t="s">
        <v>64</v>
      </c>
      <c r="C8" s="4">
        <v>44774</v>
      </c>
      <c r="D8" s="28"/>
      <c r="E8" t="s">
        <v>5</v>
      </c>
      <c r="F8" s="5" t="s">
        <v>62</v>
      </c>
      <c r="G8" t="s">
        <v>63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32">
        <f t="shared" si="0"/>
        <v>2.2068272332507033</v>
      </c>
    </row>
    <row r="9" spans="1:19" outlineLevel="1" x14ac:dyDescent="0.25">
      <c r="A9" t="s">
        <v>109</v>
      </c>
      <c r="B9" s="6" t="s">
        <v>69</v>
      </c>
      <c r="C9" s="4">
        <v>44774</v>
      </c>
      <c r="D9" s="28"/>
      <c r="E9" t="s">
        <v>22</v>
      </c>
      <c r="F9" s="5" t="s">
        <v>68</v>
      </c>
      <c r="G9" t="s">
        <v>76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32">
        <f t="shared" si="0"/>
        <v>1.9684075052446159</v>
      </c>
    </row>
    <row r="10" spans="1:19" outlineLevel="1" x14ac:dyDescent="0.25">
      <c r="A10" t="s">
        <v>109</v>
      </c>
      <c r="B10" s="6" t="s">
        <v>67</v>
      </c>
      <c r="C10" s="4">
        <v>44775</v>
      </c>
      <c r="D10" s="28"/>
      <c r="E10" t="s">
        <v>22</v>
      </c>
      <c r="F10" s="5" t="s">
        <v>65</v>
      </c>
      <c r="G10" t="s">
        <v>66</v>
      </c>
      <c r="H10" s="12">
        <f>[9]Main!$N$8</f>
        <v>6531.1078800000005</v>
      </c>
      <c r="J10" s="13">
        <f>[9]Main!$N$18</f>
        <v>8831.5667844635373</v>
      </c>
      <c r="N10" s="19">
        <f>[9]Main!$N$3</f>
        <v>260.32</v>
      </c>
      <c r="O10" s="19">
        <f>[9]Main!$N$19</f>
        <v>357.06180902658434</v>
      </c>
      <c r="P10" s="32">
        <f t="shared" si="0"/>
        <v>1.3716264944168115</v>
      </c>
    </row>
    <row r="11" spans="1:19" outlineLevel="1" x14ac:dyDescent="0.25">
      <c r="A11" t="s">
        <v>109</v>
      </c>
      <c r="B11" s="6" t="s">
        <v>72</v>
      </c>
      <c r="C11" s="4">
        <v>44775</v>
      </c>
      <c r="D11" s="28"/>
      <c r="E11" t="s">
        <v>22</v>
      </c>
      <c r="F11" s="5" t="s">
        <v>71</v>
      </c>
      <c r="G11" t="s">
        <v>70</v>
      </c>
      <c r="H11" s="12">
        <f>[10]Main!$N$8</f>
        <v>5961.5730000000003</v>
      </c>
      <c r="J11" s="13">
        <f>[10]Main!$N$18</f>
        <v>6053.073284927159</v>
      </c>
      <c r="N11" s="19">
        <f>[10]Main!$N$3</f>
        <v>60.73</v>
      </c>
      <c r="O11" s="19">
        <f>[10]Main!$N$19</f>
        <v>86.349119613796859</v>
      </c>
      <c r="P11" s="32">
        <f>O11/N11</f>
        <v>1.4218527846829716</v>
      </c>
    </row>
    <row r="12" spans="1:19" outlineLevel="1" x14ac:dyDescent="0.25">
      <c r="A12" t="s">
        <v>109</v>
      </c>
      <c r="B12" s="6" t="s">
        <v>79</v>
      </c>
      <c r="C12" s="4">
        <v>44775</v>
      </c>
      <c r="D12" s="28"/>
      <c r="E12" t="s">
        <v>22</v>
      </c>
      <c r="F12" s="5" t="s">
        <v>74</v>
      </c>
      <c r="G12" t="s">
        <v>75</v>
      </c>
      <c r="H12" s="12">
        <f>[11]Main!$N$8</f>
        <v>3705.70046</v>
      </c>
      <c r="J12" s="13">
        <f>[11]Main!$N$18</f>
        <v>2666.8844433216959</v>
      </c>
      <c r="N12" s="19">
        <f>[11]Main!$N$3</f>
        <v>20.86</v>
      </c>
      <c r="O12" s="19">
        <f>[11]Main!$N$19</f>
        <v>17.243419112262924</v>
      </c>
      <c r="P12" s="32">
        <f t="shared" si="0"/>
        <v>0.82662603606246043</v>
      </c>
      <c r="Q12" t="s">
        <v>86</v>
      </c>
      <c r="S12" s="1"/>
    </row>
    <row r="13" spans="1:19" outlineLevel="1" x14ac:dyDescent="0.25">
      <c r="A13" t="s">
        <v>109</v>
      </c>
      <c r="B13" s="6" t="s">
        <v>94</v>
      </c>
      <c r="C13" s="4">
        <v>44984</v>
      </c>
      <c r="D13" s="28">
        <v>44951</v>
      </c>
      <c r="E13" t="s">
        <v>107</v>
      </c>
      <c r="F13" s="5" t="s">
        <v>95</v>
      </c>
      <c r="G13" t="s">
        <v>96</v>
      </c>
      <c r="H13" s="12">
        <f>[12]Main!$N$10</f>
        <v>34568.657999999996</v>
      </c>
      <c r="I13" s="13">
        <f>+[12]Main!$N$7</f>
        <v>31490.857999999997</v>
      </c>
      <c r="J13" s="13">
        <f>+[12]Main!$N$13</f>
        <v>56115.999003056495</v>
      </c>
      <c r="K13" s="13">
        <f>+SUM([12]Model!$L$15:$O$15)</f>
        <v>7318.0999999999985</v>
      </c>
      <c r="L13" s="30">
        <f t="shared" ref="L13:L26" si="1">K13/(J13/O13)</f>
        <v>21.261185357350374</v>
      </c>
      <c r="M13" s="31">
        <f t="shared" ref="M13:M25" si="2">H13/K13</f>
        <v>4.723720364575505</v>
      </c>
      <c r="N13" s="19">
        <f>[12]Main!$N$5</f>
        <v>91.49</v>
      </c>
      <c r="O13" s="19">
        <f>+[12]Main!$N$14</f>
        <v>163.0331173825</v>
      </c>
      <c r="P13" s="32">
        <f t="shared" si="0"/>
        <v>1.7819774552683354</v>
      </c>
    </row>
    <row r="14" spans="1:19" x14ac:dyDescent="0.25">
      <c r="A14" t="s">
        <v>110</v>
      </c>
      <c r="B14" s="6" t="s">
        <v>120</v>
      </c>
      <c r="C14" s="4">
        <v>44973</v>
      </c>
      <c r="D14" s="28">
        <v>44964</v>
      </c>
      <c r="E14" t="s">
        <v>119</v>
      </c>
      <c r="F14" s="26" t="s">
        <v>111</v>
      </c>
      <c r="G14" t="s">
        <v>116</v>
      </c>
      <c r="H14" s="12">
        <f>[13]Main!$N$9</f>
        <v>41885.595249999998</v>
      </c>
      <c r="I14" s="13">
        <f>+[13]Main!$N$6</f>
        <v>19321.628250000002</v>
      </c>
      <c r="J14" s="13">
        <f>[13]Main!$N$12</f>
        <v>17718.474111348907</v>
      </c>
      <c r="K14" s="13">
        <f>+[13]Model!$AA$27</f>
        <v>642.59899999999948</v>
      </c>
      <c r="L14" s="30">
        <f t="shared" si="1"/>
        <v>2.519294627770305</v>
      </c>
      <c r="M14" s="31">
        <f t="shared" si="2"/>
        <v>65.181544400162522</v>
      </c>
      <c r="N14" s="19">
        <f>[13]Main!$N$4</f>
        <v>75.75</v>
      </c>
      <c r="O14" s="19">
        <f>[13]Main!$N$13</f>
        <v>69.464871001991241</v>
      </c>
      <c r="P14" s="32">
        <f t="shared" si="0"/>
        <v>0.91702800002628704</v>
      </c>
    </row>
    <row r="15" spans="1:19" outlineLevel="1" x14ac:dyDescent="0.25">
      <c r="A15" t="s">
        <v>110</v>
      </c>
      <c r="B15" s="6" t="s">
        <v>120</v>
      </c>
      <c r="C15" s="4">
        <v>44972</v>
      </c>
      <c r="D15" s="28">
        <v>44916</v>
      </c>
      <c r="E15" t="s">
        <v>119</v>
      </c>
      <c r="F15" s="26" t="s">
        <v>112</v>
      </c>
      <c r="G15" t="s">
        <v>115</v>
      </c>
      <c r="H15" s="12">
        <f>[14]Main!$N$9</f>
        <v>43973.122093023252</v>
      </c>
      <c r="I15" s="13">
        <f>+[14]Main!$N$6</f>
        <v>14394.122093023256</v>
      </c>
      <c r="J15" s="13">
        <f>[14]Main!$N$12</f>
        <v>18848.439289507303</v>
      </c>
      <c r="K15" s="13">
        <f>+[14]Model!$Z$27</f>
        <v>-2103</v>
      </c>
      <c r="L15" s="30">
        <f t="shared" si="1"/>
        <v>-1.7809748892171344</v>
      </c>
      <c r="M15" s="31">
        <f t="shared" si="2"/>
        <v>-20.909710933439491</v>
      </c>
      <c r="N15" s="19">
        <f>[14]Main!$N$4</f>
        <v>12.19</v>
      </c>
      <c r="O15" s="19">
        <f>[14]Main!$N$13</f>
        <v>15.962243022133215</v>
      </c>
      <c r="P15" s="32">
        <f t="shared" si="0"/>
        <v>1.3094538984522737</v>
      </c>
    </row>
    <row r="16" spans="1:19" outlineLevel="1" x14ac:dyDescent="0.25">
      <c r="A16" t="s">
        <v>110</v>
      </c>
      <c r="B16" s="6" t="s">
        <v>120</v>
      </c>
      <c r="C16" s="4">
        <f>+[15]Main!$N$2</f>
        <v>44985</v>
      </c>
      <c r="D16" s="28">
        <v>44985</v>
      </c>
      <c r="E16" t="s">
        <v>119</v>
      </c>
      <c r="F16" s="26" t="s">
        <v>113</v>
      </c>
      <c r="G16" t="s">
        <v>117</v>
      </c>
      <c r="H16" s="12">
        <f>[15]Main!$N$9</f>
        <v>18224.220440000001</v>
      </c>
      <c r="I16" s="13">
        <f>+[15]Main!$N$6</f>
        <v>5320.9374400000006</v>
      </c>
      <c r="J16" s="13">
        <f>[15]Main!$N$12</f>
        <v>9564.1035156825055</v>
      </c>
      <c r="K16" s="13">
        <f>+SUM([15]Model!$G$26:$J$26)</f>
        <v>-802.42000000000019</v>
      </c>
      <c r="L16" s="30">
        <f t="shared" si="1"/>
        <v>-2.1957099349019975</v>
      </c>
      <c r="M16" s="31">
        <f t="shared" si="2"/>
        <v>-22.711573041549308</v>
      </c>
      <c r="N16" s="19">
        <f>[15]Main!$N$4</f>
        <v>14.56</v>
      </c>
      <c r="O16" s="19">
        <f>[15]Main!$N$13</f>
        <v>26.170829625152908</v>
      </c>
      <c r="P16" s="32">
        <f t="shared" si="0"/>
        <v>1.7974470896396229</v>
      </c>
    </row>
    <row r="17" spans="1:19" outlineLevel="1" x14ac:dyDescent="0.25">
      <c r="A17" t="s">
        <v>110</v>
      </c>
      <c r="B17" s="6" t="s">
        <v>121</v>
      </c>
      <c r="C17" s="4">
        <v>44972</v>
      </c>
      <c r="D17" s="28">
        <v>44867</v>
      </c>
      <c r="E17" t="s">
        <v>73</v>
      </c>
      <c r="F17" s="27" t="s">
        <v>114</v>
      </c>
      <c r="G17" t="s">
        <v>118</v>
      </c>
      <c r="H17" s="12">
        <f>[16]Main!$N$9</f>
        <v>1089.1226000000001</v>
      </c>
      <c r="I17" s="13">
        <f>+[16]Main!$N$6</f>
        <v>619.56560000000002</v>
      </c>
      <c r="J17" s="13">
        <f>[16]Main!$N$12</f>
        <v>473.84250172820322</v>
      </c>
      <c r="K17" s="13">
        <v>2</v>
      </c>
      <c r="L17" s="30">
        <f t="shared" si="1"/>
        <v>3.7703836365350178E-2</v>
      </c>
      <c r="M17" s="31">
        <f t="shared" si="2"/>
        <v>544.56130000000007</v>
      </c>
      <c r="N17" s="19">
        <f>[16]Main!$N$4</f>
        <v>11.68</v>
      </c>
      <c r="O17" s="19">
        <f>[16]Main!$N$13</f>
        <v>8.932840074054166</v>
      </c>
      <c r="P17" s="32">
        <f t="shared" si="0"/>
        <v>0.76479795154573338</v>
      </c>
    </row>
    <row r="18" spans="1:19" x14ac:dyDescent="0.25">
      <c r="A18" t="s">
        <v>122</v>
      </c>
      <c r="B18" s="6" t="s">
        <v>123</v>
      </c>
      <c r="C18" s="4">
        <v>44979</v>
      </c>
      <c r="D18" s="28">
        <v>44950</v>
      </c>
      <c r="E18" t="s">
        <v>119</v>
      </c>
      <c r="F18" s="5" t="s">
        <v>19</v>
      </c>
      <c r="G18" t="s">
        <v>21</v>
      </c>
      <c r="H18" s="12">
        <f>[17]Main!$N$10</f>
        <v>156055.80000000002</v>
      </c>
      <c r="I18" s="13">
        <f>+[17]Main!$N$7</f>
        <v>155536.80000000002</v>
      </c>
      <c r="J18" s="13">
        <f>[17]Main!$N$12</f>
        <v>134489.60313830531</v>
      </c>
      <c r="K18" s="13">
        <f>[17]Model!$X$28</f>
        <v>11119</v>
      </c>
      <c r="L18" s="30">
        <f t="shared" si="1"/>
        <v>12.138646288209607</v>
      </c>
      <c r="M18" s="31">
        <f t="shared" si="2"/>
        <v>14.035057109452291</v>
      </c>
      <c r="N18" s="19">
        <f>[17]Main!$N$5</f>
        <v>169.8</v>
      </c>
      <c r="O18" s="19">
        <f>[17]Main!$N$13</f>
        <v>146.82271084967829</v>
      </c>
      <c r="P18" s="32">
        <f t="shared" ref="P18:P28" si="3">O18/N18</f>
        <v>0.86468027591094387</v>
      </c>
      <c r="Q18" t="s">
        <v>135</v>
      </c>
    </row>
    <row r="19" spans="1:19" outlineLevel="1" x14ac:dyDescent="0.25">
      <c r="A19" t="s">
        <v>122</v>
      </c>
      <c r="B19" s="6" t="s">
        <v>123</v>
      </c>
      <c r="C19" s="4">
        <v>44980</v>
      </c>
      <c r="D19" s="28">
        <v>44972</v>
      </c>
      <c r="E19" t="s">
        <v>107</v>
      </c>
      <c r="F19" s="5" t="s">
        <v>17</v>
      </c>
      <c r="G19" t="s">
        <v>20</v>
      </c>
      <c r="H19" s="12">
        <f>[18]Main!$N$10</f>
        <v>99554.828000000009</v>
      </c>
      <c r="I19" s="13">
        <f>+[18]Main!$N$7</f>
        <v>94146.828000000009</v>
      </c>
      <c r="J19" s="13">
        <f>+[18]Main!$N$13</f>
        <v>95545.612738294119</v>
      </c>
      <c r="K19" s="13">
        <f>SUM([18]Model!$J$29:$M$29)</f>
        <v>1530.8109999999983</v>
      </c>
      <c r="L19" s="30">
        <f t="shared" si="1"/>
        <v>3.0186366146079791</v>
      </c>
      <c r="M19" s="31">
        <f t="shared" si="2"/>
        <v>65.034042739436885</v>
      </c>
      <c r="N19" s="19">
        <f>+[18]Main!$N$5</f>
        <v>185.65</v>
      </c>
      <c r="O19" s="19">
        <f>+[18]Main!$N$14</f>
        <v>188.40829140695323</v>
      </c>
      <c r="P19" s="32">
        <f t="shared" si="3"/>
        <v>1.0148574813194355</v>
      </c>
      <c r="Q19" t="s">
        <v>138</v>
      </c>
    </row>
    <row r="20" spans="1:19" outlineLevel="1" x14ac:dyDescent="0.25">
      <c r="A20" t="s">
        <v>122</v>
      </c>
      <c r="B20" s="6" t="s">
        <v>123</v>
      </c>
      <c r="C20" s="4">
        <v>44981</v>
      </c>
      <c r="D20" s="28">
        <v>44963</v>
      </c>
      <c r="E20" t="s">
        <v>119</v>
      </c>
      <c r="F20" s="5" t="s">
        <v>18</v>
      </c>
      <c r="G20" t="s">
        <v>127</v>
      </c>
      <c r="H20" s="12">
        <f>+[19]Main!$N$12</f>
        <v>34171.095999999998</v>
      </c>
      <c r="I20" s="13">
        <f>+[19]Main!$N$9</f>
        <v>33044.495999999999</v>
      </c>
      <c r="J20" s="13">
        <f>+[19]Main!$N$15</f>
        <v>35110.668973847663</v>
      </c>
      <c r="K20" s="13">
        <f>+[19]Model!$X$29</f>
        <v>2922.8000000000011</v>
      </c>
      <c r="L20" s="30">
        <f t="shared" si="1"/>
        <v>6.7469990766389687</v>
      </c>
      <c r="M20" s="31">
        <f t="shared" si="2"/>
        <v>11.691219378677975</v>
      </c>
      <c r="N20" s="19">
        <f>+[19]Main!$N$7</f>
        <v>76.28</v>
      </c>
      <c r="O20" s="19">
        <f>+[19]Main!$N$16</f>
        <v>81.049559034736063</v>
      </c>
      <c r="P20" s="32">
        <f t="shared" si="3"/>
        <v>1.0625269931140018</v>
      </c>
      <c r="Q20" t="s">
        <v>137</v>
      </c>
    </row>
    <row r="21" spans="1:19" outlineLevel="1" x14ac:dyDescent="0.25">
      <c r="A21" t="s">
        <v>122</v>
      </c>
      <c r="B21" s="6" t="s">
        <v>123</v>
      </c>
      <c r="C21" s="4">
        <v>44982</v>
      </c>
      <c r="D21" s="28">
        <v>44959</v>
      </c>
      <c r="E21" t="s">
        <v>129</v>
      </c>
      <c r="F21" s="26" t="s">
        <v>130</v>
      </c>
      <c r="G21" t="s">
        <v>131</v>
      </c>
      <c r="H21" s="12">
        <f>+[20]Main!$N$11</f>
        <v>50060.056000000004</v>
      </c>
      <c r="I21" s="13">
        <f>+[20]Main!$N$8</f>
        <v>43760.256000000008</v>
      </c>
      <c r="J21" s="13">
        <f>+[20]Main!$N$14</f>
        <v>49396.022818172591</v>
      </c>
      <c r="K21" s="13">
        <f>+SUM([20]Model!$F$28:$I$28)</f>
        <v>3890.6999999999989</v>
      </c>
      <c r="L21" s="30">
        <f t="shared" si="1"/>
        <v>7.0843044428259256</v>
      </c>
      <c r="M21" s="31">
        <f t="shared" si="2"/>
        <v>12.866593672089859</v>
      </c>
      <c r="N21" s="19">
        <f>+[20]Main!$N$6</f>
        <v>79.680000000000007</v>
      </c>
      <c r="O21" s="19">
        <f>+[20]Main!$N$15</f>
        <v>89.941774978464281</v>
      </c>
      <c r="P21" s="32">
        <f t="shared" si="3"/>
        <v>1.1287873365771119</v>
      </c>
      <c r="Q21" t="s">
        <v>136</v>
      </c>
    </row>
    <row r="22" spans="1:19" outlineLevel="1" x14ac:dyDescent="0.25">
      <c r="A22" t="s">
        <v>122</v>
      </c>
      <c r="B22" s="6" t="s">
        <v>123</v>
      </c>
      <c r="C22" s="4">
        <v>44983</v>
      </c>
      <c r="D22" s="28">
        <v>44895</v>
      </c>
      <c r="E22" t="s">
        <v>129</v>
      </c>
      <c r="F22" s="26" t="s">
        <v>133</v>
      </c>
      <c r="G22" t="s">
        <v>134</v>
      </c>
      <c r="H22" s="12">
        <f>+[21]Main!$N$11</f>
        <v>1828.46028</v>
      </c>
      <c r="I22" s="13">
        <f>+[21]Main!$N$8</f>
        <v>1946.07728</v>
      </c>
      <c r="J22" s="13">
        <f>+[21]Main!$N$14</f>
        <v>2173.7463596759726</v>
      </c>
      <c r="K22" s="13">
        <f>SUM([21]Model!$F$28:$I$28)</f>
        <v>226.52699999999987</v>
      </c>
      <c r="L22" s="30">
        <f t="shared" si="1"/>
        <v>3.5525845304560546</v>
      </c>
      <c r="M22" s="31">
        <f t="shared" si="2"/>
        <v>8.0717101272696024</v>
      </c>
      <c r="N22" s="19">
        <f>+[21]Main!$N$6</f>
        <v>30.52</v>
      </c>
      <c r="O22" s="19">
        <f>+[21]Main!$N$15</f>
        <v>34.090495572360147</v>
      </c>
      <c r="P22" s="32">
        <f t="shared" si="3"/>
        <v>1.1169887146906994</v>
      </c>
      <c r="Q22" t="s">
        <v>139</v>
      </c>
    </row>
    <row r="23" spans="1:19" x14ac:dyDescent="0.25">
      <c r="A23" t="s">
        <v>140</v>
      </c>
      <c r="B23" s="6" t="s">
        <v>141</v>
      </c>
      <c r="C23" s="4">
        <v>44991</v>
      </c>
      <c r="D23" s="28">
        <v>44958</v>
      </c>
      <c r="E23" t="s">
        <v>119</v>
      </c>
      <c r="F23" s="26" t="s">
        <v>142</v>
      </c>
      <c r="G23" t="str">
        <f>+[22]Main!$N$4</f>
        <v>Old Dominion Freight Line</v>
      </c>
      <c r="H23" s="12">
        <f>+[22]Main!$N$11</f>
        <v>39621.008000000002</v>
      </c>
      <c r="I23" s="13">
        <f>+[22]Main!$N$8</f>
        <v>39650.402999999998</v>
      </c>
      <c r="J23" s="13">
        <f>+[22]Main!$N$14</f>
        <v>34330.520064169796</v>
      </c>
      <c r="K23" s="13">
        <f>+[22]Model!$T$32</f>
        <v>2116.6350000000002</v>
      </c>
      <c r="L23" s="30">
        <f t="shared" si="1"/>
        <v>18.841329891401102</v>
      </c>
      <c r="M23" s="31">
        <f t="shared" si="2"/>
        <v>18.718866502727206</v>
      </c>
      <c r="N23" s="19">
        <f>+[22]Main!$N$6</f>
        <v>352.95</v>
      </c>
      <c r="O23" s="19">
        <f>+[22]Main!$N$15</f>
        <v>305.59480206667075</v>
      </c>
      <c r="P23" s="32">
        <f t="shared" si="3"/>
        <v>0.8658302934315647</v>
      </c>
      <c r="Q23" t="s">
        <v>145</v>
      </c>
    </row>
    <row r="24" spans="1:19" outlineLevel="1" x14ac:dyDescent="0.25">
      <c r="A24" t="s">
        <v>140</v>
      </c>
      <c r="B24" s="6" t="s">
        <v>141</v>
      </c>
      <c r="C24" s="4">
        <f>+[23]Main!$N$2</f>
        <v>44992</v>
      </c>
      <c r="D24" s="28">
        <f>+[23]Model!$J$1</f>
        <v>44595</v>
      </c>
      <c r="E24" t="s">
        <v>119</v>
      </c>
      <c r="F24" s="26" t="s">
        <v>143</v>
      </c>
      <c r="G24" t="str">
        <f>+[23]Main!$N$4</f>
        <v>Saia</v>
      </c>
      <c r="H24" s="12">
        <f>+[23]Main!$N$11</f>
        <v>7707.5203999999994</v>
      </c>
      <c r="I24" s="13">
        <f>+[23]Main!$N$8</f>
        <v>7658.1803999999993</v>
      </c>
      <c r="J24" s="13">
        <f>+[23]Main!$N$14</f>
        <v>7684.7281871497207</v>
      </c>
      <c r="K24" s="13">
        <f>+[23]Model!$T$28</f>
        <v>627.74999999999977</v>
      </c>
      <c r="L24" s="30">
        <f t="shared" si="1"/>
        <v>23.670814479638004</v>
      </c>
      <c r="M24" s="31">
        <f t="shared" si="2"/>
        <v>12.278009398645962</v>
      </c>
      <c r="N24" s="19">
        <f>+[23]Main!$N$6</f>
        <v>288.77</v>
      </c>
      <c r="O24" s="19">
        <f>+[23]Main!$N$15</f>
        <v>289.77104778090956</v>
      </c>
      <c r="P24" s="32">
        <f t="shared" si="3"/>
        <v>1.0034665920314076</v>
      </c>
      <c r="Q24" t="s">
        <v>146</v>
      </c>
    </row>
    <row r="25" spans="1:19" outlineLevel="1" x14ac:dyDescent="0.25">
      <c r="A25" t="s">
        <v>140</v>
      </c>
      <c r="B25" s="6" t="s">
        <v>141</v>
      </c>
      <c r="C25" s="4">
        <f>+[24]Main!$N$2</f>
        <v>44992</v>
      </c>
      <c r="D25" s="28">
        <f>+[24]Model!$J$1</f>
        <v>44605</v>
      </c>
      <c r="E25" t="s">
        <v>119</v>
      </c>
      <c r="F25" s="26" t="s">
        <v>144</v>
      </c>
      <c r="G25" t="str">
        <f>+[24]Main!$N$4</f>
        <v>P.A.M. Transportation Services</v>
      </c>
      <c r="H25" s="12">
        <f>+[24]Main!$N$11</f>
        <v>853.44364000000007</v>
      </c>
      <c r="I25" s="13">
        <f>+[24]Main!$N$8</f>
        <v>656.02864</v>
      </c>
      <c r="J25" s="13">
        <f>+[24]Main!$N$14</f>
        <v>970.90412687107221</v>
      </c>
      <c r="K25" s="13">
        <f>+[24]Model!$T$31</f>
        <v>186.68</v>
      </c>
      <c r="L25" s="30">
        <f t="shared" si="1"/>
        <v>8.320556248885719</v>
      </c>
      <c r="M25" s="31">
        <f t="shared" si="2"/>
        <v>4.571692950503536</v>
      </c>
      <c r="N25" s="19">
        <f>+[24]Main!$N$6</f>
        <v>29.24</v>
      </c>
      <c r="O25" s="19">
        <f>+[24]Main!$N$15</f>
        <v>43.274386114774124</v>
      </c>
      <c r="P25" s="32">
        <f t="shared" si="3"/>
        <v>1.4799721653479523</v>
      </c>
      <c r="Q25" s="29" t="s">
        <v>148</v>
      </c>
    </row>
    <row r="26" spans="1:19" outlineLevel="1" x14ac:dyDescent="0.25">
      <c r="A26" t="s">
        <v>140</v>
      </c>
      <c r="B26" s="6" t="s">
        <v>141</v>
      </c>
      <c r="C26" s="4">
        <f>+[25]Main!$N$2</f>
        <v>44992</v>
      </c>
      <c r="D26" s="28">
        <f>+[25]Model!$J$1</f>
        <v>44951</v>
      </c>
      <c r="E26" t="s">
        <v>119</v>
      </c>
      <c r="F26" s="26" t="s">
        <v>147</v>
      </c>
      <c r="G26" t="str">
        <f>+[25]Main!$N$4</f>
        <v>Covenant Logistics Group</v>
      </c>
      <c r="H26" s="12">
        <f>+[25]Main!$N$11</f>
        <v>635.8222199999999</v>
      </c>
      <c r="I26" s="13">
        <f>+[25]Main!$N$8</f>
        <v>530.76221999999996</v>
      </c>
      <c r="J26" s="13">
        <f>+[25]Main!$N$14</f>
        <v>675.0558523176453</v>
      </c>
      <c r="K26" s="13">
        <f>+[25]Model!$T$35</f>
        <v>178.19999999999982</v>
      </c>
      <c r="L26" s="30">
        <f t="shared" si="1"/>
        <v>11.875249900039972</v>
      </c>
      <c r="M26" s="31">
        <f>H26/K26</f>
        <v>3.5680259259259288</v>
      </c>
      <c r="N26" s="19">
        <f>+[25]Main!$N$6</f>
        <v>35.369999999999997</v>
      </c>
      <c r="O26" s="19">
        <f>+[25]Main!$N$15</f>
        <v>44.985729196164556</v>
      </c>
      <c r="P26" s="32">
        <f t="shared" si="3"/>
        <v>1.2718611590660038</v>
      </c>
      <c r="Q26" t="s">
        <v>149</v>
      </c>
    </row>
    <row r="27" spans="1:19" x14ac:dyDescent="0.25">
      <c r="A27" t="s">
        <v>140</v>
      </c>
      <c r="B27" s="6" t="s">
        <v>141</v>
      </c>
      <c r="C27" s="4">
        <f>+[26]Main!$N$2</f>
        <v>44993</v>
      </c>
      <c r="D27" s="28">
        <f>+[26]Model!$J$1</f>
        <v>44595</v>
      </c>
      <c r="E27" t="s">
        <v>119</v>
      </c>
      <c r="F27" s="26" t="s">
        <v>150</v>
      </c>
      <c r="G27" t="str">
        <f>+[26]Main!$N$4</f>
        <v>Heartland Express</v>
      </c>
      <c r="H27" s="12">
        <f>+[26]Main!$N$11</f>
        <v>1763.72066</v>
      </c>
      <c r="I27" s="13">
        <f>+[26]Main!$N$8</f>
        <v>1283.5806600000001</v>
      </c>
      <c r="J27" s="13">
        <f>+[26]Main!$N$14</f>
        <v>1294.1990734380452</v>
      </c>
      <c r="K27" s="13">
        <f>+[26]Main!$N$17</f>
        <v>321.39600000000002</v>
      </c>
      <c r="L27" s="30">
        <f t="shared" ref="L27:L28" si="4">K27/(J27/O27)</f>
        <v>4.0713444217833574</v>
      </c>
      <c r="M27" s="31">
        <f>H27/K27</f>
        <v>5.4876870278410435</v>
      </c>
      <c r="N27" s="19">
        <f>+[26]Main!$N$6</f>
        <v>16.260000000000002</v>
      </c>
      <c r="O27" s="19">
        <f>+[26]Main!$N$15</f>
        <v>16.394510754082734</v>
      </c>
      <c r="P27" s="32">
        <f t="shared" si="3"/>
        <v>1.008272494101029</v>
      </c>
      <c r="Q27" t="s">
        <v>153</v>
      </c>
    </row>
    <row r="28" spans="1:19" x14ac:dyDescent="0.25">
      <c r="A28" t="s">
        <v>140</v>
      </c>
      <c r="B28" s="6" t="s">
        <v>141</v>
      </c>
      <c r="C28" s="4">
        <f>+[27]Main!$N$2</f>
        <v>44993</v>
      </c>
      <c r="D28" s="28">
        <f>+[27]Model!$J$1</f>
        <v>0</v>
      </c>
      <c r="E28" t="s">
        <v>119</v>
      </c>
      <c r="F28" s="26" t="s">
        <v>151</v>
      </c>
      <c r="G28" t="str">
        <f>+[27]Main!$N$4</f>
        <v>ArcBest Corporation</v>
      </c>
      <c r="H28" s="12">
        <f>+[27]Main!$N$11</f>
        <v>2754.4777000000004</v>
      </c>
      <c r="I28" s="13">
        <f>+[27]Main!$N$8</f>
        <v>2498.3277000000003</v>
      </c>
      <c r="J28" s="13">
        <f>+[27]Main!$N$14</f>
        <v>3083.7037867156318</v>
      </c>
      <c r="K28" s="13">
        <f>+[27]Main!$N$17</f>
        <v>539.48500000000149</v>
      </c>
      <c r="L28" s="30">
        <f t="shared" si="4"/>
        <v>21.943664836282345</v>
      </c>
      <c r="M28" s="31">
        <f>H28/K28</f>
        <v>5.1057540061354674</v>
      </c>
      <c r="N28" s="19">
        <f>+[27]Main!$N$6</f>
        <v>101.62</v>
      </c>
      <c r="O28" s="19">
        <f>+[27]Main!$N$15</f>
        <v>125.4302943549169</v>
      </c>
      <c r="P28" s="32">
        <f t="shared" si="3"/>
        <v>1.2343071674366946</v>
      </c>
      <c r="Q28" t="s">
        <v>152</v>
      </c>
    </row>
    <row r="30" spans="1:19" x14ac:dyDescent="0.25">
      <c r="R30" s="24"/>
      <c r="S30" s="24"/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  <hyperlink ref="F22" r:id="rId21" xr:uid="{C57C69B0-2AD6-4678-BD43-7D4F057F81B0}"/>
    <hyperlink ref="F23" r:id="rId22" xr:uid="{7C4AE6AF-6F0A-4FAE-A5D5-4E5F41E85210}"/>
    <hyperlink ref="F24" r:id="rId23" xr:uid="{4633F666-AB4C-44FF-ACE3-52918E85357E}"/>
    <hyperlink ref="F25" r:id="rId24" xr:uid="{B7CF3F61-BFC6-41D5-8919-5EDA0850C31F}"/>
    <hyperlink ref="F26" r:id="rId25" xr:uid="{2F373320-D823-4882-B676-2DA2483444D3}"/>
    <hyperlink ref="F27" r:id="rId26" xr:uid="{3EE9ACF3-C9F0-41B1-A950-5743DB0F0BEE}"/>
    <hyperlink ref="F28" r:id="rId27" xr:uid="{3B7812D1-B655-48B8-B61A-D17304EE6F0F}"/>
  </hyperlinks>
  <pageMargins left="0.7" right="0.7" top="0.75" bottom="0.75" header="0.3" footer="0.3"/>
  <pageSetup orientation="portrait" horizontalDpi="1200" verticalDpi="120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9"/>
  <sheetViews>
    <sheetView workbookViewId="0">
      <selection activeCell="C13" sqref="C13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44776</v>
      </c>
      <c r="B2" s="5" t="s">
        <v>88</v>
      </c>
      <c r="C2" t="s">
        <v>89</v>
      </c>
      <c r="D2" t="s">
        <v>22</v>
      </c>
      <c r="E2" s="22">
        <v>44858</v>
      </c>
      <c r="F2" s="6" t="s">
        <v>90</v>
      </c>
      <c r="G2" s="12">
        <f>[9]Main!$N$8</f>
        <v>6531.1078800000005</v>
      </c>
      <c r="H2" s="13">
        <f>[9]Main!$N$18</f>
        <v>8831.5667844635373</v>
      </c>
      <c r="I2" s="19">
        <f>[9]Main!$N$3</f>
        <v>260.32</v>
      </c>
      <c r="J2" s="19">
        <f>[9]Main!$N$19</f>
        <v>357.06180902658434</v>
      </c>
      <c r="K2" s="14">
        <f t="shared" ref="K2" si="0">J2/I2</f>
        <v>1.3716264944168115</v>
      </c>
    </row>
    <row r="3" spans="1:14" x14ac:dyDescent="0.25">
      <c r="A3" s="4"/>
      <c r="B3" s="5"/>
      <c r="E3" s="22"/>
      <c r="I3" s="19"/>
      <c r="K3" s="14"/>
    </row>
    <row r="4" spans="1:14" x14ac:dyDescent="0.25">
      <c r="A4" s="4"/>
      <c r="B4" s="5"/>
      <c r="E4" s="22"/>
      <c r="I4" s="19"/>
      <c r="K4" s="14"/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  <c r="N9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48576 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B2" sqref="B2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44902</v>
      </c>
      <c r="B2" s="5" t="s">
        <v>13</v>
      </c>
      <c r="C2" t="s">
        <v>15</v>
      </c>
      <c r="D2" t="s">
        <v>73</v>
      </c>
      <c r="E2" s="22"/>
      <c r="F2" s="6" t="s">
        <v>28</v>
      </c>
      <c r="I2" s="23"/>
      <c r="J2" s="24"/>
      <c r="K2" s="14"/>
      <c r="L2" t="s">
        <v>43</v>
      </c>
    </row>
    <row r="3" spans="1:14" x14ac:dyDescent="0.25">
      <c r="A3" s="4"/>
      <c r="B3" s="5" t="s">
        <v>34</v>
      </c>
      <c r="C3" t="s">
        <v>35</v>
      </c>
      <c r="D3" t="s">
        <v>5</v>
      </c>
      <c r="E3" s="22"/>
      <c r="F3" s="6" t="s">
        <v>33</v>
      </c>
      <c r="I3" s="19"/>
      <c r="J3" s="25"/>
      <c r="K3" s="14"/>
      <c r="L3" t="s">
        <v>39</v>
      </c>
    </row>
    <row r="4" spans="1:14" x14ac:dyDescent="0.25">
      <c r="A4" s="4">
        <v>44902</v>
      </c>
      <c r="B4" s="5" t="s">
        <v>2</v>
      </c>
      <c r="C4" t="s">
        <v>3</v>
      </c>
      <c r="D4" t="s">
        <v>22</v>
      </c>
      <c r="E4" s="22" t="s">
        <v>26</v>
      </c>
      <c r="F4" s="6" t="s">
        <v>28</v>
      </c>
      <c r="I4" s="23"/>
      <c r="J4" s="25"/>
      <c r="K4" s="14"/>
      <c r="L4" t="s">
        <v>37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26</v>
      </c>
      <c r="F5" s="6" t="s">
        <v>29</v>
      </c>
      <c r="I5" s="19"/>
      <c r="K5" s="14"/>
      <c r="L5" t="s">
        <v>38</v>
      </c>
    </row>
    <row r="6" spans="1:14" x14ac:dyDescent="0.25">
      <c r="A6" s="4">
        <v>44789</v>
      </c>
      <c r="B6" s="5" t="s">
        <v>105</v>
      </c>
      <c r="C6" t="s">
        <v>106</v>
      </c>
      <c r="D6" t="s">
        <v>107</v>
      </c>
      <c r="E6" s="22"/>
      <c r="F6" s="6" t="s">
        <v>30</v>
      </c>
      <c r="G6" s="12">
        <f>+[28]Main!$J$8</f>
        <v>87517.207200000004</v>
      </c>
      <c r="H6" s="13">
        <f>+[28]Main!$J$18</f>
        <v>74903.518611460153</v>
      </c>
      <c r="I6" s="23">
        <f>+[28]Main!$J$3</f>
        <v>67.2</v>
      </c>
      <c r="J6" s="23">
        <f>+[28]Main!$J$19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40</v>
      </c>
      <c r="C8" t="s">
        <v>41</v>
      </c>
      <c r="D8" t="s">
        <v>5</v>
      </c>
      <c r="E8" s="22"/>
      <c r="F8" s="6" t="s">
        <v>30</v>
      </c>
      <c r="I8" s="19"/>
      <c r="K8" s="14"/>
      <c r="L8" t="s">
        <v>42</v>
      </c>
    </row>
    <row r="9" spans="1:14" x14ac:dyDescent="0.25">
      <c r="A9" s="4"/>
      <c r="B9" s="5" t="s">
        <v>23</v>
      </c>
      <c r="C9" t="s">
        <v>24</v>
      </c>
      <c r="D9" t="s">
        <v>5</v>
      </c>
      <c r="E9" s="22"/>
      <c r="F9" s="6" t="s">
        <v>30</v>
      </c>
      <c r="I9" s="19"/>
      <c r="K9" s="14"/>
      <c r="L9" t="s">
        <v>25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31</v>
      </c>
      <c r="F10" s="6" t="s">
        <v>27</v>
      </c>
      <c r="I10" s="19"/>
      <c r="K10" s="14"/>
      <c r="L10" t="s">
        <v>32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44777</v>
      </c>
      <c r="B2" s="5" t="s">
        <v>91</v>
      </c>
      <c r="C2" t="s">
        <v>92</v>
      </c>
      <c r="D2" t="s">
        <v>22</v>
      </c>
      <c r="E2" s="22">
        <v>44869</v>
      </c>
      <c r="F2" s="6" t="s">
        <v>93</v>
      </c>
      <c r="G2" s="12">
        <f>[29]Main!$O$8</f>
        <v>506.71814999999992</v>
      </c>
      <c r="H2" s="13">
        <f>[29]Main!$O$18</f>
        <v>541.46267091390234</v>
      </c>
      <c r="I2" s="23">
        <f>[29]Main!$O$3</f>
        <v>18.149999999999999</v>
      </c>
      <c r="J2" s="24">
        <f>[29]Main!$O$19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97</v>
      </c>
      <c r="C3" t="s">
        <v>98</v>
      </c>
      <c r="D3" t="s">
        <v>22</v>
      </c>
      <c r="E3" s="22">
        <v>44868</v>
      </c>
      <c r="F3" s="6" t="s">
        <v>99</v>
      </c>
      <c r="G3" s="12">
        <f>+[30]Main!$N$8</f>
        <v>217.09325999999999</v>
      </c>
      <c r="H3" s="13">
        <f>+[30]Main!$N$18</f>
        <v>42.225188935657137</v>
      </c>
      <c r="I3" s="19">
        <f>+[30]Main!$N$3</f>
        <v>4.43</v>
      </c>
      <c r="J3" s="25">
        <f>+[30]Main!$N$19</f>
        <v>0.9450156424434254</v>
      </c>
      <c r="K3" s="14">
        <f t="shared" si="0"/>
        <v>0.21332181544998316</v>
      </c>
      <c r="L3" t="s">
        <v>100</v>
      </c>
    </row>
    <row r="4" spans="1:14" x14ac:dyDescent="0.25">
      <c r="A4" s="4">
        <v>44779</v>
      </c>
      <c r="B4" s="5" t="s">
        <v>102</v>
      </c>
      <c r="C4" t="s">
        <v>103</v>
      </c>
      <c r="D4" t="s">
        <v>22</v>
      </c>
      <c r="E4" s="22">
        <v>44832</v>
      </c>
      <c r="F4" s="6" t="s">
        <v>104</v>
      </c>
      <c r="G4" s="12">
        <f>[31]Main!$J$8</f>
        <v>3802.98</v>
      </c>
      <c r="H4" s="13">
        <f>[31]Main!$J$18</f>
        <v>218.76521315251679</v>
      </c>
      <c r="I4" s="23">
        <f>[31]Main!$J$3</f>
        <v>8.1999999999999993</v>
      </c>
      <c r="J4" s="25">
        <f>[31]Main!$J$19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101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2023-03-09T21:49:13Z</dcterms:modified>
</cp:coreProperties>
</file>