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ain\investingModels\DCF Models\"/>
    </mc:Choice>
  </mc:AlternateContent>
  <xr:revisionPtr revIDLastSave="0" documentId="13_ncr:1_{E183D189-48D6-4C5C-95D1-FABA77C52773}" xr6:coauthVersionLast="47" xr6:coauthVersionMax="47" xr10:uidLastSave="{00000000-0000-0000-0000-000000000000}"/>
  <bookViews>
    <workbookView xWindow="27495" yWindow="3135" windowWidth="24615" windowHeight="14820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2" l="1"/>
  <c r="K49" i="2"/>
  <c r="K48" i="2"/>
  <c r="K24" i="2"/>
  <c r="K21" i="2"/>
  <c r="K25" i="2" s="1"/>
  <c r="K27" i="2" s="1"/>
  <c r="K29" i="2" s="1"/>
  <c r="K10" i="2"/>
  <c r="K47" i="2" s="1"/>
  <c r="U53" i="2"/>
  <c r="U24" i="2"/>
  <c r="T24" i="2"/>
  <c r="S24" i="2"/>
  <c r="R24" i="2"/>
  <c r="R53" i="2" s="1"/>
  <c r="Q24" i="2"/>
  <c r="Q53" i="2" s="1"/>
  <c r="P24" i="2"/>
  <c r="O24" i="2"/>
  <c r="O53" i="2" s="1"/>
  <c r="N24" i="2"/>
  <c r="J24" i="2"/>
  <c r="I24" i="2"/>
  <c r="H24" i="2"/>
  <c r="G24" i="2"/>
  <c r="E24" i="2"/>
  <c r="D24" i="2"/>
  <c r="C24" i="2"/>
  <c r="T37" i="2"/>
  <c r="U35" i="2"/>
  <c r="T35" i="2"/>
  <c r="F26" i="2"/>
  <c r="F23" i="2"/>
  <c r="F22" i="2"/>
  <c r="F24" i="2" s="1"/>
  <c r="F20" i="2"/>
  <c r="F50" i="2" s="1"/>
  <c r="F19" i="2"/>
  <c r="F18" i="2"/>
  <c r="F17" i="2"/>
  <c r="F16" i="2"/>
  <c r="F15" i="2"/>
  <c r="F14" i="2"/>
  <c r="F13" i="2"/>
  <c r="F12" i="2"/>
  <c r="F11" i="2"/>
  <c r="F9" i="2"/>
  <c r="F8" i="2"/>
  <c r="J26" i="2"/>
  <c r="J23" i="2"/>
  <c r="J22" i="2"/>
  <c r="J20" i="2"/>
  <c r="J19" i="2"/>
  <c r="J18" i="2"/>
  <c r="J17" i="2"/>
  <c r="J16" i="2"/>
  <c r="J15" i="2"/>
  <c r="J14" i="2"/>
  <c r="J13" i="2"/>
  <c r="J12" i="2"/>
  <c r="J11" i="2"/>
  <c r="J9" i="2"/>
  <c r="J8" i="2"/>
  <c r="J5" i="2"/>
  <c r="J3" i="2"/>
  <c r="J6" i="2" s="1"/>
  <c r="N33" i="2"/>
  <c r="N5" i="2"/>
  <c r="O5" i="2"/>
  <c r="N3" i="2"/>
  <c r="N6" i="2" s="1"/>
  <c r="O3" i="2"/>
  <c r="P5" i="2"/>
  <c r="Q5" i="2"/>
  <c r="P3" i="2"/>
  <c r="Q3" i="2"/>
  <c r="S20" i="2"/>
  <c r="S50" i="2" s="1"/>
  <c r="S5" i="2"/>
  <c r="R5" i="2"/>
  <c r="N10" i="2"/>
  <c r="N21" i="2" s="1"/>
  <c r="N25" i="2" s="1"/>
  <c r="N27" i="2" s="1"/>
  <c r="N29" i="2" s="1"/>
  <c r="I10" i="2"/>
  <c r="I21" i="2" s="1"/>
  <c r="I25" i="2" s="1"/>
  <c r="I27" i="2" s="1"/>
  <c r="I29" i="2" s="1"/>
  <c r="H10" i="2"/>
  <c r="H21" i="2" s="1"/>
  <c r="H25" i="2" s="1"/>
  <c r="H27" i="2" s="1"/>
  <c r="H29" i="2" s="1"/>
  <c r="G10" i="2"/>
  <c r="G21" i="2" s="1"/>
  <c r="G25" i="2" s="1"/>
  <c r="G27" i="2" s="1"/>
  <c r="G29" i="2" s="1"/>
  <c r="F10" i="2"/>
  <c r="F44" i="2" s="1"/>
  <c r="E10" i="2"/>
  <c r="E21" i="2" s="1"/>
  <c r="E25" i="2" s="1"/>
  <c r="E27" i="2" s="1"/>
  <c r="E29" i="2" s="1"/>
  <c r="D10" i="2"/>
  <c r="D21" i="2" s="1"/>
  <c r="D25" i="2" s="1"/>
  <c r="D27" i="2" s="1"/>
  <c r="D29" i="2" s="1"/>
  <c r="C10" i="2"/>
  <c r="C21" i="2" s="1"/>
  <c r="C25" i="2" s="1"/>
  <c r="C27" i="2" s="1"/>
  <c r="C29" i="2" s="1"/>
  <c r="I6" i="2"/>
  <c r="H6" i="2"/>
  <c r="G6" i="2"/>
  <c r="F6" i="2"/>
  <c r="E6" i="2"/>
  <c r="D6" i="2"/>
  <c r="C6" i="2"/>
  <c r="O10" i="2"/>
  <c r="O21" i="2" s="1"/>
  <c r="O25" i="2" s="1"/>
  <c r="O27" i="2" s="1"/>
  <c r="O29" i="2" s="1"/>
  <c r="P10" i="2"/>
  <c r="P21" i="2" s="1"/>
  <c r="P25" i="2" s="1"/>
  <c r="P27" i="2" s="1"/>
  <c r="P29" i="2" s="1"/>
  <c r="P6" i="2"/>
  <c r="Q10" i="2"/>
  <c r="Q21" i="2" s="1"/>
  <c r="Q25" i="2" s="1"/>
  <c r="Q27" i="2" s="1"/>
  <c r="Q29" i="2" s="1"/>
  <c r="Q6" i="2"/>
  <c r="R10" i="2"/>
  <c r="R21" i="2" s="1"/>
  <c r="R25" i="2" s="1"/>
  <c r="R27" i="2" s="1"/>
  <c r="R29" i="2" s="1"/>
  <c r="R3" i="2"/>
  <c r="R6" i="2" s="1"/>
  <c r="S3" i="2"/>
  <c r="T10" i="2"/>
  <c r="T21" i="2" s="1"/>
  <c r="T25" i="2" s="1"/>
  <c r="T27" i="2" s="1"/>
  <c r="T29" i="2" s="1"/>
  <c r="S10" i="2"/>
  <c r="U10" i="2"/>
  <c r="U21" i="2" s="1"/>
  <c r="U25" i="2" s="1"/>
  <c r="U27" i="2" s="1"/>
  <c r="U29" i="2" s="1"/>
  <c r="T5" i="2"/>
  <c r="T3" i="2"/>
  <c r="T6" i="2" s="1"/>
  <c r="U5" i="2"/>
  <c r="U3" i="2"/>
  <c r="N8" i="1"/>
  <c r="N11" i="1" s="1"/>
  <c r="S53" i="2" l="1"/>
  <c r="C35" i="2"/>
  <c r="C47" i="2"/>
  <c r="Q35" i="2"/>
  <c r="C48" i="2"/>
  <c r="J10" i="2"/>
  <c r="J45" i="2" s="1"/>
  <c r="Q37" i="2"/>
  <c r="J44" i="2"/>
  <c r="K43" i="2"/>
  <c r="K44" i="2"/>
  <c r="U37" i="2"/>
  <c r="K45" i="2"/>
  <c r="S21" i="2"/>
  <c r="C41" i="2"/>
  <c r="V10" i="2"/>
  <c r="V14" i="2" s="1"/>
  <c r="K46" i="2"/>
  <c r="J49" i="2"/>
  <c r="C43" i="2"/>
  <c r="J50" i="2"/>
  <c r="C44" i="2"/>
  <c r="C45" i="2"/>
  <c r="C49" i="2"/>
  <c r="K35" i="2"/>
  <c r="C50" i="2"/>
  <c r="K37" i="2"/>
  <c r="C52" i="2"/>
  <c r="K39" i="2"/>
  <c r="J42" i="2"/>
  <c r="C37" i="2"/>
  <c r="K41" i="2"/>
  <c r="K42" i="2"/>
  <c r="O6" i="2"/>
  <c r="P53" i="2" s="1"/>
  <c r="J48" i="2"/>
  <c r="F49" i="2"/>
  <c r="C42" i="2"/>
  <c r="C46" i="2"/>
  <c r="K52" i="2"/>
  <c r="J39" i="2"/>
  <c r="J47" i="2"/>
  <c r="J46" i="2"/>
  <c r="D46" i="2"/>
  <c r="E43" i="2"/>
  <c r="G44" i="2"/>
  <c r="G45" i="2"/>
  <c r="G46" i="2"/>
  <c r="G47" i="2"/>
  <c r="G48" i="2"/>
  <c r="G49" i="2"/>
  <c r="G50" i="2"/>
  <c r="G52" i="2"/>
  <c r="F21" i="2"/>
  <c r="E49" i="2"/>
  <c r="F46" i="2"/>
  <c r="H43" i="2"/>
  <c r="H49" i="2"/>
  <c r="H52" i="2"/>
  <c r="D41" i="2"/>
  <c r="D50" i="2"/>
  <c r="E42" i="2"/>
  <c r="E45" i="2"/>
  <c r="G42" i="2"/>
  <c r="H41" i="2"/>
  <c r="H42" i="2"/>
  <c r="H44" i="2"/>
  <c r="H46" i="2"/>
  <c r="H47" i="2"/>
  <c r="H48" i="2"/>
  <c r="H50" i="2"/>
  <c r="U6" i="2"/>
  <c r="V24" i="2" s="1"/>
  <c r="D35" i="2"/>
  <c r="D37" i="2"/>
  <c r="H39" i="2"/>
  <c r="I41" i="2"/>
  <c r="I42" i="2"/>
  <c r="I43" i="2"/>
  <c r="I44" i="2"/>
  <c r="I45" i="2"/>
  <c r="I46" i="2"/>
  <c r="I47" i="2"/>
  <c r="I48" i="2"/>
  <c r="I49" i="2"/>
  <c r="I50" i="2"/>
  <c r="I52" i="2"/>
  <c r="D42" i="2"/>
  <c r="E44" i="2"/>
  <c r="G43" i="2"/>
  <c r="H45" i="2"/>
  <c r="E35" i="2"/>
  <c r="E37" i="2"/>
  <c r="I39" i="2"/>
  <c r="R35" i="2"/>
  <c r="D49" i="2"/>
  <c r="E46" i="2"/>
  <c r="F45" i="2"/>
  <c r="G41" i="2"/>
  <c r="G39" i="2"/>
  <c r="N41" i="2"/>
  <c r="N42" i="2"/>
  <c r="N43" i="2"/>
  <c r="N44" i="2"/>
  <c r="N45" i="2"/>
  <c r="N46" i="2"/>
  <c r="N47" i="2"/>
  <c r="N48" i="2"/>
  <c r="N49" i="2"/>
  <c r="N50" i="2"/>
  <c r="N52" i="2"/>
  <c r="D45" i="2"/>
  <c r="E47" i="2"/>
  <c r="F48" i="2"/>
  <c r="G35" i="2"/>
  <c r="G37" i="2"/>
  <c r="O39" i="2"/>
  <c r="O41" i="2"/>
  <c r="O42" i="2"/>
  <c r="O43" i="2"/>
  <c r="O44" i="2"/>
  <c r="O45" i="2"/>
  <c r="O46" i="2"/>
  <c r="O47" i="2"/>
  <c r="O48" i="2"/>
  <c r="O49" i="2"/>
  <c r="O50" i="2"/>
  <c r="O52" i="2"/>
  <c r="D44" i="2"/>
  <c r="E50" i="2"/>
  <c r="F41" i="2"/>
  <c r="P39" i="2"/>
  <c r="P41" i="2"/>
  <c r="P42" i="2"/>
  <c r="P44" i="2"/>
  <c r="P45" i="2"/>
  <c r="P46" i="2"/>
  <c r="P47" i="2"/>
  <c r="P48" i="2"/>
  <c r="P49" i="2"/>
  <c r="P50" i="2"/>
  <c r="P52" i="2"/>
  <c r="I35" i="2"/>
  <c r="I37" i="2"/>
  <c r="Q39" i="2"/>
  <c r="Q41" i="2"/>
  <c r="Q42" i="2"/>
  <c r="Q43" i="2"/>
  <c r="Q44" i="2"/>
  <c r="Q45" i="2"/>
  <c r="Q46" i="2"/>
  <c r="Q47" i="2"/>
  <c r="Q48" i="2"/>
  <c r="Q49" i="2"/>
  <c r="Q50" i="2"/>
  <c r="Q52" i="2"/>
  <c r="D47" i="2"/>
  <c r="E41" i="2"/>
  <c r="E52" i="2"/>
  <c r="F47" i="2"/>
  <c r="R52" i="2"/>
  <c r="D43" i="2"/>
  <c r="D52" i="2"/>
  <c r="F43" i="2"/>
  <c r="R42" i="2"/>
  <c r="R43" i="2"/>
  <c r="R44" i="2"/>
  <c r="R45" i="2"/>
  <c r="R46" i="2"/>
  <c r="R49" i="2"/>
  <c r="N35" i="2"/>
  <c r="N37" i="2"/>
  <c r="S39" i="2"/>
  <c r="S41" i="2"/>
  <c r="S42" i="2"/>
  <c r="S43" i="2"/>
  <c r="S44" i="2"/>
  <c r="S45" i="2"/>
  <c r="S46" i="2"/>
  <c r="S47" i="2"/>
  <c r="S48" i="2"/>
  <c r="S49" i="2"/>
  <c r="D48" i="2"/>
  <c r="H37" i="2"/>
  <c r="P43" i="2"/>
  <c r="R39" i="2"/>
  <c r="R48" i="2"/>
  <c r="R50" i="2"/>
  <c r="S6" i="2"/>
  <c r="T53" i="2" s="1"/>
  <c r="O35" i="2"/>
  <c r="O37" i="2"/>
  <c r="T39" i="2"/>
  <c r="T41" i="2"/>
  <c r="T42" i="2"/>
  <c r="T43" i="2"/>
  <c r="T44" i="2"/>
  <c r="T45" i="2"/>
  <c r="T46" i="2"/>
  <c r="T47" i="2"/>
  <c r="T48" i="2"/>
  <c r="T49" i="2"/>
  <c r="T50" i="2"/>
  <c r="T52" i="2"/>
  <c r="R37" i="2"/>
  <c r="E48" i="2"/>
  <c r="F42" i="2"/>
  <c r="H35" i="2"/>
  <c r="R41" i="2"/>
  <c r="R47" i="2"/>
  <c r="P35" i="2"/>
  <c r="P37" i="2"/>
  <c r="U39" i="2"/>
  <c r="U41" i="2"/>
  <c r="U42" i="2"/>
  <c r="U43" i="2"/>
  <c r="U44" i="2"/>
  <c r="U45" i="2"/>
  <c r="U46" i="2"/>
  <c r="U47" i="2"/>
  <c r="U48" i="2"/>
  <c r="U49" i="2"/>
  <c r="U50" i="2"/>
  <c r="U52" i="2"/>
  <c r="J21" i="2"/>
  <c r="S25" i="2" l="1"/>
  <c r="S37" i="2"/>
  <c r="S35" i="2"/>
  <c r="V13" i="2"/>
  <c r="V12" i="2"/>
  <c r="V18" i="2"/>
  <c r="V15" i="2"/>
  <c r="J41" i="2"/>
  <c r="V20" i="2"/>
  <c r="V19" i="2"/>
  <c r="V16" i="2"/>
  <c r="V17" i="2"/>
  <c r="V11" i="2"/>
  <c r="J43" i="2"/>
  <c r="W10" i="2"/>
  <c r="W13" i="2" s="1"/>
  <c r="J25" i="2"/>
  <c r="J37" i="2"/>
  <c r="J35" i="2"/>
  <c r="F25" i="2"/>
  <c r="F37" i="2"/>
  <c r="F35" i="2"/>
  <c r="V21" i="2" l="1"/>
  <c r="V25" i="2" s="1"/>
  <c r="V26" i="2" s="1"/>
  <c r="V27" i="2" s="1"/>
  <c r="V6" i="2" s="1"/>
  <c r="W24" i="2" s="1"/>
  <c r="X10" i="2"/>
  <c r="X20" i="2" s="1"/>
  <c r="W17" i="2"/>
  <c r="W18" i="2"/>
  <c r="W20" i="2"/>
  <c r="W12" i="2"/>
  <c r="W15" i="2"/>
  <c r="W19" i="2"/>
  <c r="W11" i="2"/>
  <c r="W14" i="2"/>
  <c r="W16" i="2"/>
  <c r="S27" i="2"/>
  <c r="S29" i="2" s="1"/>
  <c r="S52" i="2"/>
  <c r="X16" i="2"/>
  <c r="X19" i="2"/>
  <c r="X17" i="2"/>
  <c r="X18" i="2"/>
  <c r="X12" i="2"/>
  <c r="X15" i="2"/>
  <c r="X14" i="2"/>
  <c r="Y10" i="2"/>
  <c r="F52" i="2"/>
  <c r="F27" i="2"/>
  <c r="F29" i="2" s="1"/>
  <c r="J27" i="2"/>
  <c r="J29" i="2" s="1"/>
  <c r="J52" i="2"/>
  <c r="V37" i="2" l="1"/>
  <c r="X11" i="2"/>
  <c r="X13" i="2"/>
  <c r="W21" i="2"/>
  <c r="W37" i="2" s="1"/>
  <c r="X21" i="2"/>
  <c r="X37" i="2" s="1"/>
  <c r="Y17" i="2"/>
  <c r="Y13" i="2"/>
  <c r="Y11" i="2"/>
  <c r="Y15" i="2"/>
  <c r="Y18" i="2"/>
  <c r="Y19" i="2"/>
  <c r="Y14" i="2"/>
  <c r="Y16" i="2"/>
  <c r="Y12" i="2"/>
  <c r="Y20" i="2"/>
  <c r="Z10" i="2"/>
  <c r="W25" i="2" l="1"/>
  <c r="W26" i="2" s="1"/>
  <c r="W27" i="2" s="1"/>
  <c r="Y21" i="2"/>
  <c r="Y37" i="2" s="1"/>
  <c r="Z18" i="2"/>
  <c r="Z13" i="2"/>
  <c r="Z16" i="2"/>
  <c r="Z14" i="2"/>
  <c r="Z12" i="2"/>
  <c r="Z15" i="2"/>
  <c r="Z20" i="2"/>
  <c r="Z19" i="2"/>
  <c r="Z11" i="2"/>
  <c r="Z17" i="2"/>
  <c r="AA10" i="2"/>
  <c r="W6" i="2" l="1"/>
  <c r="X24" i="2" s="1"/>
  <c r="X25" i="2" s="1"/>
  <c r="X26" i="2" s="1"/>
  <c r="X27" i="2" s="1"/>
  <c r="AA12" i="2"/>
  <c r="AA19" i="2"/>
  <c r="AA15" i="2"/>
  <c r="AA13" i="2"/>
  <c r="AA11" i="2"/>
  <c r="AA14" i="2"/>
  <c r="AA17" i="2"/>
  <c r="AA18" i="2"/>
  <c r="AA16" i="2"/>
  <c r="AA20" i="2"/>
  <c r="AB10" i="2"/>
  <c r="Z21" i="2"/>
  <c r="Z37" i="2" s="1"/>
  <c r="X6" i="2" l="1"/>
  <c r="Y24" i="2" s="1"/>
  <c r="Y25" i="2" s="1"/>
  <c r="Y26" i="2" s="1"/>
  <c r="Y27" i="2" s="1"/>
  <c r="Y6" i="2" s="1"/>
  <c r="Z24" i="2" s="1"/>
  <c r="AA21" i="2"/>
  <c r="AA37" i="2" s="1"/>
  <c r="AB11" i="2"/>
  <c r="AB14" i="2"/>
  <c r="AB15" i="2"/>
  <c r="AB18" i="2"/>
  <c r="AB13" i="2"/>
  <c r="AB12" i="2"/>
  <c r="AC10" i="2"/>
  <c r="AB17" i="2"/>
  <c r="AB16" i="2"/>
  <c r="AB19" i="2"/>
  <c r="AB20" i="2"/>
  <c r="AB21" i="2" l="1"/>
  <c r="AB37" i="2" s="1"/>
  <c r="Z25" i="2"/>
  <c r="Z26" i="2" s="1"/>
  <c r="Z27" i="2" s="1"/>
  <c r="Z6" i="2" s="1"/>
  <c r="AA24" i="2" s="1"/>
  <c r="AC19" i="2"/>
  <c r="AC16" i="2"/>
  <c r="AD10" i="2"/>
  <c r="AC11" i="2"/>
  <c r="AC14" i="2"/>
  <c r="AC12" i="2"/>
  <c r="AC20" i="2"/>
  <c r="AC15" i="2"/>
  <c r="AC17" i="2"/>
  <c r="AC13" i="2"/>
  <c r="AC18" i="2"/>
  <c r="AC21" i="2" l="1"/>
  <c r="AC37" i="2" s="1"/>
  <c r="AA25" i="2"/>
  <c r="AA26" i="2" s="1"/>
  <c r="AA27" i="2" s="1"/>
  <c r="AA6" i="2" s="1"/>
  <c r="AD13" i="2"/>
  <c r="AD14" i="2"/>
  <c r="AE10" i="2"/>
  <c r="AD19" i="2"/>
  <c r="AD15" i="2"/>
  <c r="AD17" i="2"/>
  <c r="AD20" i="2"/>
  <c r="AD18" i="2"/>
  <c r="AD16" i="2"/>
  <c r="AD12" i="2"/>
  <c r="AD11" i="2"/>
  <c r="AD21" i="2" l="1"/>
  <c r="AD37" i="2" s="1"/>
  <c r="AB24" i="2"/>
  <c r="AB25" i="2" s="1"/>
  <c r="AB26" i="2" s="1"/>
  <c r="AB27" i="2" s="1"/>
  <c r="AB6" i="2" s="1"/>
  <c r="AE14" i="2"/>
  <c r="AE13" i="2"/>
  <c r="AE16" i="2"/>
  <c r="AE19" i="2"/>
  <c r="AE17" i="2"/>
  <c r="AE12" i="2"/>
  <c r="AE20" i="2"/>
  <c r="AE18" i="2"/>
  <c r="AE15" i="2"/>
  <c r="AE11" i="2"/>
  <c r="AE21" i="2" l="1"/>
  <c r="AE37" i="2" s="1"/>
  <c r="AC24" i="2"/>
  <c r="AC25" i="2" s="1"/>
  <c r="AC26" i="2" s="1"/>
  <c r="AC27" i="2" s="1"/>
  <c r="AC6" i="2" s="1"/>
  <c r="AD24" i="2" l="1"/>
  <c r="AD25" i="2" s="1"/>
  <c r="AD26" i="2" s="1"/>
  <c r="AD27" i="2" s="1"/>
  <c r="AD6" i="2" s="1"/>
  <c r="AE24" i="2" l="1"/>
  <c r="AE25" i="2" s="1"/>
  <c r="AE26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C4" i="3" s="1"/>
  <c r="AE6" i="2" l="1"/>
  <c r="N14" i="1"/>
  <c r="N15" i="1" l="1"/>
</calcChain>
</file>

<file path=xl/sharedStrings.xml><?xml version="1.0" encoding="utf-8"?>
<sst xmlns="http://schemas.openxmlformats.org/spreadsheetml/2006/main" count="83" uniqueCount="60">
  <si>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</si>
  <si>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</si>
  <si>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</si>
  <si>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</si>
  <si>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</si>
  <si>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</si>
  <si>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</si>
  <si>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</si>
  <si>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</si>
  <si>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</si>
  <si>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</si>
  <si>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</si>
  <si>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</si>
  <si>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</si>
  <si>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</si>
  <si>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</si>
  <si>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</si>
  <si>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</si>
  <si>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</si>
  <si>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</si>
  <si>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</si>
  <si>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</si>
  <si>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CVLG</t>
  </si>
  <si>
    <t>Covenant Logistics Group</t>
  </si>
  <si>
    <t>Cash&amp;Marketables</t>
  </si>
  <si>
    <t>PPE, net</t>
  </si>
  <si>
    <t>Net cash</t>
  </si>
  <si>
    <t>Freight</t>
  </si>
  <si>
    <t>Surcharge</t>
  </si>
  <si>
    <t>Revenue</t>
  </si>
  <si>
    <t>Salaries</t>
  </si>
  <si>
    <t>Fuel</t>
  </si>
  <si>
    <t>Operations</t>
  </si>
  <si>
    <t>Purch. Transport</t>
  </si>
  <si>
    <t>Licenses</t>
  </si>
  <si>
    <t>Insurance</t>
  </si>
  <si>
    <t>Communications</t>
  </si>
  <si>
    <t>General supplies</t>
  </si>
  <si>
    <t>Deprec&amp;Amort</t>
  </si>
  <si>
    <t>Other</t>
  </si>
  <si>
    <t>Operating income</t>
  </si>
  <si>
    <t>Interest expense</t>
  </si>
  <si>
    <t>EBT</t>
  </si>
  <si>
    <t>Tax</t>
  </si>
  <si>
    <t>Net income</t>
  </si>
  <si>
    <t>EPS</t>
  </si>
  <si>
    <t>Other expense</t>
  </si>
  <si>
    <t>CF Stock comp</t>
  </si>
  <si>
    <t>CF PPE</t>
  </si>
  <si>
    <t>CF Debt repay</t>
  </si>
  <si>
    <t>EBITDA</t>
  </si>
  <si>
    <t>Operating margin</t>
  </si>
  <si>
    <t>Revenue y/y</t>
  </si>
  <si>
    <t>Salaries %rev</t>
  </si>
  <si>
    <t>u</t>
  </si>
  <si>
    <t>Tax rate</t>
  </si>
  <si>
    <t>Interest rate</t>
  </si>
  <si>
    <t>Interest expense, net</t>
  </si>
  <si>
    <t>Maintenance</t>
  </si>
  <si>
    <t>2023Q1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</si>
</sst>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44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38100</xdr:rowOff>
    </xdr:from>
    <xdr:to>
      <xdr:col>21</xdr:col>
      <xdr:colOff>9525</xdr:colOff>
      <xdr:row>26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0</xdr:row>
      <xdr:rowOff>0</xdr:rowOff>
    </xdr:from>
    <xdr:to>
      <xdr:col>31</xdr:col>
      <xdr:colOff>19050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M2:N15"/>
  <sheetViews>
    <sheetView tabSelected="1" topLeftCell="B1" workbookViewId="0">
      <selection activeCell="M22" sqref="M22"/>
    </sheetView>
  </sheetViews>
  <sheetFormatPr defaultRowHeight="15" x14ac:dyDescent="0.25"/>
  <cols>
    <col min="14" max="14" width="9.7109375" bestFit="1" customWidth="1"/>
  </cols>
  <sheetData>
    <row r="2" spans="13:14" x14ac:dyDescent="0.25">
      <c r="M2" t="s">
        <v>7</v>
      </c>
      <c r="N2" s="1">
        <v>45047</v>
      </c>
    </row>
    <row r="3" spans="13:14" x14ac:dyDescent="0.25">
      <c r="M3" t="s">
        <v>20</v>
      </c>
      <c r="N3" t="s">
        <v>22</v>
      </c>
    </row>
    <row r="4" spans="13:14" x14ac:dyDescent="0.25">
      <c r="M4" t="s">
        <v>21</v>
      </c>
      <c r="N4" t="s">
        <v>23</v>
      </c>
    </row>
    <row r="6" spans="13:14" x14ac:dyDescent="0.25">
      <c r="M6" t="s">
        <v>0</v>
      </c>
      <c r="N6" s="4">
        <v>42.18</v>
      </c>
    </row>
    <row r="7" spans="13:14" x14ac:dyDescent="0.25">
      <c r="M7" t="s">
        <v>1</v>
      </c>
      <c r="N7" s="2">
        <v>13.361000000000001</v>
      </c>
    </row>
    <row r="8" spans="13:14" x14ac:dyDescent="0.25">
      <c r="M8" t="s">
        <v>2</v>
      </c>
      <c r="N8" s="2">
        <f>N6*N7</f>
        <v>563.56698000000006</v>
      </c>
    </row>
    <row r="9" spans="13:14" x14ac:dyDescent="0.25">
      <c r="M9" t="s">
        <v>3</v>
      </c>
      <c r="N9" s="2"/>
    </row>
    <row r="10" spans="13:14" x14ac:dyDescent="0.25">
      <c r="M10" t="s">
        <v>4</v>
      </c>
      <c r="N10" s="2">
        <v>64.97</v>
      </c>
    </row>
    <row r="11" spans="13:14" x14ac:dyDescent="0.25">
      <c r="M11" t="s">
        <v>6</v>
      </c>
      <c r="N11" s="2">
        <f>+N8-N9+N10</f>
        <v>628.53698000000009</v>
      </c>
    </row>
    <row r="12" spans="13:14" x14ac:dyDescent="0.25">
      <c r="M12" t="s">
        <v>5</v>
      </c>
      <c r="N12" s="2">
        <v>12</v>
      </c>
    </row>
    <row r="13" spans="13:14" x14ac:dyDescent="0.25">
      <c r="N13" s="2"/>
    </row>
    <row r="14" spans="13:14" x14ac:dyDescent="0.25">
      <c r="M14" t="s">
        <v>8</v>
      </c>
      <c r="N14" s="2">
        <f>Dash!C4</f>
        <v>546.57156432801094</v>
      </c>
    </row>
    <row r="15" spans="13:14" x14ac:dyDescent="0.25">
      <c r="M15" t="s">
        <v>17</v>
      </c>
      <c r="N15" s="4">
        <f>N14/N7</f>
        <v>40.907983259337691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1:DR105"/>
  <sheetViews>
    <sheetView workbookViewId="0">
      <pane xSplit="2" ySplit="2" topLeftCell="C28" activePane="bottomRight" state="frozen"/>
      <selection pane="topRight" activeCell="C1" sqref="C1"/>
      <selection pane="bottomLeft" activeCell="A3" sqref="A3"/>
      <selection pane="bottomRight" activeCell="M38" sqref="M38"/>
    </sheetView>
  </sheetViews>
  <sheetFormatPr defaultRowHeight="15" x14ac:dyDescent="0.25"/>
  <cols>
    <col min="2" max="2" width="20.28515625" bestFit="1" customWidth="1"/>
    <col min="11" max="11" width="9.7109375" bestFit="1" customWidth="1"/>
  </cols>
  <sheetData>
    <row r="1" spans="2:122" x14ac:dyDescent="0.25">
      <c r="K1" s="1">
        <v>45044</v>
      </c>
    </row>
    <row r="2" spans="2:122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K2" t="s">
        <v>59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  <c r="AX2">
        <v>2051</v>
      </c>
      <c r="AY2">
        <v>2052</v>
      </c>
      <c r="AZ2">
        <v>2053</v>
      </c>
      <c r="BA2">
        <v>2054</v>
      </c>
      <c r="BB2">
        <v>2055</v>
      </c>
      <c r="BC2">
        <v>2056</v>
      </c>
      <c r="BD2">
        <v>2057</v>
      </c>
      <c r="BE2">
        <v>2058</v>
      </c>
      <c r="BF2">
        <v>2059</v>
      </c>
      <c r="BG2">
        <v>2060</v>
      </c>
      <c r="BH2">
        <v>2061</v>
      </c>
      <c r="BI2">
        <v>2062</v>
      </c>
      <c r="BJ2">
        <v>2063</v>
      </c>
      <c r="BK2">
        <v>2064</v>
      </c>
      <c r="BL2">
        <v>2065</v>
      </c>
      <c r="BM2">
        <v>2066</v>
      </c>
      <c r="BN2">
        <v>2067</v>
      </c>
      <c r="BO2">
        <v>2068</v>
      </c>
      <c r="BP2">
        <v>2069</v>
      </c>
      <c r="BQ2">
        <v>2070</v>
      </c>
      <c r="BR2">
        <v>2071</v>
      </c>
      <c r="BS2">
        <v>2072</v>
      </c>
      <c r="BT2">
        <v>2073</v>
      </c>
      <c r="BU2">
        <v>2074</v>
      </c>
      <c r="BV2">
        <v>2075</v>
      </c>
      <c r="BW2">
        <v>2076</v>
      </c>
      <c r="BX2">
        <v>2077</v>
      </c>
      <c r="BY2">
        <v>2078</v>
      </c>
      <c r="BZ2">
        <v>2079</v>
      </c>
      <c r="CA2">
        <v>2080</v>
      </c>
      <c r="CB2">
        <v>2081</v>
      </c>
      <c r="CC2">
        <v>2082</v>
      </c>
      <c r="CD2">
        <v>2083</v>
      </c>
      <c r="CE2">
        <v>2084</v>
      </c>
      <c r="CF2">
        <v>2085</v>
      </c>
      <c r="CG2">
        <v>2086</v>
      </c>
      <c r="CH2">
        <v>2087</v>
      </c>
      <c r="CI2">
        <v>2088</v>
      </c>
      <c r="CJ2">
        <v>2089</v>
      </c>
      <c r="CK2">
        <v>2090</v>
      </c>
      <c r="CL2">
        <v>2091</v>
      </c>
      <c r="CM2">
        <v>2092</v>
      </c>
      <c r="CN2">
        <v>2093</v>
      </c>
      <c r="CO2">
        <v>2094</v>
      </c>
      <c r="CP2">
        <v>2095</v>
      </c>
      <c r="CQ2">
        <v>2096</v>
      </c>
      <c r="CR2">
        <v>2097</v>
      </c>
      <c r="CS2">
        <v>2098</v>
      </c>
      <c r="CT2">
        <v>2099</v>
      </c>
      <c r="CU2">
        <v>2100</v>
      </c>
      <c r="CV2">
        <v>2101</v>
      </c>
      <c r="CW2">
        <v>2102</v>
      </c>
      <c r="CX2">
        <v>2103</v>
      </c>
      <c r="CY2">
        <v>2104</v>
      </c>
      <c r="CZ2">
        <v>2105</v>
      </c>
      <c r="DA2">
        <v>2106</v>
      </c>
      <c r="DB2">
        <v>2107</v>
      </c>
      <c r="DC2">
        <v>2108</v>
      </c>
      <c r="DD2">
        <v>2109</v>
      </c>
      <c r="DE2">
        <v>2110</v>
      </c>
      <c r="DF2">
        <v>2111</v>
      </c>
      <c r="DG2">
        <v>2112</v>
      </c>
      <c r="DH2">
        <v>2113</v>
      </c>
      <c r="DI2">
        <v>2114</v>
      </c>
      <c r="DJ2">
        <v>2115</v>
      </c>
      <c r="DK2">
        <v>2116</v>
      </c>
      <c r="DL2">
        <v>2117</v>
      </c>
      <c r="DM2">
        <v>2118</v>
      </c>
      <c r="DN2">
        <v>2119</v>
      </c>
      <c r="DO2">
        <v>2120</v>
      </c>
      <c r="DP2">
        <v>2121</v>
      </c>
      <c r="DQ2">
        <v>2122</v>
      </c>
      <c r="DR2">
        <v>2123</v>
      </c>
    </row>
    <row r="3" spans="2:122" s="2" customFormat="1" x14ac:dyDescent="0.25">
      <c r="B3" s="2" t="s">
        <v>24</v>
      </c>
      <c r="J3" s="2">
        <f>68.7+6+0.4</f>
        <v>75.100000000000009</v>
      </c>
      <c r="N3" s="2">
        <f>4.5+25.6</f>
        <v>30.1</v>
      </c>
      <c r="O3" s="2">
        <f>7.75+2.7</f>
        <v>10.45</v>
      </c>
      <c r="P3" s="2">
        <f>15.356+1.444+1.8</f>
        <v>18.600000000000001</v>
      </c>
      <c r="Q3" s="2">
        <f>23.1+2.56+1.4</f>
        <v>27.06</v>
      </c>
      <c r="R3" s="2">
        <f>43.6+12+1.1</f>
        <v>56.7</v>
      </c>
      <c r="S3" s="2">
        <f>8.4+15+0.3</f>
        <v>23.7</v>
      </c>
      <c r="T3" s="2">
        <f>8.4+2.9</f>
        <v>11.3</v>
      </c>
      <c r="U3" s="2">
        <f>68.7+6+0.4</f>
        <v>75.100000000000009</v>
      </c>
    </row>
    <row r="4" spans="2:122" s="2" customFormat="1" x14ac:dyDescent="0.25">
      <c r="B4" s="2" t="s">
        <v>25</v>
      </c>
      <c r="J4" s="2">
        <v>407.7</v>
      </c>
      <c r="N4" s="2">
        <v>454</v>
      </c>
      <c r="O4" s="2">
        <v>464.5</v>
      </c>
      <c r="P4" s="2">
        <v>464.1</v>
      </c>
      <c r="Q4" s="2">
        <v>450.6</v>
      </c>
      <c r="R4" s="2">
        <v>517.20000000000005</v>
      </c>
      <c r="S4" s="2">
        <v>391.5</v>
      </c>
      <c r="T4" s="2">
        <v>346.5</v>
      </c>
      <c r="U4" s="2">
        <v>407.7</v>
      </c>
    </row>
    <row r="5" spans="2:122" s="2" customFormat="1" x14ac:dyDescent="0.25">
      <c r="B5" s="2" t="s">
        <v>4</v>
      </c>
      <c r="J5" s="2">
        <f>33.9+18.9+21.06+90.4+15.9</f>
        <v>180.16</v>
      </c>
      <c r="N5" s="2">
        <f>4.7+12.3+39.4+17.1+196.1+22.3</f>
        <v>291.90000000000003</v>
      </c>
      <c r="O5" s="2">
        <f>0.2+13+24.95+17.2+168.7+20.9</f>
        <v>244.95</v>
      </c>
      <c r="P5" s="2">
        <f>11.9+24.6+15+164.5+21.8</f>
        <v>237.8</v>
      </c>
      <c r="Q5" s="2">
        <f>22.1+28.7+19.8+166.6+22.2</f>
        <v>259.39999999999998</v>
      </c>
      <c r="R5" s="2">
        <f>0.6+19.5+54.4+21.8+200.2+20.3</f>
        <v>316.8</v>
      </c>
      <c r="S5" s="2">
        <f>1.215+31.7+7.57+30.22+47.9+44.1</f>
        <v>162.70499999999998</v>
      </c>
      <c r="T5" s="2">
        <f>29.9+5.7+21.2+20.35+21.4</f>
        <v>98.550000000000011</v>
      </c>
      <c r="U5" s="2">
        <f>33.9+18.9+21.06+90.4+15.9</f>
        <v>180.16</v>
      </c>
    </row>
    <row r="6" spans="2:122" s="2" customFormat="1" x14ac:dyDescent="0.25">
      <c r="B6" s="2" t="s">
        <v>26</v>
      </c>
      <c r="C6" s="2">
        <f t="shared" ref="C6" si="0">+C3-C5</f>
        <v>0</v>
      </c>
      <c r="D6" s="2">
        <f t="shared" ref="D6" si="1">+D3-D5</f>
        <v>0</v>
      </c>
      <c r="E6" s="2">
        <f t="shared" ref="E6" si="2">+E3-E5</f>
        <v>0</v>
      </c>
      <c r="F6" s="2">
        <f t="shared" ref="F6" si="3">+F3-F5</f>
        <v>0</v>
      </c>
      <c r="G6" s="2">
        <f t="shared" ref="G6" si="4">+G3-G5</f>
        <v>0</v>
      </c>
      <c r="H6" s="2">
        <f t="shared" ref="H6" si="5">+H3-H5</f>
        <v>0</v>
      </c>
      <c r="I6" s="2">
        <f t="shared" ref="I6" si="6">+I3-I5</f>
        <v>0</v>
      </c>
      <c r="J6" s="2">
        <f>+J3-J5</f>
        <v>-105.05999999999999</v>
      </c>
      <c r="N6" s="2">
        <f t="shared" ref="N6:T6" si="7">+N3-N5</f>
        <v>-261.8</v>
      </c>
      <c r="O6" s="2">
        <f t="shared" si="7"/>
        <v>-234.5</v>
      </c>
      <c r="P6" s="2">
        <f t="shared" si="7"/>
        <v>-219.20000000000002</v>
      </c>
      <c r="Q6" s="2">
        <f t="shared" si="7"/>
        <v>-232.33999999999997</v>
      </c>
      <c r="R6" s="2">
        <f t="shared" si="7"/>
        <v>-260.10000000000002</v>
      </c>
      <c r="S6" s="2">
        <f t="shared" si="7"/>
        <v>-139.005</v>
      </c>
      <c r="T6" s="2">
        <f t="shared" si="7"/>
        <v>-87.250000000000014</v>
      </c>
      <c r="U6" s="2">
        <f>+U3-U5</f>
        <v>-105.05999999999999</v>
      </c>
      <c r="V6" s="2">
        <f>+U6+V27</f>
        <v>-75.85745813999992</v>
      </c>
      <c r="W6" s="2">
        <f t="shared" ref="W6:AE6" si="8">+V6+W27</f>
        <v>-39.272178775487902</v>
      </c>
      <c r="X6" s="2">
        <f t="shared" si="8"/>
        <v>7.6363973756393335</v>
      </c>
      <c r="Y6" s="2">
        <f t="shared" si="8"/>
        <v>54.876106166219039</v>
      </c>
      <c r="Z6" s="2">
        <f t="shared" si="8"/>
        <v>95.264161651014305</v>
      </c>
      <c r="AA6" s="2">
        <f t="shared" si="8"/>
        <v>134.583826322135</v>
      </c>
      <c r="AB6" s="2">
        <f t="shared" si="8"/>
        <v>177.97624622031248</v>
      </c>
      <c r="AC6" s="2">
        <f t="shared" si="8"/>
        <v>225.79436183877209</v>
      </c>
      <c r="AD6" s="2">
        <f t="shared" si="8"/>
        <v>278.42014217239279</v>
      </c>
      <c r="AE6" s="2">
        <f t="shared" si="8"/>
        <v>336.26693020075868</v>
      </c>
    </row>
    <row r="7" spans="2:122" s="2" customFormat="1" x14ac:dyDescent="0.25"/>
    <row r="8" spans="2:122" s="2" customFormat="1" x14ac:dyDescent="0.25">
      <c r="B8" s="2" t="s">
        <v>27</v>
      </c>
      <c r="C8" s="2">
        <v>200.7</v>
      </c>
      <c r="D8" s="2">
        <v>231.9</v>
      </c>
      <c r="E8" s="2">
        <v>250.3</v>
      </c>
      <c r="F8" s="2">
        <f>+T8-E8-D8-C8</f>
        <v>266.99999999999994</v>
      </c>
      <c r="G8" s="2">
        <v>257.60000000000002</v>
      </c>
      <c r="H8" s="2">
        <v>266.89999999999998</v>
      </c>
      <c r="I8" s="2">
        <v>266.60000000000002</v>
      </c>
      <c r="J8" s="2">
        <f>+U8-I8-H8-G8</f>
        <v>255.30000000000007</v>
      </c>
      <c r="K8" s="2">
        <v>233.4</v>
      </c>
      <c r="N8" s="2">
        <v>640.1</v>
      </c>
      <c r="O8" s="2">
        <v>610.79999999999995</v>
      </c>
      <c r="P8" s="2">
        <v>626.79999999999995</v>
      </c>
      <c r="Q8" s="2">
        <v>779.7</v>
      </c>
      <c r="R8" s="2">
        <v>791.3</v>
      </c>
      <c r="S8" s="2">
        <v>776.2</v>
      </c>
      <c r="T8" s="2">
        <v>949.9</v>
      </c>
      <c r="U8" s="2">
        <v>1046.4000000000001</v>
      </c>
    </row>
    <row r="9" spans="2:122" s="2" customFormat="1" x14ac:dyDescent="0.25">
      <c r="B9" s="2" t="s">
        <v>28</v>
      </c>
      <c r="C9" s="2">
        <v>20.2</v>
      </c>
      <c r="D9" s="2">
        <v>24.4</v>
      </c>
      <c r="E9" s="2">
        <v>24.3</v>
      </c>
      <c r="F9" s="2">
        <f>+T9-E9-D9-C9</f>
        <v>27.100000000000005</v>
      </c>
      <c r="G9" s="2">
        <v>33.97</v>
      </c>
      <c r="H9" s="2">
        <v>50.5</v>
      </c>
      <c r="I9" s="2">
        <v>45.2</v>
      </c>
      <c r="J9" s="2">
        <f>+U9-I9-H9-G9</f>
        <v>40.83</v>
      </c>
      <c r="K9" s="2">
        <v>33.4</v>
      </c>
      <c r="N9" s="2">
        <v>84.1</v>
      </c>
      <c r="O9" s="2">
        <v>59.8</v>
      </c>
      <c r="P9" s="2">
        <v>78.2</v>
      </c>
      <c r="Q9" s="2">
        <v>105.7</v>
      </c>
      <c r="R9" s="2">
        <v>94.1</v>
      </c>
      <c r="S9" s="2">
        <v>62.3</v>
      </c>
      <c r="T9" s="2">
        <v>96</v>
      </c>
      <c r="U9" s="2">
        <v>170.5</v>
      </c>
    </row>
    <row r="10" spans="2:122" s="5" customFormat="1" x14ac:dyDescent="0.25">
      <c r="B10" s="5" t="s">
        <v>29</v>
      </c>
      <c r="C10" s="5">
        <f t="shared" ref="C10" si="9">+C9+C8</f>
        <v>220.89999999999998</v>
      </c>
      <c r="D10" s="5">
        <f t="shared" ref="D10" si="10">+D9+D8</f>
        <v>256.3</v>
      </c>
      <c r="E10" s="5">
        <f t="shared" ref="E10" si="11">+E9+E8</f>
        <v>274.60000000000002</v>
      </c>
      <c r="F10" s="5">
        <f t="shared" ref="F10" si="12">+F9+F8</f>
        <v>294.09999999999997</v>
      </c>
      <c r="G10" s="5">
        <f t="shared" ref="G10" si="13">+G9+G8</f>
        <v>291.57000000000005</v>
      </c>
      <c r="H10" s="5">
        <f t="shared" ref="H10" si="14">+H9+H8</f>
        <v>317.39999999999998</v>
      </c>
      <c r="I10" s="5">
        <f t="shared" ref="I10:K10" si="15">+I9+I8</f>
        <v>311.8</v>
      </c>
      <c r="J10" s="5">
        <f t="shared" ref="J10" si="16">+J9+J8</f>
        <v>296.13000000000005</v>
      </c>
      <c r="K10" s="5">
        <f t="shared" si="15"/>
        <v>266.8</v>
      </c>
      <c r="N10" s="5">
        <f t="shared" ref="N10:T10" si="17">+N9+N8</f>
        <v>724.2</v>
      </c>
      <c r="O10" s="5">
        <f t="shared" si="17"/>
        <v>670.59999999999991</v>
      </c>
      <c r="P10" s="5">
        <f t="shared" si="17"/>
        <v>705</v>
      </c>
      <c r="Q10" s="5">
        <f t="shared" si="17"/>
        <v>885.40000000000009</v>
      </c>
      <c r="R10" s="5">
        <f t="shared" si="17"/>
        <v>885.4</v>
      </c>
      <c r="S10" s="5">
        <f t="shared" si="17"/>
        <v>838.5</v>
      </c>
      <c r="T10" s="5">
        <f t="shared" si="17"/>
        <v>1045.9000000000001</v>
      </c>
      <c r="U10" s="5">
        <f>+U9+U8</f>
        <v>1216.9000000000001</v>
      </c>
      <c r="V10" s="5">
        <f>+U10*(1+V39)</f>
        <v>1241.2380000000001</v>
      </c>
      <c r="W10" s="5">
        <f t="shared" ref="W10:AE10" si="18">+V10*(1+W39)</f>
        <v>1290.88752</v>
      </c>
      <c r="X10" s="5">
        <f t="shared" si="18"/>
        <v>1368.3407712000001</v>
      </c>
      <c r="Y10" s="5">
        <f t="shared" si="18"/>
        <v>1491.4914406080002</v>
      </c>
      <c r="Z10" s="5">
        <f t="shared" si="18"/>
        <v>1610.8107558566403</v>
      </c>
      <c r="AA10" s="5">
        <f t="shared" si="18"/>
        <v>1739.6756163251716</v>
      </c>
      <c r="AB10" s="5">
        <f t="shared" si="18"/>
        <v>1878.8496656311854</v>
      </c>
      <c r="AC10" s="5">
        <f t="shared" si="18"/>
        <v>2029.1576388816804</v>
      </c>
      <c r="AD10" s="5">
        <f t="shared" si="18"/>
        <v>2191.490249992215</v>
      </c>
      <c r="AE10" s="5">
        <f t="shared" si="18"/>
        <v>2366.8094699915923</v>
      </c>
    </row>
    <row r="11" spans="2:122" s="2" customFormat="1" x14ac:dyDescent="0.25">
      <c r="B11" s="2" t="s">
        <v>30</v>
      </c>
      <c r="C11" s="2">
        <v>82.6</v>
      </c>
      <c r="D11" s="2">
        <v>88.5</v>
      </c>
      <c r="E11" s="2">
        <v>87.5</v>
      </c>
      <c r="F11" s="2">
        <f t="shared" ref="F11:F20" si="19">+T11-E11-D11-C11</f>
        <v>91.6</v>
      </c>
      <c r="G11" s="2">
        <v>95.3</v>
      </c>
      <c r="H11" s="2">
        <v>101.1</v>
      </c>
      <c r="I11" s="2">
        <v>104.5</v>
      </c>
      <c r="J11" s="2">
        <f t="shared" ref="J11:J20" si="20">+U11-I11-H11-G11</f>
        <v>101.40000000000002</v>
      </c>
      <c r="K11" s="2">
        <v>99.159000000000006</v>
      </c>
      <c r="N11" s="2">
        <v>244.8</v>
      </c>
      <c r="O11" s="2">
        <v>234.5</v>
      </c>
      <c r="P11" s="2">
        <v>241.8</v>
      </c>
      <c r="Q11" s="2">
        <v>304.39999999999998</v>
      </c>
      <c r="R11" s="2">
        <v>320.5</v>
      </c>
      <c r="S11" s="2">
        <v>315</v>
      </c>
      <c r="T11" s="2">
        <v>350.2</v>
      </c>
      <c r="U11" s="2">
        <v>402.3</v>
      </c>
      <c r="V11" s="2">
        <f>+V$10*V41</f>
        <v>459.25806</v>
      </c>
      <c r="W11" s="2">
        <f t="shared" ref="W11:AE11" si="21">+W$10*W41</f>
        <v>464.71950719999995</v>
      </c>
      <c r="X11" s="2">
        <f t="shared" si="21"/>
        <v>478.91926991999998</v>
      </c>
      <c r="Y11" s="2">
        <f t="shared" si="21"/>
        <v>522.02200421280008</v>
      </c>
      <c r="Z11" s="2">
        <f t="shared" si="21"/>
        <v>563.78376454982401</v>
      </c>
      <c r="AA11" s="2">
        <f t="shared" si="21"/>
        <v>608.88646571381003</v>
      </c>
      <c r="AB11" s="2">
        <f t="shared" si="21"/>
        <v>657.59738297091485</v>
      </c>
      <c r="AC11" s="2">
        <f t="shared" si="21"/>
        <v>710.2051736085881</v>
      </c>
      <c r="AD11" s="2">
        <f t="shared" si="21"/>
        <v>767.02158749727516</v>
      </c>
      <c r="AE11" s="2">
        <f t="shared" si="21"/>
        <v>828.38331449705731</v>
      </c>
    </row>
    <row r="12" spans="2:122" s="2" customFormat="1" x14ac:dyDescent="0.25">
      <c r="B12" s="2" t="s">
        <v>31</v>
      </c>
      <c r="C12" s="2">
        <v>22.8</v>
      </c>
      <c r="D12" s="2">
        <v>26.4</v>
      </c>
      <c r="E12" s="2">
        <v>26.2</v>
      </c>
      <c r="F12" s="2">
        <f t="shared" si="19"/>
        <v>28.199999999999992</v>
      </c>
      <c r="G12" s="2">
        <v>35.5</v>
      </c>
      <c r="H12" s="2">
        <v>48.5</v>
      </c>
      <c r="I12" s="2">
        <v>42.5</v>
      </c>
      <c r="J12" s="2">
        <f t="shared" si="20"/>
        <v>39.900000000000006</v>
      </c>
      <c r="K12" s="2">
        <v>34.090000000000003</v>
      </c>
      <c r="N12" s="2">
        <v>122.2</v>
      </c>
      <c r="O12" s="2">
        <v>103.1</v>
      </c>
      <c r="P12" s="2">
        <v>103.1</v>
      </c>
      <c r="Q12" s="2">
        <v>121.3</v>
      </c>
      <c r="R12" s="2">
        <v>115.3</v>
      </c>
      <c r="S12" s="2">
        <v>77.400000000000006</v>
      </c>
      <c r="T12" s="2">
        <v>103.6</v>
      </c>
      <c r="U12" s="2">
        <v>166.4</v>
      </c>
      <c r="V12" s="2">
        <f t="shared" ref="V12:AE12" si="22">+V$10*V42</f>
        <v>161.36094</v>
      </c>
      <c r="W12" s="2">
        <f t="shared" si="22"/>
        <v>174.26981520000001</v>
      </c>
      <c r="X12" s="2">
        <f t="shared" si="22"/>
        <v>191.56770796800004</v>
      </c>
      <c r="Y12" s="2">
        <f t="shared" si="22"/>
        <v>216.26625888816002</v>
      </c>
      <c r="Z12" s="2">
        <f t="shared" si="22"/>
        <v>241.62161337849602</v>
      </c>
      <c r="AA12" s="2">
        <f t="shared" si="22"/>
        <v>260.95134244877573</v>
      </c>
      <c r="AB12" s="2">
        <f t="shared" si="22"/>
        <v>281.8274498446778</v>
      </c>
      <c r="AC12" s="2">
        <f t="shared" si="22"/>
        <v>304.37364583225207</v>
      </c>
      <c r="AD12" s="2">
        <f t="shared" si="22"/>
        <v>328.72353749883223</v>
      </c>
      <c r="AE12" s="2">
        <f t="shared" si="22"/>
        <v>355.02142049873885</v>
      </c>
    </row>
    <row r="13" spans="2:122" s="2" customFormat="1" x14ac:dyDescent="0.25">
      <c r="B13" s="2" t="s">
        <v>58</v>
      </c>
      <c r="C13" s="2">
        <v>14.7</v>
      </c>
      <c r="D13" s="2">
        <v>14.3</v>
      </c>
      <c r="E13" s="2">
        <v>14.9</v>
      </c>
      <c r="F13" s="2">
        <f t="shared" si="19"/>
        <v>15.399999999999999</v>
      </c>
      <c r="G13" s="2">
        <v>17.899999999999999</v>
      </c>
      <c r="H13" s="2">
        <v>19.8</v>
      </c>
      <c r="I13" s="2">
        <v>22.5</v>
      </c>
      <c r="J13" s="2">
        <f t="shared" si="20"/>
        <v>18.899999999999999</v>
      </c>
      <c r="K13" s="2">
        <v>17.100000000000001</v>
      </c>
      <c r="N13" s="2">
        <v>46.5</v>
      </c>
      <c r="O13" s="2">
        <v>45.86</v>
      </c>
      <c r="P13" s="2">
        <v>48.8</v>
      </c>
      <c r="Q13" s="2">
        <v>55.5</v>
      </c>
      <c r="R13" s="2">
        <v>59.5</v>
      </c>
      <c r="S13" s="2">
        <v>48.4</v>
      </c>
      <c r="T13" s="2">
        <v>59.3</v>
      </c>
      <c r="U13" s="2">
        <v>79.099999999999994</v>
      </c>
      <c r="V13" s="2">
        <f t="shared" ref="V13:AE13" si="23">+V$10*V43</f>
        <v>80.68047</v>
      </c>
      <c r="W13" s="2">
        <f t="shared" si="23"/>
        <v>83.907688800000003</v>
      </c>
      <c r="X13" s="2">
        <f t="shared" si="23"/>
        <v>88.942150128000009</v>
      </c>
      <c r="Y13" s="2">
        <f t="shared" si="23"/>
        <v>96.946943639520015</v>
      </c>
      <c r="Z13" s="2">
        <f t="shared" si="23"/>
        <v>104.70269913068162</v>
      </c>
      <c r="AA13" s="2">
        <f t="shared" si="23"/>
        <v>113.07891506113616</v>
      </c>
      <c r="AB13" s="2">
        <f t="shared" si="23"/>
        <v>122.12522826602705</v>
      </c>
      <c r="AC13" s="2">
        <f t="shared" si="23"/>
        <v>131.89524652730924</v>
      </c>
      <c r="AD13" s="2">
        <f t="shared" si="23"/>
        <v>142.44686624949398</v>
      </c>
      <c r="AE13" s="2">
        <f t="shared" si="23"/>
        <v>153.84261554945351</v>
      </c>
    </row>
    <row r="14" spans="2:122" s="2" customFormat="1" x14ac:dyDescent="0.25">
      <c r="B14" s="2" t="s">
        <v>33</v>
      </c>
      <c r="C14" s="2">
        <v>57.2</v>
      </c>
      <c r="D14" s="2">
        <v>75.5</v>
      </c>
      <c r="E14" s="2">
        <v>92.6</v>
      </c>
      <c r="F14" s="2">
        <f t="shared" si="19"/>
        <v>106.39999999999999</v>
      </c>
      <c r="G14" s="2">
        <v>83.7</v>
      </c>
      <c r="H14" s="2">
        <v>81.7</v>
      </c>
      <c r="I14" s="2">
        <v>78.900000000000006</v>
      </c>
      <c r="J14" s="2">
        <f t="shared" si="20"/>
        <v>81.3</v>
      </c>
      <c r="K14" s="2">
        <v>63</v>
      </c>
      <c r="N14" s="2">
        <v>118.6</v>
      </c>
      <c r="O14" s="2">
        <v>117.5</v>
      </c>
      <c r="P14" s="2">
        <v>141.94999999999999</v>
      </c>
      <c r="Q14" s="2">
        <v>183.6</v>
      </c>
      <c r="R14" s="2">
        <v>204.7</v>
      </c>
      <c r="S14" s="2">
        <v>222.7</v>
      </c>
      <c r="T14" s="2">
        <v>331.7</v>
      </c>
      <c r="U14" s="2">
        <v>325.60000000000002</v>
      </c>
      <c r="V14" s="2">
        <f t="shared" ref="V14:AE14" si="24">+V$10*V44</f>
        <v>285.48474000000004</v>
      </c>
      <c r="W14" s="2">
        <f t="shared" si="24"/>
        <v>296.90412960000003</v>
      </c>
      <c r="X14" s="2">
        <f t="shared" si="24"/>
        <v>314.71837737600003</v>
      </c>
      <c r="Y14" s="2">
        <f t="shared" si="24"/>
        <v>343.04303133984007</v>
      </c>
      <c r="Z14" s="2">
        <f t="shared" si="24"/>
        <v>370.4864738470273</v>
      </c>
      <c r="AA14" s="2">
        <f t="shared" si="24"/>
        <v>400.12539175478952</v>
      </c>
      <c r="AB14" s="2">
        <f t="shared" si="24"/>
        <v>432.13542309517265</v>
      </c>
      <c r="AC14" s="2">
        <f t="shared" si="24"/>
        <v>466.70625694278652</v>
      </c>
      <c r="AD14" s="2">
        <f t="shared" si="24"/>
        <v>504.04275749820948</v>
      </c>
      <c r="AE14" s="2">
        <f t="shared" si="24"/>
        <v>544.36617809806626</v>
      </c>
    </row>
    <row r="15" spans="2:122" s="2" customFormat="1" x14ac:dyDescent="0.25">
      <c r="B15" s="2" t="s">
        <v>34</v>
      </c>
      <c r="C15" s="2">
        <v>2.6</v>
      </c>
      <c r="D15" s="2">
        <v>3</v>
      </c>
      <c r="E15" s="2">
        <v>2.7</v>
      </c>
      <c r="F15" s="2">
        <f t="shared" si="19"/>
        <v>2.5999999999999992</v>
      </c>
      <c r="G15" s="2">
        <v>2.7</v>
      </c>
      <c r="H15" s="2">
        <v>2.7</v>
      </c>
      <c r="I15" s="2">
        <v>3.2</v>
      </c>
      <c r="J15" s="2">
        <f t="shared" si="20"/>
        <v>3.2999999999999989</v>
      </c>
      <c r="K15" s="2">
        <v>3.5</v>
      </c>
      <c r="N15" s="2">
        <v>11</v>
      </c>
      <c r="O15" s="2">
        <v>11.7</v>
      </c>
      <c r="P15" s="2">
        <v>9.9</v>
      </c>
      <c r="Q15" s="2">
        <v>11.8</v>
      </c>
      <c r="R15" s="2">
        <v>13</v>
      </c>
      <c r="S15" s="2">
        <v>11.6</v>
      </c>
      <c r="T15" s="2">
        <v>10.9</v>
      </c>
      <c r="U15" s="2">
        <v>11.9</v>
      </c>
      <c r="V15" s="2">
        <f t="shared" ref="V15:AE15" si="25">+V$10*V45</f>
        <v>18.618570000000002</v>
      </c>
      <c r="W15" s="2">
        <f t="shared" si="25"/>
        <v>19.363312799999999</v>
      </c>
      <c r="X15" s="2">
        <f t="shared" si="25"/>
        <v>20.525111568</v>
      </c>
      <c r="Y15" s="2">
        <f t="shared" si="25"/>
        <v>20.880880168512004</v>
      </c>
      <c r="Z15" s="2">
        <f t="shared" si="25"/>
        <v>22.551350581992963</v>
      </c>
      <c r="AA15" s="2">
        <f t="shared" si="25"/>
        <v>22.615783012227229</v>
      </c>
      <c r="AB15" s="2">
        <f t="shared" si="25"/>
        <v>24.425045653205409</v>
      </c>
      <c r="AC15" s="2">
        <f t="shared" si="25"/>
        <v>26.379049305461844</v>
      </c>
      <c r="AD15" s="2">
        <f t="shared" si="25"/>
        <v>28.489373249898794</v>
      </c>
      <c r="AE15" s="2">
        <f t="shared" si="25"/>
        <v>30.768523109890697</v>
      </c>
    </row>
    <row r="16" spans="2:122" s="2" customFormat="1" x14ac:dyDescent="0.25">
      <c r="B16" s="2" t="s">
        <v>35</v>
      </c>
      <c r="C16" s="2">
        <v>7.8</v>
      </c>
      <c r="D16" s="2">
        <v>9.6</v>
      </c>
      <c r="E16" s="2">
        <v>11</v>
      </c>
      <c r="F16" s="2">
        <f t="shared" si="19"/>
        <v>10.399999999999995</v>
      </c>
      <c r="G16" s="2">
        <v>9.1999999999999993</v>
      </c>
      <c r="H16" s="2">
        <v>13.6</v>
      </c>
      <c r="I16" s="2">
        <v>12.9</v>
      </c>
      <c r="J16" s="2">
        <f t="shared" si="20"/>
        <v>14.8</v>
      </c>
      <c r="K16" s="2">
        <v>12.7</v>
      </c>
      <c r="N16" s="2">
        <v>31.9</v>
      </c>
      <c r="O16" s="2">
        <v>32.6</v>
      </c>
      <c r="P16" s="2">
        <v>33.200000000000003</v>
      </c>
      <c r="Q16" s="2">
        <v>43.3</v>
      </c>
      <c r="R16" s="2">
        <v>47.7</v>
      </c>
      <c r="S16" s="2">
        <v>53.1</v>
      </c>
      <c r="T16" s="2">
        <v>38.799999999999997</v>
      </c>
      <c r="U16" s="2">
        <v>50.5</v>
      </c>
      <c r="V16" s="2">
        <f t="shared" ref="V16:AE16" si="26">+V$10*V46</f>
        <v>59.579424000000003</v>
      </c>
      <c r="W16" s="2">
        <f t="shared" si="26"/>
        <v>61.962600960000003</v>
      </c>
      <c r="X16" s="2">
        <f t="shared" si="26"/>
        <v>65.680357017600002</v>
      </c>
      <c r="Y16" s="2">
        <f t="shared" si="26"/>
        <v>71.591589149184003</v>
      </c>
      <c r="Z16" s="2">
        <f t="shared" si="26"/>
        <v>77.318916281118732</v>
      </c>
      <c r="AA16" s="2">
        <f t="shared" si="26"/>
        <v>83.504429583608243</v>
      </c>
      <c r="AB16" s="2">
        <f t="shared" si="26"/>
        <v>90.184783950296904</v>
      </c>
      <c r="AC16" s="2">
        <f t="shared" si="26"/>
        <v>97.399566666320666</v>
      </c>
      <c r="AD16" s="2">
        <f t="shared" si="26"/>
        <v>105.19153199962632</v>
      </c>
      <c r="AE16" s="2">
        <f t="shared" si="26"/>
        <v>113.60685455959643</v>
      </c>
    </row>
    <row r="17" spans="2:122" s="2" customFormat="1" x14ac:dyDescent="0.25">
      <c r="B17" s="2" t="s">
        <v>36</v>
      </c>
      <c r="C17" s="2">
        <v>1.2</v>
      </c>
      <c r="D17" s="2">
        <v>1.1000000000000001</v>
      </c>
      <c r="E17" s="2">
        <v>1</v>
      </c>
      <c r="F17" s="2">
        <f t="shared" si="19"/>
        <v>1.2999999999999996</v>
      </c>
      <c r="G17" s="2">
        <v>1.2</v>
      </c>
      <c r="H17" s="2">
        <v>1.2</v>
      </c>
      <c r="I17" s="2">
        <v>1.3</v>
      </c>
      <c r="J17" s="2">
        <f t="shared" si="20"/>
        <v>1.7000000000000004</v>
      </c>
      <c r="K17" s="2">
        <v>1.3</v>
      </c>
      <c r="N17" s="2">
        <v>6.2</v>
      </c>
      <c r="O17" s="2">
        <v>6.1</v>
      </c>
      <c r="P17" s="2">
        <v>6.9</v>
      </c>
      <c r="Q17" s="2">
        <v>7</v>
      </c>
      <c r="R17" s="2">
        <v>7</v>
      </c>
      <c r="S17" s="2">
        <v>5.9</v>
      </c>
      <c r="T17" s="2">
        <v>4.5999999999999996</v>
      </c>
      <c r="U17" s="2">
        <v>5.4</v>
      </c>
      <c r="V17" s="2">
        <f t="shared" ref="V17:AE17" si="27">+V$10*V47</f>
        <v>9.9299040000000005</v>
      </c>
      <c r="W17" s="2">
        <f t="shared" si="27"/>
        <v>10.327100160000001</v>
      </c>
      <c r="X17" s="2">
        <f t="shared" si="27"/>
        <v>10.946726169600002</v>
      </c>
      <c r="Y17" s="2">
        <f t="shared" si="27"/>
        <v>11.931931524864002</v>
      </c>
      <c r="Z17" s="2">
        <f t="shared" si="27"/>
        <v>12.886486046853122</v>
      </c>
      <c r="AA17" s="2">
        <f t="shared" si="27"/>
        <v>13.917404930601373</v>
      </c>
      <c r="AB17" s="2">
        <f t="shared" si="27"/>
        <v>15.030797325049484</v>
      </c>
      <c r="AC17" s="2">
        <f t="shared" si="27"/>
        <v>16.233261111053444</v>
      </c>
      <c r="AD17" s="2">
        <f t="shared" si="27"/>
        <v>17.531921999937719</v>
      </c>
      <c r="AE17" s="2">
        <f t="shared" si="27"/>
        <v>18.934475759932738</v>
      </c>
    </row>
    <row r="18" spans="2:122" s="2" customFormat="1" x14ac:dyDescent="0.25">
      <c r="B18" s="2" t="s">
        <v>37</v>
      </c>
      <c r="C18" s="2">
        <v>8.1999999999999993</v>
      </c>
      <c r="D18" s="2">
        <v>7.8</v>
      </c>
      <c r="E18" s="2">
        <v>6</v>
      </c>
      <c r="F18" s="2">
        <f t="shared" si="19"/>
        <v>7.6999999999999993</v>
      </c>
      <c r="G18" s="2">
        <v>8.9</v>
      </c>
      <c r="H18" s="2">
        <v>8.3000000000000007</v>
      </c>
      <c r="I18" s="2">
        <v>11.2</v>
      </c>
      <c r="J18" s="2">
        <f t="shared" si="20"/>
        <v>9.3999999999999968</v>
      </c>
      <c r="K18" s="2">
        <v>13.6</v>
      </c>
      <c r="N18" s="2">
        <v>14</v>
      </c>
      <c r="O18" s="2">
        <v>14.4</v>
      </c>
      <c r="P18" s="2">
        <v>14.8</v>
      </c>
      <c r="Q18" s="2">
        <v>23.2</v>
      </c>
      <c r="R18" s="2">
        <v>30.1</v>
      </c>
      <c r="S18" s="2">
        <v>34.1</v>
      </c>
      <c r="T18" s="2">
        <v>29.7</v>
      </c>
      <c r="U18" s="2">
        <v>37.799999999999997</v>
      </c>
      <c r="V18" s="2">
        <f t="shared" ref="V18:AE18" si="28">+V$10*V48</f>
        <v>49.649520000000003</v>
      </c>
      <c r="W18" s="2">
        <f t="shared" si="28"/>
        <v>46.471950719999995</v>
      </c>
      <c r="X18" s="2">
        <f t="shared" si="28"/>
        <v>43.786904678400006</v>
      </c>
      <c r="Y18" s="2">
        <f t="shared" si="28"/>
        <v>41.761760337024008</v>
      </c>
      <c r="Z18" s="2">
        <f t="shared" si="28"/>
        <v>45.102701163985927</v>
      </c>
      <c r="AA18" s="2">
        <f t="shared" si="28"/>
        <v>48.710917257104803</v>
      </c>
      <c r="AB18" s="2">
        <f t="shared" si="28"/>
        <v>52.60779063767319</v>
      </c>
      <c r="AC18" s="2">
        <f t="shared" si="28"/>
        <v>56.816413888687052</v>
      </c>
      <c r="AD18" s="2">
        <f t="shared" si="28"/>
        <v>61.361726999782022</v>
      </c>
      <c r="AE18" s="2">
        <f t="shared" si="28"/>
        <v>66.27066515976459</v>
      </c>
    </row>
    <row r="19" spans="2:122" s="2" customFormat="1" x14ac:dyDescent="0.25">
      <c r="B19" s="2" t="s">
        <v>38</v>
      </c>
      <c r="C19" s="2">
        <v>14.1</v>
      </c>
      <c r="D19" s="2">
        <v>13.9</v>
      </c>
      <c r="E19" s="2">
        <v>13.4</v>
      </c>
      <c r="F19" s="2">
        <f t="shared" si="19"/>
        <v>12.500000000000002</v>
      </c>
      <c r="G19" s="2">
        <v>13.4</v>
      </c>
      <c r="H19" s="2">
        <v>13.9</v>
      </c>
      <c r="I19" s="2">
        <v>14.4</v>
      </c>
      <c r="J19" s="2">
        <f t="shared" si="20"/>
        <v>15.800000000000002</v>
      </c>
      <c r="K19" s="2">
        <v>14.6</v>
      </c>
      <c r="N19" s="2">
        <v>61.4</v>
      </c>
      <c r="O19" s="2">
        <v>72.5</v>
      </c>
      <c r="P19" s="2">
        <v>76.400000000000006</v>
      </c>
      <c r="Q19" s="2">
        <v>76.150000000000006</v>
      </c>
      <c r="R19" s="2">
        <v>80.5</v>
      </c>
      <c r="S19" s="2">
        <v>65.5</v>
      </c>
      <c r="T19" s="2">
        <v>53.9</v>
      </c>
      <c r="U19" s="2">
        <v>57.5</v>
      </c>
      <c r="V19" s="2">
        <f t="shared" ref="V19:AE19" si="29">+V$10*V49</f>
        <v>68.268090000000001</v>
      </c>
      <c r="W19" s="2">
        <f t="shared" si="29"/>
        <v>77.453251199999997</v>
      </c>
      <c r="X19" s="2">
        <f t="shared" si="29"/>
        <v>88.942150128000009</v>
      </c>
      <c r="Y19" s="2">
        <f t="shared" si="29"/>
        <v>104.40440084256002</v>
      </c>
      <c r="Z19" s="2">
        <f t="shared" si="29"/>
        <v>120.81080668924801</v>
      </c>
      <c r="AA19" s="2">
        <f t="shared" si="29"/>
        <v>139.17404930601373</v>
      </c>
      <c r="AB19" s="2">
        <f t="shared" si="29"/>
        <v>150.30797325049483</v>
      </c>
      <c r="AC19" s="2">
        <f t="shared" si="29"/>
        <v>162.33261111053443</v>
      </c>
      <c r="AD19" s="2">
        <f t="shared" si="29"/>
        <v>175.3192199993772</v>
      </c>
      <c r="AE19" s="2">
        <f t="shared" si="29"/>
        <v>189.34475759932738</v>
      </c>
    </row>
    <row r="20" spans="2:122" s="2" customFormat="1" x14ac:dyDescent="0.25">
      <c r="B20" s="2" t="s">
        <v>39</v>
      </c>
      <c r="C20" s="2">
        <v>-0.9</v>
      </c>
      <c r="D20" s="2">
        <v>-1.9</v>
      </c>
      <c r="E20" s="2">
        <v>-0.9</v>
      </c>
      <c r="F20" s="2">
        <f t="shared" si="19"/>
        <v>-9.9999999999999978E-2</v>
      </c>
      <c r="G20" s="2">
        <v>-0.2</v>
      </c>
      <c r="H20" s="2">
        <v>-0.4</v>
      </c>
      <c r="I20" s="2">
        <v>-38.700000000000003</v>
      </c>
      <c r="J20" s="2">
        <f t="shared" si="20"/>
        <v>-0.99999999999999445</v>
      </c>
      <c r="K20" s="2">
        <v>-9.8000000000000007</v>
      </c>
      <c r="N20" s="2">
        <v>0</v>
      </c>
      <c r="O20" s="2">
        <v>0</v>
      </c>
      <c r="P20" s="2">
        <v>0</v>
      </c>
      <c r="Q20" s="2">
        <v>0</v>
      </c>
      <c r="R20" s="2">
        <v>-1.65</v>
      </c>
      <c r="S20" s="2">
        <f>-7.7+26.6</f>
        <v>18.900000000000002</v>
      </c>
      <c r="T20" s="2">
        <v>-3.8</v>
      </c>
      <c r="U20" s="2">
        <v>-40.299999999999997</v>
      </c>
      <c r="V20" s="2">
        <f t="shared" ref="V20:AE20" si="30">+V$10*V50</f>
        <v>0</v>
      </c>
      <c r="W20" s="2">
        <f t="shared" si="30"/>
        <v>0</v>
      </c>
      <c r="X20" s="2">
        <f t="shared" si="30"/>
        <v>0</v>
      </c>
      <c r="Y20" s="2">
        <f t="shared" si="30"/>
        <v>0</v>
      </c>
      <c r="Z20" s="2">
        <f t="shared" si="30"/>
        <v>0</v>
      </c>
      <c r="AA20" s="2">
        <f t="shared" si="30"/>
        <v>0</v>
      </c>
      <c r="AB20" s="2">
        <f t="shared" si="30"/>
        <v>0</v>
      </c>
      <c r="AC20" s="2">
        <f t="shared" si="30"/>
        <v>0</v>
      </c>
      <c r="AD20" s="2">
        <f t="shared" si="30"/>
        <v>0</v>
      </c>
      <c r="AE20" s="2">
        <f t="shared" si="30"/>
        <v>0</v>
      </c>
    </row>
    <row r="21" spans="2:122" s="5" customFormat="1" x14ac:dyDescent="0.25">
      <c r="B21" s="5" t="s">
        <v>40</v>
      </c>
      <c r="C21" s="5">
        <f t="shared" ref="C21" si="31">+C10-SUM(C11:C20)</f>
        <v>10.599999999999994</v>
      </c>
      <c r="D21" s="5">
        <f t="shared" ref="D21" si="32">+D10-SUM(D11:D20)</f>
        <v>18.099999999999994</v>
      </c>
      <c r="E21" s="5">
        <f t="shared" ref="E21" si="33">+E10-SUM(E11:E20)</f>
        <v>20.200000000000045</v>
      </c>
      <c r="F21" s="5">
        <f t="shared" ref="F21" si="34">+F10-SUM(F11:F20)</f>
        <v>18.100000000000023</v>
      </c>
      <c r="G21" s="5">
        <f t="shared" ref="G21" si="35">+G10-SUM(G11:G20)</f>
        <v>23.970000000000027</v>
      </c>
      <c r="H21" s="5">
        <f t="shared" ref="H21" si="36">+H10-SUM(H11:H20)</f>
        <v>26.999999999999943</v>
      </c>
      <c r="I21" s="5">
        <f t="shared" ref="I21:K21" si="37">+I10-SUM(I11:I20)</f>
        <v>59.100000000000023</v>
      </c>
      <c r="J21" s="5">
        <f t="shared" ref="J21" si="38">+J10-SUM(J11:J20)</f>
        <v>10.630000000000052</v>
      </c>
      <c r="K21" s="5">
        <f t="shared" si="37"/>
        <v>17.550999999999988</v>
      </c>
      <c r="N21" s="5">
        <f t="shared" ref="N21:T21" si="39">+N10-SUM(N11:N20)</f>
        <v>67.600000000000023</v>
      </c>
      <c r="O21" s="5">
        <f t="shared" si="39"/>
        <v>32.339999999999804</v>
      </c>
      <c r="P21" s="5">
        <f t="shared" si="39"/>
        <v>28.150000000000091</v>
      </c>
      <c r="Q21" s="5">
        <f t="shared" si="39"/>
        <v>59.150000000000205</v>
      </c>
      <c r="R21" s="5">
        <f t="shared" si="39"/>
        <v>8.7499999999998863</v>
      </c>
      <c r="S21" s="5">
        <f t="shared" si="39"/>
        <v>-14.100000000000023</v>
      </c>
      <c r="T21" s="5">
        <f t="shared" si="39"/>
        <v>67.000000000000114</v>
      </c>
      <c r="U21" s="5">
        <f>+U10-SUM(U11:U20)</f>
        <v>120.69999999999982</v>
      </c>
      <c r="V21" s="5">
        <f>+V10-SUM(V11:V20)</f>
        <v>48.408282000000099</v>
      </c>
      <c r="W21" s="5">
        <f>+W10-SUM(W11:W20)</f>
        <v>55.508163360000026</v>
      </c>
      <c r="X21" s="5">
        <f>+X10-SUM(X11:X20)</f>
        <v>64.312016246399935</v>
      </c>
      <c r="Y21" s="5">
        <f t="shared" ref="Y21:AE21" si="40">+Y10-SUM(Y11:Y20)</f>
        <v>62.642640505535837</v>
      </c>
      <c r="Z21" s="5">
        <f t="shared" si="40"/>
        <v>51.545944187412488</v>
      </c>
      <c r="AA21" s="5">
        <f t="shared" si="40"/>
        <v>48.710917257104711</v>
      </c>
      <c r="AB21" s="5">
        <f t="shared" si="40"/>
        <v>52.607790637673361</v>
      </c>
      <c r="AC21" s="5">
        <f t="shared" si="40"/>
        <v>56.816413888687293</v>
      </c>
      <c r="AD21" s="5">
        <f t="shared" si="40"/>
        <v>61.36172699978215</v>
      </c>
      <c r="AE21" s="5">
        <f t="shared" si="40"/>
        <v>66.270665159764576</v>
      </c>
    </row>
    <row r="22" spans="2:122" s="2" customFormat="1" x14ac:dyDescent="0.25">
      <c r="B22" s="2" t="s">
        <v>41</v>
      </c>
      <c r="C22" s="2">
        <v>0.7</v>
      </c>
      <c r="D22" s="2">
        <v>0.7</v>
      </c>
      <c r="E22" s="2">
        <v>0.7</v>
      </c>
      <c r="F22" s="2">
        <f t="shared" ref="F22:F23" si="41">+T22-E22-D22-C22</f>
        <v>0.69999999999999973</v>
      </c>
      <c r="G22" s="2">
        <v>0.5</v>
      </c>
      <c r="H22" s="2">
        <v>0.8</v>
      </c>
      <c r="I22" s="2">
        <v>0.9</v>
      </c>
      <c r="J22" s="2">
        <f t="shared" ref="J22:J23" si="42">+U22-I22-H22-G22</f>
        <v>0.90000000000000013</v>
      </c>
      <c r="K22" s="2">
        <v>0.8</v>
      </c>
      <c r="N22" s="2">
        <v>8.4</v>
      </c>
      <c r="O22" s="2">
        <v>8.2200000000000006</v>
      </c>
      <c r="P22" s="2">
        <v>8.3000000000000007</v>
      </c>
      <c r="Q22" s="2">
        <v>8.6999999999999993</v>
      </c>
      <c r="R22" s="2">
        <v>8.1999999999999993</v>
      </c>
      <c r="S22" s="2">
        <v>6.8</v>
      </c>
      <c r="T22" s="2">
        <v>2.8</v>
      </c>
      <c r="U22" s="2">
        <v>3.1</v>
      </c>
    </row>
    <row r="23" spans="2:122" s="2" customFormat="1" x14ac:dyDescent="0.25">
      <c r="B23" s="2" t="s">
        <v>46</v>
      </c>
      <c r="C23" s="2">
        <v>-3</v>
      </c>
      <c r="D23" s="2">
        <v>-3.4</v>
      </c>
      <c r="E23" s="2">
        <v>-3.2</v>
      </c>
      <c r="F23" s="2">
        <f t="shared" si="41"/>
        <v>-5.2000000000000011</v>
      </c>
      <c r="G23" s="2">
        <v>-6.8</v>
      </c>
      <c r="H23" s="2">
        <v>-7.1</v>
      </c>
      <c r="I23" s="2">
        <v>-7.4</v>
      </c>
      <c r="J23" s="2">
        <f t="shared" si="42"/>
        <v>-3.8929999999999998</v>
      </c>
      <c r="K23" s="2">
        <v>-5.9</v>
      </c>
      <c r="N23" s="2">
        <v>-4.5999999999999996</v>
      </c>
      <c r="O23" s="2">
        <v>-3</v>
      </c>
      <c r="P23" s="2">
        <v>-3.4</v>
      </c>
      <c r="Q23" s="2">
        <v>-7.7</v>
      </c>
      <c r="R23" s="2">
        <v>-7</v>
      </c>
      <c r="S23" s="2">
        <v>-3.9</v>
      </c>
      <c r="T23" s="2">
        <v>-14.8</v>
      </c>
      <c r="U23" s="2">
        <v>-25.193000000000001</v>
      </c>
    </row>
    <row r="24" spans="2:122" s="2" customFormat="1" x14ac:dyDescent="0.25">
      <c r="B24" s="2" t="s">
        <v>57</v>
      </c>
      <c r="C24" s="2">
        <f>+C22+C23</f>
        <v>-2.2999999999999998</v>
      </c>
      <c r="D24" s="2">
        <f t="shared" ref="D24:K24" si="43">+D22+D23</f>
        <v>-2.7</v>
      </c>
      <c r="E24" s="2">
        <f t="shared" si="43"/>
        <v>-2.5</v>
      </c>
      <c r="F24" s="2">
        <f t="shared" si="43"/>
        <v>-4.5000000000000018</v>
      </c>
      <c r="G24" s="2">
        <f t="shared" si="43"/>
        <v>-6.3</v>
      </c>
      <c r="H24" s="2">
        <f t="shared" si="43"/>
        <v>-6.3</v>
      </c>
      <c r="I24" s="2">
        <f t="shared" si="43"/>
        <v>-6.5</v>
      </c>
      <c r="J24" s="2">
        <f t="shared" si="43"/>
        <v>-2.9929999999999994</v>
      </c>
      <c r="K24" s="2">
        <f t="shared" si="43"/>
        <v>-5.1000000000000005</v>
      </c>
      <c r="N24" s="2">
        <f t="shared" ref="N24:U24" si="44">+N22+N23</f>
        <v>3.8000000000000007</v>
      </c>
      <c r="O24" s="2">
        <f t="shared" si="44"/>
        <v>5.2200000000000006</v>
      </c>
      <c r="P24" s="2">
        <f t="shared" si="44"/>
        <v>4.9000000000000004</v>
      </c>
      <c r="Q24" s="2">
        <f t="shared" si="44"/>
        <v>0.99999999999999911</v>
      </c>
      <c r="R24" s="2">
        <f t="shared" si="44"/>
        <v>1.1999999999999993</v>
      </c>
      <c r="S24" s="2">
        <f t="shared" si="44"/>
        <v>2.9</v>
      </c>
      <c r="T24" s="2">
        <f t="shared" si="44"/>
        <v>-12</v>
      </c>
      <c r="U24" s="2">
        <f t="shared" si="44"/>
        <v>-22.093</v>
      </c>
      <c r="V24" s="2">
        <f>+U6*V53</f>
        <v>8.4047999999999998</v>
      </c>
      <c r="W24" s="2">
        <f t="shared" ref="W24:AE24" si="45">+V6*W53</f>
        <v>6.0685966511999938</v>
      </c>
      <c r="X24" s="2">
        <f t="shared" si="45"/>
        <v>1.7672480448969554</v>
      </c>
      <c r="Y24" s="2">
        <f>+X6*Y53</f>
        <v>-0.34363788190376998</v>
      </c>
      <c r="Z24" s="2">
        <f>+Y6*Z53</f>
        <v>-2.3047964589811998</v>
      </c>
      <c r="AA24" s="2">
        <f>+Z6*AA53</f>
        <v>-3.7153023043895579</v>
      </c>
      <c r="AB24" s="2">
        <f t="shared" si="45"/>
        <v>-5.2487692265632653</v>
      </c>
      <c r="AC24" s="2">
        <f t="shared" si="45"/>
        <v>-6.9410736025921862</v>
      </c>
      <c r="AD24" s="2">
        <f t="shared" si="45"/>
        <v>-8.8059801117121115</v>
      </c>
      <c r="AE24" s="2">
        <f t="shared" si="45"/>
        <v>-10.858385544723319</v>
      </c>
    </row>
    <row r="25" spans="2:122" s="5" customFormat="1" x14ac:dyDescent="0.25">
      <c r="B25" s="5" t="s">
        <v>42</v>
      </c>
      <c r="C25" s="5">
        <f t="shared" ref="C25" si="46">+C21-C22-C23</f>
        <v>12.899999999999995</v>
      </c>
      <c r="D25" s="5">
        <f t="shared" ref="D25" si="47">+D21-D22-D23</f>
        <v>20.799999999999994</v>
      </c>
      <c r="E25" s="5">
        <f t="shared" ref="E25" si="48">+E21-E22-E23</f>
        <v>22.700000000000045</v>
      </c>
      <c r="F25" s="5">
        <f t="shared" ref="F25" si="49">+F21-F22-F23</f>
        <v>22.600000000000023</v>
      </c>
      <c r="G25" s="5">
        <f t="shared" ref="G25" si="50">+G21-G22-G23</f>
        <v>30.270000000000028</v>
      </c>
      <c r="H25" s="5">
        <f t="shared" ref="H25" si="51">+H21-H22-H23</f>
        <v>33.29999999999994</v>
      </c>
      <c r="I25" s="5">
        <f t="shared" ref="I25:K25" si="52">+I21-I22-I23</f>
        <v>65.600000000000023</v>
      </c>
      <c r="J25" s="5">
        <f t="shared" ref="J25" si="53">+J21-J22-J23</f>
        <v>13.623000000000051</v>
      </c>
      <c r="K25" s="5">
        <f t="shared" si="52"/>
        <v>22.650999999999989</v>
      </c>
      <c r="N25" s="5">
        <f t="shared" ref="N25:T25" si="54">+N21-N22-N23</f>
        <v>63.800000000000026</v>
      </c>
      <c r="O25" s="5">
        <f t="shared" si="54"/>
        <v>27.119999999999806</v>
      </c>
      <c r="P25" s="5">
        <f t="shared" si="54"/>
        <v>23.250000000000089</v>
      </c>
      <c r="Q25" s="5">
        <f t="shared" si="54"/>
        <v>58.150000000000205</v>
      </c>
      <c r="R25" s="5">
        <f t="shared" si="54"/>
        <v>7.549999999999887</v>
      </c>
      <c r="S25" s="5">
        <f t="shared" si="54"/>
        <v>-17.000000000000025</v>
      </c>
      <c r="T25" s="5">
        <f t="shared" si="54"/>
        <v>79.000000000000114</v>
      </c>
      <c r="U25" s="5">
        <f>+U21-U22-U23</f>
        <v>142.79299999999984</v>
      </c>
      <c r="V25" s="5">
        <f>+V21-V24</f>
        <v>40.003482000000098</v>
      </c>
      <c r="W25" s="5">
        <f t="shared" ref="W25:AE25" si="55">+W21-W24</f>
        <v>49.439566708800029</v>
      </c>
      <c r="X25" s="5">
        <f t="shared" si="55"/>
        <v>62.544768201502983</v>
      </c>
      <c r="Y25" s="5">
        <f t="shared" si="55"/>
        <v>62.986278387439604</v>
      </c>
      <c r="Z25" s="5">
        <f t="shared" si="55"/>
        <v>53.850740646393689</v>
      </c>
      <c r="AA25" s="5">
        <f t="shared" si="55"/>
        <v>52.426219561494271</v>
      </c>
      <c r="AB25" s="5">
        <f t="shared" si="55"/>
        <v>57.85655986423663</v>
      </c>
      <c r="AC25" s="5">
        <f t="shared" si="55"/>
        <v>63.757487491279477</v>
      </c>
      <c r="AD25" s="5">
        <f t="shared" si="55"/>
        <v>70.167707111494266</v>
      </c>
      <c r="AE25" s="5">
        <f t="shared" si="55"/>
        <v>77.129050704487895</v>
      </c>
    </row>
    <row r="26" spans="2:122" s="2" customFormat="1" x14ac:dyDescent="0.25">
      <c r="B26" s="2" t="s">
        <v>43</v>
      </c>
      <c r="C26" s="2">
        <v>4.0999999999999996</v>
      </c>
      <c r="D26" s="2">
        <v>5.6</v>
      </c>
      <c r="E26" s="2">
        <v>6.15</v>
      </c>
      <c r="F26" s="2">
        <f>+T26-E26-D26-C26</f>
        <v>5.1100000000000012</v>
      </c>
      <c r="G26" s="2">
        <v>7.9</v>
      </c>
      <c r="H26" s="2">
        <v>8.6999999999999993</v>
      </c>
      <c r="I26" s="2">
        <v>15.6</v>
      </c>
      <c r="J26" s="2">
        <f>+U26-I26-H26-G26</f>
        <v>2.6599999999999984</v>
      </c>
      <c r="K26" s="2">
        <v>6.3</v>
      </c>
      <c r="N26" s="2">
        <v>21.8</v>
      </c>
      <c r="O26" s="2">
        <v>10.4</v>
      </c>
      <c r="P26" s="2">
        <v>-32.1</v>
      </c>
      <c r="Q26" s="2">
        <v>15.5</v>
      </c>
      <c r="R26" s="2">
        <v>2.2999999999999998</v>
      </c>
      <c r="S26" s="2">
        <v>-2.8</v>
      </c>
      <c r="T26" s="2">
        <v>20.96</v>
      </c>
      <c r="U26" s="2">
        <v>34.86</v>
      </c>
      <c r="V26" s="2">
        <f>+V25*V52</f>
        <v>10.800940140000026</v>
      </c>
      <c r="W26" s="2">
        <f t="shared" ref="W26:AE26" si="56">+W25*W52</f>
        <v>12.854287344288007</v>
      </c>
      <c r="X26" s="2">
        <f t="shared" si="56"/>
        <v>15.636192050375746</v>
      </c>
      <c r="Y26" s="2">
        <f t="shared" si="56"/>
        <v>15.746569596859901</v>
      </c>
      <c r="Z26" s="2">
        <f t="shared" si="56"/>
        <v>13.462685161598422</v>
      </c>
      <c r="AA26" s="2">
        <f t="shared" si="56"/>
        <v>13.106554890373568</v>
      </c>
      <c r="AB26" s="2">
        <f t="shared" si="56"/>
        <v>14.464139966059157</v>
      </c>
      <c r="AC26" s="2">
        <f t="shared" si="56"/>
        <v>15.939371872819869</v>
      </c>
      <c r="AD26" s="2">
        <f t="shared" si="56"/>
        <v>17.541926777873567</v>
      </c>
      <c r="AE26" s="2">
        <f t="shared" si="56"/>
        <v>19.282262676121974</v>
      </c>
    </row>
    <row r="27" spans="2:122" s="5" customFormat="1" x14ac:dyDescent="0.25">
      <c r="B27" s="5" t="s">
        <v>44</v>
      </c>
      <c r="C27" s="5">
        <f t="shared" ref="C27" si="57">+C25-C26</f>
        <v>8.7999999999999954</v>
      </c>
      <c r="D27" s="5">
        <f t="shared" ref="D27" si="58">+D25-D26</f>
        <v>15.199999999999994</v>
      </c>
      <c r="E27" s="5">
        <f t="shared" ref="E27" si="59">+E25-E26</f>
        <v>16.550000000000047</v>
      </c>
      <c r="F27" s="5">
        <f t="shared" ref="F27" si="60">+F25-F26</f>
        <v>17.490000000000023</v>
      </c>
      <c r="G27" s="5">
        <f t="shared" ref="G27" si="61">+G25-G26</f>
        <v>22.370000000000026</v>
      </c>
      <c r="H27" s="5">
        <f t="shared" ref="H27" si="62">+H25-H26</f>
        <v>24.599999999999941</v>
      </c>
      <c r="I27" s="5">
        <f t="shared" ref="I27:K27" si="63">+I25-I26</f>
        <v>50.000000000000021</v>
      </c>
      <c r="J27" s="5">
        <f t="shared" ref="J27" si="64">+J25-J26</f>
        <v>10.963000000000052</v>
      </c>
      <c r="K27" s="5">
        <f t="shared" si="63"/>
        <v>16.350999999999988</v>
      </c>
      <c r="N27" s="5">
        <f t="shared" ref="N27:T27" si="65">+N25-N26</f>
        <v>42.000000000000028</v>
      </c>
      <c r="O27" s="5">
        <f t="shared" si="65"/>
        <v>16.719999999999807</v>
      </c>
      <c r="P27" s="5">
        <f t="shared" si="65"/>
        <v>55.350000000000094</v>
      </c>
      <c r="Q27" s="5">
        <f t="shared" si="65"/>
        <v>42.650000000000205</v>
      </c>
      <c r="R27" s="5">
        <f t="shared" si="65"/>
        <v>5.2499999999998872</v>
      </c>
      <c r="S27" s="5">
        <f t="shared" si="65"/>
        <v>-14.200000000000024</v>
      </c>
      <c r="T27" s="5">
        <f t="shared" si="65"/>
        <v>58.040000000000113</v>
      </c>
      <c r="U27" s="5">
        <f>+U25-U26</f>
        <v>107.93299999999984</v>
      </c>
      <c r="V27" s="5">
        <f>+V25-V26</f>
        <v>29.202541860000071</v>
      </c>
      <c r="W27" s="5">
        <f t="shared" ref="W27:AE27" si="66">+W25-W26</f>
        <v>36.585279364512019</v>
      </c>
      <c r="X27" s="5">
        <f t="shared" si="66"/>
        <v>46.908576151127235</v>
      </c>
      <c r="Y27" s="5">
        <f t="shared" si="66"/>
        <v>47.239708790579705</v>
      </c>
      <c r="Z27" s="5">
        <f t="shared" si="66"/>
        <v>40.388055484795267</v>
      </c>
      <c r="AA27" s="5">
        <f t="shared" si="66"/>
        <v>39.319664671120705</v>
      </c>
      <c r="AB27" s="5">
        <f t="shared" si="66"/>
        <v>43.392419898177472</v>
      </c>
      <c r="AC27" s="5">
        <f t="shared" si="66"/>
        <v>47.818115618459608</v>
      </c>
      <c r="AD27" s="5">
        <f t="shared" si="66"/>
        <v>52.625780333620696</v>
      </c>
      <c r="AE27" s="5">
        <f t="shared" si="66"/>
        <v>57.846788028365921</v>
      </c>
      <c r="AF27" s="5">
        <f>+AE27*(1+Dash!$C$2)</f>
        <v>57.26832014808226</v>
      </c>
      <c r="AG27" s="5">
        <f>+AF27*(1+Dash!$C$2)</f>
        <v>56.695636946601439</v>
      </c>
      <c r="AH27" s="5">
        <f>+AG27*(1+Dash!$C$2)</f>
        <v>56.128680577135427</v>
      </c>
      <c r="AI27" s="5">
        <f>+AH27*(1+Dash!$C$2)</f>
        <v>55.567393771364074</v>
      </c>
      <c r="AJ27" s="5">
        <f>+AI27*(1+Dash!$C$2)</f>
        <v>55.011719833650432</v>
      </c>
      <c r="AK27" s="5">
        <f>+AJ27*(1+Dash!$C$2)</f>
        <v>54.461602635313923</v>
      </c>
      <c r="AL27" s="5">
        <f>+AK27*(1+Dash!$C$2)</f>
        <v>53.916986608960784</v>
      </c>
      <c r="AM27" s="5">
        <f>+AL27*(1+Dash!$C$2)</f>
        <v>53.377816742871175</v>
      </c>
      <c r="AN27" s="5">
        <f>+AM27*(1+Dash!$C$2)</f>
        <v>52.844038575442461</v>
      </c>
      <c r="AO27" s="5">
        <f>+AN27*(1+Dash!$C$2)</f>
        <v>52.315598189688039</v>
      </c>
      <c r="AP27" s="5">
        <f>+AO27*(1+Dash!$C$2)</f>
        <v>51.792442207791161</v>
      </c>
      <c r="AQ27" s="5">
        <f>+AP27*(1+Dash!$C$2)</f>
        <v>51.27451778571325</v>
      </c>
      <c r="AR27" s="5">
        <f>+AQ27*(1+Dash!$C$2)</f>
        <v>50.761772607856116</v>
      </c>
      <c r="AS27" s="5">
        <f>+AR27*(1+Dash!$C$2)</f>
        <v>50.254154881777552</v>
      </c>
      <c r="AT27" s="5">
        <f>+AS27*(1+Dash!$C$2)</f>
        <v>49.751613332959778</v>
      </c>
      <c r="AU27" s="5">
        <f>+AT27*(1+Dash!$C$2)</f>
        <v>49.254097199630181</v>
      </c>
      <c r="AV27" s="5">
        <f>+AU27*(1+Dash!$C$2)</f>
        <v>48.761556227633875</v>
      </c>
      <c r="AW27" s="5">
        <f>+AV27*(1+Dash!$C$2)</f>
        <v>48.273940665357536</v>
      </c>
      <c r="AX27" s="5">
        <f>+AW27*(1+Dash!$C$2)</f>
        <v>47.791201258703957</v>
      </c>
      <c r="AY27" s="5">
        <f>+AX27*(1+Dash!$C$2)</f>
        <v>47.313289246116916</v>
      </c>
      <c r="AZ27" s="5">
        <f>+AY27*(1+Dash!$C$2)</f>
        <v>46.840156353655743</v>
      </c>
      <c r="BA27" s="5">
        <f>+AZ27*(1+Dash!$C$2)</f>
        <v>46.371754790119184</v>
      </c>
      <c r="BB27" s="5">
        <f>+BA27*(1+Dash!$C$2)</f>
        <v>45.908037242217993</v>
      </c>
      <c r="BC27" s="5">
        <f>+BB27*(1+Dash!$C$2)</f>
        <v>45.448956869795815</v>
      </c>
      <c r="BD27" s="5">
        <f>+BC27*(1+Dash!$C$2)</f>
        <v>44.994467301097856</v>
      </c>
      <c r="BE27" s="5">
        <f>+BD27*(1+Dash!$C$2)</f>
        <v>44.544522628086874</v>
      </c>
      <c r="BF27" s="5">
        <f>+BE27*(1+Dash!$C$2)</f>
        <v>44.099077401806007</v>
      </c>
      <c r="BG27" s="5">
        <f>+BF27*(1+Dash!$C$2)</f>
        <v>43.658086627787945</v>
      </c>
      <c r="BH27" s="5">
        <f>+BG27*(1+Dash!$C$2)</f>
        <v>43.221505761510066</v>
      </c>
      <c r="BI27" s="5">
        <f>+BH27*(1+Dash!$C$2)</f>
        <v>42.789290703894963</v>
      </c>
      <c r="BJ27" s="5">
        <f>+BI27*(1+Dash!$C$2)</f>
        <v>42.361397796856011</v>
      </c>
      <c r="BK27" s="5">
        <f>+BJ27*(1+Dash!$C$2)</f>
        <v>41.937783818887453</v>
      </c>
      <c r="BL27" s="5">
        <f>+BK27*(1+Dash!$C$2)</f>
        <v>41.518405980698581</v>
      </c>
      <c r="BM27" s="5">
        <f>+BL27*(1+Dash!$C$2)</f>
        <v>41.103221920891592</v>
      </c>
      <c r="BN27" s="5">
        <f>+BM27*(1+Dash!$C$2)</f>
        <v>40.692189701682679</v>
      </c>
      <c r="BO27" s="5">
        <f>+BN27*(1+Dash!$C$2)</f>
        <v>40.28526780466585</v>
      </c>
      <c r="BP27" s="5">
        <f>+BO27*(1+Dash!$C$2)</f>
        <v>39.882415126619193</v>
      </c>
      <c r="BQ27" s="5">
        <f>+BP27*(1+Dash!$C$2)</f>
        <v>39.483590975353003</v>
      </c>
      <c r="BR27" s="5">
        <f>+BQ27*(1+Dash!$C$2)</f>
        <v>39.088755065599472</v>
      </c>
      <c r="BS27" s="5">
        <f>+BR27*(1+Dash!$C$2)</f>
        <v>38.697867514943475</v>
      </c>
      <c r="BT27" s="5">
        <f>+BS27*(1+Dash!$C$2)</f>
        <v>38.310888839794039</v>
      </c>
      <c r="BU27" s="5">
        <f>+BT27*(1+Dash!$C$2)</f>
        <v>37.927779951396097</v>
      </c>
      <c r="BV27" s="5">
        <f>+BU27*(1+Dash!$C$2)</f>
        <v>37.548502151882133</v>
      </c>
      <c r="BW27" s="5">
        <f>+BV27*(1+Dash!$C$2)</f>
        <v>37.173017130363313</v>
      </c>
      <c r="BX27" s="5">
        <f>+BW27*(1+Dash!$C$2)</f>
        <v>36.801286959059681</v>
      </c>
      <c r="BY27" s="5">
        <f>+BX27*(1+Dash!$C$2)</f>
        <v>36.43327408946908</v>
      </c>
      <c r="BZ27" s="5">
        <f>+BY27*(1+Dash!$C$2)</f>
        <v>36.068941348574391</v>
      </c>
      <c r="CA27" s="5">
        <f>+BZ27*(1+Dash!$C$2)</f>
        <v>35.708251935088647</v>
      </c>
      <c r="CB27" s="5">
        <f>+CA27*(1+Dash!$C$2)</f>
        <v>35.351169415737758</v>
      </c>
      <c r="CC27" s="5">
        <f>+CB27*(1+Dash!$C$2)</f>
        <v>34.997657721580381</v>
      </c>
      <c r="CD27" s="5">
        <f>+CC27*(1+Dash!$C$2)</f>
        <v>34.647681144364576</v>
      </c>
      <c r="CE27" s="5">
        <f>+CD27*(1+Dash!$C$2)</f>
        <v>34.301204332920932</v>
      </c>
      <c r="CF27" s="5">
        <f>+CE27*(1+Dash!$C$2)</f>
        <v>33.958192289591722</v>
      </c>
      <c r="CG27" s="5">
        <f>+CF27*(1+Dash!$C$2)</f>
        <v>33.618610366695805</v>
      </c>
      <c r="CH27" s="5">
        <f>+CG27*(1+Dash!$C$2)</f>
        <v>33.282424263028844</v>
      </c>
      <c r="CI27" s="5">
        <f>+CH27*(1+Dash!$C$2)</f>
        <v>32.949600020398556</v>
      </c>
      <c r="CJ27" s="5">
        <f>+CI27*(1+Dash!$C$2)</f>
        <v>32.620104020194567</v>
      </c>
      <c r="CK27" s="5">
        <f>+CJ27*(1+Dash!$C$2)</f>
        <v>32.293902979992623</v>
      </c>
      <c r="CL27" s="5">
        <f>+CK27*(1+Dash!$C$2)</f>
        <v>31.970963950192697</v>
      </c>
      <c r="CM27" s="5">
        <f>+CL27*(1+Dash!$C$2)</f>
        <v>31.651254310690771</v>
      </c>
      <c r="CN27" s="5">
        <f>+CM27*(1+Dash!$C$2)</f>
        <v>31.334741767583864</v>
      </c>
      <c r="CO27" s="5">
        <f>+CN27*(1+Dash!$C$2)</f>
        <v>31.021394349908025</v>
      </c>
      <c r="CP27" s="5">
        <f>+CO27*(1+Dash!$C$2)</f>
        <v>30.711180406408946</v>
      </c>
      <c r="CQ27" s="5">
        <f>+CP27*(1+Dash!$C$2)</f>
        <v>30.404068602344857</v>
      </c>
      <c r="CR27" s="5">
        <f>+CQ27*(1+Dash!$C$2)</f>
        <v>30.100027916321409</v>
      </c>
      <c r="CS27" s="5">
        <f>+CR27*(1+Dash!$C$2)</f>
        <v>29.799027637158193</v>
      </c>
      <c r="CT27" s="5">
        <f>+CS27*(1+Dash!$C$2)</f>
        <v>29.501037360786611</v>
      </c>
      <c r="CU27" s="5">
        <f>+CT27*(1+Dash!$C$2)</f>
        <v>29.206026987178745</v>
      </c>
      <c r="CV27" s="5">
        <f>+CU27*(1+Dash!$C$2)</f>
        <v>28.913966717306959</v>
      </c>
      <c r="CW27" s="5">
        <f>+CV27*(1+Dash!$C$2)</f>
        <v>28.624827050133888</v>
      </c>
      <c r="CX27" s="5">
        <f>+CW27*(1+Dash!$C$2)</f>
        <v>28.338578779632549</v>
      </c>
      <c r="CY27" s="5">
        <f>+CX27*(1+Dash!$C$2)</f>
        <v>28.055192991836222</v>
      </c>
      <c r="CZ27" s="5">
        <f>+CY27*(1+Dash!$C$2)</f>
        <v>27.774641061917858</v>
      </c>
      <c r="DA27" s="5">
        <f>+CZ27*(1+Dash!$C$2)</f>
        <v>27.496894651298678</v>
      </c>
      <c r="DB27" s="5">
        <f>+DA27*(1+Dash!$C$2)</f>
        <v>27.22192570478569</v>
      </c>
      <c r="DC27" s="5">
        <f>+DB27*(1+Dash!$C$2)</f>
        <v>26.949706447737832</v>
      </c>
      <c r="DD27" s="5">
        <f>+DC27*(1+Dash!$C$2)</f>
        <v>26.680209383260454</v>
      </c>
      <c r="DE27" s="5">
        <f>+DD27*(1+Dash!$C$2)</f>
        <v>26.413407289427848</v>
      </c>
      <c r="DF27" s="5">
        <f>+DE27*(1+Dash!$C$2)</f>
        <v>26.149273216533569</v>
      </c>
      <c r="DG27" s="5">
        <f>+DF27*(1+Dash!$C$2)</f>
        <v>25.887780484368232</v>
      </c>
      <c r="DH27" s="5">
        <f>+DG27*(1+Dash!$C$2)</f>
        <v>25.62890267952455</v>
      </c>
      <c r="DI27" s="5">
        <f>+DH27*(1+Dash!$C$2)</f>
        <v>25.372613652729306</v>
      </c>
      <c r="DJ27" s="5">
        <f>+DI27*(1+Dash!$C$2)</f>
        <v>25.118887516202012</v>
      </c>
      <c r="DK27" s="5">
        <f>+DJ27*(1+Dash!$C$2)</f>
        <v>24.86769864103999</v>
      </c>
      <c r="DL27" s="5">
        <f>+DK27*(1+Dash!$C$2)</f>
        <v>24.619021654629591</v>
      </c>
      <c r="DM27" s="5">
        <f>+DL27*(1+Dash!$C$2)</f>
        <v>24.372831438083296</v>
      </c>
      <c r="DN27" s="5">
        <f>+DM27*(1+Dash!$C$2)</f>
        <v>24.129103123702464</v>
      </c>
      <c r="DO27" s="5">
        <f>+DN27*(1+Dash!$C$2)</f>
        <v>23.887812092465438</v>
      </c>
      <c r="DP27" s="5">
        <f>+DO27*(1+Dash!$C$2)</f>
        <v>23.648933971540785</v>
      </c>
      <c r="DQ27" s="5">
        <f>+DP27*(1+Dash!$C$2)</f>
        <v>23.412444631825377</v>
      </c>
      <c r="DR27" s="5">
        <f>+DQ27*(1+Dash!$C$2)</f>
        <v>23.178320185507122</v>
      </c>
    </row>
    <row r="28" spans="2:122" s="2" customFormat="1" x14ac:dyDescent="0.25">
      <c r="B28" s="2" t="s">
        <v>1</v>
      </c>
      <c r="C28" s="2">
        <v>16.954000000000001</v>
      </c>
      <c r="D28" s="2">
        <v>16.77</v>
      </c>
      <c r="E28" s="2">
        <v>16.782</v>
      </c>
      <c r="F28" s="2">
        <v>16.803000000000001</v>
      </c>
      <c r="G28" s="2">
        <v>16.602</v>
      </c>
      <c r="H28" s="2">
        <v>15.513999999999999</v>
      </c>
      <c r="I28" s="2">
        <v>14.4</v>
      </c>
      <c r="J28" s="2">
        <v>15.006</v>
      </c>
      <c r="K28" s="2">
        <v>13.361000000000001</v>
      </c>
      <c r="N28" s="2">
        <v>18.145</v>
      </c>
      <c r="O28" s="2">
        <v>18.18</v>
      </c>
      <c r="P28" s="2">
        <v>18.279</v>
      </c>
      <c r="Q28" s="2">
        <v>18.34</v>
      </c>
      <c r="R28" s="2">
        <v>18.434999999999999</v>
      </c>
      <c r="S28" s="2">
        <v>17.36</v>
      </c>
      <c r="T28" s="2">
        <v>16.803000000000001</v>
      </c>
      <c r="U28" s="2">
        <v>15.006</v>
      </c>
    </row>
    <row r="29" spans="2:122" s="6" customFormat="1" x14ac:dyDescent="0.25">
      <c r="B29" s="6" t="s">
        <v>45</v>
      </c>
      <c r="C29" s="6">
        <f t="shared" ref="C29" si="67">+C27/C28</f>
        <v>0.51905155125634039</v>
      </c>
      <c r="D29" s="6">
        <f t="shared" ref="D29" si="68">+D27/D28</f>
        <v>0.90638044126416184</v>
      </c>
      <c r="E29" s="6">
        <f t="shared" ref="E29" si="69">+E27/E28</f>
        <v>0.98617566440233861</v>
      </c>
      <c r="F29" s="6">
        <f t="shared" ref="F29" si="70">+F27/F28</f>
        <v>1.0408855561506887</v>
      </c>
      <c r="G29" s="6">
        <f t="shared" ref="G29" si="71">+G27/G28</f>
        <v>1.3474280207203966</v>
      </c>
      <c r="H29" s="6">
        <f t="shared" ref="H29" si="72">+H27/H28</f>
        <v>1.585664561041636</v>
      </c>
      <c r="I29" s="6">
        <f t="shared" ref="I29:K29" si="73">+I27/I28</f>
        <v>3.4722222222222237</v>
      </c>
      <c r="J29" s="6">
        <f t="shared" ref="J29" si="74">+J27/J28</f>
        <v>0.73057443689191337</v>
      </c>
      <c r="K29" s="6">
        <f t="shared" si="73"/>
        <v>1.2237856447870659</v>
      </c>
      <c r="N29" s="6">
        <f t="shared" ref="N29:T29" si="75">+N27/N28</f>
        <v>2.3146872416643718</v>
      </c>
      <c r="O29" s="6">
        <f t="shared" si="75"/>
        <v>0.9196919691969091</v>
      </c>
      <c r="P29" s="6">
        <f t="shared" si="75"/>
        <v>3.0280649926144809</v>
      </c>
      <c r="Q29" s="6">
        <f t="shared" si="75"/>
        <v>2.3255179934569359</v>
      </c>
      <c r="R29" s="6">
        <f t="shared" si="75"/>
        <v>0.28478437754271158</v>
      </c>
      <c r="S29" s="6">
        <f t="shared" si="75"/>
        <v>-0.81797235023041615</v>
      </c>
      <c r="T29" s="6">
        <f t="shared" si="75"/>
        <v>3.4541450931381368</v>
      </c>
      <c r="U29" s="6">
        <f>+U27/U28</f>
        <v>7.1926562708249921</v>
      </c>
    </row>
    <row r="30" spans="2:122" s="2" customFormat="1" x14ac:dyDescent="0.25"/>
    <row r="31" spans="2:122" s="2" customFormat="1" x14ac:dyDescent="0.25">
      <c r="B31" s="2" t="s">
        <v>47</v>
      </c>
      <c r="N31" s="2">
        <v>1.5</v>
      </c>
      <c r="O31" s="2">
        <v>1.4</v>
      </c>
      <c r="P31" s="2">
        <v>1.2</v>
      </c>
      <c r="Q31" s="2">
        <v>5.1769999999999996</v>
      </c>
      <c r="R31" s="2">
        <v>0.81899999999999995</v>
      </c>
      <c r="S31" s="2">
        <v>2.27</v>
      </c>
      <c r="T31" s="2">
        <v>9.1</v>
      </c>
      <c r="U31" s="2">
        <v>6.6</v>
      </c>
    </row>
    <row r="32" spans="2:122" s="2" customFormat="1" x14ac:dyDescent="0.25">
      <c r="B32" s="2" t="s">
        <v>48</v>
      </c>
      <c r="N32" s="2">
        <v>182</v>
      </c>
      <c r="O32" s="2">
        <v>112.8</v>
      </c>
      <c r="P32" s="2">
        <v>110.8</v>
      </c>
      <c r="Q32" s="2">
        <v>75.099999999999994</v>
      </c>
      <c r="R32" s="2">
        <v>138.30000000000001</v>
      </c>
      <c r="S32" s="2">
        <v>94.05</v>
      </c>
      <c r="T32" s="2">
        <v>35.299999999999997</v>
      </c>
      <c r="U32" s="2">
        <v>100.5</v>
      </c>
    </row>
    <row r="33" spans="1:31" s="2" customFormat="1" x14ac:dyDescent="0.25">
      <c r="B33" s="2" t="s">
        <v>49</v>
      </c>
      <c r="N33" s="2">
        <f>0.24+67.3</f>
        <v>67.539999999999992</v>
      </c>
      <c r="O33" s="2">
        <v>120.6</v>
      </c>
      <c r="P33" s="2">
        <v>122.7</v>
      </c>
      <c r="Q33" s="2">
        <v>89.6</v>
      </c>
      <c r="R33" s="2">
        <v>44.3</v>
      </c>
      <c r="S33" s="2">
        <v>289.8</v>
      </c>
      <c r="T33" s="2">
        <v>14.4</v>
      </c>
      <c r="U33" s="2">
        <v>12</v>
      </c>
    </row>
    <row r="34" spans="1:31" s="2" customFormat="1" x14ac:dyDescent="0.25"/>
    <row r="35" spans="1:31" s="2" customFormat="1" x14ac:dyDescent="0.25">
      <c r="B35" s="2" t="s">
        <v>50</v>
      </c>
      <c r="C35" s="2">
        <f>+C21+C19</f>
        <v>24.699999999999996</v>
      </c>
      <c r="D35" s="2">
        <f t="shared" ref="D35:K35" si="76">+D21+D19</f>
        <v>31.999999999999993</v>
      </c>
      <c r="E35" s="2">
        <f t="shared" si="76"/>
        <v>33.600000000000044</v>
      </c>
      <c r="F35" s="2">
        <f t="shared" si="76"/>
        <v>30.600000000000023</v>
      </c>
      <c r="G35" s="2">
        <f t="shared" si="76"/>
        <v>37.370000000000026</v>
      </c>
      <c r="H35" s="2">
        <f t="shared" si="76"/>
        <v>40.899999999999942</v>
      </c>
      <c r="I35" s="2">
        <f t="shared" si="76"/>
        <v>73.500000000000028</v>
      </c>
      <c r="J35" s="2">
        <f t="shared" si="76"/>
        <v>26.430000000000057</v>
      </c>
      <c r="K35" s="2">
        <f t="shared" si="76"/>
        <v>32.150999999999989</v>
      </c>
      <c r="N35" s="2">
        <f t="shared" ref="N35:U35" si="77">+N21+N19</f>
        <v>129.00000000000003</v>
      </c>
      <c r="O35" s="2">
        <f t="shared" si="77"/>
        <v>104.8399999999998</v>
      </c>
      <c r="P35" s="2">
        <f t="shared" si="77"/>
        <v>104.5500000000001</v>
      </c>
      <c r="Q35" s="2">
        <f t="shared" si="77"/>
        <v>135.30000000000021</v>
      </c>
      <c r="R35" s="2">
        <f t="shared" si="77"/>
        <v>89.249999999999886</v>
      </c>
      <c r="S35" s="2">
        <f t="shared" si="77"/>
        <v>51.399999999999977</v>
      </c>
      <c r="T35" s="2">
        <f t="shared" si="77"/>
        <v>120.90000000000012</v>
      </c>
      <c r="U35" s="2">
        <f t="shared" si="77"/>
        <v>178.19999999999982</v>
      </c>
    </row>
    <row r="36" spans="1:31" s="2" customFormat="1" x14ac:dyDescent="0.25"/>
    <row r="37" spans="1:31" s="7" customFormat="1" x14ac:dyDescent="0.25">
      <c r="B37" s="7" t="s">
        <v>51</v>
      </c>
      <c r="C37" s="7">
        <f t="shared" ref="C37:J37" si="78">+C21/C10</f>
        <v>4.798551380715254E-2</v>
      </c>
      <c r="D37" s="7">
        <f t="shared" si="78"/>
        <v>7.0620366757705791E-2</v>
      </c>
      <c r="E37" s="7">
        <f t="shared" si="78"/>
        <v>7.356154406409339E-2</v>
      </c>
      <c r="F37" s="7">
        <f t="shared" si="78"/>
        <v>6.1543692621557379E-2</v>
      </c>
      <c r="G37" s="7">
        <f t="shared" si="78"/>
        <v>8.2210103920156472E-2</v>
      </c>
      <c r="H37" s="7">
        <f t="shared" si="78"/>
        <v>8.5066162570888296E-2</v>
      </c>
      <c r="I37" s="7">
        <f t="shared" si="78"/>
        <v>0.18954457985888395</v>
      </c>
      <c r="J37" s="7">
        <f t="shared" si="78"/>
        <v>3.589639685273377E-2</v>
      </c>
      <c r="K37" s="7">
        <f t="shared" ref="K37" si="79">+K21/K10</f>
        <v>6.5783358320839536E-2</v>
      </c>
      <c r="N37" s="7">
        <f t="shared" ref="N37:U37" si="80">+N21/N10</f>
        <v>9.3344380005523364E-2</v>
      </c>
      <c r="O37" s="7">
        <f t="shared" si="80"/>
        <v>4.8225469728600964E-2</v>
      </c>
      <c r="P37" s="7">
        <f t="shared" si="80"/>
        <v>3.9929078014184528E-2</v>
      </c>
      <c r="Q37" s="7">
        <f t="shared" si="80"/>
        <v>6.6805963406370225E-2</v>
      </c>
      <c r="R37" s="7">
        <f t="shared" si="80"/>
        <v>9.8825389654392214E-3</v>
      </c>
      <c r="S37" s="7">
        <f t="shared" si="80"/>
        <v>-1.6815742397137772E-2</v>
      </c>
      <c r="T37" s="7">
        <f t="shared" si="80"/>
        <v>6.4059661535519757E-2</v>
      </c>
      <c r="U37" s="7">
        <f t="shared" si="80"/>
        <v>9.918645739173293E-2</v>
      </c>
      <c r="V37" s="7">
        <f t="shared" ref="V37:AE37" si="81">+V21/V10</f>
        <v>3.9000000000000076E-2</v>
      </c>
      <c r="W37" s="7">
        <f t="shared" si="81"/>
        <v>4.3000000000000017E-2</v>
      </c>
      <c r="X37" s="7">
        <f t="shared" si="81"/>
        <v>4.6999999999999952E-2</v>
      </c>
      <c r="Y37" s="7">
        <f t="shared" si="81"/>
        <v>4.1999999999999885E-2</v>
      </c>
      <c r="Z37" s="7">
        <f t="shared" si="81"/>
        <v>3.2000000000000001E-2</v>
      </c>
      <c r="AA37" s="7">
        <f t="shared" si="81"/>
        <v>2.7999999999999945E-2</v>
      </c>
      <c r="AB37" s="7">
        <f t="shared" si="81"/>
        <v>2.8000000000000091E-2</v>
      </c>
      <c r="AC37" s="7">
        <f t="shared" si="81"/>
        <v>2.8000000000000119E-2</v>
      </c>
      <c r="AD37" s="7">
        <f t="shared" si="81"/>
        <v>2.800000000000006E-2</v>
      </c>
      <c r="AE37" s="7">
        <f t="shared" si="81"/>
        <v>2.7999999999999997E-2</v>
      </c>
    </row>
    <row r="38" spans="1:31" s="2" customFormat="1" x14ac:dyDescent="0.25"/>
    <row r="39" spans="1:31" s="7" customFormat="1" x14ac:dyDescent="0.25">
      <c r="A39" s="7" t="s">
        <v>54</v>
      </c>
      <c r="B39" s="7" t="s">
        <v>52</v>
      </c>
      <c r="G39" s="7">
        <f>+G10/C10-1</f>
        <v>0.31991851516523351</v>
      </c>
      <c r="H39" s="7">
        <f t="shared" ref="H39:K39" si="82">+H10/D10-1</f>
        <v>0.23839250877877483</v>
      </c>
      <c r="I39" s="7">
        <f t="shared" si="82"/>
        <v>0.13546977421704298</v>
      </c>
      <c r="J39" s="7">
        <f t="shared" si="82"/>
        <v>6.902414144849045E-3</v>
      </c>
      <c r="K39" s="7">
        <f t="shared" si="82"/>
        <v>-8.4953870425626854E-2</v>
      </c>
      <c r="O39" s="7">
        <f>+O10/N10-1</f>
        <v>-7.4012703673018709E-2</v>
      </c>
      <c r="P39" s="7">
        <f t="shared" ref="P39:U39" si="83">+P10/O10-1</f>
        <v>5.1297345660602511E-2</v>
      </c>
      <c r="Q39" s="7">
        <f t="shared" si="83"/>
        <v>0.25588652482269514</v>
      </c>
      <c r="R39" s="7">
        <f t="shared" si="83"/>
        <v>0</v>
      </c>
      <c r="S39" s="7">
        <f t="shared" si="83"/>
        <v>-5.2970408854754902E-2</v>
      </c>
      <c r="T39" s="7">
        <f t="shared" si="83"/>
        <v>0.24734645199761496</v>
      </c>
      <c r="U39" s="7">
        <f t="shared" si="83"/>
        <v>0.16349555406826655</v>
      </c>
      <c r="V39" s="7">
        <v>0.02</v>
      </c>
      <c r="W39" s="7">
        <v>0.04</v>
      </c>
      <c r="X39" s="7">
        <v>0.06</v>
      </c>
      <c r="Y39" s="7">
        <v>0.09</v>
      </c>
      <c r="Z39" s="7">
        <v>0.08</v>
      </c>
      <c r="AA39" s="7">
        <v>0.08</v>
      </c>
      <c r="AB39" s="7">
        <v>0.08</v>
      </c>
      <c r="AC39" s="7">
        <v>0.08</v>
      </c>
      <c r="AD39" s="7">
        <v>0.08</v>
      </c>
      <c r="AE39" s="7">
        <v>0.08</v>
      </c>
    </row>
    <row r="40" spans="1:31" s="2" customFormat="1" x14ac:dyDescent="0.25"/>
    <row r="41" spans="1:31" s="7" customFormat="1" x14ac:dyDescent="0.25">
      <c r="A41" s="7" t="s">
        <v>54</v>
      </c>
      <c r="B41" s="7" t="s">
        <v>53</v>
      </c>
      <c r="C41" s="7">
        <f t="shared" ref="C41:J50" si="84">+C11/C$10</f>
        <v>0.37392485287460392</v>
      </c>
      <c r="D41" s="7">
        <f t="shared" si="84"/>
        <v>0.34529847834568861</v>
      </c>
      <c r="E41" s="7">
        <f t="shared" si="84"/>
        <v>0.31864530225782955</v>
      </c>
      <c r="F41" s="7">
        <f t="shared" si="84"/>
        <v>0.31145868752125128</v>
      </c>
      <c r="G41" s="7">
        <f t="shared" si="84"/>
        <v>0.32685118496415949</v>
      </c>
      <c r="H41" s="7">
        <f t="shared" si="84"/>
        <v>0.31852551984877125</v>
      </c>
      <c r="I41" s="7">
        <f t="shared" si="84"/>
        <v>0.33515073765234121</v>
      </c>
      <c r="J41" s="7">
        <f t="shared" si="84"/>
        <v>0.34241718164319723</v>
      </c>
      <c r="K41" s="7">
        <f t="shared" ref="K41" si="85">+K11/K$10</f>
        <v>0.37166041979010495</v>
      </c>
      <c r="N41" s="7">
        <f t="shared" ref="N41:U50" si="86">+N11/N$10</f>
        <v>0.3380281690140845</v>
      </c>
      <c r="O41" s="7">
        <f t="shared" si="86"/>
        <v>0.34968684759916496</v>
      </c>
      <c r="P41" s="7">
        <f t="shared" si="86"/>
        <v>0.34297872340425534</v>
      </c>
      <c r="Q41" s="7">
        <f t="shared" si="86"/>
        <v>0.34379941269482711</v>
      </c>
      <c r="R41" s="7">
        <f t="shared" si="86"/>
        <v>0.36198328439123562</v>
      </c>
      <c r="S41" s="7">
        <f t="shared" si="86"/>
        <v>0.37567084078711988</v>
      </c>
      <c r="T41" s="7">
        <f t="shared" si="86"/>
        <v>0.33483124581699969</v>
      </c>
      <c r="U41" s="7">
        <f t="shared" si="86"/>
        <v>0.33059413263209791</v>
      </c>
      <c r="V41" s="7">
        <v>0.37</v>
      </c>
      <c r="W41" s="7">
        <v>0.36</v>
      </c>
      <c r="X41" s="7">
        <v>0.35</v>
      </c>
      <c r="Y41" s="7">
        <v>0.35</v>
      </c>
      <c r="Z41" s="7">
        <v>0.35</v>
      </c>
      <c r="AA41" s="7">
        <v>0.35</v>
      </c>
      <c r="AB41" s="7">
        <v>0.35</v>
      </c>
      <c r="AC41" s="7">
        <v>0.35</v>
      </c>
      <c r="AD41" s="7">
        <v>0.35</v>
      </c>
      <c r="AE41" s="7">
        <v>0.35</v>
      </c>
    </row>
    <row r="42" spans="1:31" s="7" customFormat="1" x14ac:dyDescent="0.25">
      <c r="A42" s="7" t="s">
        <v>54</v>
      </c>
      <c r="B42" s="7" t="s">
        <v>31</v>
      </c>
      <c r="C42" s="7">
        <f t="shared" si="84"/>
        <v>0.10321412403802627</v>
      </c>
      <c r="D42" s="7">
        <f t="shared" si="84"/>
        <v>0.10300429184549355</v>
      </c>
      <c r="E42" s="7">
        <f t="shared" si="84"/>
        <v>9.5411507647487237E-2</v>
      </c>
      <c r="F42" s="7">
        <f t="shared" si="84"/>
        <v>9.5885753145188699E-2</v>
      </c>
      <c r="G42" s="7">
        <f t="shared" si="84"/>
        <v>0.12175463868024829</v>
      </c>
      <c r="H42" s="7">
        <f t="shared" si="84"/>
        <v>0.15280403276622559</v>
      </c>
      <c r="I42" s="7">
        <f t="shared" si="84"/>
        <v>0.13630532392559333</v>
      </c>
      <c r="J42" s="7">
        <f t="shared" si="84"/>
        <v>0.13473812177084388</v>
      </c>
      <c r="K42" s="7">
        <f t="shared" ref="K42" si="87">+K12/K$10</f>
        <v>0.1277736131934033</v>
      </c>
      <c r="N42" s="7">
        <f t="shared" si="86"/>
        <v>0.16873791770229218</v>
      </c>
      <c r="O42" s="7">
        <f t="shared" si="86"/>
        <v>0.15374291679093349</v>
      </c>
      <c r="P42" s="7">
        <f t="shared" si="86"/>
        <v>0.14624113475177306</v>
      </c>
      <c r="Q42" s="7">
        <f t="shared" si="86"/>
        <v>0.1370002258866049</v>
      </c>
      <c r="R42" s="7">
        <f t="shared" si="86"/>
        <v>0.13022362773887508</v>
      </c>
      <c r="S42" s="7">
        <f t="shared" si="86"/>
        <v>9.2307692307692313E-2</v>
      </c>
      <c r="T42" s="7">
        <f t="shared" si="86"/>
        <v>9.9053446792236335E-2</v>
      </c>
      <c r="U42" s="7">
        <f t="shared" si="86"/>
        <v>0.13674089900567013</v>
      </c>
      <c r="V42" s="7">
        <v>0.13</v>
      </c>
      <c r="W42" s="7">
        <v>0.13500000000000001</v>
      </c>
      <c r="X42" s="7">
        <v>0.14000000000000001</v>
      </c>
      <c r="Y42" s="7">
        <v>0.14499999999999999</v>
      </c>
      <c r="Z42" s="7">
        <v>0.15</v>
      </c>
      <c r="AA42" s="7">
        <v>0.15</v>
      </c>
      <c r="AB42" s="7">
        <v>0.15</v>
      </c>
      <c r="AC42" s="7">
        <v>0.15</v>
      </c>
      <c r="AD42" s="7">
        <v>0.15</v>
      </c>
      <c r="AE42" s="7">
        <v>0.15</v>
      </c>
    </row>
    <row r="43" spans="1:31" s="7" customFormat="1" x14ac:dyDescent="0.25">
      <c r="A43" s="7" t="s">
        <v>54</v>
      </c>
      <c r="B43" s="7" t="s">
        <v>32</v>
      </c>
      <c r="C43" s="7">
        <f t="shared" si="84"/>
        <v>6.6545948392937981E-2</v>
      </c>
      <c r="D43" s="7">
        <f t="shared" si="84"/>
        <v>5.5793991416309016E-2</v>
      </c>
      <c r="E43" s="7">
        <f t="shared" si="84"/>
        <v>5.426074289876183E-2</v>
      </c>
      <c r="F43" s="7">
        <f t="shared" si="84"/>
        <v>5.236314178850731E-2</v>
      </c>
      <c r="G43" s="7">
        <f t="shared" si="84"/>
        <v>6.1391775559899837E-2</v>
      </c>
      <c r="H43" s="7">
        <f t="shared" si="84"/>
        <v>6.2381852551984883E-2</v>
      </c>
      <c r="I43" s="7">
        <f t="shared" si="84"/>
        <v>7.2161642078255289E-2</v>
      </c>
      <c r="J43" s="7">
        <f t="shared" si="84"/>
        <v>6.3823320838820766E-2</v>
      </c>
      <c r="K43" s="7">
        <f t="shared" ref="K43" si="88">+K13/K$10</f>
        <v>6.4092953523238377E-2</v>
      </c>
      <c r="N43" s="7">
        <f t="shared" si="86"/>
        <v>6.4208782104391043E-2</v>
      </c>
      <c r="O43" s="7">
        <f t="shared" si="86"/>
        <v>6.8386519534745019E-2</v>
      </c>
      <c r="P43" s="7">
        <f t="shared" si="86"/>
        <v>6.9219858156028366E-2</v>
      </c>
      <c r="Q43" s="7">
        <f t="shared" si="86"/>
        <v>6.268353286650101E-2</v>
      </c>
      <c r="R43" s="7">
        <f t="shared" si="86"/>
        <v>6.7201264964987573E-2</v>
      </c>
      <c r="S43" s="7">
        <f t="shared" si="86"/>
        <v>5.7722122838401904E-2</v>
      </c>
      <c r="T43" s="7">
        <f t="shared" si="86"/>
        <v>5.6697581030691266E-2</v>
      </c>
      <c r="U43" s="7">
        <f t="shared" si="86"/>
        <v>6.5001232640315543E-2</v>
      </c>
      <c r="V43" s="7">
        <v>6.5000000000000002E-2</v>
      </c>
      <c r="W43" s="7">
        <v>6.5000000000000002E-2</v>
      </c>
      <c r="X43" s="7">
        <v>6.5000000000000002E-2</v>
      </c>
      <c r="Y43" s="7">
        <v>6.5000000000000002E-2</v>
      </c>
      <c r="Z43" s="7">
        <v>6.5000000000000002E-2</v>
      </c>
      <c r="AA43" s="7">
        <v>6.5000000000000002E-2</v>
      </c>
      <c r="AB43" s="7">
        <v>6.5000000000000002E-2</v>
      </c>
      <c r="AC43" s="7">
        <v>6.5000000000000002E-2</v>
      </c>
      <c r="AD43" s="7">
        <v>6.5000000000000002E-2</v>
      </c>
      <c r="AE43" s="7">
        <v>6.5000000000000002E-2</v>
      </c>
    </row>
    <row r="44" spans="1:31" s="7" customFormat="1" x14ac:dyDescent="0.25">
      <c r="A44" s="7" t="s">
        <v>54</v>
      </c>
      <c r="B44" s="7" t="s">
        <v>33</v>
      </c>
      <c r="C44" s="7">
        <f t="shared" si="84"/>
        <v>0.25894069714803081</v>
      </c>
      <c r="D44" s="7">
        <f t="shared" si="84"/>
        <v>0.29457666796722587</v>
      </c>
      <c r="E44" s="7">
        <f t="shared" si="84"/>
        <v>0.33721777130371444</v>
      </c>
      <c r="F44" s="7">
        <f t="shared" si="84"/>
        <v>0.36178170690241418</v>
      </c>
      <c r="G44" s="7">
        <f t="shared" si="84"/>
        <v>0.28706657063483892</v>
      </c>
      <c r="H44" s="7">
        <f t="shared" si="84"/>
        <v>0.25740390674228109</v>
      </c>
      <c r="I44" s="7">
        <f t="shared" si="84"/>
        <v>0.25304682488774854</v>
      </c>
      <c r="J44" s="7">
        <f t="shared" si="84"/>
        <v>0.27454158646540366</v>
      </c>
      <c r="K44" s="7">
        <f t="shared" ref="K44" si="89">+K14/K$10</f>
        <v>0.23613193403298349</v>
      </c>
      <c r="N44" s="7">
        <f t="shared" si="86"/>
        <v>0.16376691521679093</v>
      </c>
      <c r="O44" s="7">
        <f t="shared" si="86"/>
        <v>0.17521622427676709</v>
      </c>
      <c r="P44" s="7">
        <f t="shared" si="86"/>
        <v>0.20134751773049644</v>
      </c>
      <c r="Q44" s="7">
        <f t="shared" si="86"/>
        <v>0.20736390332053306</v>
      </c>
      <c r="R44" s="7">
        <f t="shared" si="86"/>
        <v>0.23119494014004968</v>
      </c>
      <c r="S44" s="7">
        <f t="shared" si="86"/>
        <v>0.26559332140727487</v>
      </c>
      <c r="T44" s="7">
        <f t="shared" si="86"/>
        <v>0.31714313031838604</v>
      </c>
      <c r="U44" s="7">
        <f t="shared" si="86"/>
        <v>0.26756512449667186</v>
      </c>
      <c r="V44" s="7">
        <v>0.23</v>
      </c>
      <c r="W44" s="7">
        <v>0.23</v>
      </c>
      <c r="X44" s="7">
        <v>0.23</v>
      </c>
      <c r="Y44" s="7">
        <v>0.23</v>
      </c>
      <c r="Z44" s="7">
        <v>0.23</v>
      </c>
      <c r="AA44" s="7">
        <v>0.23</v>
      </c>
      <c r="AB44" s="7">
        <v>0.23</v>
      </c>
      <c r="AC44" s="7">
        <v>0.23</v>
      </c>
      <c r="AD44" s="7">
        <v>0.23</v>
      </c>
      <c r="AE44" s="7">
        <v>0.23</v>
      </c>
    </row>
    <row r="45" spans="1:31" s="7" customFormat="1" x14ac:dyDescent="0.25">
      <c r="A45" s="7" t="s">
        <v>54</v>
      </c>
      <c r="B45" s="7" t="s">
        <v>34</v>
      </c>
      <c r="C45" s="7">
        <f t="shared" si="84"/>
        <v>1.1770031688546855E-2</v>
      </c>
      <c r="D45" s="7">
        <f t="shared" si="84"/>
        <v>1.1705033164260631E-2</v>
      </c>
      <c r="E45" s="7">
        <f t="shared" si="84"/>
        <v>9.8324836125273131E-3</v>
      </c>
      <c r="F45" s="7">
        <f t="shared" si="84"/>
        <v>8.8405304318259076E-3</v>
      </c>
      <c r="G45" s="7">
        <f t="shared" si="84"/>
        <v>9.2602119559625461E-3</v>
      </c>
      <c r="H45" s="7">
        <f t="shared" si="84"/>
        <v>8.5066162570888483E-3</v>
      </c>
      <c r="I45" s="7">
        <f t="shared" si="84"/>
        <v>1.0262989095574087E-2</v>
      </c>
      <c r="J45" s="7">
        <f t="shared" si="84"/>
        <v>1.1143754432175053E-2</v>
      </c>
      <c r="K45" s="7">
        <f t="shared" ref="K45" si="90">+K15/K$10</f>
        <v>1.3118440779610194E-2</v>
      </c>
      <c r="N45" s="7">
        <f t="shared" si="86"/>
        <v>1.5189174261253796E-2</v>
      </c>
      <c r="O45" s="7">
        <f t="shared" si="86"/>
        <v>1.7447062332239787E-2</v>
      </c>
      <c r="P45" s="7">
        <f t="shared" si="86"/>
        <v>1.4042553191489362E-2</v>
      </c>
      <c r="Q45" s="7">
        <f t="shared" si="86"/>
        <v>1.332730969053535E-2</v>
      </c>
      <c r="R45" s="7">
        <f t="shared" si="86"/>
        <v>1.468262932008132E-2</v>
      </c>
      <c r="S45" s="7">
        <f t="shared" si="86"/>
        <v>1.3834227787716159E-2</v>
      </c>
      <c r="T45" s="7">
        <f t="shared" si="86"/>
        <v>1.0421646428912898E-2</v>
      </c>
      <c r="U45" s="7">
        <f t="shared" si="86"/>
        <v>9.7789465034103049E-3</v>
      </c>
      <c r="V45" s="7">
        <v>1.4999999999999999E-2</v>
      </c>
      <c r="W45" s="7">
        <v>1.4999999999999999E-2</v>
      </c>
      <c r="X45" s="7">
        <v>1.4999999999999999E-2</v>
      </c>
      <c r="Y45" s="7">
        <v>1.4E-2</v>
      </c>
      <c r="Z45" s="7">
        <v>1.4E-2</v>
      </c>
      <c r="AA45" s="7">
        <v>1.2999999999999999E-2</v>
      </c>
      <c r="AB45" s="7">
        <v>1.2999999999999999E-2</v>
      </c>
      <c r="AC45" s="7">
        <v>1.2999999999999999E-2</v>
      </c>
      <c r="AD45" s="7">
        <v>1.2999999999999999E-2</v>
      </c>
      <c r="AE45" s="7">
        <v>1.2999999999999999E-2</v>
      </c>
    </row>
    <row r="46" spans="1:31" s="7" customFormat="1" x14ac:dyDescent="0.25">
      <c r="A46" s="7" t="s">
        <v>54</v>
      </c>
      <c r="B46" s="7" t="s">
        <v>35</v>
      </c>
      <c r="C46" s="7">
        <f t="shared" si="84"/>
        <v>3.5310095065640562E-2</v>
      </c>
      <c r="D46" s="7">
        <f t="shared" si="84"/>
        <v>3.745610612563402E-2</v>
      </c>
      <c r="E46" s="7">
        <f t="shared" si="84"/>
        <v>4.0058266569555717E-2</v>
      </c>
      <c r="F46" s="7">
        <f t="shared" si="84"/>
        <v>3.5362121727303623E-2</v>
      </c>
      <c r="G46" s="7">
        <f t="shared" si="84"/>
        <v>3.1553314812909412E-2</v>
      </c>
      <c r="H46" s="7">
        <f t="shared" si="84"/>
        <v>4.2848141146817897E-2</v>
      </c>
      <c r="I46" s="7">
        <f t="shared" si="84"/>
        <v>4.1372674791533032E-2</v>
      </c>
      <c r="J46" s="7">
        <f t="shared" si="84"/>
        <v>4.997805018066389E-2</v>
      </c>
      <c r="K46" s="7">
        <f t="shared" ref="K46" si="91">+K16/K$10</f>
        <v>4.7601199400299846E-2</v>
      </c>
      <c r="N46" s="7">
        <f t="shared" si="86"/>
        <v>4.4048605357636009E-2</v>
      </c>
      <c r="O46" s="7">
        <f t="shared" si="86"/>
        <v>4.8613182224873257E-2</v>
      </c>
      <c r="P46" s="7">
        <f t="shared" si="86"/>
        <v>4.7092198581560288E-2</v>
      </c>
      <c r="Q46" s="7">
        <f t="shared" si="86"/>
        <v>4.8904449966117002E-2</v>
      </c>
      <c r="R46" s="7">
        <f t="shared" si="86"/>
        <v>5.3873955274452233E-2</v>
      </c>
      <c r="S46" s="7">
        <f t="shared" si="86"/>
        <v>6.3327370304114491E-2</v>
      </c>
      <c r="T46" s="7">
        <f t="shared" si="86"/>
        <v>3.7097236829524809E-2</v>
      </c>
      <c r="U46" s="7">
        <f t="shared" si="86"/>
        <v>4.1498890623715999E-2</v>
      </c>
      <c r="V46" s="7">
        <v>4.8000000000000001E-2</v>
      </c>
      <c r="W46" s="7">
        <v>4.8000000000000001E-2</v>
      </c>
      <c r="X46" s="7">
        <v>4.8000000000000001E-2</v>
      </c>
      <c r="Y46" s="7">
        <v>4.8000000000000001E-2</v>
      </c>
      <c r="Z46" s="7">
        <v>4.8000000000000001E-2</v>
      </c>
      <c r="AA46" s="7">
        <v>4.8000000000000001E-2</v>
      </c>
      <c r="AB46" s="7">
        <v>4.8000000000000001E-2</v>
      </c>
      <c r="AC46" s="7">
        <v>4.8000000000000001E-2</v>
      </c>
      <c r="AD46" s="7">
        <v>4.8000000000000001E-2</v>
      </c>
      <c r="AE46" s="7">
        <v>4.8000000000000001E-2</v>
      </c>
    </row>
    <row r="47" spans="1:31" s="7" customFormat="1" x14ac:dyDescent="0.25">
      <c r="A47" s="7" t="s">
        <v>54</v>
      </c>
      <c r="B47" s="7" t="s">
        <v>36</v>
      </c>
      <c r="C47" s="7">
        <f t="shared" si="84"/>
        <v>5.432322317790856E-3</v>
      </c>
      <c r="D47" s="7">
        <f t="shared" si="84"/>
        <v>4.2918454935622317E-3</v>
      </c>
      <c r="E47" s="7">
        <f t="shared" si="84"/>
        <v>3.6416605972323375E-3</v>
      </c>
      <c r="F47" s="7">
        <f t="shared" si="84"/>
        <v>4.4202652159129538E-3</v>
      </c>
      <c r="G47" s="7">
        <f t="shared" si="84"/>
        <v>4.1156497582055755E-3</v>
      </c>
      <c r="H47" s="7">
        <f t="shared" si="84"/>
        <v>3.780718336483932E-3</v>
      </c>
      <c r="I47" s="7">
        <f t="shared" si="84"/>
        <v>4.1693393200769721E-3</v>
      </c>
      <c r="J47" s="7">
        <f t="shared" si="84"/>
        <v>5.7407219802113937E-3</v>
      </c>
      <c r="K47" s="7">
        <f t="shared" ref="K47" si="92">+K17/K$10</f>
        <v>4.8725637181409294E-3</v>
      </c>
      <c r="N47" s="7">
        <f t="shared" si="86"/>
        <v>8.5611709472521395E-3</v>
      </c>
      <c r="O47" s="7">
        <f t="shared" si="86"/>
        <v>9.0963316433045043E-3</v>
      </c>
      <c r="P47" s="7">
        <f t="shared" si="86"/>
        <v>9.7872340425531924E-3</v>
      </c>
      <c r="Q47" s="7">
        <f t="shared" si="86"/>
        <v>7.9060311723514794E-3</v>
      </c>
      <c r="R47" s="7">
        <f t="shared" si="86"/>
        <v>7.9060311723514794E-3</v>
      </c>
      <c r="S47" s="7">
        <f t="shared" si="86"/>
        <v>7.0363744782349436E-3</v>
      </c>
      <c r="T47" s="7">
        <f t="shared" si="86"/>
        <v>4.3981260158714973E-3</v>
      </c>
      <c r="U47" s="7">
        <f t="shared" si="86"/>
        <v>4.4375051360013148E-3</v>
      </c>
      <c r="V47" s="7">
        <v>8.0000000000000002E-3</v>
      </c>
      <c r="W47" s="7">
        <v>8.0000000000000002E-3</v>
      </c>
      <c r="X47" s="7">
        <v>8.0000000000000002E-3</v>
      </c>
      <c r="Y47" s="7">
        <v>8.0000000000000002E-3</v>
      </c>
      <c r="Z47" s="7">
        <v>8.0000000000000002E-3</v>
      </c>
      <c r="AA47" s="7">
        <v>8.0000000000000002E-3</v>
      </c>
      <c r="AB47" s="7">
        <v>8.0000000000000002E-3</v>
      </c>
      <c r="AC47" s="7">
        <v>8.0000000000000002E-3</v>
      </c>
      <c r="AD47" s="7">
        <v>8.0000000000000002E-3</v>
      </c>
      <c r="AE47" s="7">
        <v>8.0000000000000002E-3</v>
      </c>
    </row>
    <row r="48" spans="1:31" s="7" customFormat="1" x14ac:dyDescent="0.25">
      <c r="A48" s="7" t="s">
        <v>54</v>
      </c>
      <c r="B48" s="7" t="s">
        <v>37</v>
      </c>
      <c r="C48" s="7">
        <f t="shared" si="84"/>
        <v>3.7120869171570849E-2</v>
      </c>
      <c r="D48" s="7">
        <f t="shared" si="84"/>
        <v>3.0433086227077643E-2</v>
      </c>
      <c r="E48" s="7">
        <f t="shared" si="84"/>
        <v>2.1849963583394028E-2</v>
      </c>
      <c r="F48" s="7">
        <f t="shared" si="84"/>
        <v>2.6181570894253655E-2</v>
      </c>
      <c r="G48" s="7">
        <f t="shared" si="84"/>
        <v>3.0524402373358024E-2</v>
      </c>
      <c r="H48" s="7">
        <f t="shared" si="84"/>
        <v>2.6149968494013867E-2</v>
      </c>
      <c r="I48" s="7">
        <f t="shared" si="84"/>
        <v>3.5920461834509296E-2</v>
      </c>
      <c r="J48" s="7">
        <f t="shared" si="84"/>
        <v>3.1742815655286513E-2</v>
      </c>
      <c r="K48" s="7">
        <f t="shared" ref="K48" si="93">+K18/K$10</f>
        <v>5.0974512743628179E-2</v>
      </c>
      <c r="N48" s="7">
        <f t="shared" si="86"/>
        <v>1.9331676332504832E-2</v>
      </c>
      <c r="O48" s="7">
        <f t="shared" si="86"/>
        <v>2.1473307485833586E-2</v>
      </c>
      <c r="P48" s="7">
        <f t="shared" si="86"/>
        <v>2.099290780141844E-2</v>
      </c>
      <c r="Q48" s="7">
        <f t="shared" si="86"/>
        <v>2.6202846171222042E-2</v>
      </c>
      <c r="R48" s="7">
        <f t="shared" si="86"/>
        <v>3.3995934041111363E-2</v>
      </c>
      <c r="S48" s="7">
        <f t="shared" si="86"/>
        <v>4.0667859272510438E-2</v>
      </c>
      <c r="T48" s="7">
        <f t="shared" si="86"/>
        <v>2.8396596232909452E-2</v>
      </c>
      <c r="U48" s="7">
        <f t="shared" si="86"/>
        <v>3.1062535952009199E-2</v>
      </c>
      <c r="V48" s="7">
        <v>0.04</v>
      </c>
      <c r="W48" s="7">
        <v>3.5999999999999997E-2</v>
      </c>
      <c r="X48" s="7">
        <v>3.2000000000000001E-2</v>
      </c>
      <c r="Y48" s="7">
        <v>2.8000000000000001E-2</v>
      </c>
      <c r="Z48" s="7">
        <v>2.8000000000000001E-2</v>
      </c>
      <c r="AA48" s="7">
        <v>2.8000000000000001E-2</v>
      </c>
      <c r="AB48" s="7">
        <v>2.8000000000000001E-2</v>
      </c>
      <c r="AC48" s="7">
        <v>2.8000000000000001E-2</v>
      </c>
      <c r="AD48" s="7">
        <v>2.8000000000000001E-2</v>
      </c>
      <c r="AE48" s="7">
        <v>2.8000000000000001E-2</v>
      </c>
    </row>
    <row r="49" spans="1:31" s="7" customFormat="1" x14ac:dyDescent="0.25">
      <c r="A49" s="7" t="s">
        <v>54</v>
      </c>
      <c r="B49" s="7" t="s">
        <v>38</v>
      </c>
      <c r="C49" s="7">
        <f t="shared" si="84"/>
        <v>6.3829787234042562E-2</v>
      </c>
      <c r="D49" s="7">
        <f t="shared" si="84"/>
        <v>5.4233320327740926E-2</v>
      </c>
      <c r="E49" s="7">
        <f t="shared" si="84"/>
        <v>4.8798252002913323E-2</v>
      </c>
      <c r="F49" s="7">
        <f t="shared" si="84"/>
        <v>4.2502550153009189E-2</v>
      </c>
      <c r="G49" s="7">
        <f t="shared" si="84"/>
        <v>4.5958088966628931E-2</v>
      </c>
      <c r="H49" s="7">
        <f t="shared" si="84"/>
        <v>4.3793320730938883E-2</v>
      </c>
      <c r="I49" s="7">
        <f t="shared" si="84"/>
        <v>4.6183450930083386E-2</v>
      </c>
      <c r="J49" s="7">
        <f t="shared" si="84"/>
        <v>5.3354945463141186E-2</v>
      </c>
      <c r="K49" s="7">
        <f t="shared" ref="K49" si="94">+K19/K$10</f>
        <v>5.4722638680659665E-2</v>
      </c>
      <c r="N49" s="7">
        <f t="shared" si="86"/>
        <v>8.4783209058271192E-2</v>
      </c>
      <c r="O49" s="7">
        <f t="shared" si="86"/>
        <v>0.10811213838353714</v>
      </c>
      <c r="P49" s="7">
        <f t="shared" si="86"/>
        <v>0.10836879432624115</v>
      </c>
      <c r="Q49" s="7">
        <f t="shared" si="86"/>
        <v>8.6006324824937877E-2</v>
      </c>
      <c r="R49" s="7">
        <f t="shared" si="86"/>
        <v>9.0919358482042023E-2</v>
      </c>
      <c r="S49" s="7">
        <f t="shared" si="86"/>
        <v>7.8115682766845551E-2</v>
      </c>
      <c r="T49" s="7">
        <f t="shared" si="86"/>
        <v>5.1534563533798636E-2</v>
      </c>
      <c r="U49" s="7">
        <f t="shared" si="86"/>
        <v>4.7251212096310294E-2</v>
      </c>
      <c r="V49" s="7">
        <v>5.5E-2</v>
      </c>
      <c r="W49" s="7">
        <v>0.06</v>
      </c>
      <c r="X49" s="7">
        <v>6.5000000000000002E-2</v>
      </c>
      <c r="Y49" s="7">
        <v>7.0000000000000007E-2</v>
      </c>
      <c r="Z49" s="7">
        <v>7.4999999999999997E-2</v>
      </c>
      <c r="AA49" s="7">
        <v>0.08</v>
      </c>
      <c r="AB49" s="7">
        <v>0.08</v>
      </c>
      <c r="AC49" s="7">
        <v>0.08</v>
      </c>
      <c r="AD49" s="7">
        <v>0.08</v>
      </c>
      <c r="AE49" s="7">
        <v>0.08</v>
      </c>
    </row>
    <row r="50" spans="1:31" s="7" customFormat="1" x14ac:dyDescent="0.25">
      <c r="A50" s="7" t="s">
        <v>54</v>
      </c>
      <c r="B50" s="7" t="s">
        <v>39</v>
      </c>
      <c r="C50" s="7">
        <f t="shared" si="84"/>
        <v>-4.074241738343142E-3</v>
      </c>
      <c r="D50" s="7">
        <f t="shared" si="84"/>
        <v>-7.4131876706983995E-3</v>
      </c>
      <c r="E50" s="7">
        <f t="shared" si="84"/>
        <v>-3.2774945375091038E-3</v>
      </c>
      <c r="F50" s="7">
        <f t="shared" si="84"/>
        <v>-3.400204012240734E-4</v>
      </c>
      <c r="G50" s="7">
        <f t="shared" si="84"/>
        <v>-6.8594162636759605E-4</v>
      </c>
      <c r="H50" s="7">
        <f t="shared" si="84"/>
        <v>-1.2602394454946442E-3</v>
      </c>
      <c r="I50" s="7">
        <f t="shared" si="84"/>
        <v>-0.12411802437459911</v>
      </c>
      <c r="J50" s="7">
        <f t="shared" si="84"/>
        <v>-3.3768952824772712E-3</v>
      </c>
      <c r="K50" s="7">
        <f t="shared" ref="K50" si="95">+K20/K$10</f>
        <v>-3.6731634182908549E-2</v>
      </c>
      <c r="N50" s="7">
        <f t="shared" si="86"/>
        <v>0</v>
      </c>
      <c r="O50" s="7">
        <f t="shared" si="86"/>
        <v>0</v>
      </c>
      <c r="P50" s="7">
        <f t="shared" si="86"/>
        <v>0</v>
      </c>
      <c r="Q50" s="7">
        <f t="shared" si="86"/>
        <v>0</v>
      </c>
      <c r="R50" s="7">
        <f t="shared" si="86"/>
        <v>-1.8635644906257059E-3</v>
      </c>
      <c r="S50" s="7">
        <f t="shared" si="86"/>
        <v>2.2540250447227194E-2</v>
      </c>
      <c r="T50" s="7">
        <f t="shared" si="86"/>
        <v>-3.6332345348503675E-3</v>
      </c>
      <c r="U50" s="7">
        <f t="shared" si="86"/>
        <v>-3.3116936477935732E-2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</row>
    <row r="51" spans="1:31" s="2" customFormat="1" x14ac:dyDescent="0.25"/>
    <row r="52" spans="1:31" s="7" customFormat="1" x14ac:dyDescent="0.25">
      <c r="A52" s="7" t="s">
        <v>54</v>
      </c>
      <c r="B52" s="7" t="s">
        <v>55</v>
      </c>
      <c r="C52" s="7">
        <f>+C26/C25</f>
        <v>0.31782945736434121</v>
      </c>
      <c r="D52" s="7">
        <f t="shared" ref="D52:U52" si="96">+D26/D25</f>
        <v>0.26923076923076927</v>
      </c>
      <c r="E52" s="7">
        <f t="shared" si="96"/>
        <v>0.27092511013215809</v>
      </c>
      <c r="F52" s="7">
        <f t="shared" si="96"/>
        <v>0.2261061946902653</v>
      </c>
      <c r="G52" s="7">
        <f t="shared" si="96"/>
        <v>0.26098447307565226</v>
      </c>
      <c r="H52" s="7">
        <f t="shared" si="96"/>
        <v>0.2612612612612617</v>
      </c>
      <c r="I52" s="7">
        <f t="shared" si="96"/>
        <v>0.23780487804878039</v>
      </c>
      <c r="J52" s="7">
        <f t="shared" si="96"/>
        <v>0.1952580195258011</v>
      </c>
      <c r="K52" s="7">
        <f t="shared" ref="K52" si="97">+K26/K25</f>
        <v>0.27813341574323441</v>
      </c>
      <c r="N52" s="7">
        <f t="shared" si="96"/>
        <v>0.34169278996865193</v>
      </c>
      <c r="O52" s="7">
        <f t="shared" si="96"/>
        <v>0.38348082595870481</v>
      </c>
      <c r="P52" s="7">
        <f t="shared" si="96"/>
        <v>-1.3806451612903174</v>
      </c>
      <c r="Q52" s="7">
        <f t="shared" si="96"/>
        <v>0.26655202063628453</v>
      </c>
      <c r="R52" s="7">
        <f t="shared" si="96"/>
        <v>0.30463576158940853</v>
      </c>
      <c r="S52" s="7">
        <f t="shared" si="96"/>
        <v>0.16470588235294092</v>
      </c>
      <c r="T52" s="7">
        <f t="shared" si="96"/>
        <v>0.26531645569620216</v>
      </c>
      <c r="U52" s="7">
        <f t="shared" si="96"/>
        <v>0.24412961419677462</v>
      </c>
      <c r="V52" s="7">
        <v>0.27</v>
      </c>
      <c r="W52" s="7">
        <v>0.26</v>
      </c>
      <c r="X52" s="7">
        <v>0.25</v>
      </c>
      <c r="Y52" s="7">
        <v>0.25</v>
      </c>
      <c r="Z52" s="7">
        <v>0.25</v>
      </c>
      <c r="AA52" s="7">
        <v>0.25</v>
      </c>
      <c r="AB52" s="7">
        <v>0.25</v>
      </c>
      <c r="AC52" s="7">
        <v>0.25</v>
      </c>
      <c r="AD52" s="7">
        <v>0.25</v>
      </c>
      <c r="AE52" s="7">
        <v>0.25</v>
      </c>
    </row>
    <row r="53" spans="1:31" s="7" customFormat="1" x14ac:dyDescent="0.25">
      <c r="A53" s="7" t="s">
        <v>54</v>
      </c>
      <c r="B53" s="7" t="s">
        <v>56</v>
      </c>
      <c r="O53" s="7">
        <f>+O24/N6</f>
        <v>-1.9938884644767001E-2</v>
      </c>
      <c r="P53" s="7">
        <f t="shared" ref="P53:S53" si="98">+P24/O6</f>
        <v>-2.0895522388059702E-2</v>
      </c>
      <c r="Q53" s="7">
        <f t="shared" si="98"/>
        <v>-4.5620437956204333E-3</v>
      </c>
      <c r="R53" s="7">
        <f t="shared" si="98"/>
        <v>-5.1648446242575511E-3</v>
      </c>
      <c r="S53" s="7">
        <f t="shared" si="98"/>
        <v>-1.114955786236063E-2</v>
      </c>
      <c r="T53" s="7">
        <f>+T24/S6</f>
        <v>8.6327829934175038E-2</v>
      </c>
      <c r="U53" s="7">
        <f>+U24/T6</f>
        <v>0.253214899713467</v>
      </c>
      <c r="V53" s="7">
        <v>-0.08</v>
      </c>
      <c r="W53" s="7">
        <v>-0.08</v>
      </c>
      <c r="X53" s="7">
        <v>-4.4999999999999998E-2</v>
      </c>
      <c r="Y53" s="7">
        <v>-4.4999999999999998E-2</v>
      </c>
      <c r="Z53" s="7">
        <v>-4.2000000000000003E-2</v>
      </c>
      <c r="AA53" s="7">
        <v>-3.9E-2</v>
      </c>
      <c r="AB53" s="7">
        <v>-3.9E-2</v>
      </c>
      <c r="AC53" s="7">
        <v>-3.9E-2</v>
      </c>
      <c r="AD53" s="7">
        <v>-3.9E-2</v>
      </c>
      <c r="AE53" s="7">
        <v>-3.9E-2</v>
      </c>
    </row>
    <row r="54" spans="1:31" s="2" customFormat="1" x14ac:dyDescent="0.25"/>
    <row r="55" spans="1:31" s="2" customFormat="1" x14ac:dyDescent="0.25"/>
    <row r="56" spans="1:31" s="2" customFormat="1" x14ac:dyDescent="0.25"/>
    <row r="57" spans="1:31" s="2" customFormat="1" x14ac:dyDescent="0.25"/>
    <row r="58" spans="1:31" s="2" customFormat="1" x14ac:dyDescent="0.25"/>
    <row r="59" spans="1:31" s="2" customFormat="1" x14ac:dyDescent="0.25"/>
    <row r="60" spans="1:31" s="2" customFormat="1" x14ac:dyDescent="0.25"/>
    <row r="61" spans="1:31" s="2" customFormat="1" x14ac:dyDescent="0.25"/>
    <row r="62" spans="1:31" s="2" customFormat="1" x14ac:dyDescent="0.25"/>
    <row r="63" spans="1:31" s="2" customFormat="1" x14ac:dyDescent="0.25"/>
    <row r="64" spans="1:3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C4" sqref="C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3">
        <v>-0.01</v>
      </c>
    </row>
    <row r="3" spans="2:3" x14ac:dyDescent="0.25">
      <c r="B3" t="s">
        <v>19</v>
      </c>
      <c r="C3" s="3">
        <v>8.5000000000000006E-2</v>
      </c>
    </row>
    <row r="4" spans="2:3" x14ac:dyDescent="0.25">
      <c r="B4" t="s">
        <v>8</v>
      </c>
      <c r="C4" s="2">
        <f>+NPV(C3,Model!V27:DR27)</f>
        <v>546.57156432801094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2023-05-01T14:23:21Z</dcterms:modified>
</cp:coreProperties>
</file>