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A1A9CF34-A7AA-47E4-8F45-3D6783FEF6F6}" xr6:coauthVersionLast="47" xr6:coauthVersionMax="47" xr10:uidLastSave="{00000000-0000-0000-0000-000000000000}"/>
  <bookViews>
    <workbookView xWindow="18495" yWindow="0" windowWidth="29565" windowHeight="21600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2" l="1"/>
  <c r="T32" i="2"/>
  <c r="S32" i="2"/>
  <c r="R32" i="2"/>
  <c r="Q32" i="2"/>
  <c r="P32" i="2"/>
  <c r="O32" i="2"/>
  <c r="N32" i="2"/>
  <c r="M32" i="2"/>
  <c r="J32" i="2"/>
  <c r="I32" i="2"/>
  <c r="H32" i="2"/>
  <c r="G32" i="2"/>
  <c r="F32" i="2"/>
  <c r="E32" i="2"/>
  <c r="D32" i="2"/>
  <c r="C32" i="2"/>
  <c r="P49" i="2" l="1"/>
  <c r="O49" i="2"/>
  <c r="U18" i="2"/>
  <c r="U17" i="2"/>
  <c r="U15" i="2"/>
  <c r="U12" i="2"/>
  <c r="U10" i="2"/>
  <c r="U13" i="2" s="1"/>
  <c r="T47" i="2"/>
  <c r="S47" i="2"/>
  <c r="R47" i="2"/>
  <c r="Q47" i="2"/>
  <c r="P47" i="2"/>
  <c r="O47" i="2"/>
  <c r="M47" i="2"/>
  <c r="T46" i="2"/>
  <c r="S46" i="2"/>
  <c r="R46" i="2"/>
  <c r="Q46" i="2"/>
  <c r="P46" i="2"/>
  <c r="O46" i="2"/>
  <c r="N46" i="2"/>
  <c r="M46" i="2"/>
  <c r="T45" i="2"/>
  <c r="S45" i="2"/>
  <c r="R45" i="2"/>
  <c r="Q45" i="2"/>
  <c r="P45" i="2"/>
  <c r="O45" i="2"/>
  <c r="N45" i="2"/>
  <c r="M45" i="2"/>
  <c r="T44" i="2"/>
  <c r="S44" i="2"/>
  <c r="R44" i="2"/>
  <c r="Q44" i="2"/>
  <c r="P44" i="2"/>
  <c r="O44" i="2"/>
  <c r="N44" i="2"/>
  <c r="M44" i="2"/>
  <c r="T43" i="2"/>
  <c r="S43" i="2"/>
  <c r="R43" i="2"/>
  <c r="Q43" i="2"/>
  <c r="P43" i="2"/>
  <c r="O43" i="2"/>
  <c r="N43" i="2"/>
  <c r="M43" i="2"/>
  <c r="T42" i="2"/>
  <c r="S42" i="2"/>
  <c r="R42" i="2"/>
  <c r="Q42" i="2"/>
  <c r="P42" i="2"/>
  <c r="O42" i="2"/>
  <c r="N42" i="2"/>
  <c r="M42" i="2"/>
  <c r="T41" i="2"/>
  <c r="S41" i="2"/>
  <c r="R41" i="2"/>
  <c r="Q41" i="2"/>
  <c r="P41" i="2"/>
  <c r="O41" i="2"/>
  <c r="N41" i="2"/>
  <c r="M41" i="2"/>
  <c r="T40" i="2"/>
  <c r="S40" i="2"/>
  <c r="R40" i="2"/>
  <c r="Q40" i="2"/>
  <c r="P40" i="2"/>
  <c r="O40" i="2"/>
  <c r="N40" i="2"/>
  <c r="M40" i="2"/>
  <c r="T39" i="2"/>
  <c r="S39" i="2"/>
  <c r="R39" i="2"/>
  <c r="Q39" i="2"/>
  <c r="P39" i="2"/>
  <c r="O39" i="2"/>
  <c r="N39" i="2"/>
  <c r="M39" i="2"/>
  <c r="J47" i="2"/>
  <c r="I47" i="2"/>
  <c r="H47" i="2"/>
  <c r="G47" i="2"/>
  <c r="E47" i="2"/>
  <c r="D47" i="2"/>
  <c r="C47" i="2"/>
  <c r="I46" i="2"/>
  <c r="H46" i="2"/>
  <c r="G46" i="2"/>
  <c r="E46" i="2"/>
  <c r="D46" i="2"/>
  <c r="C46" i="2"/>
  <c r="J45" i="2"/>
  <c r="I45" i="2"/>
  <c r="H45" i="2"/>
  <c r="G45" i="2"/>
  <c r="E45" i="2"/>
  <c r="D45" i="2"/>
  <c r="C45" i="2"/>
  <c r="I44" i="2"/>
  <c r="H44" i="2"/>
  <c r="G44" i="2"/>
  <c r="E44" i="2"/>
  <c r="D44" i="2"/>
  <c r="C44" i="2"/>
  <c r="J43" i="2"/>
  <c r="I43" i="2"/>
  <c r="H43" i="2"/>
  <c r="G43" i="2"/>
  <c r="E43" i="2"/>
  <c r="D43" i="2"/>
  <c r="C43" i="2"/>
  <c r="I42" i="2"/>
  <c r="H42" i="2"/>
  <c r="G42" i="2"/>
  <c r="E42" i="2"/>
  <c r="D42" i="2"/>
  <c r="C42" i="2"/>
  <c r="J41" i="2"/>
  <c r="I41" i="2"/>
  <c r="H41" i="2"/>
  <c r="G41" i="2"/>
  <c r="E41" i="2"/>
  <c r="D41" i="2"/>
  <c r="C41" i="2"/>
  <c r="I40" i="2"/>
  <c r="H40" i="2"/>
  <c r="G40" i="2"/>
  <c r="E40" i="2"/>
  <c r="D40" i="2"/>
  <c r="C40" i="2"/>
  <c r="J39" i="2"/>
  <c r="I39" i="2"/>
  <c r="H39" i="2"/>
  <c r="G39" i="2"/>
  <c r="E39" i="2"/>
  <c r="D39" i="2"/>
  <c r="C39" i="2"/>
  <c r="S36" i="2"/>
  <c r="R36" i="2"/>
  <c r="Q36" i="2"/>
  <c r="P36" i="2"/>
  <c r="O36" i="2"/>
  <c r="N36" i="2"/>
  <c r="T36" i="2"/>
  <c r="I36" i="2"/>
  <c r="H36" i="2"/>
  <c r="G36" i="2"/>
  <c r="T34" i="2"/>
  <c r="S34" i="2"/>
  <c r="I34" i="2"/>
  <c r="H34" i="2"/>
  <c r="G34" i="2"/>
  <c r="E34" i="2"/>
  <c r="F24" i="2"/>
  <c r="F22" i="2"/>
  <c r="F19" i="2"/>
  <c r="F18" i="2"/>
  <c r="F17" i="2"/>
  <c r="F45" i="2" s="1"/>
  <c r="F16" i="2"/>
  <c r="F15" i="2"/>
  <c r="F43" i="2" s="1"/>
  <c r="F14" i="2"/>
  <c r="F13" i="2"/>
  <c r="F41" i="2" s="1"/>
  <c r="F12" i="2"/>
  <c r="F40" i="2" s="1"/>
  <c r="F11" i="2"/>
  <c r="F39" i="2" s="1"/>
  <c r="F10" i="2"/>
  <c r="F47" i="2" s="1"/>
  <c r="J24" i="2"/>
  <c r="J22" i="2"/>
  <c r="J19" i="2"/>
  <c r="J18" i="2"/>
  <c r="J46" i="2" s="1"/>
  <c r="J17" i="2"/>
  <c r="J16" i="2"/>
  <c r="J15" i="2"/>
  <c r="J14" i="2"/>
  <c r="J42" i="2" s="1"/>
  <c r="J13" i="2"/>
  <c r="J12" i="2"/>
  <c r="J40" i="2" s="1"/>
  <c r="J11" i="2"/>
  <c r="J10" i="2"/>
  <c r="J44" i="2" s="1"/>
  <c r="M19" i="2"/>
  <c r="M20" i="2" s="1"/>
  <c r="N19" i="2"/>
  <c r="N47" i="2" s="1"/>
  <c r="M7" i="2"/>
  <c r="M8" i="2" s="1"/>
  <c r="N50" i="2" s="1"/>
  <c r="N20" i="2"/>
  <c r="N23" i="2" s="1"/>
  <c r="N25" i="2" s="1"/>
  <c r="N27" i="2" s="1"/>
  <c r="N7" i="2"/>
  <c r="N8" i="2" s="1"/>
  <c r="O50" i="2" s="1"/>
  <c r="O21" i="2"/>
  <c r="O19" i="2"/>
  <c r="P21" i="2"/>
  <c r="P50" i="2" s="1"/>
  <c r="P19" i="2"/>
  <c r="O7" i="2"/>
  <c r="P7" i="2"/>
  <c r="Q21" i="2"/>
  <c r="Q50" i="2" s="1"/>
  <c r="R21" i="2"/>
  <c r="Q7" i="2"/>
  <c r="Q8" i="2" s="1"/>
  <c r="R7" i="2"/>
  <c r="R3" i="2"/>
  <c r="S21" i="2"/>
  <c r="S7" i="2"/>
  <c r="S3" i="2"/>
  <c r="T21" i="2"/>
  <c r="T50" i="2" s="1"/>
  <c r="T20" i="2"/>
  <c r="S20" i="2"/>
  <c r="R20" i="2"/>
  <c r="Q20" i="2"/>
  <c r="P20" i="2"/>
  <c r="P23" i="2" s="1"/>
  <c r="P25" i="2" s="1"/>
  <c r="P27" i="2" s="1"/>
  <c r="O20" i="2"/>
  <c r="O23" i="2" s="1"/>
  <c r="O25" i="2" s="1"/>
  <c r="O27" i="2" s="1"/>
  <c r="S8" i="2"/>
  <c r="P8" i="2"/>
  <c r="O8" i="2"/>
  <c r="J20" i="2"/>
  <c r="J34" i="2" s="1"/>
  <c r="I20" i="2"/>
  <c r="I23" i="2" s="1"/>
  <c r="I25" i="2" s="1"/>
  <c r="I27" i="2" s="1"/>
  <c r="H20" i="2"/>
  <c r="H23" i="2" s="1"/>
  <c r="H25" i="2" s="1"/>
  <c r="H27" i="2" s="1"/>
  <c r="G20" i="2"/>
  <c r="G23" i="2" s="1"/>
  <c r="G25" i="2" s="1"/>
  <c r="G27" i="2" s="1"/>
  <c r="E20" i="2"/>
  <c r="E23" i="2" s="1"/>
  <c r="E25" i="2" s="1"/>
  <c r="E27" i="2" s="1"/>
  <c r="D20" i="2"/>
  <c r="D23" i="2" s="1"/>
  <c r="D25" i="2" s="1"/>
  <c r="D27" i="2" s="1"/>
  <c r="I8" i="2"/>
  <c r="H8" i="2"/>
  <c r="G8" i="2"/>
  <c r="F8" i="2"/>
  <c r="E8" i="2"/>
  <c r="D8" i="2"/>
  <c r="C8" i="2"/>
  <c r="C20" i="2"/>
  <c r="C23" i="2" s="1"/>
  <c r="C25" i="2" s="1"/>
  <c r="C27" i="2" s="1"/>
  <c r="T7" i="2"/>
  <c r="T3" i="2"/>
  <c r="T8" i="2" s="1"/>
  <c r="U21" i="2" s="1"/>
  <c r="J7" i="2"/>
  <c r="J3" i="2"/>
  <c r="J8" i="2" s="1"/>
  <c r="N8" i="1"/>
  <c r="N11" i="1" s="1"/>
  <c r="R50" i="2" l="1"/>
  <c r="M23" i="2"/>
  <c r="M34" i="2"/>
  <c r="N49" i="2"/>
  <c r="Q23" i="2"/>
  <c r="R23" i="2"/>
  <c r="P34" i="2"/>
  <c r="S23" i="2"/>
  <c r="Q34" i="2"/>
  <c r="V10" i="2"/>
  <c r="F46" i="2"/>
  <c r="O34" i="2"/>
  <c r="U14" i="2"/>
  <c r="T23" i="2"/>
  <c r="F21" i="2"/>
  <c r="R34" i="2"/>
  <c r="U11" i="2"/>
  <c r="J36" i="2"/>
  <c r="F44" i="2"/>
  <c r="J21" i="2"/>
  <c r="C34" i="2"/>
  <c r="J23" i="2"/>
  <c r="J25" i="2" s="1"/>
  <c r="J27" i="2" s="1"/>
  <c r="F20" i="2"/>
  <c r="F42" i="2"/>
  <c r="N34" i="2"/>
  <c r="U16" i="2"/>
  <c r="D34" i="2"/>
  <c r="R8" i="2"/>
  <c r="S50" i="2" s="1"/>
  <c r="T25" i="2" l="1"/>
  <c r="T27" i="2" s="1"/>
  <c r="T49" i="2"/>
  <c r="V19" i="2"/>
  <c r="V16" i="2"/>
  <c r="V11" i="2"/>
  <c r="V20" i="2" s="1"/>
  <c r="V34" i="2" s="1"/>
  <c r="V15" i="2"/>
  <c r="V18" i="2"/>
  <c r="V17" i="2"/>
  <c r="V12" i="2"/>
  <c r="V13" i="2"/>
  <c r="V14" i="2"/>
  <c r="S25" i="2"/>
  <c r="S27" i="2" s="1"/>
  <c r="S49" i="2"/>
  <c r="Q25" i="2"/>
  <c r="Q27" i="2" s="1"/>
  <c r="Q49" i="2"/>
  <c r="R25" i="2"/>
  <c r="R27" i="2" s="1"/>
  <c r="R49" i="2"/>
  <c r="F23" i="2"/>
  <c r="F25" i="2" s="1"/>
  <c r="F27" i="2" s="1"/>
  <c r="F34" i="2"/>
  <c r="M25" i="2"/>
  <c r="M27" i="2" s="1"/>
  <c r="M49" i="2"/>
  <c r="U20" i="2"/>
  <c r="W10" i="2"/>
  <c r="X10" i="2"/>
  <c r="W16" i="2" l="1"/>
  <c r="W19" i="2"/>
  <c r="W13" i="2"/>
  <c r="W11" i="2"/>
  <c r="W14" i="2"/>
  <c r="W15" i="2"/>
  <c r="W17" i="2"/>
  <c r="W12" i="2"/>
  <c r="W20" i="2" s="1"/>
  <c r="W34" i="2" s="1"/>
  <c r="W18" i="2"/>
  <c r="U34" i="2"/>
  <c r="U23" i="2"/>
  <c r="X19" i="2"/>
  <c r="X11" i="2"/>
  <c r="X20" i="2" s="1"/>
  <c r="X34" i="2" s="1"/>
  <c r="X14" i="2"/>
  <c r="X15" i="2"/>
  <c r="X18" i="2"/>
  <c r="X13" i="2"/>
  <c r="X17" i="2"/>
  <c r="X12" i="2"/>
  <c r="X16" i="2"/>
  <c r="Y10" i="2"/>
  <c r="U24" i="2" l="1"/>
  <c r="U25" i="2"/>
  <c r="Y19" i="2"/>
  <c r="Y11" i="2"/>
  <c r="Y15" i="2"/>
  <c r="Y18" i="2"/>
  <c r="Y14" i="2"/>
  <c r="Y17" i="2"/>
  <c r="Y12" i="2"/>
  <c r="Y13" i="2"/>
  <c r="Y16" i="2"/>
  <c r="Z10" i="2"/>
  <c r="Y20" i="2" l="1"/>
  <c r="Y34" i="2" s="1"/>
  <c r="Z18" i="2"/>
  <c r="Z16" i="2"/>
  <c r="Z14" i="2"/>
  <c r="Z17" i="2"/>
  <c r="Z19" i="2"/>
  <c r="Z11" i="2"/>
  <c r="Z13" i="2"/>
  <c r="Z12" i="2"/>
  <c r="Z20" i="2" s="1"/>
  <c r="Z34" i="2" s="1"/>
  <c r="Z15" i="2"/>
  <c r="U8" i="2"/>
  <c r="V21" i="2" s="1"/>
  <c r="V23" i="2" s="1"/>
  <c r="AA10" i="2"/>
  <c r="V25" i="2" l="1"/>
  <c r="V24" i="2"/>
  <c r="AA14" i="2"/>
  <c r="AA17" i="2"/>
  <c r="AA13" i="2"/>
  <c r="AA16" i="2"/>
  <c r="AA19" i="2"/>
  <c r="AA12" i="2"/>
  <c r="AA15" i="2"/>
  <c r="AA18" i="2"/>
  <c r="AA11" i="2"/>
  <c r="AA20" i="2" s="1"/>
  <c r="AA34" i="2" s="1"/>
  <c r="AB10" i="2"/>
  <c r="AB12" i="2" l="1"/>
  <c r="AB16" i="2"/>
  <c r="AB11" i="2"/>
  <c r="AB17" i="2"/>
  <c r="AB13" i="2"/>
  <c r="AB20" i="2" s="1"/>
  <c r="AB34" i="2" s="1"/>
  <c r="AB19" i="2"/>
  <c r="AB15" i="2"/>
  <c r="AB18" i="2"/>
  <c r="AB14" i="2"/>
  <c r="V8" i="2"/>
  <c r="W21" i="2" s="1"/>
  <c r="W23" i="2" s="1"/>
  <c r="W24" i="2" s="1"/>
  <c r="W25" i="2" s="1"/>
  <c r="W8" i="2" s="1"/>
  <c r="X21" i="2" s="1"/>
  <c r="X23" i="2" s="1"/>
  <c r="X24" i="2" s="1"/>
  <c r="X25" i="2" s="1"/>
  <c r="X8" i="2" s="1"/>
  <c r="Y21" i="2" s="1"/>
  <c r="Y23" i="2" s="1"/>
  <c r="Y24" i="2" s="1"/>
  <c r="Y25" i="2" s="1"/>
  <c r="Y8" i="2" s="1"/>
  <c r="Z21" i="2" s="1"/>
  <c r="Z23" i="2" s="1"/>
  <c r="AC10" i="2"/>
  <c r="AC17" i="2" l="1"/>
  <c r="AC12" i="2"/>
  <c r="AC19" i="2"/>
  <c r="AC11" i="2"/>
  <c r="AC20" i="2" s="1"/>
  <c r="AC34" i="2" s="1"/>
  <c r="AC16" i="2"/>
  <c r="AC14" i="2"/>
  <c r="AC15" i="2"/>
  <c r="AC13" i="2"/>
  <c r="AC18" i="2"/>
  <c r="Z24" i="2"/>
  <c r="Z25" i="2" s="1"/>
  <c r="Z8" i="2" s="1"/>
  <c r="AA21" i="2" s="1"/>
  <c r="AD10" i="2"/>
  <c r="AD11" i="2" l="1"/>
  <c r="AD12" i="2"/>
  <c r="AD15" i="2"/>
  <c r="AD13" i="2"/>
  <c r="AD16" i="2"/>
  <c r="AD17" i="2"/>
  <c r="AD18" i="2"/>
  <c r="AD19" i="2"/>
  <c r="AD14" i="2"/>
  <c r="AA23" i="2"/>
  <c r="AD20" i="2" l="1"/>
  <c r="AD34" i="2" s="1"/>
  <c r="AA24" i="2"/>
  <c r="AA25" i="2" s="1"/>
  <c r="AA8" i="2" l="1"/>
  <c r="AB21" i="2" s="1"/>
  <c r="AB23" i="2" s="1"/>
  <c r="AB24" i="2" l="1"/>
  <c r="AB25" i="2" s="1"/>
  <c r="AB8" i="2" s="1"/>
  <c r="AC21" i="2" s="1"/>
  <c r="AC23" i="2" l="1"/>
  <c r="AC24" i="2" l="1"/>
  <c r="AC25" i="2" s="1"/>
  <c r="AC8" i="2" s="1"/>
  <c r="AD21" i="2" s="1"/>
  <c r="AD23" i="2" l="1"/>
  <c r="AD24" i="2" l="1"/>
  <c r="AD25" i="2" s="1"/>
  <c r="AD8" i="2" l="1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C4" i="3" s="1"/>
  <c r="N14" i="1" s="1"/>
  <c r="N15" i="1" l="1"/>
</calcChain>
</file>

<file path=xl/sharedStrings.xml><?xml version="1.0" encoding="utf-8"?>
<sst xmlns="http://schemas.openxmlformats.org/spreadsheetml/2006/main" count="78" uniqueCount="55">
  <si>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</si>
  <si>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</si>
  <si>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</si>
  <si>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</si>
  <si>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</si>
  <si>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</si>
  <si>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</si>
  <si>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</si>
  <si>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</si>
  <si>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</si>
  <si>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</si>
  <si>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</si>
  <si>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</si>
  <si>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</si>
  <si>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</si>
  <si>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</si>
  <si>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</si>
  <si>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</si>
  <si>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</si>
  <si>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</si>
  <si>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</si>
  <si>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</si>
  <si>
    <t>ODFL</t>
  </si>
  <si>
    <t>Old Dominion Freight Line</t>
  </si>
  <si>
    <t>Net PPE</t>
  </si>
  <si>
    <t>Net cash</t>
  </si>
  <si>
    <t>Revenue</t>
  </si>
  <si>
    <t>Salaries</t>
  </si>
  <si>
    <t>Op supplies</t>
  </si>
  <si>
    <t>General supplies</t>
  </si>
  <si>
    <t>Op Licenses</t>
  </si>
  <si>
    <t>Insurance</t>
  </si>
  <si>
    <t>Communications</t>
  </si>
  <si>
    <t>Depreciation</t>
  </si>
  <si>
    <t>Purchased transp.</t>
  </si>
  <si>
    <t>Misc OpEx</t>
  </si>
  <si>
    <t>Operating income</t>
  </si>
  <si>
    <t>Interest expense</t>
  </si>
  <si>
    <t>Other expense</t>
  </si>
  <si>
    <t>EBT</t>
  </si>
  <si>
    <t>Taxes</t>
  </si>
  <si>
    <t>Net income</t>
  </si>
  <si>
    <t>EPS</t>
  </si>
  <si>
    <t>CF Depr &amp; Amort</t>
  </si>
  <si>
    <t>CF PPE</t>
  </si>
  <si>
    <t>Revenue PPE, at cost</t>
  </si>
  <si>
    <t>Land PPE, at cost</t>
  </si>
  <si>
    <t>We are one of the largest North American less-than-truckload (“LTL”) motor carriers. We provide regional, inter-regional and national LTL services through a single integrated, union-free organization.</t>
  </si>
  <si>
    <t>Op margin</t>
  </si>
  <si>
    <t>Rev y/y</t>
  </si>
  <si>
    <t>Salary to rev</t>
  </si>
  <si>
    <t>u</t>
  </si>
  <si>
    <t>Tax rate</t>
  </si>
  <si>
    <t>interest rate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</si>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</sst>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center" wrapText="1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24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N15"/>
  <sheetViews>
    <sheetView tabSelected="1" workbookViewId="0">
      <selection activeCell="I16" sqref="I16"/>
    </sheetView>
  </sheetViews>
  <sheetFormatPr defaultRowHeight="15" x14ac:dyDescent="0.25"/>
  <cols>
    <col min="14" max="14" width="9.7109375" bestFit="1" customWidth="1"/>
  </cols>
  <sheetData>
    <row r="2" spans="2:14" x14ac:dyDescent="0.25">
      <c r="B2" s="10" t="s">
        <v>47</v>
      </c>
      <c r="C2" s="10"/>
      <c r="D2" s="10"/>
      <c r="E2" s="10"/>
      <c r="F2" s="10"/>
      <c r="G2" s="10"/>
      <c r="H2" s="10"/>
      <c r="I2" s="10"/>
      <c r="J2" s="10"/>
      <c r="K2" s="10"/>
      <c r="M2" t="s">
        <v>7</v>
      </c>
      <c r="N2" s="1">
        <v>44991</v>
      </c>
    </row>
    <row r="3" spans="2:14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M3" t="s">
        <v>20</v>
      </c>
      <c r="N3" t="s">
        <v>22</v>
      </c>
    </row>
    <row r="4" spans="2:14" x14ac:dyDescent="0.25">
      <c r="M4" t="s">
        <v>21</v>
      </c>
      <c r="N4" t="s">
        <v>23</v>
      </c>
    </row>
    <row r="6" spans="2:14" x14ac:dyDescent="0.25">
      <c r="M6" t="s">
        <v>0</v>
      </c>
      <c r="N6" s="2">
        <v>352.95</v>
      </c>
    </row>
    <row r="7" spans="2:14" x14ac:dyDescent="0.25">
      <c r="M7" t="s">
        <v>1</v>
      </c>
      <c r="N7" s="9">
        <v>112.34</v>
      </c>
    </row>
    <row r="8" spans="2:14" x14ac:dyDescent="0.25">
      <c r="M8" t="s">
        <v>2</v>
      </c>
      <c r="N8" s="3">
        <f>N6*N7</f>
        <v>39650.402999999998</v>
      </c>
    </row>
    <row r="9" spans="2:14" x14ac:dyDescent="0.25">
      <c r="M9" t="s">
        <v>3</v>
      </c>
      <c r="N9" s="3">
        <v>235.655</v>
      </c>
    </row>
    <row r="10" spans="2:14" x14ac:dyDescent="0.25">
      <c r="M10" t="s">
        <v>4</v>
      </c>
      <c r="N10" s="3">
        <v>206.26</v>
      </c>
    </row>
    <row r="11" spans="2:14" x14ac:dyDescent="0.25">
      <c r="M11" t="s">
        <v>6</v>
      </c>
      <c r="N11" s="3">
        <f>+N8-N9+N10</f>
        <v>39621.008000000002</v>
      </c>
    </row>
    <row r="12" spans="2:14" x14ac:dyDescent="0.25">
      <c r="M12" t="s">
        <v>5</v>
      </c>
      <c r="N12" s="3"/>
    </row>
    <row r="13" spans="2:14" x14ac:dyDescent="0.25">
      <c r="N13" s="3"/>
    </row>
    <row r="14" spans="2:14" x14ac:dyDescent="0.25">
      <c r="M14" t="s">
        <v>8</v>
      </c>
      <c r="N14" s="3">
        <f>Dash!C4</f>
        <v>34330.520064169796</v>
      </c>
    </row>
    <row r="15" spans="2:14" x14ac:dyDescent="0.25">
      <c r="M15" t="s">
        <v>17</v>
      </c>
      <c r="N15" s="2">
        <f>N14/N7</f>
        <v>305.59480206667075</v>
      </c>
    </row>
  </sheetData>
  <mergeCells count="1">
    <mergeCell ref="B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Q50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W28" sqref="W28"/>
    </sheetView>
  </sheetViews>
  <sheetFormatPr defaultRowHeight="15" x14ac:dyDescent="0.25"/>
  <cols>
    <col min="2" max="2" width="17" bestFit="1" customWidth="1"/>
    <col min="20" max="20" width="9.140625" customWidth="1"/>
  </cols>
  <sheetData>
    <row r="2" spans="2:121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3" customFormat="1" x14ac:dyDescent="0.25">
      <c r="B3" s="3" t="s">
        <v>3</v>
      </c>
      <c r="J3" s="3">
        <f>186.3+49.355</f>
        <v>235.655</v>
      </c>
      <c r="M3" s="3">
        <v>11.5</v>
      </c>
      <c r="N3" s="3">
        <v>10.17</v>
      </c>
      <c r="O3" s="3">
        <v>127.46</v>
      </c>
      <c r="P3" s="3">
        <v>190.3</v>
      </c>
      <c r="Q3" s="3">
        <v>403.57100000000003</v>
      </c>
      <c r="R3" s="3">
        <f>401.43+330.274</f>
        <v>731.70399999999995</v>
      </c>
      <c r="S3" s="3">
        <f>462.564+254.4</f>
        <v>716.96400000000006</v>
      </c>
      <c r="T3" s="3">
        <f>186.3+49.355</f>
        <v>235.655</v>
      </c>
    </row>
    <row r="4" spans="2:121" s="3" customFormat="1" x14ac:dyDescent="0.25">
      <c r="B4" s="3" t="s">
        <v>45</v>
      </c>
      <c r="J4" s="3">
        <v>2501.9949999999999</v>
      </c>
      <c r="M4" s="3">
        <v>1358.3</v>
      </c>
      <c r="N4" s="3">
        <v>1496.7</v>
      </c>
      <c r="O4" s="3">
        <v>1591.04</v>
      </c>
      <c r="P4" s="3">
        <v>1811.24</v>
      </c>
      <c r="Q4" s="3">
        <v>1899</v>
      </c>
      <c r="R4" s="3">
        <v>1885.65</v>
      </c>
      <c r="S4" s="3">
        <v>2146.1999999999998</v>
      </c>
      <c r="T4" s="3">
        <v>2501.9949999999999</v>
      </c>
    </row>
    <row r="5" spans="2:121" s="3" customFormat="1" x14ac:dyDescent="0.25">
      <c r="B5" s="3" t="s">
        <v>46</v>
      </c>
      <c r="J5" s="3">
        <v>2750.1</v>
      </c>
      <c r="M5" s="3">
        <v>1221.25</v>
      </c>
      <c r="N5" s="3">
        <v>1377.1</v>
      </c>
      <c r="O5" s="3">
        <v>1548.08</v>
      </c>
      <c r="P5" s="3">
        <v>1797</v>
      </c>
      <c r="Q5" s="3">
        <v>2040</v>
      </c>
      <c r="R5" s="3">
        <v>2218.3000000000002</v>
      </c>
      <c r="S5" s="3">
        <v>2463.9499999999998</v>
      </c>
      <c r="T5" s="3">
        <v>2750.1</v>
      </c>
    </row>
    <row r="6" spans="2:121" s="3" customFormat="1" x14ac:dyDescent="0.25">
      <c r="B6" s="3" t="s">
        <v>24</v>
      </c>
      <c r="J6" s="3">
        <v>3687.07</v>
      </c>
      <c r="M6" s="3">
        <v>2023.45</v>
      </c>
      <c r="N6" s="3">
        <v>2241.4</v>
      </c>
      <c r="O6" s="3">
        <v>2404.5</v>
      </c>
      <c r="P6" s="3">
        <v>2754.94</v>
      </c>
      <c r="Q6" s="3">
        <v>2968.835</v>
      </c>
      <c r="R6" s="3">
        <v>2914.0309999999999</v>
      </c>
      <c r="S6" s="3">
        <v>3215.7</v>
      </c>
      <c r="T6" s="3">
        <v>3687.07</v>
      </c>
    </row>
    <row r="7" spans="2:121" s="3" customFormat="1" x14ac:dyDescent="0.25">
      <c r="B7" s="3" t="s">
        <v>4</v>
      </c>
      <c r="J7" s="3">
        <f>106.3+20+79.96</f>
        <v>206.26</v>
      </c>
      <c r="M7" s="3">
        <f>66.77+44.9+26.5+107.3</f>
        <v>245.46999999999997</v>
      </c>
      <c r="N7" s="3">
        <f>89.216+47.4+105</f>
        <v>241.61599999999999</v>
      </c>
      <c r="O7" s="3">
        <f>73.73+49.95+50+45</f>
        <v>218.68</v>
      </c>
      <c r="P7" s="3">
        <f>78.52+53.263+45</f>
        <v>176.78299999999999</v>
      </c>
      <c r="Q7" s="3">
        <f>70.254+54.33+45</f>
        <v>169.584</v>
      </c>
      <c r="R7" s="3">
        <f>68.511+53+99.93</f>
        <v>221.441</v>
      </c>
      <c r="S7" s="3">
        <f>82.519+0+99.945</f>
        <v>182.464</v>
      </c>
      <c r="T7" s="3">
        <f>106.3+20+79.96</f>
        <v>206.26</v>
      </c>
    </row>
    <row r="8" spans="2:121" x14ac:dyDescent="0.25">
      <c r="B8" s="3" t="s">
        <v>25</v>
      </c>
      <c r="C8" s="3">
        <f>+C3-C7</f>
        <v>0</v>
      </c>
      <c r="D8" s="3">
        <f t="shared" ref="D8:J8" si="0">+D3-D7</f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29.39500000000001</v>
      </c>
      <c r="M8" s="3">
        <f t="shared" ref="M8:N8" si="1">+M3-M7</f>
        <v>-233.96999999999997</v>
      </c>
      <c r="N8" s="3">
        <f t="shared" si="1"/>
        <v>-231.446</v>
      </c>
      <c r="O8" s="3">
        <f t="shared" ref="M8:T8" si="2">+O3-O7</f>
        <v>-91.220000000000013</v>
      </c>
      <c r="P8" s="3">
        <f t="shared" si="2"/>
        <v>13.517000000000024</v>
      </c>
      <c r="Q8" s="3">
        <f t="shared" si="2"/>
        <v>233.98700000000002</v>
      </c>
      <c r="R8" s="3">
        <f t="shared" si="2"/>
        <v>510.26299999999992</v>
      </c>
      <c r="S8" s="3">
        <f t="shared" si="2"/>
        <v>534.5</v>
      </c>
      <c r="T8" s="3">
        <f t="shared" si="2"/>
        <v>29.39500000000001</v>
      </c>
      <c r="U8" s="3">
        <f>+T8+U25</f>
        <v>1592.9807671410008</v>
      </c>
      <c r="V8" s="3">
        <f t="shared" ref="V8:AD8" si="3">+U8+V25</f>
        <v>3347.2474617105327</v>
      </c>
      <c r="W8" s="3">
        <f t="shared" si="3"/>
        <v>5265.6320249993405</v>
      </c>
      <c r="X8" s="3">
        <f t="shared" si="3"/>
        <v>7371.3543328970718</v>
      </c>
      <c r="Y8" s="3">
        <f t="shared" si="3"/>
        <v>9701.4188272559568</v>
      </c>
      <c r="Z8" s="3">
        <f t="shared" si="3"/>
        <v>12171.850914219947</v>
      </c>
      <c r="AA8" s="3">
        <f t="shared" si="3"/>
        <v>14900.3953137098</v>
      </c>
      <c r="AB8" s="3">
        <f t="shared" si="3"/>
        <v>17910.398824556505</v>
      </c>
      <c r="AC8" s="3">
        <f t="shared" si="3"/>
        <v>21227.233873307036</v>
      </c>
      <c r="AD8" s="3">
        <f t="shared" si="3"/>
        <v>24878.471895852206</v>
      </c>
    </row>
    <row r="9" spans="2:121" s="4" customFormat="1" x14ac:dyDescent="0.25"/>
    <row r="10" spans="2:121" s="4" customFormat="1" x14ac:dyDescent="0.25">
      <c r="B10" s="4" t="s">
        <v>26</v>
      </c>
      <c r="C10" s="4">
        <v>1126.5</v>
      </c>
      <c r="D10" s="4">
        <v>1319.4</v>
      </c>
      <c r="E10" s="4">
        <v>1400</v>
      </c>
      <c r="F10" s="4">
        <f>+S10-E10-D10-C10</f>
        <v>1410.4</v>
      </c>
      <c r="G10" s="4">
        <v>1497.3</v>
      </c>
      <c r="H10" s="4">
        <v>1667.45</v>
      </c>
      <c r="I10" s="4">
        <v>1603.7</v>
      </c>
      <c r="J10" s="4">
        <f>+T10-I10-H10-G10</f>
        <v>1491.6200000000001</v>
      </c>
      <c r="M10" s="4">
        <v>2972.4</v>
      </c>
      <c r="N10" s="4">
        <v>2991.5</v>
      </c>
      <c r="O10" s="4">
        <v>3358.1</v>
      </c>
      <c r="P10" s="4">
        <v>4043.7</v>
      </c>
      <c r="Q10" s="4">
        <v>4109.1000000000004</v>
      </c>
      <c r="R10" s="4">
        <v>4015.1</v>
      </c>
      <c r="S10" s="4">
        <v>5256.3</v>
      </c>
      <c r="T10" s="4">
        <v>6260.07</v>
      </c>
      <c r="U10" s="4">
        <f>+T10*(1+U36)</f>
        <v>7261.6811999999991</v>
      </c>
      <c r="V10" s="4">
        <f t="shared" ref="V10:AD10" si="4">+U10*(1+V36)</f>
        <v>8242.0081619999983</v>
      </c>
      <c r="W10" s="4">
        <f t="shared" si="4"/>
        <v>9148.6290598199994</v>
      </c>
      <c r="X10" s="4">
        <f t="shared" si="4"/>
        <v>10154.9782564002</v>
      </c>
      <c r="Y10" s="4">
        <f t="shared" si="4"/>
        <v>11272.025864604222</v>
      </c>
      <c r="Z10" s="4">
        <f t="shared" si="4"/>
        <v>12230.148063095581</v>
      </c>
      <c r="AA10" s="4">
        <f t="shared" si="4"/>
        <v>13269.710648458706</v>
      </c>
      <c r="AB10" s="4">
        <f t="shared" si="4"/>
        <v>14397.636053577695</v>
      </c>
      <c r="AC10" s="4">
        <f t="shared" si="4"/>
        <v>15621.435118131798</v>
      </c>
      <c r="AD10" s="4">
        <f t="shared" si="4"/>
        <v>16949.257103173</v>
      </c>
    </row>
    <row r="11" spans="2:121" s="9" customFormat="1" x14ac:dyDescent="0.25">
      <c r="B11" s="9" t="s">
        <v>27</v>
      </c>
      <c r="C11" s="9">
        <v>545.70000000000005</v>
      </c>
      <c r="D11" s="9">
        <v>611.5</v>
      </c>
      <c r="E11" s="9">
        <v>650</v>
      </c>
      <c r="F11" s="9">
        <f>+S11-E11-D11-C11</f>
        <v>660.78999999999974</v>
      </c>
      <c r="G11" s="9">
        <v>680.2</v>
      </c>
      <c r="H11" s="9">
        <v>705.7</v>
      </c>
      <c r="I11" s="9">
        <v>675.1</v>
      </c>
      <c r="J11" s="9">
        <f>+T11-I11-H11-G11</f>
        <v>655.84000000000015</v>
      </c>
      <c r="M11" s="9">
        <v>1570</v>
      </c>
      <c r="N11" s="9">
        <v>1652</v>
      </c>
      <c r="O11" s="9">
        <v>1802.44</v>
      </c>
      <c r="P11" s="9">
        <v>2075.6</v>
      </c>
      <c r="Q11" s="9">
        <v>2122.5</v>
      </c>
      <c r="R11" s="9">
        <v>2053.9</v>
      </c>
      <c r="S11" s="9">
        <v>2467.9899999999998</v>
      </c>
      <c r="T11" s="9">
        <v>2716.84</v>
      </c>
      <c r="U11" s="9">
        <f>U$10*U39</f>
        <v>3122.5229159999994</v>
      </c>
      <c r="V11" s="9">
        <f t="shared" ref="V11:AD11" si="5">V$10*V39</f>
        <v>3626.4835912799995</v>
      </c>
      <c r="W11" s="9">
        <f t="shared" si="5"/>
        <v>4116.8830769189999</v>
      </c>
      <c r="X11" s="9">
        <f t="shared" si="5"/>
        <v>4671.2899979440917</v>
      </c>
      <c r="Y11" s="9">
        <f t="shared" si="5"/>
        <v>5297.8521563639842</v>
      </c>
      <c r="Z11" s="9">
        <f t="shared" si="5"/>
        <v>5870.4710702858783</v>
      </c>
      <c r="AA11" s="9">
        <f t="shared" si="5"/>
        <v>6369.4611112601788</v>
      </c>
      <c r="AB11" s="9">
        <f t="shared" si="5"/>
        <v>6910.8653057172933</v>
      </c>
      <c r="AC11" s="9">
        <f t="shared" si="5"/>
        <v>7498.2888567032624</v>
      </c>
      <c r="AD11" s="9">
        <f t="shared" si="5"/>
        <v>8135.6434095230397</v>
      </c>
    </row>
    <row r="12" spans="2:121" s="9" customFormat="1" x14ac:dyDescent="0.25">
      <c r="B12" s="9" t="s">
        <v>28</v>
      </c>
      <c r="C12" s="9">
        <v>124.2</v>
      </c>
      <c r="D12" s="9">
        <v>137.6</v>
      </c>
      <c r="E12" s="9">
        <v>146.5</v>
      </c>
      <c r="F12" s="9">
        <f t="shared" ref="F12:F19" si="6">+S12-E12-D12-C12</f>
        <v>159.30000000000001</v>
      </c>
      <c r="G12" s="9">
        <v>191.4</v>
      </c>
      <c r="H12" s="9">
        <v>236.7</v>
      </c>
      <c r="I12" s="9">
        <v>217.26</v>
      </c>
      <c r="J12" s="9">
        <f t="shared" ref="J12:J19" si="7">+T12-I12-H12-G12</f>
        <v>207.59500000000006</v>
      </c>
      <c r="M12" s="9">
        <v>354</v>
      </c>
      <c r="N12" s="9">
        <v>323</v>
      </c>
      <c r="O12" s="9">
        <v>381.8</v>
      </c>
      <c r="P12" s="9">
        <v>491.04</v>
      </c>
      <c r="Q12" s="9">
        <v>473.1</v>
      </c>
      <c r="R12" s="9">
        <v>373.43</v>
      </c>
      <c r="S12" s="9">
        <v>567.6</v>
      </c>
      <c r="T12" s="9">
        <v>852.95500000000004</v>
      </c>
      <c r="U12" s="9">
        <f t="shared" ref="U12:AD12" si="8">U$10*U40</f>
        <v>980.32696199999998</v>
      </c>
      <c r="V12" s="9">
        <f t="shared" si="8"/>
        <v>1071.4610610599998</v>
      </c>
      <c r="W12" s="9">
        <f t="shared" si="8"/>
        <v>1143.5786324774999</v>
      </c>
      <c r="X12" s="9">
        <f t="shared" si="8"/>
        <v>1218.5973907680238</v>
      </c>
      <c r="Y12" s="9">
        <f t="shared" si="8"/>
        <v>1296.2829744294856</v>
      </c>
      <c r="Z12" s="9">
        <f t="shared" si="8"/>
        <v>1406.467027255992</v>
      </c>
      <c r="AA12" s="9">
        <f t="shared" si="8"/>
        <v>1526.0167245727512</v>
      </c>
      <c r="AB12" s="9">
        <f t="shared" si="8"/>
        <v>1655.728146161435</v>
      </c>
      <c r="AC12" s="9">
        <f t="shared" si="8"/>
        <v>1796.4650385851569</v>
      </c>
      <c r="AD12" s="9">
        <f t="shared" si="8"/>
        <v>1949.1645668648951</v>
      </c>
    </row>
    <row r="13" spans="2:121" s="9" customFormat="1" x14ac:dyDescent="0.25">
      <c r="B13" s="9" t="s">
        <v>29</v>
      </c>
      <c r="C13" s="9">
        <v>31.2</v>
      </c>
      <c r="D13" s="9">
        <v>34.4</v>
      </c>
      <c r="E13" s="9">
        <v>37.299999999999997</v>
      </c>
      <c r="F13" s="9">
        <f t="shared" si="6"/>
        <v>33.200000000000003</v>
      </c>
      <c r="G13" s="9">
        <v>35.5</v>
      </c>
      <c r="H13" s="9">
        <v>39.1</v>
      </c>
      <c r="I13" s="9">
        <v>45.95</v>
      </c>
      <c r="J13" s="9">
        <f t="shared" si="7"/>
        <v>39.449999999999989</v>
      </c>
      <c r="M13" s="9">
        <v>89.3</v>
      </c>
      <c r="N13" s="9">
        <v>86.6</v>
      </c>
      <c r="O13" s="9">
        <v>107.7</v>
      </c>
      <c r="P13" s="9">
        <v>119.2</v>
      </c>
      <c r="Q13" s="9">
        <v>124</v>
      </c>
      <c r="R13" s="9">
        <v>110.3</v>
      </c>
      <c r="S13" s="9">
        <v>136.1</v>
      </c>
      <c r="T13" s="9">
        <v>160</v>
      </c>
      <c r="U13" s="9">
        <f t="shared" ref="U13:AD13" si="9">U$10*U41</f>
        <v>196.06539239999998</v>
      </c>
      <c r="V13" s="9">
        <f t="shared" si="9"/>
        <v>230.77622853599996</v>
      </c>
      <c r="W13" s="9">
        <f t="shared" si="9"/>
        <v>265.31024273477999</v>
      </c>
      <c r="X13" s="9">
        <f t="shared" si="9"/>
        <v>304.64934769200596</v>
      </c>
      <c r="Y13" s="9">
        <f t="shared" si="9"/>
        <v>338.16077593812668</v>
      </c>
      <c r="Z13" s="9">
        <f t="shared" si="9"/>
        <v>366.9044418928674</v>
      </c>
      <c r="AA13" s="9">
        <f t="shared" si="9"/>
        <v>398.09131945376117</v>
      </c>
      <c r="AB13" s="9">
        <f t="shared" si="9"/>
        <v>431.92908160733083</v>
      </c>
      <c r="AC13" s="9">
        <f t="shared" si="9"/>
        <v>468.6430535439539</v>
      </c>
      <c r="AD13" s="9">
        <f t="shared" si="9"/>
        <v>508.47771309518998</v>
      </c>
    </row>
    <row r="14" spans="2:121" s="9" customFormat="1" x14ac:dyDescent="0.25">
      <c r="B14" s="9" t="s">
        <v>30</v>
      </c>
      <c r="C14" s="9">
        <v>31.3</v>
      </c>
      <c r="D14" s="9">
        <v>33.25</v>
      </c>
      <c r="E14" s="9">
        <v>34</v>
      </c>
      <c r="F14" s="9">
        <f t="shared" si="6"/>
        <v>34.950000000000003</v>
      </c>
      <c r="G14" s="9">
        <v>35.1</v>
      </c>
      <c r="H14" s="9">
        <v>35</v>
      </c>
      <c r="I14" s="9">
        <v>35.75</v>
      </c>
      <c r="J14" s="9">
        <f t="shared" si="7"/>
        <v>35.390000000000008</v>
      </c>
      <c r="M14" s="9">
        <v>93.3</v>
      </c>
      <c r="N14" s="9">
        <v>92.4</v>
      </c>
      <c r="O14" s="9">
        <v>99.8</v>
      </c>
      <c r="P14" s="9">
        <v>112.2</v>
      </c>
      <c r="Q14" s="9">
        <v>116.8</v>
      </c>
      <c r="R14" s="9">
        <v>116.95</v>
      </c>
      <c r="S14" s="9">
        <v>133.5</v>
      </c>
      <c r="T14" s="9">
        <v>141.24</v>
      </c>
      <c r="U14" s="9">
        <f t="shared" ref="U14:AD14" si="10">U$10*U42</f>
        <v>181.54202999999998</v>
      </c>
      <c r="V14" s="9">
        <f t="shared" si="10"/>
        <v>222.53422037399994</v>
      </c>
      <c r="W14" s="9">
        <f t="shared" si="10"/>
        <v>265.31024273477999</v>
      </c>
      <c r="X14" s="9">
        <f t="shared" si="10"/>
        <v>304.64934769200596</v>
      </c>
      <c r="Y14" s="9">
        <f t="shared" si="10"/>
        <v>338.16077593812668</v>
      </c>
      <c r="Z14" s="9">
        <f t="shared" si="10"/>
        <v>366.9044418928674</v>
      </c>
      <c r="AA14" s="9">
        <f t="shared" si="10"/>
        <v>398.09131945376117</v>
      </c>
      <c r="AB14" s="9">
        <f t="shared" si="10"/>
        <v>431.92908160733083</v>
      </c>
      <c r="AC14" s="9">
        <f t="shared" si="10"/>
        <v>468.6430535439539</v>
      </c>
      <c r="AD14" s="9">
        <f t="shared" si="10"/>
        <v>508.47771309518998</v>
      </c>
    </row>
    <row r="15" spans="2:121" s="9" customFormat="1" x14ac:dyDescent="0.25">
      <c r="B15" s="9" t="s">
        <v>31</v>
      </c>
      <c r="C15" s="9">
        <v>12.9</v>
      </c>
      <c r="D15" s="9">
        <v>14.98</v>
      </c>
      <c r="E15" s="9">
        <v>15.7</v>
      </c>
      <c r="F15" s="9">
        <f t="shared" si="6"/>
        <v>9.9699999999999935</v>
      </c>
      <c r="G15" s="9">
        <v>16.100000000000001</v>
      </c>
      <c r="H15" s="9">
        <v>17</v>
      </c>
      <c r="I15" s="9">
        <v>17.5</v>
      </c>
      <c r="J15" s="9">
        <f t="shared" si="7"/>
        <v>7.6999999999999957</v>
      </c>
      <c r="M15" s="9">
        <v>37.4</v>
      </c>
      <c r="N15" s="9">
        <v>37.9</v>
      </c>
      <c r="O15" s="9">
        <v>41.7</v>
      </c>
      <c r="P15" s="9">
        <v>44.1</v>
      </c>
      <c r="Q15" s="9">
        <v>52.55</v>
      </c>
      <c r="R15" s="9">
        <v>42.4</v>
      </c>
      <c r="S15" s="9">
        <v>53.55</v>
      </c>
      <c r="T15" s="9">
        <v>58.3</v>
      </c>
      <c r="U15" s="9">
        <f t="shared" ref="U15:AD15" si="11">U$10*U43</f>
        <v>72.616811999999996</v>
      </c>
      <c r="V15" s="9">
        <f t="shared" si="11"/>
        <v>90.662089781999981</v>
      </c>
      <c r="W15" s="9">
        <f t="shared" si="11"/>
        <v>109.78354871783999</v>
      </c>
      <c r="X15" s="9">
        <f t="shared" si="11"/>
        <v>132.01471733320258</v>
      </c>
      <c r="Y15" s="9">
        <f t="shared" si="11"/>
        <v>146.53633623985488</v>
      </c>
      <c r="Z15" s="9">
        <f t="shared" si="11"/>
        <v>158.99192482024256</v>
      </c>
      <c r="AA15" s="9">
        <f t="shared" si="11"/>
        <v>172.50623842996316</v>
      </c>
      <c r="AB15" s="9">
        <f t="shared" si="11"/>
        <v>187.16926869651002</v>
      </c>
      <c r="AC15" s="9">
        <f t="shared" si="11"/>
        <v>203.07865653571335</v>
      </c>
      <c r="AD15" s="9">
        <f t="shared" si="11"/>
        <v>220.340342341249</v>
      </c>
    </row>
    <row r="16" spans="2:121" s="9" customFormat="1" x14ac:dyDescent="0.25">
      <c r="B16" s="9" t="s">
        <v>32</v>
      </c>
      <c r="C16" s="9">
        <v>8.1999999999999993</v>
      </c>
      <c r="D16" s="9">
        <v>8.4</v>
      </c>
      <c r="E16" s="9">
        <v>8.6999999999999993</v>
      </c>
      <c r="F16" s="9">
        <f t="shared" si="6"/>
        <v>8.8499999999999979</v>
      </c>
      <c r="G16" s="9">
        <v>9.9</v>
      </c>
      <c r="H16" s="9">
        <v>10</v>
      </c>
      <c r="I16" s="9">
        <v>10.3</v>
      </c>
      <c r="J16" s="9">
        <f t="shared" si="7"/>
        <v>10.4</v>
      </c>
      <c r="M16" s="9">
        <v>26.9</v>
      </c>
      <c r="N16" s="9">
        <v>27.9</v>
      </c>
      <c r="O16" s="9">
        <v>27.8</v>
      </c>
      <c r="P16" s="9">
        <v>31</v>
      </c>
      <c r="Q16" s="9">
        <v>29.6</v>
      </c>
      <c r="R16" s="9">
        <v>31.54</v>
      </c>
      <c r="S16" s="9">
        <v>34.15</v>
      </c>
      <c r="T16" s="9">
        <v>40.6</v>
      </c>
      <c r="U16" s="9">
        <f t="shared" ref="U16:AD16" si="12">U$10*U44</f>
        <v>43.570087199999996</v>
      </c>
      <c r="V16" s="9">
        <f t="shared" si="12"/>
        <v>57.694057133999991</v>
      </c>
      <c r="W16" s="9">
        <f t="shared" si="12"/>
        <v>73.189032478559994</v>
      </c>
      <c r="X16" s="9">
        <f t="shared" si="12"/>
        <v>81.239826051201604</v>
      </c>
      <c r="Y16" s="9">
        <f t="shared" si="12"/>
        <v>90.176206916833777</v>
      </c>
      <c r="Z16" s="9">
        <f t="shared" si="12"/>
        <v>97.841184504764655</v>
      </c>
      <c r="AA16" s="9">
        <f t="shared" si="12"/>
        <v>106.15768518766964</v>
      </c>
      <c r="AB16" s="9">
        <f t="shared" si="12"/>
        <v>115.18108842862156</v>
      </c>
      <c r="AC16" s="9">
        <f t="shared" si="12"/>
        <v>124.97148094505438</v>
      </c>
      <c r="AD16" s="9">
        <f t="shared" si="12"/>
        <v>135.594056825384</v>
      </c>
    </row>
    <row r="17" spans="2:121" s="9" customFormat="1" x14ac:dyDescent="0.25">
      <c r="B17" s="9" t="s">
        <v>33</v>
      </c>
      <c r="C17" s="9">
        <v>64</v>
      </c>
      <c r="D17" s="9">
        <v>63.95</v>
      </c>
      <c r="E17" s="9">
        <v>65.2</v>
      </c>
      <c r="F17" s="9">
        <f t="shared" si="6"/>
        <v>66.730000000000018</v>
      </c>
      <c r="G17" s="9">
        <v>67.3</v>
      </c>
      <c r="H17" s="9">
        <v>68.3</v>
      </c>
      <c r="I17" s="9">
        <v>69.3</v>
      </c>
      <c r="J17" s="9">
        <f t="shared" si="7"/>
        <v>71.149999999999991</v>
      </c>
      <c r="M17" s="9">
        <v>165.3</v>
      </c>
      <c r="N17" s="9">
        <v>189.9</v>
      </c>
      <c r="O17" s="9">
        <v>205.8</v>
      </c>
      <c r="P17" s="9">
        <v>230.4</v>
      </c>
      <c r="Q17" s="9">
        <v>253.7</v>
      </c>
      <c r="R17" s="9">
        <v>261.2</v>
      </c>
      <c r="S17" s="9">
        <v>259.88</v>
      </c>
      <c r="T17" s="9">
        <v>276.05</v>
      </c>
      <c r="U17" s="9">
        <f t="shared" ref="U17:AD17" si="13">U$10*U45</f>
        <v>334.03733519999997</v>
      </c>
      <c r="V17" s="9">
        <f t="shared" si="13"/>
        <v>395.61639177599994</v>
      </c>
      <c r="W17" s="9">
        <f t="shared" si="13"/>
        <v>457.43145299100001</v>
      </c>
      <c r="X17" s="9">
        <f t="shared" si="13"/>
        <v>528.05886933281033</v>
      </c>
      <c r="Y17" s="9">
        <f t="shared" si="13"/>
        <v>586.1453449594195</v>
      </c>
      <c r="Z17" s="9">
        <f t="shared" si="13"/>
        <v>635.96769928097024</v>
      </c>
      <c r="AA17" s="9">
        <f t="shared" si="13"/>
        <v>690.02495371985265</v>
      </c>
      <c r="AB17" s="9">
        <f t="shared" si="13"/>
        <v>748.67707478604007</v>
      </c>
      <c r="AC17" s="9">
        <f t="shared" si="13"/>
        <v>812.3146261428534</v>
      </c>
      <c r="AD17" s="9">
        <f t="shared" si="13"/>
        <v>881.36136936499599</v>
      </c>
    </row>
    <row r="18" spans="2:121" s="9" customFormat="1" x14ac:dyDescent="0.25">
      <c r="B18" s="9" t="s">
        <v>34</v>
      </c>
      <c r="C18" s="9">
        <v>34.700000000000003</v>
      </c>
      <c r="D18" s="9">
        <v>43.9</v>
      </c>
      <c r="E18" s="9">
        <v>52</v>
      </c>
      <c r="F18" s="9">
        <f t="shared" si="6"/>
        <v>55.17</v>
      </c>
      <c r="G18" s="9">
        <v>52.5</v>
      </c>
      <c r="H18" s="9">
        <v>42.7</v>
      </c>
      <c r="I18" s="9">
        <v>34.5</v>
      </c>
      <c r="J18" s="9">
        <f t="shared" si="7"/>
        <v>28.399999999999991</v>
      </c>
      <c r="M18" s="9">
        <v>116.3</v>
      </c>
      <c r="N18" s="9">
        <v>74.099999999999994</v>
      </c>
      <c r="O18" s="9">
        <v>84.7</v>
      </c>
      <c r="P18" s="9">
        <v>96.02</v>
      </c>
      <c r="Q18" s="9">
        <v>89.6</v>
      </c>
      <c r="R18" s="9">
        <v>97.95</v>
      </c>
      <c r="S18" s="9">
        <v>185.77</v>
      </c>
      <c r="T18" s="9">
        <v>158.1</v>
      </c>
      <c r="U18" s="9">
        <f t="shared" ref="U18:AD18" si="14">U$10*U46</f>
        <v>181.54202999999998</v>
      </c>
      <c r="V18" s="9">
        <f t="shared" si="14"/>
        <v>206.05020404999996</v>
      </c>
      <c r="W18" s="9">
        <f t="shared" si="14"/>
        <v>228.71572649550001</v>
      </c>
      <c r="X18" s="9">
        <f t="shared" si="14"/>
        <v>253.874456410005</v>
      </c>
      <c r="Y18" s="9">
        <f t="shared" si="14"/>
        <v>281.80064661510556</v>
      </c>
      <c r="Z18" s="9">
        <f t="shared" si="14"/>
        <v>305.75370157738956</v>
      </c>
      <c r="AA18" s="9">
        <f t="shared" si="14"/>
        <v>331.74276621146765</v>
      </c>
      <c r="AB18" s="9">
        <f t="shared" si="14"/>
        <v>359.94090133944241</v>
      </c>
      <c r="AC18" s="9">
        <f t="shared" si="14"/>
        <v>390.53587795329497</v>
      </c>
      <c r="AD18" s="9">
        <f t="shared" si="14"/>
        <v>423.73142757932504</v>
      </c>
    </row>
    <row r="19" spans="2:121" s="9" customFormat="1" x14ac:dyDescent="0.25">
      <c r="B19" s="9" t="s">
        <v>35</v>
      </c>
      <c r="C19" s="9">
        <v>4.8</v>
      </c>
      <c r="D19" s="9">
        <v>5.3</v>
      </c>
      <c r="E19" s="9">
        <v>7.5</v>
      </c>
      <c r="F19" s="9">
        <f t="shared" si="6"/>
        <v>8.6499999999999986</v>
      </c>
      <c r="G19" s="9">
        <v>3.7</v>
      </c>
      <c r="H19" s="9">
        <v>4.4000000000000004</v>
      </c>
      <c r="I19" s="9">
        <v>3</v>
      </c>
      <c r="J19" s="9">
        <f t="shared" si="7"/>
        <v>4.3</v>
      </c>
      <c r="M19" s="9">
        <f>9.6+12.4</f>
        <v>22</v>
      </c>
      <c r="N19" s="9">
        <f>16+7.9</f>
        <v>23.9</v>
      </c>
      <c r="O19" s="9">
        <f>7.98+22.511</f>
        <v>30.491</v>
      </c>
      <c r="P19" s="9">
        <f>6.44+20.6</f>
        <v>27.040000000000003</v>
      </c>
      <c r="Q19" s="9">
        <v>28.6</v>
      </c>
      <c r="R19" s="9">
        <v>20.6</v>
      </c>
      <c r="S19" s="9">
        <v>26.25</v>
      </c>
      <c r="T19" s="9">
        <v>15.4</v>
      </c>
      <c r="U19" s="9">
        <f>U$10*U47</f>
        <v>50.831768399999994</v>
      </c>
      <c r="V19" s="9">
        <f t="shared" ref="U19:AD19" si="15">V$10*V47</f>
        <v>57.694057133999991</v>
      </c>
      <c r="W19" s="9">
        <f t="shared" si="15"/>
        <v>64.040403418739999</v>
      </c>
      <c r="X19" s="9">
        <f t="shared" si="15"/>
        <v>71.084847794801405</v>
      </c>
      <c r="Y19" s="9">
        <f t="shared" si="15"/>
        <v>78.904181052229561</v>
      </c>
      <c r="Z19" s="9">
        <f t="shared" si="15"/>
        <v>85.611036441669071</v>
      </c>
      <c r="AA19" s="9">
        <f t="shared" si="15"/>
        <v>92.887974539210944</v>
      </c>
      <c r="AB19" s="9">
        <f t="shared" si="15"/>
        <v>100.78345237504386</v>
      </c>
      <c r="AC19" s="9">
        <f t="shared" si="15"/>
        <v>109.35004582692258</v>
      </c>
      <c r="AD19" s="9">
        <f t="shared" si="15"/>
        <v>118.644799722211</v>
      </c>
    </row>
    <row r="20" spans="2:121" s="4" customFormat="1" x14ac:dyDescent="0.25">
      <c r="B20" s="4" t="s">
        <v>36</v>
      </c>
      <c r="C20" s="4">
        <f>C10-SUM(C11:C19)</f>
        <v>269.49999999999989</v>
      </c>
      <c r="D20" s="4">
        <f t="shared" ref="D20:J20" si="16">D10-SUM(D11:D19)</f>
        <v>366.12000000000012</v>
      </c>
      <c r="E20" s="4">
        <f t="shared" si="16"/>
        <v>383.09999999999991</v>
      </c>
      <c r="F20" s="4">
        <f t="shared" si="16"/>
        <v>372.79000000000019</v>
      </c>
      <c r="G20" s="4">
        <f t="shared" si="16"/>
        <v>405.59999999999991</v>
      </c>
      <c r="H20" s="4">
        <f t="shared" si="16"/>
        <v>508.54999999999995</v>
      </c>
      <c r="I20" s="4">
        <f t="shared" si="16"/>
        <v>495.03999999999996</v>
      </c>
      <c r="J20" s="4">
        <f t="shared" si="16"/>
        <v>431.39499999999975</v>
      </c>
      <c r="M20" s="4">
        <f t="shared" ref="M20:N20" si="17">M10-SUM(M11:M19)</f>
        <v>497.89999999999964</v>
      </c>
      <c r="N20" s="4">
        <f t="shared" si="17"/>
        <v>483.79999999999973</v>
      </c>
      <c r="O20" s="4">
        <f t="shared" ref="O20:T20" si="18">O10-SUM(O11:O19)</f>
        <v>575.86899999999969</v>
      </c>
      <c r="P20" s="4">
        <f t="shared" si="18"/>
        <v>817.10000000000036</v>
      </c>
      <c r="Q20" s="4">
        <f t="shared" si="18"/>
        <v>818.65000000000055</v>
      </c>
      <c r="R20" s="4">
        <f t="shared" si="18"/>
        <v>906.83000000000038</v>
      </c>
      <c r="S20" s="4">
        <f t="shared" si="18"/>
        <v>1391.5100000000002</v>
      </c>
      <c r="T20" s="4">
        <f t="shared" si="18"/>
        <v>1840.585</v>
      </c>
      <c r="U20" s="4">
        <f t="shared" ref="U20" si="19">U10-SUM(U11:U19)</f>
        <v>2098.6258668000009</v>
      </c>
      <c r="V20" s="4">
        <f t="shared" ref="V20" si="20">V10-SUM(V11:V19)</f>
        <v>2283.0362608739997</v>
      </c>
      <c r="W20" s="4">
        <f t="shared" ref="W20" si="21">W10-SUM(W11:W19)</f>
        <v>2424.3867008522984</v>
      </c>
      <c r="X20" s="4">
        <f t="shared" ref="X20" si="22">X10-SUM(X11:X19)</f>
        <v>2589.519455382052</v>
      </c>
      <c r="Y20" s="4">
        <f t="shared" ref="Y20" si="23">Y10-SUM(Y11:Y19)</f>
        <v>2818.0064661510551</v>
      </c>
      <c r="Z20" s="4">
        <f t="shared" ref="Z20" si="24">Z10-SUM(Z11:Z19)</f>
        <v>2935.2355351429414</v>
      </c>
      <c r="AA20" s="4">
        <f t="shared" ref="AA20" si="25">AA10-SUM(AA11:AA19)</f>
        <v>3184.7305556300907</v>
      </c>
      <c r="AB20" s="4">
        <f t="shared" ref="AB20" si="26">AB10-SUM(AB11:AB19)</f>
        <v>3455.4326528586425</v>
      </c>
      <c r="AC20" s="4">
        <f t="shared" ref="AC20" si="27">AC10-SUM(AC11:AC19)</f>
        <v>3749.1444283516321</v>
      </c>
      <c r="AD20" s="4">
        <f t="shared" ref="AD20" si="28">AD10-SUM(AD11:AD19)</f>
        <v>4067.8217047615199</v>
      </c>
    </row>
    <row r="21" spans="2:121" s="9" customFormat="1" x14ac:dyDescent="0.25">
      <c r="B21" s="9" t="s">
        <v>37</v>
      </c>
      <c r="C21" s="9">
        <v>0.2</v>
      </c>
      <c r="D21" s="9">
        <v>0.3</v>
      </c>
      <c r="E21" s="9">
        <v>0.2</v>
      </c>
      <c r="F21" s="9">
        <f t="shared" ref="F21:F22" si="29">+S21-E21-D21-C21</f>
        <v>0.19999999999999996</v>
      </c>
      <c r="G21" s="9">
        <v>0</v>
      </c>
      <c r="H21" s="9">
        <v>-0.3</v>
      </c>
      <c r="I21" s="9">
        <v>-0.3</v>
      </c>
      <c r="J21" s="9">
        <f t="shared" ref="J21:J22" si="30">+T21-I21-H21-G21</f>
        <v>-2.721000000000001</v>
      </c>
      <c r="M21" s="9">
        <v>5</v>
      </c>
      <c r="N21" s="9">
        <v>4.3</v>
      </c>
      <c r="O21" s="9">
        <f>2.15-0.74</f>
        <v>1.41</v>
      </c>
      <c r="P21" s="9">
        <f>0.2-3.1</f>
        <v>-2.9</v>
      </c>
      <c r="Q21" s="9">
        <f>0.4-6.76</f>
        <v>-6.3599999999999994</v>
      </c>
      <c r="R21" s="9">
        <f>2.8-1.8</f>
        <v>0.99999999999999978</v>
      </c>
      <c r="S21" s="9">
        <f>1.7-0.8</f>
        <v>0.89999999999999991</v>
      </c>
      <c r="T21" s="9">
        <f>1.563-4.884</f>
        <v>-3.3210000000000006</v>
      </c>
      <c r="U21" s="9">
        <f>+-T8*U50</f>
        <v>-0.14697500000000005</v>
      </c>
      <c r="V21" s="9">
        <f>+-U8*V50</f>
        <v>-71.68413452134503</v>
      </c>
      <c r="W21" s="9">
        <f t="shared" ref="W21:AD21" si="31">+-V8*W50</f>
        <v>-150.62613577697397</v>
      </c>
      <c r="X21" s="9">
        <f t="shared" si="31"/>
        <v>-236.95344112497031</v>
      </c>
      <c r="Y21" s="9">
        <f t="shared" si="31"/>
        <v>-309.59688198167703</v>
      </c>
      <c r="Z21" s="9">
        <f t="shared" si="31"/>
        <v>-380.7806889697963</v>
      </c>
      <c r="AA21" s="9">
        <f t="shared" si="31"/>
        <v>-477.74514838313291</v>
      </c>
      <c r="AB21" s="9">
        <f t="shared" si="31"/>
        <v>-584.84051606310959</v>
      </c>
      <c r="AC21" s="9">
        <f t="shared" si="31"/>
        <v>-702.98315386384286</v>
      </c>
      <c r="AD21" s="9">
        <f t="shared" si="31"/>
        <v>-833.1689295273012</v>
      </c>
    </row>
    <row r="22" spans="2:121" s="9" customFormat="1" x14ac:dyDescent="0.25">
      <c r="B22" s="9" t="s">
        <v>38</v>
      </c>
      <c r="C22" s="9">
        <v>0.13</v>
      </c>
      <c r="D22" s="9">
        <v>1.4</v>
      </c>
      <c r="E22" s="9">
        <v>0.26</v>
      </c>
      <c r="F22" s="9">
        <f t="shared" si="29"/>
        <v>0.44800000000000006</v>
      </c>
      <c r="G22" s="9">
        <v>0.6</v>
      </c>
      <c r="H22" s="9">
        <v>0.75</v>
      </c>
      <c r="I22" s="9">
        <v>0.35</v>
      </c>
      <c r="J22" s="9">
        <f t="shared" si="30"/>
        <v>0.9</v>
      </c>
      <c r="M22" s="9">
        <v>3.2</v>
      </c>
      <c r="N22" s="9">
        <v>1.97</v>
      </c>
      <c r="O22" s="9">
        <v>-1.4</v>
      </c>
      <c r="P22" s="9">
        <v>4.46</v>
      </c>
      <c r="Q22" s="9">
        <v>1.143</v>
      </c>
      <c r="R22" s="9">
        <v>4.5999999999999996</v>
      </c>
      <c r="S22" s="9">
        <v>2.238</v>
      </c>
      <c r="T22" s="9">
        <v>2.6</v>
      </c>
    </row>
    <row r="23" spans="2:121" s="4" customFormat="1" x14ac:dyDescent="0.25">
      <c r="B23" s="4" t="s">
        <v>39</v>
      </c>
      <c r="C23" s="4">
        <f>+C20-C21-C22</f>
        <v>269.1699999999999</v>
      </c>
      <c r="D23" s="4">
        <f t="shared" ref="D23:J23" si="32">+D20-D21-D22</f>
        <v>364.42000000000013</v>
      </c>
      <c r="E23" s="4">
        <f t="shared" si="32"/>
        <v>382.63999999999993</v>
      </c>
      <c r="F23" s="4">
        <f t="shared" si="32"/>
        <v>372.14200000000022</v>
      </c>
      <c r="G23" s="4">
        <f t="shared" si="32"/>
        <v>404.99999999999989</v>
      </c>
      <c r="H23" s="4">
        <f t="shared" si="32"/>
        <v>508.09999999999997</v>
      </c>
      <c r="I23" s="4">
        <f t="shared" si="32"/>
        <v>494.98999999999995</v>
      </c>
      <c r="J23" s="4">
        <f t="shared" si="32"/>
        <v>433.21599999999978</v>
      </c>
      <c r="M23" s="4">
        <f t="shared" ref="M23:N23" si="33">+M20-M21-M22</f>
        <v>489.69999999999965</v>
      </c>
      <c r="N23" s="4">
        <f t="shared" si="33"/>
        <v>477.52999999999969</v>
      </c>
      <c r="O23" s="4">
        <f t="shared" ref="O23:T23" si="34">+O20-O21-O22</f>
        <v>575.8589999999997</v>
      </c>
      <c r="P23" s="4">
        <f t="shared" si="34"/>
        <v>815.5400000000003</v>
      </c>
      <c r="Q23" s="4">
        <f t="shared" si="34"/>
        <v>823.86700000000053</v>
      </c>
      <c r="R23" s="4">
        <f t="shared" si="34"/>
        <v>901.23000000000036</v>
      </c>
      <c r="S23" s="4">
        <f t="shared" si="34"/>
        <v>1388.3720000000001</v>
      </c>
      <c r="T23" s="4">
        <f t="shared" si="34"/>
        <v>1841.306</v>
      </c>
      <c r="U23" s="4">
        <f t="shared" ref="U23" si="35">+U20-U21-U22</f>
        <v>2098.7728418000011</v>
      </c>
      <c r="V23" s="4">
        <f t="shared" ref="V23" si="36">+V20-V21-V22</f>
        <v>2354.7203953953449</v>
      </c>
      <c r="W23" s="4">
        <f t="shared" ref="W23" si="37">+W20-W21-W22</f>
        <v>2575.0128366292724</v>
      </c>
      <c r="X23" s="4">
        <f t="shared" ref="X23" si="38">+X20-X21-X22</f>
        <v>2826.4728965070221</v>
      </c>
      <c r="Y23" s="4">
        <f t="shared" ref="Y23" si="39">+Y20-Y21-Y22</f>
        <v>3127.6033481327322</v>
      </c>
      <c r="Z23" s="4">
        <f t="shared" ref="Z23" si="40">+Z20-Z21-Z22</f>
        <v>3316.0162241127377</v>
      </c>
      <c r="AA23" s="4">
        <f t="shared" ref="AA23" si="41">+AA20-AA21-AA22</f>
        <v>3662.4757040132235</v>
      </c>
      <c r="AB23" s="4">
        <f t="shared" ref="AB23" si="42">+AB20-AB21-AB22</f>
        <v>4040.2731689217521</v>
      </c>
      <c r="AC23" s="4">
        <f t="shared" ref="AC23" si="43">+AC20-AC21-AC22</f>
        <v>4452.1275822154748</v>
      </c>
      <c r="AD23" s="4">
        <f t="shared" ref="AD23" si="44">+AD20-AD21-AD22</f>
        <v>4900.9906342888207</v>
      </c>
    </row>
    <row r="24" spans="2:121" s="9" customFormat="1" x14ac:dyDescent="0.25">
      <c r="B24" s="9" t="s">
        <v>40</v>
      </c>
      <c r="C24" s="9">
        <v>69.95</v>
      </c>
      <c r="D24" s="9">
        <v>94.8</v>
      </c>
      <c r="E24" s="9">
        <v>96.3</v>
      </c>
      <c r="F24" s="9">
        <f>+S24-E24-D24-C24</f>
        <v>92.999999999999986</v>
      </c>
      <c r="G24" s="9">
        <v>105.3</v>
      </c>
      <c r="H24" s="9">
        <v>132.13499999999999</v>
      </c>
      <c r="I24" s="9">
        <v>118.66</v>
      </c>
      <c r="J24" s="9">
        <f>+T24-I24-H24-G24</f>
        <v>108.10499999999998</v>
      </c>
      <c r="M24" s="9">
        <v>185.3</v>
      </c>
      <c r="N24" s="9">
        <v>181.8</v>
      </c>
      <c r="O24" s="9">
        <v>112</v>
      </c>
      <c r="P24" s="9">
        <v>209.85</v>
      </c>
      <c r="Q24" s="9">
        <v>208.43</v>
      </c>
      <c r="R24" s="9">
        <v>228.7</v>
      </c>
      <c r="S24" s="9">
        <v>354.05</v>
      </c>
      <c r="T24" s="9">
        <v>464.2</v>
      </c>
      <c r="U24" s="9">
        <f>+U49*U23</f>
        <v>535.18707465900025</v>
      </c>
      <c r="V24" s="9">
        <f t="shared" ref="V24:AD24" si="45">+V49*V23</f>
        <v>600.45370082581292</v>
      </c>
      <c r="W24" s="9">
        <f t="shared" si="45"/>
        <v>656.62827334046449</v>
      </c>
      <c r="X24" s="9">
        <f t="shared" si="45"/>
        <v>720.75058860929062</v>
      </c>
      <c r="Y24" s="9">
        <f t="shared" si="45"/>
        <v>797.53885377384677</v>
      </c>
      <c r="Z24" s="9">
        <f t="shared" si="45"/>
        <v>845.58413714874814</v>
      </c>
      <c r="AA24" s="9">
        <f t="shared" si="45"/>
        <v>933.93130452337198</v>
      </c>
      <c r="AB24" s="9">
        <f t="shared" si="45"/>
        <v>1030.2696580750469</v>
      </c>
      <c r="AC24" s="9">
        <f t="shared" si="45"/>
        <v>1135.292533464946</v>
      </c>
      <c r="AD24" s="9">
        <f t="shared" si="45"/>
        <v>1249.7526117436494</v>
      </c>
    </row>
    <row r="25" spans="2:121" s="4" customFormat="1" x14ac:dyDescent="0.25">
      <c r="B25" s="4" t="s">
        <v>41</v>
      </c>
      <c r="C25" s="4">
        <f>+C23-C24</f>
        <v>199.21999999999991</v>
      </c>
      <c r="D25" s="4">
        <f t="shared" ref="D25:J25" si="46">+D23-D24</f>
        <v>269.62000000000012</v>
      </c>
      <c r="E25" s="4">
        <f t="shared" si="46"/>
        <v>286.33999999999992</v>
      </c>
      <c r="F25" s="4">
        <f t="shared" si="46"/>
        <v>279.14200000000022</v>
      </c>
      <c r="G25" s="4">
        <f t="shared" si="46"/>
        <v>299.69999999999987</v>
      </c>
      <c r="H25" s="4">
        <f t="shared" si="46"/>
        <v>375.96499999999997</v>
      </c>
      <c r="I25" s="4">
        <f t="shared" si="46"/>
        <v>376.32999999999993</v>
      </c>
      <c r="J25" s="4">
        <f t="shared" si="46"/>
        <v>325.11099999999982</v>
      </c>
      <c r="M25" s="4">
        <f t="shared" ref="M25:N25" si="47">+M23-M24</f>
        <v>304.39999999999964</v>
      </c>
      <c r="N25" s="4">
        <f t="shared" si="47"/>
        <v>295.72999999999968</v>
      </c>
      <c r="O25" s="4">
        <f t="shared" ref="O25:T25" si="48">+O23-O24</f>
        <v>463.8589999999997</v>
      </c>
      <c r="P25" s="4">
        <f t="shared" si="48"/>
        <v>605.69000000000028</v>
      </c>
      <c r="Q25" s="4">
        <f t="shared" si="48"/>
        <v>615.43700000000058</v>
      </c>
      <c r="R25" s="4">
        <f t="shared" si="48"/>
        <v>672.53000000000043</v>
      </c>
      <c r="S25" s="4">
        <f t="shared" si="48"/>
        <v>1034.3220000000001</v>
      </c>
      <c r="T25" s="4">
        <f t="shared" si="48"/>
        <v>1377.106</v>
      </c>
      <c r="U25" s="4">
        <f t="shared" ref="U25" si="49">+U23-U24</f>
        <v>1563.5857671410008</v>
      </c>
      <c r="V25" s="4">
        <f t="shared" ref="V25" si="50">+V23-V24</f>
        <v>1754.2666945695319</v>
      </c>
      <c r="W25" s="4">
        <f t="shared" ref="W25" si="51">+W23-W24</f>
        <v>1918.3845632888078</v>
      </c>
      <c r="X25" s="4">
        <f t="shared" ref="X25" si="52">+X23-X24</f>
        <v>2105.7223078977313</v>
      </c>
      <c r="Y25" s="4">
        <f t="shared" ref="Y25" si="53">+Y23-Y24</f>
        <v>2330.0644943588854</v>
      </c>
      <c r="Z25" s="4">
        <f t="shared" ref="Z25" si="54">+Z23-Z24</f>
        <v>2470.4320869639896</v>
      </c>
      <c r="AA25" s="4">
        <f t="shared" ref="AA25" si="55">+AA23-AA24</f>
        <v>2728.5443994898515</v>
      </c>
      <c r="AB25" s="4">
        <f t="shared" ref="AB25" si="56">+AB23-AB24</f>
        <v>3010.0035108467055</v>
      </c>
      <c r="AC25" s="4">
        <f t="shared" ref="AC25" si="57">+AC23-AC24</f>
        <v>3316.8350487505286</v>
      </c>
      <c r="AD25" s="4">
        <f t="shared" ref="AD25" si="58">+AD23-AD24</f>
        <v>3651.2380225451716</v>
      </c>
      <c r="AE25" s="4">
        <f>+AD25*(1+Dash!$C$2)</f>
        <v>3614.72564231972</v>
      </c>
      <c r="AF25" s="4">
        <f>+AE25*(1+Dash!$C$2)</f>
        <v>3578.5783858965228</v>
      </c>
      <c r="AG25" s="4">
        <f>+AF25*(1+Dash!$C$2)</f>
        <v>3542.7926020375576</v>
      </c>
      <c r="AH25" s="4">
        <f>+AG25*(1+Dash!$C$2)</f>
        <v>3507.3646760171819</v>
      </c>
      <c r="AI25" s="4">
        <f>+AH25*(1+Dash!$C$2)</f>
        <v>3472.29102925701</v>
      </c>
      <c r="AJ25" s="4">
        <f>+AI25*(1+Dash!$C$2)</f>
        <v>3437.5681189644397</v>
      </c>
      <c r="AK25" s="4">
        <f>+AJ25*(1+Dash!$C$2)</f>
        <v>3403.1924377747951</v>
      </c>
      <c r="AL25" s="4">
        <f>+AK25*(1+Dash!$C$2)</f>
        <v>3369.160513397047</v>
      </c>
      <c r="AM25" s="4">
        <f>+AL25*(1+Dash!$C$2)</f>
        <v>3335.4689082630766</v>
      </c>
      <c r="AN25" s="4">
        <f>+AM25*(1+Dash!$C$2)</f>
        <v>3302.1142191804456</v>
      </c>
      <c r="AO25" s="4">
        <f>+AN25*(1+Dash!$C$2)</f>
        <v>3269.0930769886413</v>
      </c>
      <c r="AP25" s="4">
        <f>+AO25*(1+Dash!$C$2)</f>
        <v>3236.4021462187548</v>
      </c>
      <c r="AQ25" s="4">
        <f>+AP25*(1+Dash!$C$2)</f>
        <v>3204.038124756567</v>
      </c>
      <c r="AR25" s="4">
        <f>+AQ25*(1+Dash!$C$2)</f>
        <v>3171.9977435090013</v>
      </c>
      <c r="AS25" s="4">
        <f>+AR25*(1+Dash!$C$2)</f>
        <v>3140.2777660739112</v>
      </c>
      <c r="AT25" s="4">
        <f>+AS25*(1+Dash!$C$2)</f>
        <v>3108.8749884131721</v>
      </c>
      <c r="AU25" s="4">
        <f>+AT25*(1+Dash!$C$2)</f>
        <v>3077.7862385290405</v>
      </c>
      <c r="AV25" s="4">
        <f>+AU25*(1+Dash!$C$2)</f>
        <v>3047.00837614375</v>
      </c>
      <c r="AW25" s="4">
        <f>+AV25*(1+Dash!$C$2)</f>
        <v>3016.5382923823126</v>
      </c>
      <c r="AX25" s="4">
        <f>+AW25*(1+Dash!$C$2)</f>
        <v>2986.3729094584896</v>
      </c>
      <c r="AY25" s="4">
        <f>+AX25*(1+Dash!$C$2)</f>
        <v>2956.5091803639048</v>
      </c>
      <c r="AZ25" s="4">
        <f>+AY25*(1+Dash!$C$2)</f>
        <v>2926.9440885602658</v>
      </c>
      <c r="BA25" s="4">
        <f>+AZ25*(1+Dash!$C$2)</f>
        <v>2897.674647674663</v>
      </c>
      <c r="BB25" s="4">
        <f>+BA25*(1+Dash!$C$2)</f>
        <v>2868.6979011979165</v>
      </c>
      <c r="BC25" s="4">
        <f>+BB25*(1+Dash!$C$2)</f>
        <v>2840.0109221859375</v>
      </c>
      <c r="BD25" s="4">
        <f>+BC25*(1+Dash!$C$2)</f>
        <v>2811.6108129640779</v>
      </c>
      <c r="BE25" s="4">
        <f>+BD25*(1+Dash!$C$2)</f>
        <v>2783.494704834437</v>
      </c>
      <c r="BF25" s="4">
        <f>+BE25*(1+Dash!$C$2)</f>
        <v>2755.6597577860925</v>
      </c>
      <c r="BG25" s="4">
        <f>+BF25*(1+Dash!$C$2)</f>
        <v>2728.1031602082317</v>
      </c>
      <c r="BH25" s="4">
        <f>+BG25*(1+Dash!$C$2)</f>
        <v>2700.8221286061494</v>
      </c>
      <c r="BI25" s="4">
        <f>+BH25*(1+Dash!$C$2)</f>
        <v>2673.8139073200878</v>
      </c>
      <c r="BJ25" s="4">
        <f>+BI25*(1+Dash!$C$2)</f>
        <v>2647.075768246887</v>
      </c>
      <c r="BK25" s="4">
        <f>+BJ25*(1+Dash!$C$2)</f>
        <v>2620.6050105644181</v>
      </c>
      <c r="BL25" s="4">
        <f>+BK25*(1+Dash!$C$2)</f>
        <v>2594.3989604587737</v>
      </c>
      <c r="BM25" s="4">
        <f>+BL25*(1+Dash!$C$2)</f>
        <v>2568.4549708541858</v>
      </c>
      <c r="BN25" s="4">
        <f>+BM25*(1+Dash!$C$2)</f>
        <v>2542.7704211456439</v>
      </c>
      <c r="BO25" s="4">
        <f>+BN25*(1+Dash!$C$2)</f>
        <v>2517.3427169341876</v>
      </c>
      <c r="BP25" s="4">
        <f>+BO25*(1+Dash!$C$2)</f>
        <v>2492.1692897648459</v>
      </c>
      <c r="BQ25" s="4">
        <f>+BP25*(1+Dash!$C$2)</f>
        <v>2467.2475968671974</v>
      </c>
      <c r="BR25" s="4">
        <f>+BQ25*(1+Dash!$C$2)</f>
        <v>2442.5751208985253</v>
      </c>
      <c r="BS25" s="4">
        <f>+BR25*(1+Dash!$C$2)</f>
        <v>2418.14936968954</v>
      </c>
      <c r="BT25" s="4">
        <f>+BS25*(1+Dash!$C$2)</f>
        <v>2393.9678759926446</v>
      </c>
      <c r="BU25" s="4">
        <f>+BT25*(1+Dash!$C$2)</f>
        <v>2370.028197232718</v>
      </c>
      <c r="BV25" s="4">
        <f>+BU25*(1+Dash!$C$2)</f>
        <v>2346.3279152603909</v>
      </c>
      <c r="BW25" s="4">
        <f>+BV25*(1+Dash!$C$2)</f>
        <v>2322.8646361077872</v>
      </c>
      <c r="BX25" s="4">
        <f>+BW25*(1+Dash!$C$2)</f>
        <v>2299.6359897467091</v>
      </c>
      <c r="BY25" s="4">
        <f>+BX25*(1+Dash!$C$2)</f>
        <v>2276.6396298492418</v>
      </c>
      <c r="BZ25" s="4">
        <f>+BY25*(1+Dash!$C$2)</f>
        <v>2253.8732335507493</v>
      </c>
      <c r="CA25" s="4">
        <f>+BZ25*(1+Dash!$C$2)</f>
        <v>2231.3345012152417</v>
      </c>
      <c r="CB25" s="4">
        <f>+CA25*(1+Dash!$C$2)</f>
        <v>2209.0211562030895</v>
      </c>
      <c r="CC25" s="4">
        <f>+CB25*(1+Dash!$C$2)</f>
        <v>2186.9309446410584</v>
      </c>
      <c r="CD25" s="4">
        <f>+CC25*(1+Dash!$C$2)</f>
        <v>2165.0616351946478</v>
      </c>
      <c r="CE25" s="4">
        <f>+CD25*(1+Dash!$C$2)</f>
        <v>2143.4110188427012</v>
      </c>
      <c r="CF25" s="4">
        <f>+CE25*(1+Dash!$C$2)</f>
        <v>2121.9769086542742</v>
      </c>
      <c r="CG25" s="4">
        <f>+CF25*(1+Dash!$C$2)</f>
        <v>2100.7571395677314</v>
      </c>
      <c r="CH25" s="4">
        <f>+CG25*(1+Dash!$C$2)</f>
        <v>2079.7495681720543</v>
      </c>
      <c r="CI25" s="4">
        <f>+CH25*(1+Dash!$C$2)</f>
        <v>2058.9520724903336</v>
      </c>
      <c r="CJ25" s="4">
        <f>+CI25*(1+Dash!$C$2)</f>
        <v>2038.3625517654302</v>
      </c>
      <c r="CK25" s="4">
        <f>+CJ25*(1+Dash!$C$2)</f>
        <v>2017.9789262477759</v>
      </c>
      <c r="CL25" s="4">
        <f>+CK25*(1+Dash!$C$2)</f>
        <v>1997.7991369852982</v>
      </c>
      <c r="CM25" s="4">
        <f>+CL25*(1+Dash!$C$2)</f>
        <v>1977.8211456154452</v>
      </c>
      <c r="CN25" s="4">
        <f>+CM25*(1+Dash!$C$2)</f>
        <v>1958.0429341592908</v>
      </c>
      <c r="CO25" s="4">
        <f>+CN25*(1+Dash!$C$2)</f>
        <v>1938.4625048176979</v>
      </c>
      <c r="CP25" s="4">
        <f>+CO25*(1+Dash!$C$2)</f>
        <v>1919.0778797695209</v>
      </c>
      <c r="CQ25" s="4">
        <f>+CP25*(1+Dash!$C$2)</f>
        <v>1899.8871009718257</v>
      </c>
      <c r="CR25" s="4">
        <f>+CQ25*(1+Dash!$C$2)</f>
        <v>1880.8882299621075</v>
      </c>
      <c r="CS25" s="4">
        <f>+CR25*(1+Dash!$C$2)</f>
        <v>1862.0793476624865</v>
      </c>
      <c r="CT25" s="4">
        <f>+CS25*(1+Dash!$C$2)</f>
        <v>1843.4585541858617</v>
      </c>
      <c r="CU25" s="4">
        <f>+CT25*(1+Dash!$C$2)</f>
        <v>1825.0239686440029</v>
      </c>
      <c r="CV25" s="4">
        <f>+CU25*(1+Dash!$C$2)</f>
        <v>1806.773728957563</v>
      </c>
      <c r="CW25" s="4">
        <f>+CV25*(1+Dash!$C$2)</f>
        <v>1788.7059916679873</v>
      </c>
      <c r="CX25" s="4">
        <f>+CW25*(1+Dash!$C$2)</f>
        <v>1770.8189317513074</v>
      </c>
      <c r="CY25" s="4">
        <f>+CX25*(1+Dash!$C$2)</f>
        <v>1753.1107424337943</v>
      </c>
      <c r="CZ25" s="4">
        <f>+CY25*(1+Dash!$C$2)</f>
        <v>1735.5796350094563</v>
      </c>
      <c r="DA25" s="4">
        <f>+CZ25*(1+Dash!$C$2)</f>
        <v>1718.2238386593617</v>
      </c>
      <c r="DB25" s="4">
        <f>+DA25*(1+Dash!$C$2)</f>
        <v>1701.0416002727682</v>
      </c>
      <c r="DC25" s="4">
        <f>+DB25*(1+Dash!$C$2)</f>
        <v>1684.0311842700405</v>
      </c>
      <c r="DD25" s="4">
        <f>+DC25*(1+Dash!$C$2)</f>
        <v>1667.1908724273401</v>
      </c>
      <c r="DE25" s="4">
        <f>+DD25*(1+Dash!$C$2)</f>
        <v>1650.5189637030667</v>
      </c>
      <c r="DF25" s="4">
        <f>+DE25*(1+Dash!$C$2)</f>
        <v>1634.0137740660359</v>
      </c>
      <c r="DG25" s="4">
        <f>+DF25*(1+Dash!$C$2)</f>
        <v>1617.6736363253756</v>
      </c>
      <c r="DH25" s="4">
        <f>+DG25*(1+Dash!$C$2)</f>
        <v>1601.4968999621219</v>
      </c>
      <c r="DI25" s="4">
        <f>+DH25*(1+Dash!$C$2)</f>
        <v>1585.4819309625007</v>
      </c>
      <c r="DJ25" s="4">
        <f>+DI25*(1+Dash!$C$2)</f>
        <v>1569.6271116528756</v>
      </c>
      <c r="DK25" s="4">
        <f>+DJ25*(1+Dash!$C$2)</f>
        <v>1553.9308405363468</v>
      </c>
      <c r="DL25" s="4">
        <f>+DK25*(1+Dash!$C$2)</f>
        <v>1538.3915321309833</v>
      </c>
      <c r="DM25" s="4">
        <f>+DL25*(1+Dash!$C$2)</f>
        <v>1523.0076168096734</v>
      </c>
      <c r="DN25" s="4">
        <f>+DM25*(1+Dash!$C$2)</f>
        <v>1507.7775406415767</v>
      </c>
      <c r="DO25" s="4">
        <f>+DN25*(1+Dash!$C$2)</f>
        <v>1492.6997652351608</v>
      </c>
      <c r="DP25" s="4">
        <f>+DO25*(1+Dash!$C$2)</f>
        <v>1477.7727675828091</v>
      </c>
      <c r="DQ25" s="4">
        <f>+DP25*(1+Dash!$C$2)</f>
        <v>1462.995039906981</v>
      </c>
    </row>
    <row r="26" spans="2:121" s="9" customFormat="1" x14ac:dyDescent="0.25">
      <c r="B26" s="9" t="s">
        <v>1</v>
      </c>
      <c r="C26" s="9">
        <v>116.5</v>
      </c>
      <c r="D26" s="9">
        <v>115.82</v>
      </c>
      <c r="E26" s="9">
        <v>115.411</v>
      </c>
      <c r="F26" s="9">
        <v>115.651</v>
      </c>
      <c r="G26" s="9">
        <v>114.4</v>
      </c>
      <c r="H26" s="9">
        <v>113.08</v>
      </c>
      <c r="I26" s="9">
        <v>111.57</v>
      </c>
      <c r="J26" s="9">
        <v>112.34</v>
      </c>
      <c r="M26" s="9">
        <v>85.38</v>
      </c>
      <c r="N26" s="9">
        <v>83.111999999999995</v>
      </c>
      <c r="O26" s="9">
        <v>82.308000000000007</v>
      </c>
      <c r="P26" s="9">
        <v>81.923000000000002</v>
      </c>
      <c r="Q26" s="9">
        <v>120.414</v>
      </c>
      <c r="R26" s="9">
        <v>117.74</v>
      </c>
      <c r="S26" s="9">
        <v>115.651</v>
      </c>
      <c r="T26" s="9">
        <v>112.34</v>
      </c>
    </row>
    <row r="27" spans="2:121" s="5" customFormat="1" x14ac:dyDescent="0.25">
      <c r="B27" s="5" t="s">
        <v>42</v>
      </c>
      <c r="C27" s="5">
        <f t="shared" ref="C27:J27" si="59">+C25/C26</f>
        <v>1.7100429184549348</v>
      </c>
      <c r="D27" s="5">
        <f t="shared" si="59"/>
        <v>2.3279226385771037</v>
      </c>
      <c r="E27" s="5">
        <f t="shared" si="59"/>
        <v>2.4810460008144797</v>
      </c>
      <c r="F27" s="5">
        <f t="shared" si="59"/>
        <v>2.4136583341259499</v>
      </c>
      <c r="G27" s="5">
        <f t="shared" si="59"/>
        <v>2.6197552447552437</v>
      </c>
      <c r="H27" s="5">
        <f t="shared" si="59"/>
        <v>3.324770074283693</v>
      </c>
      <c r="I27" s="5">
        <f t="shared" si="59"/>
        <v>3.3730393474948457</v>
      </c>
      <c r="J27" s="5">
        <f t="shared" si="59"/>
        <v>2.8939914545130834</v>
      </c>
      <c r="M27" s="5">
        <f t="shared" ref="M27:N27" si="60">+M25/M26</f>
        <v>3.5652377605996679</v>
      </c>
      <c r="N27" s="5">
        <f t="shared" si="60"/>
        <v>3.5582106073731796</v>
      </c>
      <c r="O27" s="5">
        <f t="shared" ref="O27:S27" si="61">+O25/O26</f>
        <v>5.6356490256111149</v>
      </c>
      <c r="P27" s="5">
        <f t="shared" si="61"/>
        <v>7.3934060031981286</v>
      </c>
      <c r="Q27" s="5">
        <f t="shared" si="61"/>
        <v>5.1110086866975646</v>
      </c>
      <c r="R27" s="5">
        <f t="shared" si="61"/>
        <v>5.711992525904539</v>
      </c>
      <c r="S27" s="5">
        <f t="shared" si="61"/>
        <v>8.9434764939343374</v>
      </c>
      <c r="T27" s="5">
        <f>+T25/T26</f>
        <v>12.258376357486203</v>
      </c>
    </row>
    <row r="28" spans="2:121" x14ac:dyDescent="0.25">
      <c r="F28" s="3"/>
      <c r="G28" s="3"/>
      <c r="H28" s="3"/>
      <c r="I28" s="3"/>
      <c r="N28" s="3"/>
      <c r="O28" s="3"/>
      <c r="P28" s="3"/>
      <c r="Q28" s="3"/>
      <c r="R28" s="3"/>
      <c r="S28" s="3"/>
      <c r="T28" s="3"/>
    </row>
    <row r="29" spans="2:121" s="9" customFormat="1" x14ac:dyDescent="0.25">
      <c r="B29" s="9" t="s">
        <v>43</v>
      </c>
      <c r="M29" s="9">
        <v>165.3</v>
      </c>
      <c r="N29" s="9">
        <v>189.9</v>
      </c>
      <c r="O29" s="9">
        <v>205.8</v>
      </c>
      <c r="P29" s="9">
        <v>230.4</v>
      </c>
      <c r="Q29" s="9">
        <v>253.7</v>
      </c>
      <c r="R29" s="9">
        <v>261.2</v>
      </c>
      <c r="S29" s="9">
        <v>260</v>
      </c>
      <c r="T29" s="9">
        <v>276</v>
      </c>
    </row>
    <row r="30" spans="2:121" s="9" customFormat="1" x14ac:dyDescent="0.25">
      <c r="B30" s="9" t="s">
        <v>44</v>
      </c>
      <c r="M30" s="9">
        <v>462.1</v>
      </c>
      <c r="N30" s="9">
        <v>417.94</v>
      </c>
      <c r="O30" s="9">
        <v>382.1</v>
      </c>
      <c r="P30" s="9">
        <v>588.29999999999995</v>
      </c>
      <c r="Q30" s="9">
        <v>479.3</v>
      </c>
      <c r="R30" s="9">
        <v>225.08</v>
      </c>
      <c r="S30" s="9">
        <v>550.08000000000004</v>
      </c>
      <c r="T30" s="9">
        <v>775.15</v>
      </c>
    </row>
    <row r="31" spans="2:121" s="6" customFormat="1" x14ac:dyDescent="0.25"/>
    <row r="32" spans="2:121" s="9" customFormat="1" x14ac:dyDescent="0.25">
      <c r="B32" s="9" t="s">
        <v>54</v>
      </c>
      <c r="C32" s="9">
        <f>+C20+C17</f>
        <v>333.49999999999989</v>
      </c>
      <c r="D32" s="9">
        <f t="shared" ref="D32:J32" si="62">+D20+D17</f>
        <v>430.07000000000011</v>
      </c>
      <c r="E32" s="9">
        <f t="shared" si="62"/>
        <v>448.2999999999999</v>
      </c>
      <c r="F32" s="9">
        <f t="shared" si="62"/>
        <v>439.52000000000021</v>
      </c>
      <c r="G32" s="9">
        <f t="shared" si="62"/>
        <v>472.89999999999992</v>
      </c>
      <c r="H32" s="9">
        <f t="shared" si="62"/>
        <v>576.84999999999991</v>
      </c>
      <c r="I32" s="9">
        <f t="shared" si="62"/>
        <v>564.33999999999992</v>
      </c>
      <c r="J32" s="9">
        <f t="shared" si="62"/>
        <v>502.54499999999973</v>
      </c>
      <c r="M32" s="9">
        <f t="shared" ref="M32:T32" si="63">+M20+M17</f>
        <v>663.19999999999959</v>
      </c>
      <c r="N32" s="9">
        <f t="shared" si="63"/>
        <v>673.6999999999997</v>
      </c>
      <c r="O32" s="9">
        <f t="shared" si="63"/>
        <v>781.66899999999964</v>
      </c>
      <c r="P32" s="9">
        <f t="shared" si="63"/>
        <v>1047.5000000000005</v>
      </c>
      <c r="Q32" s="9">
        <f t="shared" si="63"/>
        <v>1072.3500000000006</v>
      </c>
      <c r="R32" s="9">
        <f t="shared" si="63"/>
        <v>1168.0300000000004</v>
      </c>
      <c r="S32" s="9">
        <f t="shared" si="63"/>
        <v>1651.3900000000003</v>
      </c>
      <c r="T32" s="9">
        <f t="shared" si="63"/>
        <v>2116.6350000000002</v>
      </c>
    </row>
    <row r="34" spans="1:30" s="7" customFormat="1" x14ac:dyDescent="0.25">
      <c r="B34" s="7" t="s">
        <v>48</v>
      </c>
      <c r="C34" s="7">
        <f>+C20/C10</f>
        <v>0.23923657345761198</v>
      </c>
      <c r="D34" s="7">
        <f t="shared" ref="D34:AD34" si="64">+D20/D10</f>
        <v>0.27748976807639841</v>
      </c>
      <c r="E34" s="7">
        <f t="shared" si="64"/>
        <v>0.27364285714285708</v>
      </c>
      <c r="F34" s="7">
        <f t="shared" si="64"/>
        <v>0.26431508791832115</v>
      </c>
      <c r="G34" s="7">
        <f t="shared" si="64"/>
        <v>0.27088759767581644</v>
      </c>
      <c r="H34" s="7">
        <f t="shared" si="64"/>
        <v>0.30498665627155236</v>
      </c>
      <c r="I34" s="7">
        <f t="shared" si="64"/>
        <v>0.30868616324749015</v>
      </c>
      <c r="J34" s="7">
        <f t="shared" si="64"/>
        <v>0.28921239994100356</v>
      </c>
      <c r="M34" s="7">
        <f t="shared" si="64"/>
        <v>0.16750773785493192</v>
      </c>
      <c r="N34" s="7">
        <f t="shared" si="64"/>
        <v>0.16172488718034422</v>
      </c>
      <c r="O34" s="7">
        <f t="shared" si="64"/>
        <v>0.17148655489711434</v>
      </c>
      <c r="P34" s="7">
        <f t="shared" si="64"/>
        <v>0.2020674135074314</v>
      </c>
      <c r="Q34" s="7">
        <f t="shared" si="64"/>
        <v>0.19922854152977548</v>
      </c>
      <c r="R34" s="7">
        <f t="shared" si="64"/>
        <v>0.22585489776095249</v>
      </c>
      <c r="S34" s="7">
        <f t="shared" si="64"/>
        <v>0.26473184559481006</v>
      </c>
      <c r="T34" s="7">
        <f t="shared" si="64"/>
        <v>0.29401987517711464</v>
      </c>
      <c r="U34" s="7">
        <f t="shared" si="64"/>
        <v>0.28900000000000015</v>
      </c>
      <c r="V34" s="7">
        <f t="shared" si="64"/>
        <v>0.27700000000000002</v>
      </c>
      <c r="W34" s="7">
        <f t="shared" si="64"/>
        <v>0.26499999999999985</v>
      </c>
      <c r="X34" s="7">
        <f t="shared" si="64"/>
        <v>0.25500000000000012</v>
      </c>
      <c r="Y34" s="7">
        <f t="shared" si="64"/>
        <v>0.24999999999999997</v>
      </c>
      <c r="Z34" s="7">
        <f t="shared" si="64"/>
        <v>0.24000000000000016</v>
      </c>
      <c r="AA34" s="7">
        <f t="shared" si="64"/>
        <v>0.2400000000000001</v>
      </c>
      <c r="AB34" s="7">
        <f t="shared" si="64"/>
        <v>0.23999999999999971</v>
      </c>
      <c r="AC34" s="7">
        <f t="shared" si="64"/>
        <v>0.24000000000000005</v>
      </c>
      <c r="AD34" s="7">
        <f t="shared" si="64"/>
        <v>0.24</v>
      </c>
    </row>
    <row r="36" spans="1:30" s="7" customFormat="1" x14ac:dyDescent="0.25">
      <c r="A36" s="7" t="s">
        <v>51</v>
      </c>
      <c r="B36" s="7" t="s">
        <v>49</v>
      </c>
      <c r="G36" s="7">
        <f>+G10/C10-1</f>
        <v>0.32916111850865515</v>
      </c>
      <c r="H36" s="7">
        <f>+H10/D10-1</f>
        <v>0.26379414885554042</v>
      </c>
      <c r="I36" s="7">
        <f>+I10/E10-1</f>
        <v>0.14549999999999996</v>
      </c>
      <c r="J36" s="7">
        <f>+J10/F10-1</f>
        <v>5.7586500283607567E-2</v>
      </c>
      <c r="N36" s="7">
        <f t="shared" ref="M36:S36" si="65">+N10/M10-1</f>
        <v>6.4257838783474686E-3</v>
      </c>
      <c r="O36" s="7">
        <f t="shared" si="65"/>
        <v>0.12254721711515959</v>
      </c>
      <c r="P36" s="7">
        <f t="shared" si="65"/>
        <v>0.20416306840177478</v>
      </c>
      <c r="Q36" s="7">
        <f t="shared" si="65"/>
        <v>1.617330662512062E-2</v>
      </c>
      <c r="R36" s="7">
        <f t="shared" si="65"/>
        <v>-2.2876055583947896E-2</v>
      </c>
      <c r="S36" s="7">
        <f t="shared" si="65"/>
        <v>0.30913302283878363</v>
      </c>
      <c r="T36" s="7">
        <f>+T10/S10-1</f>
        <v>0.19096512756121209</v>
      </c>
      <c r="U36" s="7">
        <v>0.16</v>
      </c>
      <c r="V36" s="7">
        <v>0.13500000000000001</v>
      </c>
      <c r="W36" s="7">
        <v>0.11</v>
      </c>
      <c r="X36" s="7">
        <v>0.11</v>
      </c>
      <c r="Y36" s="7">
        <v>0.11</v>
      </c>
      <c r="Z36" s="7">
        <v>8.5000000000000006E-2</v>
      </c>
      <c r="AA36" s="7">
        <v>8.5000000000000006E-2</v>
      </c>
      <c r="AB36" s="7">
        <v>8.5000000000000006E-2</v>
      </c>
      <c r="AC36" s="7">
        <v>8.5000000000000006E-2</v>
      </c>
      <c r="AD36" s="7">
        <v>8.5000000000000006E-2</v>
      </c>
    </row>
    <row r="37" spans="1:30" s="7" customFormat="1" x14ac:dyDescent="0.25"/>
    <row r="39" spans="1:30" s="7" customFormat="1" x14ac:dyDescent="0.25">
      <c r="A39" s="7" t="s">
        <v>51</v>
      </c>
      <c r="B39" s="7" t="s">
        <v>50</v>
      </c>
      <c r="C39" s="7">
        <f>+C11/C$10</f>
        <v>0.48442077230359526</v>
      </c>
      <c r="D39" s="7">
        <f t="shared" ref="D39:J39" si="66">+D11/D$10</f>
        <v>0.46346824314082158</v>
      </c>
      <c r="E39" s="7">
        <f t="shared" si="66"/>
        <v>0.4642857142857143</v>
      </c>
      <c r="F39" s="7">
        <f t="shared" si="66"/>
        <v>0.46851247872943824</v>
      </c>
      <c r="G39" s="7">
        <f t="shared" si="66"/>
        <v>0.4542843785480532</v>
      </c>
      <c r="H39" s="7">
        <f t="shared" si="66"/>
        <v>0.42322108608953796</v>
      </c>
      <c r="I39" s="7">
        <f t="shared" si="66"/>
        <v>0.42096402070212635</v>
      </c>
      <c r="J39" s="7">
        <f t="shared" si="66"/>
        <v>0.43968302918974006</v>
      </c>
      <c r="M39" s="7">
        <f t="shared" ref="M39:T39" si="67">+M11/M$10</f>
        <v>0.5281927062306554</v>
      </c>
      <c r="N39" s="7">
        <f t="shared" si="67"/>
        <v>0.55223132207922443</v>
      </c>
      <c r="O39" s="7">
        <f t="shared" si="67"/>
        <v>0.53674399213841162</v>
      </c>
      <c r="P39" s="7">
        <f t="shared" si="67"/>
        <v>0.51329228182110442</v>
      </c>
      <c r="Q39" s="7">
        <f t="shared" si="67"/>
        <v>0.51653646783967289</v>
      </c>
      <c r="R39" s="7">
        <f t="shared" si="67"/>
        <v>0.51154392169559915</v>
      </c>
      <c r="S39" s="7">
        <f t="shared" si="67"/>
        <v>0.46952989745638563</v>
      </c>
      <c r="T39" s="7">
        <f t="shared" si="67"/>
        <v>0.43399514701912284</v>
      </c>
      <c r="U39" s="7">
        <v>0.43</v>
      </c>
      <c r="V39" s="7">
        <v>0.44</v>
      </c>
      <c r="W39" s="7">
        <v>0.45</v>
      </c>
      <c r="X39" s="7">
        <v>0.46</v>
      </c>
      <c r="Y39" s="7">
        <v>0.47</v>
      </c>
      <c r="Z39" s="7">
        <v>0.48</v>
      </c>
      <c r="AA39" s="7">
        <v>0.48</v>
      </c>
      <c r="AB39" s="7">
        <v>0.48</v>
      </c>
      <c r="AC39" s="7">
        <v>0.48</v>
      </c>
      <c r="AD39" s="7">
        <v>0.48</v>
      </c>
    </row>
    <row r="40" spans="1:30" s="7" customFormat="1" x14ac:dyDescent="0.25">
      <c r="A40" s="7" t="s">
        <v>51</v>
      </c>
      <c r="B40" s="11" t="s">
        <v>28</v>
      </c>
      <c r="C40" s="7">
        <f t="shared" ref="C40:J40" si="68">+C12/C$10</f>
        <v>0.11025299600532623</v>
      </c>
      <c r="D40" s="7">
        <f t="shared" si="68"/>
        <v>0.1042898287100197</v>
      </c>
      <c r="E40" s="7">
        <f t="shared" si="68"/>
        <v>0.10464285714285715</v>
      </c>
      <c r="F40" s="7">
        <f t="shared" si="68"/>
        <v>0.11294668179239932</v>
      </c>
      <c r="G40" s="7">
        <f t="shared" si="68"/>
        <v>0.12783009416950511</v>
      </c>
      <c r="H40" s="7">
        <f t="shared" si="68"/>
        <v>0.14195328195747997</v>
      </c>
      <c r="I40" s="7">
        <f t="shared" si="68"/>
        <v>0.13547421587578723</v>
      </c>
      <c r="J40" s="7">
        <f t="shared" si="68"/>
        <v>0.13917418645499527</v>
      </c>
      <c r="M40" s="7">
        <f t="shared" ref="M40:T40" si="69">+M12/M$10</f>
        <v>0.11909568025837707</v>
      </c>
      <c r="N40" s="7">
        <f t="shared" si="69"/>
        <v>0.10797258900217283</v>
      </c>
      <c r="O40" s="7">
        <f t="shared" si="69"/>
        <v>0.11369524433459398</v>
      </c>
      <c r="P40" s="7">
        <f t="shared" si="69"/>
        <v>0.12143334075228134</v>
      </c>
      <c r="Q40" s="7">
        <f t="shared" si="69"/>
        <v>0.1151347010294225</v>
      </c>
      <c r="R40" s="7">
        <f t="shared" si="69"/>
        <v>9.3006400836840933E-2</v>
      </c>
      <c r="S40" s="7">
        <f t="shared" si="69"/>
        <v>0.10798470406940243</v>
      </c>
      <c r="T40" s="7">
        <f t="shared" si="69"/>
        <v>0.13625326873341673</v>
      </c>
      <c r="U40" s="7">
        <v>0.13500000000000001</v>
      </c>
      <c r="V40" s="7">
        <v>0.13</v>
      </c>
      <c r="W40" s="7">
        <v>0.125</v>
      </c>
      <c r="X40" s="7">
        <v>0.12</v>
      </c>
      <c r="Y40" s="7">
        <v>0.115</v>
      </c>
      <c r="Z40" s="7">
        <v>0.115</v>
      </c>
      <c r="AA40" s="7">
        <v>0.115</v>
      </c>
      <c r="AB40" s="7">
        <v>0.115</v>
      </c>
      <c r="AC40" s="7">
        <v>0.115</v>
      </c>
      <c r="AD40" s="7">
        <v>0.115</v>
      </c>
    </row>
    <row r="41" spans="1:30" s="7" customFormat="1" x14ac:dyDescent="0.25">
      <c r="A41" s="7" t="s">
        <v>51</v>
      </c>
      <c r="B41" s="11" t="s">
        <v>29</v>
      </c>
      <c r="C41" s="7">
        <f t="shared" ref="C41:J41" si="70">+C13/C$10</f>
        <v>2.769640479360852E-2</v>
      </c>
      <c r="D41" s="7">
        <f t="shared" si="70"/>
        <v>2.6072457177504924E-2</v>
      </c>
      <c r="E41" s="7">
        <f t="shared" si="70"/>
        <v>2.6642857142857142E-2</v>
      </c>
      <c r="F41" s="7">
        <f t="shared" si="70"/>
        <v>2.3539421440726037E-2</v>
      </c>
      <c r="G41" s="7">
        <f t="shared" si="70"/>
        <v>2.3709343484939558E-2</v>
      </c>
      <c r="H41" s="7">
        <f t="shared" si="70"/>
        <v>2.3448978979879458E-2</v>
      </c>
      <c r="I41" s="7">
        <f t="shared" si="70"/>
        <v>2.8652491114298188E-2</v>
      </c>
      <c r="J41" s="7">
        <f t="shared" si="70"/>
        <v>2.6447754790093984E-2</v>
      </c>
      <c r="M41" s="7">
        <f t="shared" ref="M41:T41" si="71">+M13/M$10</f>
        <v>3.0043062844839187E-2</v>
      </c>
      <c r="N41" s="7">
        <f t="shared" si="71"/>
        <v>2.8948687949189367E-2</v>
      </c>
      <c r="O41" s="7">
        <f t="shared" si="71"/>
        <v>3.2071707215389655E-2</v>
      </c>
      <c r="P41" s="7">
        <f t="shared" si="71"/>
        <v>2.9477953359546952E-2</v>
      </c>
      <c r="Q41" s="7">
        <f t="shared" si="71"/>
        <v>3.0176924387335425E-2</v>
      </c>
      <c r="R41" s="7">
        <f t="shared" si="71"/>
        <v>2.7471295858135538E-2</v>
      </c>
      <c r="S41" s="7">
        <f t="shared" si="71"/>
        <v>2.5892738237924012E-2</v>
      </c>
      <c r="T41" s="7">
        <f t="shared" si="71"/>
        <v>2.5558819629812449E-2</v>
      </c>
      <c r="U41" s="7">
        <v>2.7E-2</v>
      </c>
      <c r="V41" s="7">
        <v>2.8000000000000001E-2</v>
      </c>
      <c r="W41" s="7">
        <v>2.9000000000000001E-2</v>
      </c>
      <c r="X41" s="7">
        <v>0.03</v>
      </c>
      <c r="Y41" s="7">
        <v>0.03</v>
      </c>
      <c r="Z41" s="7">
        <v>0.03</v>
      </c>
      <c r="AA41" s="7">
        <v>0.03</v>
      </c>
      <c r="AB41" s="7">
        <v>0.03</v>
      </c>
      <c r="AC41" s="7">
        <v>0.03</v>
      </c>
      <c r="AD41" s="7">
        <v>0.03</v>
      </c>
    </row>
    <row r="42" spans="1:30" s="7" customFormat="1" x14ac:dyDescent="0.25">
      <c r="A42" s="7" t="s">
        <v>51</v>
      </c>
      <c r="B42" s="11" t="s">
        <v>30</v>
      </c>
      <c r="C42" s="7">
        <f t="shared" ref="C42:J42" si="72">+C14/C$10</f>
        <v>2.7785175321793164E-2</v>
      </c>
      <c r="D42" s="7">
        <f t="shared" si="72"/>
        <v>2.5200848870698799E-2</v>
      </c>
      <c r="E42" s="7">
        <f t="shared" si="72"/>
        <v>2.4285714285714285E-2</v>
      </c>
      <c r="F42" s="7">
        <f t="shared" si="72"/>
        <v>2.4780204197390812E-2</v>
      </c>
      <c r="G42" s="7">
        <f t="shared" si="72"/>
        <v>2.3442195952714889E-2</v>
      </c>
      <c r="H42" s="7">
        <f t="shared" si="72"/>
        <v>2.0990134636720739E-2</v>
      </c>
      <c r="I42" s="7">
        <f t="shared" si="72"/>
        <v>2.2292199289143853E-2</v>
      </c>
      <c r="J42" s="7">
        <f t="shared" si="72"/>
        <v>2.3725881927032358E-2</v>
      </c>
      <c r="M42" s="7">
        <f t="shared" ref="M42:T42" si="73">+M14/M$10</f>
        <v>3.1388776746063787E-2</v>
      </c>
      <c r="N42" s="7">
        <f t="shared" si="73"/>
        <v>3.0887514624770185E-2</v>
      </c>
      <c r="O42" s="7">
        <f t="shared" si="73"/>
        <v>2.9719186444715762E-2</v>
      </c>
      <c r="P42" s="7">
        <f t="shared" si="73"/>
        <v>2.7746865494472885E-2</v>
      </c>
      <c r="Q42" s="7">
        <f t="shared" si="73"/>
        <v>2.8424715874522399E-2</v>
      </c>
      <c r="R42" s="7">
        <f t="shared" si="73"/>
        <v>2.9127543523199923E-2</v>
      </c>
      <c r="S42" s="7">
        <f t="shared" si="73"/>
        <v>2.5398093716112093E-2</v>
      </c>
      <c r="T42" s="7">
        <f t="shared" si="73"/>
        <v>2.256204802821694E-2</v>
      </c>
      <c r="U42" s="7">
        <v>2.5000000000000001E-2</v>
      </c>
      <c r="V42" s="7">
        <v>2.7E-2</v>
      </c>
      <c r="W42" s="7">
        <v>2.9000000000000001E-2</v>
      </c>
      <c r="X42" s="7">
        <v>0.03</v>
      </c>
      <c r="Y42" s="7">
        <v>0.03</v>
      </c>
      <c r="Z42" s="7">
        <v>0.03</v>
      </c>
      <c r="AA42" s="7">
        <v>0.03</v>
      </c>
      <c r="AB42" s="7">
        <v>0.03</v>
      </c>
      <c r="AC42" s="7">
        <v>0.03</v>
      </c>
      <c r="AD42" s="7">
        <v>0.03</v>
      </c>
    </row>
    <row r="43" spans="1:30" s="7" customFormat="1" x14ac:dyDescent="0.25">
      <c r="A43" s="7" t="s">
        <v>51</v>
      </c>
      <c r="B43" s="11" t="s">
        <v>31</v>
      </c>
      <c r="C43" s="7">
        <f t="shared" ref="C43:J43" si="74">+C15/C$10</f>
        <v>1.1451398135818908E-2</v>
      </c>
      <c r="D43" s="7">
        <f t="shared" si="74"/>
        <v>1.1353645596483249E-2</v>
      </c>
      <c r="E43" s="7">
        <f t="shared" si="74"/>
        <v>1.1214285714285713E-2</v>
      </c>
      <c r="F43" s="7">
        <f t="shared" si="74"/>
        <v>7.0689166193987473E-3</v>
      </c>
      <c r="G43" s="7">
        <f t="shared" si="74"/>
        <v>1.0752688172043012E-2</v>
      </c>
      <c r="H43" s="7">
        <f t="shared" si="74"/>
        <v>1.0195208252121503E-2</v>
      </c>
      <c r="I43" s="7">
        <f t="shared" si="74"/>
        <v>1.0912265386294194E-2</v>
      </c>
      <c r="J43" s="7">
        <f t="shared" si="74"/>
        <v>5.1621726713237922E-3</v>
      </c>
      <c r="M43" s="7">
        <f t="shared" ref="M43:T43" si="75">+M15/M$10</f>
        <v>1.2582424976450006E-2</v>
      </c>
      <c r="N43" s="7">
        <f t="shared" si="75"/>
        <v>1.2669229483536687E-2</v>
      </c>
      <c r="O43" s="7">
        <f t="shared" si="75"/>
        <v>1.2417736219886247E-2</v>
      </c>
      <c r="P43" s="7">
        <f t="shared" si="75"/>
        <v>1.0905853549966616E-2</v>
      </c>
      <c r="Q43" s="7">
        <f t="shared" si="75"/>
        <v>1.2788688520600616E-2</v>
      </c>
      <c r="R43" s="7">
        <f t="shared" si="75"/>
        <v>1.0560135488530796E-2</v>
      </c>
      <c r="S43" s="7">
        <f t="shared" si="75"/>
        <v>1.0187774670395524E-2</v>
      </c>
      <c r="T43" s="7">
        <f t="shared" si="75"/>
        <v>9.3129949026129095E-3</v>
      </c>
      <c r="U43" s="7">
        <v>0.01</v>
      </c>
      <c r="V43" s="7">
        <v>1.0999999999999999E-2</v>
      </c>
      <c r="W43" s="7">
        <v>1.2E-2</v>
      </c>
      <c r="X43" s="7">
        <v>1.2999999999999999E-2</v>
      </c>
      <c r="Y43" s="7">
        <v>1.2999999999999999E-2</v>
      </c>
      <c r="Z43" s="7">
        <v>1.2999999999999999E-2</v>
      </c>
      <c r="AA43" s="7">
        <v>1.2999999999999999E-2</v>
      </c>
      <c r="AB43" s="7">
        <v>1.2999999999999999E-2</v>
      </c>
      <c r="AC43" s="7">
        <v>1.2999999999999999E-2</v>
      </c>
      <c r="AD43" s="7">
        <v>1.2999999999999999E-2</v>
      </c>
    </row>
    <row r="44" spans="1:30" s="7" customFormat="1" x14ac:dyDescent="0.25">
      <c r="A44" s="7" t="s">
        <v>51</v>
      </c>
      <c r="B44" s="11" t="s">
        <v>32</v>
      </c>
      <c r="C44" s="7">
        <f t="shared" ref="C44:J44" si="76">+C16/C$10</f>
        <v>7.2791833111407007E-3</v>
      </c>
      <c r="D44" s="7">
        <f t="shared" si="76"/>
        <v>6.3665302410186447E-3</v>
      </c>
      <c r="E44" s="7">
        <f t="shared" si="76"/>
        <v>6.2142857142857139E-3</v>
      </c>
      <c r="F44" s="7">
        <f t="shared" si="76"/>
        <v>6.2748156551332935E-3</v>
      </c>
      <c r="G44" s="7">
        <f t="shared" si="76"/>
        <v>6.6119014225606097E-3</v>
      </c>
      <c r="H44" s="7">
        <f t="shared" si="76"/>
        <v>5.9971813247773542E-3</v>
      </c>
      <c r="I44" s="7">
        <f t="shared" si="76"/>
        <v>6.422647627361726E-3</v>
      </c>
      <c r="J44" s="7">
        <f t="shared" si="76"/>
        <v>6.9722851664633084E-3</v>
      </c>
      <c r="M44" s="7">
        <f t="shared" ref="M44:T44" si="77">+M16/M$10</f>
        <v>9.0499259857354311E-3</v>
      </c>
      <c r="N44" s="7">
        <f t="shared" si="77"/>
        <v>9.3264248704663204E-3</v>
      </c>
      <c r="O44" s="7">
        <f t="shared" si="77"/>
        <v>8.2784908132574973E-3</v>
      </c>
      <c r="P44" s="7">
        <f t="shared" si="77"/>
        <v>7.6662462596137201E-3</v>
      </c>
      <c r="Q44" s="7">
        <f t="shared" si="77"/>
        <v>7.203523886009101E-3</v>
      </c>
      <c r="R44" s="7">
        <f t="shared" si="77"/>
        <v>7.8553460685910695E-3</v>
      </c>
      <c r="S44" s="7">
        <f t="shared" si="77"/>
        <v>6.4969655461065761E-3</v>
      </c>
      <c r="T44" s="7">
        <f t="shared" si="77"/>
        <v>6.4855504810649089E-3</v>
      </c>
      <c r="U44" s="7">
        <v>6.0000000000000001E-3</v>
      </c>
      <c r="V44" s="7">
        <v>7.0000000000000001E-3</v>
      </c>
      <c r="W44" s="7">
        <v>8.0000000000000002E-3</v>
      </c>
      <c r="X44" s="7">
        <v>8.0000000000000002E-3</v>
      </c>
      <c r="Y44" s="7">
        <v>8.0000000000000002E-3</v>
      </c>
      <c r="Z44" s="7">
        <v>8.0000000000000002E-3</v>
      </c>
      <c r="AA44" s="7">
        <v>8.0000000000000002E-3</v>
      </c>
      <c r="AB44" s="7">
        <v>8.0000000000000002E-3</v>
      </c>
      <c r="AC44" s="7">
        <v>8.0000000000000002E-3</v>
      </c>
      <c r="AD44" s="7">
        <v>8.0000000000000002E-3</v>
      </c>
    </row>
    <row r="45" spans="1:30" s="7" customFormat="1" x14ac:dyDescent="0.25">
      <c r="A45" s="7" t="s">
        <v>51</v>
      </c>
      <c r="B45" s="11" t="s">
        <v>33</v>
      </c>
      <c r="C45" s="7">
        <f t="shared" ref="C45:J45" si="78">+C17/C$10</f>
        <v>5.6813138038171326E-2</v>
      </c>
      <c r="D45" s="7">
        <f t="shared" si="78"/>
        <v>4.8469001061088375E-2</v>
      </c>
      <c r="E45" s="7">
        <f t="shared" si="78"/>
        <v>4.6571428571428576E-2</v>
      </c>
      <c r="F45" s="7">
        <f t="shared" si="78"/>
        <v>4.7312819058423154E-2</v>
      </c>
      <c r="G45" s="7">
        <f t="shared" si="78"/>
        <v>4.4947572296800908E-2</v>
      </c>
      <c r="H45" s="7">
        <f t="shared" si="78"/>
        <v>4.0960748448229327E-2</v>
      </c>
      <c r="I45" s="7">
        <f t="shared" si="78"/>
        <v>4.3212570929725011E-2</v>
      </c>
      <c r="J45" s="7">
        <f t="shared" si="78"/>
        <v>4.7699816307102336E-2</v>
      </c>
      <c r="M45" s="7">
        <f t="shared" ref="M45:T45" si="79">+M17/M$10</f>
        <v>5.5611626968106585E-2</v>
      </c>
      <c r="N45" s="7">
        <f t="shared" si="79"/>
        <v>6.3479859602206257E-2</v>
      </c>
      <c r="O45" s="7">
        <f t="shared" si="79"/>
        <v>6.1284655013251546E-2</v>
      </c>
      <c r="P45" s="7">
        <f t="shared" si="79"/>
        <v>5.6977520587580682E-2</v>
      </c>
      <c r="Q45" s="7">
        <f t="shared" si="79"/>
        <v>6.1741013847314487E-2</v>
      </c>
      <c r="R45" s="7">
        <f t="shared" si="79"/>
        <v>6.5054419566137833E-2</v>
      </c>
      <c r="S45" s="7">
        <f t="shared" si="79"/>
        <v>4.9441622434031537E-2</v>
      </c>
      <c r="T45" s="7">
        <f t="shared" si="79"/>
        <v>4.4096950992560793E-2</v>
      </c>
      <c r="U45" s="7">
        <v>4.5999999999999999E-2</v>
      </c>
      <c r="V45" s="7">
        <v>4.8000000000000001E-2</v>
      </c>
      <c r="W45" s="7">
        <v>0.05</v>
      </c>
      <c r="X45" s="7">
        <v>5.1999999999999998E-2</v>
      </c>
      <c r="Y45" s="7">
        <v>5.1999999999999998E-2</v>
      </c>
      <c r="Z45" s="7">
        <v>5.1999999999999998E-2</v>
      </c>
      <c r="AA45" s="7">
        <v>5.1999999999999998E-2</v>
      </c>
      <c r="AB45" s="7">
        <v>5.1999999999999998E-2</v>
      </c>
      <c r="AC45" s="7">
        <v>5.1999999999999998E-2</v>
      </c>
      <c r="AD45" s="7">
        <v>5.1999999999999998E-2</v>
      </c>
    </row>
    <row r="46" spans="1:30" s="7" customFormat="1" x14ac:dyDescent="0.25">
      <c r="A46" s="7" t="s">
        <v>51</v>
      </c>
      <c r="B46" s="11" t="s">
        <v>34</v>
      </c>
      <c r="C46" s="7">
        <f t="shared" ref="C46:J46" si="80">+C18/C$10</f>
        <v>3.080337328007102E-2</v>
      </c>
      <c r="D46" s="7">
        <f t="shared" si="80"/>
        <v>3.3272699711990296E-2</v>
      </c>
      <c r="E46" s="7">
        <f t="shared" si="80"/>
        <v>3.7142857142857144E-2</v>
      </c>
      <c r="F46" s="7">
        <f t="shared" si="80"/>
        <v>3.9116562677254677E-2</v>
      </c>
      <c r="G46" s="7">
        <f t="shared" si="80"/>
        <v>3.5063113604488078E-2</v>
      </c>
      <c r="H46" s="7">
        <f t="shared" si="80"/>
        <v>2.5607964256799304E-2</v>
      </c>
      <c r="I46" s="7">
        <f t="shared" si="80"/>
        <v>2.1512751761551412E-2</v>
      </c>
      <c r="J46" s="7">
        <f t="shared" si="80"/>
        <v>1.903970180072672E-2</v>
      </c>
      <c r="M46" s="7">
        <f t="shared" ref="M46:T46" si="81">+M18/M$10</f>
        <v>3.9126631678105234E-2</v>
      </c>
      <c r="N46" s="7">
        <f t="shared" si="81"/>
        <v>2.4770182182851409E-2</v>
      </c>
      <c r="O46" s="7">
        <f t="shared" si="81"/>
        <v>2.5222596110896042E-2</v>
      </c>
      <c r="P46" s="7">
        <f t="shared" si="81"/>
        <v>2.37455795434874E-2</v>
      </c>
      <c r="Q46" s="7">
        <f t="shared" si="81"/>
        <v>2.1805261492784306E-2</v>
      </c>
      <c r="R46" s="7">
        <f t="shared" si="81"/>
        <v>2.4395407337301687E-2</v>
      </c>
      <c r="S46" s="7">
        <f t="shared" si="81"/>
        <v>3.5342351083461752E-2</v>
      </c>
      <c r="T46" s="7">
        <f t="shared" si="81"/>
        <v>2.5255308646708424E-2</v>
      </c>
      <c r="U46" s="7">
        <v>2.5000000000000001E-2</v>
      </c>
      <c r="V46" s="7">
        <v>2.5000000000000001E-2</v>
      </c>
      <c r="W46" s="7">
        <v>2.5000000000000001E-2</v>
      </c>
      <c r="X46" s="7">
        <v>2.5000000000000001E-2</v>
      </c>
      <c r="Y46" s="7">
        <v>2.5000000000000001E-2</v>
      </c>
      <c r="Z46" s="7">
        <v>2.5000000000000001E-2</v>
      </c>
      <c r="AA46" s="7">
        <v>2.5000000000000001E-2</v>
      </c>
      <c r="AB46" s="7">
        <v>2.5000000000000001E-2</v>
      </c>
      <c r="AC46" s="7">
        <v>2.5000000000000001E-2</v>
      </c>
      <c r="AD46" s="7">
        <v>2.5000000000000001E-2</v>
      </c>
    </row>
    <row r="47" spans="1:30" s="7" customFormat="1" x14ac:dyDescent="0.25">
      <c r="A47" s="7" t="s">
        <v>51</v>
      </c>
      <c r="B47" s="11" t="s">
        <v>35</v>
      </c>
      <c r="C47" s="7">
        <f t="shared" ref="C47:J47" si="82">+C19/C$10</f>
        <v>4.2609853528628493E-3</v>
      </c>
      <c r="D47" s="7">
        <f t="shared" si="82"/>
        <v>4.0169774139760493E-3</v>
      </c>
      <c r="E47" s="7">
        <f t="shared" si="82"/>
        <v>5.3571428571428572E-3</v>
      </c>
      <c r="F47" s="7">
        <f t="shared" si="82"/>
        <v>6.1330119115144627E-3</v>
      </c>
      <c r="G47" s="7">
        <f t="shared" si="82"/>
        <v>2.4711146730782077E-3</v>
      </c>
      <c r="H47" s="7">
        <f t="shared" si="82"/>
        <v>2.6387597829020362E-3</v>
      </c>
      <c r="I47" s="7">
        <f t="shared" si="82"/>
        <v>1.8706740662218619E-3</v>
      </c>
      <c r="J47" s="7">
        <f t="shared" si="82"/>
        <v>2.882771751518483E-3</v>
      </c>
      <c r="M47" s="7">
        <f t="shared" ref="M47:T47" si="83">+M19/M$10</f>
        <v>7.401426456735298E-3</v>
      </c>
      <c r="N47" s="7">
        <f t="shared" si="83"/>
        <v>7.9893030252381741E-3</v>
      </c>
      <c r="O47" s="7">
        <f t="shared" si="83"/>
        <v>9.0798368124832499E-3</v>
      </c>
      <c r="P47" s="7">
        <f t="shared" si="83"/>
        <v>6.6869451245146778E-3</v>
      </c>
      <c r="Q47" s="7">
        <f t="shared" si="83"/>
        <v>6.960161592562848E-3</v>
      </c>
      <c r="R47" s="7">
        <f t="shared" si="83"/>
        <v>5.1306318647107172E-3</v>
      </c>
      <c r="S47" s="7">
        <f t="shared" si="83"/>
        <v>4.9940071913703553E-3</v>
      </c>
      <c r="T47" s="7">
        <f t="shared" si="83"/>
        <v>2.4600363893694482E-3</v>
      </c>
      <c r="U47" s="7">
        <v>7.0000000000000001E-3</v>
      </c>
      <c r="V47" s="7">
        <v>7.0000000000000001E-3</v>
      </c>
      <c r="W47" s="7">
        <v>7.0000000000000001E-3</v>
      </c>
      <c r="X47" s="7">
        <v>7.0000000000000001E-3</v>
      </c>
      <c r="Y47" s="7">
        <v>7.0000000000000001E-3</v>
      </c>
      <c r="Z47" s="7">
        <v>7.0000000000000001E-3</v>
      </c>
      <c r="AA47" s="7">
        <v>7.0000000000000001E-3</v>
      </c>
      <c r="AB47" s="7">
        <v>7.0000000000000001E-3</v>
      </c>
      <c r="AC47" s="7">
        <v>7.0000000000000001E-3</v>
      </c>
      <c r="AD47" s="7">
        <v>7.0000000000000001E-3</v>
      </c>
    </row>
    <row r="49" spans="1:30" x14ac:dyDescent="0.25">
      <c r="A49" s="7" t="s">
        <v>51</v>
      </c>
      <c r="B49" s="11" t="s">
        <v>52</v>
      </c>
      <c r="M49" s="7">
        <f>+M24/M23</f>
        <v>0.37839493567490329</v>
      </c>
      <c r="N49" s="7">
        <f t="shared" ref="N49:T49" si="84">+N24/N23</f>
        <v>0.38070906539903282</v>
      </c>
      <c r="O49" s="7">
        <f t="shared" si="84"/>
        <v>0.19449205447861379</v>
      </c>
      <c r="P49" s="7">
        <f t="shared" si="84"/>
        <v>0.25731417220491931</v>
      </c>
      <c r="Q49" s="7">
        <f t="shared" si="84"/>
        <v>0.25298986365517717</v>
      </c>
      <c r="R49" s="7">
        <f t="shared" si="84"/>
        <v>0.25376429990124594</v>
      </c>
      <c r="S49" s="7">
        <f t="shared" si="84"/>
        <v>0.25501090485835209</v>
      </c>
      <c r="T49" s="7">
        <f t="shared" si="84"/>
        <v>0.25210366989517224</v>
      </c>
      <c r="U49" s="7">
        <v>0.255</v>
      </c>
      <c r="V49" s="7">
        <v>0.255</v>
      </c>
      <c r="W49" s="7">
        <v>0.255</v>
      </c>
      <c r="X49" s="7">
        <v>0.255</v>
      </c>
      <c r="Y49" s="7">
        <v>0.255</v>
      </c>
      <c r="Z49" s="7">
        <v>0.255</v>
      </c>
      <c r="AA49" s="7">
        <v>0.255</v>
      </c>
      <c r="AB49" s="7">
        <v>0.255</v>
      </c>
      <c r="AC49" s="7">
        <v>0.255</v>
      </c>
      <c r="AD49" s="7">
        <v>0.255</v>
      </c>
    </row>
    <row r="50" spans="1:30" s="7" customFormat="1" x14ac:dyDescent="0.25">
      <c r="A50" s="7" t="s">
        <v>51</v>
      </c>
      <c r="B50" s="11" t="s">
        <v>53</v>
      </c>
      <c r="N50" s="7">
        <f>+-N21/M8</f>
        <v>1.8378424584348421E-2</v>
      </c>
      <c r="O50" s="7">
        <f t="shared" ref="O50:T50" si="85">+-O21/N8</f>
        <v>6.0921338022692116E-3</v>
      </c>
      <c r="P50" s="7">
        <f t="shared" si="85"/>
        <v>-3.1791273843455377E-2</v>
      </c>
      <c r="Q50" s="7">
        <f t="shared" si="85"/>
        <v>0.47051860619959962</v>
      </c>
      <c r="R50" s="7">
        <f>+-R21/Q8</f>
        <v>-4.2737417035989163E-3</v>
      </c>
      <c r="S50" s="7">
        <f>+-S21/R8</f>
        <v>-1.7637963168013358E-3</v>
      </c>
      <c r="T50" s="7">
        <f>+-T21/S8</f>
        <v>6.2132834424695992E-3</v>
      </c>
      <c r="U50" s="7">
        <v>5.0000000000000001E-3</v>
      </c>
      <c r="V50" s="7">
        <v>4.4999999999999998E-2</v>
      </c>
      <c r="W50" s="7">
        <v>4.4999999999999998E-2</v>
      </c>
      <c r="X50" s="7">
        <v>4.4999999999999998E-2</v>
      </c>
      <c r="Y50" s="7">
        <v>4.2000000000000003E-2</v>
      </c>
      <c r="Z50" s="7">
        <v>3.925E-2</v>
      </c>
      <c r="AA50" s="7">
        <v>3.925E-2</v>
      </c>
      <c r="AB50" s="7">
        <v>3.925E-2</v>
      </c>
      <c r="AC50" s="7">
        <v>3.925E-2</v>
      </c>
      <c r="AD50" s="7">
        <v>3.925E-2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E27" sqref="E27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8">
        <v>-0.01</v>
      </c>
    </row>
    <row r="3" spans="2:3" x14ac:dyDescent="0.25">
      <c r="B3" t="s">
        <v>19</v>
      </c>
      <c r="C3" s="8">
        <v>0.08</v>
      </c>
    </row>
    <row r="4" spans="2:3" x14ac:dyDescent="0.25">
      <c r="B4" t="s">
        <v>8</v>
      </c>
      <c r="C4" s="3">
        <f>+NPV(C3,Model!U25:DQ25)</f>
        <v>34330.520064169796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2023-03-07T06:47:47Z</dcterms:modified>
</cp:coreProperties>
</file>