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37D5C0FC-8A09-42FC-BE5D-1CF33202B246}" xr6:coauthVersionLast="47" xr6:coauthVersionMax="47" xr10:uidLastSave="{00000000-0000-0000-0000-000000000000}"/>
  <bookViews>
    <workbookView xWindow="2250" yWindow="3435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29" i="3"/>
  <c r="F29" i="3" s="1"/>
  <c r="D30" i="3"/>
  <c r="F30" i="3" s="1"/>
  <c r="D31" i="3"/>
  <c r="F31" i="3" s="1"/>
  <c r="D33" i="3"/>
  <c r="F33" i="3" s="1"/>
  <c r="D34" i="3"/>
  <c r="F34" i="3" s="1"/>
  <c r="D32" i="3"/>
  <c r="F32" i="3" s="1"/>
  <c r="D35" i="3"/>
  <c r="F35" i="3" s="1"/>
  <c r="I34" i="3"/>
  <c r="H29" i="7"/>
  <c r="H29" i="6"/>
  <c r="H54" i="2"/>
  <c r="H53" i="2"/>
  <c r="J28" i="7"/>
  <c r="H28" i="7"/>
  <c r="J27" i="7"/>
  <c r="H27" i="7"/>
  <c r="J52" i="2"/>
  <c r="H52" i="2"/>
  <c r="J51" i="2"/>
  <c r="H51" i="2"/>
  <c r="J50" i="2"/>
  <c r="H50" i="2"/>
  <c r="J28" i="6"/>
  <c r="J27" i="6"/>
  <c r="H28" i="6"/>
  <c r="H27" i="6"/>
  <c r="I33" i="3"/>
  <c r="H26" i="7"/>
  <c r="H26" i="6"/>
  <c r="H49" i="2"/>
  <c r="J48" i="2"/>
  <c r="J47" i="2"/>
  <c r="J25" i="6"/>
  <c r="J24" i="6"/>
  <c r="J25" i="7"/>
  <c r="J24" i="7"/>
  <c r="H25" i="7"/>
  <c r="H24" i="7"/>
  <c r="H25" i="6"/>
  <c r="H24" i="6"/>
  <c r="H48" i="2"/>
  <c r="H47" i="2"/>
  <c r="I32" i="3"/>
  <c r="J23" i="7"/>
  <c r="H23" i="7"/>
  <c r="J22" i="7"/>
  <c r="H22" i="7"/>
  <c r="J23" i="6"/>
  <c r="H23" i="6"/>
  <c r="J22" i="6"/>
  <c r="H22" i="6"/>
  <c r="J46" i="2"/>
  <c r="J45" i="2"/>
  <c r="H46" i="2"/>
  <c r="H45" i="2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I30" i="3"/>
  <c r="H18" i="7"/>
  <c r="J17" i="7"/>
  <c r="H17" i="7"/>
  <c r="H18" i="6"/>
  <c r="J17" i="6"/>
  <c r="H17" i="6"/>
  <c r="H41" i="2"/>
  <c r="J40" i="2"/>
  <c r="H40" i="2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F28" i="3"/>
  <c r="F25" i="3"/>
  <c r="C1" i="3" l="1"/>
  <c r="C17" i="1" l="1"/>
  <c r="F27" i="3"/>
  <c r="F26" i="3"/>
  <c r="F24" i="3"/>
  <c r="F23" i="3"/>
  <c r="F22" i="3"/>
  <c r="F21" i="3"/>
  <c r="C19" i="1" l="1"/>
  <c r="C18" i="1"/>
  <c r="I28" i="3"/>
  <c r="A1" i="3" l="1"/>
  <c r="G1" i="3" s="1"/>
  <c r="B1" i="3"/>
  <c r="E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H1" i="3" l="1"/>
  <c r="C22" i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F3" i="4" s="1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F27" i="1"/>
  <c r="F26" i="1"/>
  <c r="F5" i="1" s="1"/>
  <c r="J22" i="3"/>
  <c r="C8" i="4" l="1"/>
  <c r="D1" i="3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l="1"/>
  <c r="C7" i="4" s="1"/>
  <c r="G5" i="4"/>
  <c r="C9" i="4" l="1"/>
  <c r="F7" i="4"/>
  <c r="F8" i="4" s="1"/>
  <c r="F9" i="4"/>
  <c r="H3" i="4"/>
  <c r="G4" i="4"/>
</calcChain>
</file>

<file path=xl/sharedStrings.xml><?xml version="1.0" encoding="utf-8"?>
<sst xmlns="http://schemas.openxmlformats.org/spreadsheetml/2006/main" count="338" uniqueCount="144">
  <si>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</si>
  <si>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</si>
  <si>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</si>
  <si>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</si>
  <si>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</si>
  <si>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</si>
  <si>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</si>
  <si>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</si>
  <si>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</si>
  <si>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</si>
  <si>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</si>
  <si>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</si>
  <si>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</si>
  <si>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</si>
  <si>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</si>
  <si>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</si>
  <si>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</si>
  <si>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</si>
  <si>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</si>
  <si>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</si>
  <si>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</si>
  <si>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</si>
  <si>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</si>
  <si>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</si>
  <si>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</si>
  <si>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</si>
  <si>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</si>
  <si>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</si>
  <si>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</si>
  <si>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</si>
  <si>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</si>
  <si>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</si>
  <si>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</si>
  <si>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</si>
  <si>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</si>
  <si>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</si>
  <si>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</si>
  <si>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</si>
  <si>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</si>
  <si>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</si>
  <si>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</si>
  <si>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</si>
  <si>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</si>
  <si>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</si>
  <si>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</si>
  <si>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</si>
  <si>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</si>
  <si>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</si>
  <si>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</si>
  <si>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</si>
  <si>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</si>
  <si>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</si>
  <si>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</si>
  <si>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</si>
  <si>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</si>
  <si>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</si>
  <si>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</si>
  <si>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</si>
  <si>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</si>
  <si>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</si>
  <si>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</si>
  <si>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</si>
  <si>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</si>
  <si>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</si>
  <si>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</si>
  <si>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</si>
  <si>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</si>
  <si>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</si>
  <si>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</si>
  <si>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</si>
  <si>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</si>
  <si>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</si>
  <si>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</si>
  <si>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</si>
  <si>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</si>
  <si>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</si>
  <si>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</si>
  <si>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</si>
  <si>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</si>
  <si>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</si>
  <si>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</si>
  <si>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</si>
  <si>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</si>
  <si>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</si>
  <si>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</si>
  <si>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</si>
  <si>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</si>
  <si>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</si>
  <si>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</si>
  <si>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</si>
  <si>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</si>
  <si>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</si>
  <si>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</si>
  <si>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</si>
  <si>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</si>
  <si>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</si>
  <si>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</si>
  <si>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</si>
  <si>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</si>
  <si>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</si>
  <si>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</si>
  <si>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</si>
  <si>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</si>
  <si>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</si>
  <si>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</si>
  <si>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</si>
  <si>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</si>
  <si>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</si>
  <si>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</si>
  <si>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</si>
  <si>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</si>
  <si>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</si>
  <si>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</si>
  <si>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</si>
  <si>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</si>
  <si>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</si>
  <si>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</si>
  <si>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</si>
  <si>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</si>
  <si>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</si>
  <si>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</si>
  <si>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</si>
  <si>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</si>
  <si>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</si>
  <si>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</si>
  <si>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</si>
  <si>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</si>
  <si>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</si>
  <si>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</si>
  <si>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</si>
  <si>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</si>
  <si>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</si>
  <si>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</si>
  <si>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</si>
  <si>
    <t>Oct06 3820/3845 Bear Call @-2.6</t>
  </si>
  <si>
    <t>Oct06 3735/3710 Bull Put @-2.5</t>
  </si>
  <si>
    <t>Oct07 3740/3765 Bear Call @ -4</t>
  </si>
  <si>
    <t>Oct07 3645/3620 Bull Put @ -3.5</t>
  </si>
  <si>
    <t>Oct07 3645/3620 Bull Put @ -10.65</t>
  </si>
  <si>
    <t>Oct10 3590/3565 Bull Put @ -2.2</t>
  </si>
  <si>
    <t>Oct10 3600/3575 Bull Put @ -3</t>
  </si>
  <si>
    <t>Oct10 3685/3710 Bear Call @ -2.9</t>
  </si>
  <si>
    <t>Oct10 3600/3575 Bull Put @ -9.15</t>
  </si>
  <si>
    <t>Oct10 3590/3565 Bull Put @ -6.8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</si>
</sst>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  <xf numFmtId="4" fontId="0" fillId="0" borderId="0" xfId="0" applyNumberFormat="1" applyFill="1" applyBorder="1" applyProtection="1">
      <protection locked="0"/>
    </xf>
    <xf numFmtId="4" fontId="0" fillId="3" borderId="0" xfId="0" applyNumberFormat="1" applyFill="1" applyBorder="1" applyProtection="1">
      <protection locked="0"/>
    </xf>
    <xf numFmtId="4" fontId="1" fillId="0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  <c:pt idx="15">
                  <c:v>44845</c:v>
                </c:pt>
                <c:pt idx="16">
                  <c:v>44846</c:v>
                </c:pt>
                <c:pt idx="17">
                  <c:v>44847</c:v>
                </c:pt>
                <c:pt idx="18">
                  <c:v>44848</c:v>
                </c:pt>
                <c:pt idx="19">
                  <c:v>44851</c:v>
                </c:pt>
                <c:pt idx="20">
                  <c:v>44852</c:v>
                </c:pt>
                <c:pt idx="21">
                  <c:v>44853</c:v>
                </c:pt>
                <c:pt idx="22">
                  <c:v>44854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  <c:pt idx="12">
                  <c:v>-491.00000000000091</c:v>
                </c:pt>
                <c:pt idx="13">
                  <c:v>-1139.0000000000009</c:v>
                </c:pt>
                <c:pt idx="14">
                  <c:v>-1645.0000000000009</c:v>
                </c:pt>
                <c:pt idx="15">
                  <c:v>-1645.0000000000009</c:v>
                </c:pt>
                <c:pt idx="16">
                  <c:v>-1645.0000000000009</c:v>
                </c:pt>
                <c:pt idx="17">
                  <c:v>-1645.0000000000009</c:v>
                </c:pt>
                <c:pt idx="18">
                  <c:v>-1645.0000000000009</c:v>
                </c:pt>
                <c:pt idx="19">
                  <c:v>-1645.0000000000009</c:v>
                </c:pt>
                <c:pt idx="20">
                  <c:v>-1645.0000000000009</c:v>
                </c:pt>
                <c:pt idx="21">
                  <c:v>-1645.0000000000009</c:v>
                </c:pt>
                <c:pt idx="22">
                  <c:v>-1645.0000000000009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#,##0.00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  <c:pt idx="14">
                        <c:v>-5.0600000000000005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  <c:pt idx="14">
                        <c:v>10.95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  <c:pt idx="14">
                        <c:v>-0.46210045662100463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  <c:pt idx="15">
                  <c:v>44845</c:v>
                </c:pt>
                <c:pt idx="16">
                  <c:v>44846</c:v>
                </c:pt>
                <c:pt idx="17">
                  <c:v>44847</c:v>
                </c:pt>
                <c:pt idx="18">
                  <c:v>44848</c:v>
                </c:pt>
                <c:pt idx="19">
                  <c:v>44851</c:v>
                </c:pt>
                <c:pt idx="20">
                  <c:v>44852</c:v>
                </c:pt>
                <c:pt idx="21">
                  <c:v>44853</c:v>
                </c:pt>
                <c:pt idx="22">
                  <c:v>44854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  <c:pt idx="12">
                  <c:v>10.08</c:v>
                </c:pt>
                <c:pt idx="13">
                  <c:v>14.88</c:v>
                </c:pt>
                <c:pt idx="14">
                  <c:v>10.95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  <c:pt idx="14">
                        <c:v>-0.46210045662100463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  <c:pt idx="14">
                        <c:v>-1645.0000000000009</c:v>
                      </c:pt>
                      <c:pt idx="15">
                        <c:v>-1645.0000000000009</c:v>
                      </c:pt>
                      <c:pt idx="16">
                        <c:v>-1645.0000000000009</c:v>
                      </c:pt>
                      <c:pt idx="17">
                        <c:v>-1645.0000000000009</c:v>
                      </c:pt>
                      <c:pt idx="18">
                        <c:v>-1645.0000000000009</c:v>
                      </c:pt>
                      <c:pt idx="19">
                        <c:v>-1645.0000000000009</c:v>
                      </c:pt>
                      <c:pt idx="20">
                        <c:v>-1645.0000000000009</c:v>
                      </c:pt>
                      <c:pt idx="21">
                        <c:v>-1645.0000000000009</c:v>
                      </c:pt>
                      <c:pt idx="22">
                        <c:v>-1645.0000000000009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  <c:pt idx="15">
                  <c:v>44845</c:v>
                </c:pt>
                <c:pt idx="16">
                  <c:v>44846</c:v>
                </c:pt>
                <c:pt idx="17">
                  <c:v>44847</c:v>
                </c:pt>
                <c:pt idx="18">
                  <c:v>44848</c:v>
                </c:pt>
                <c:pt idx="19">
                  <c:v>44851</c:v>
                </c:pt>
                <c:pt idx="20">
                  <c:v>44852</c:v>
                </c:pt>
                <c:pt idx="21">
                  <c:v>44853</c:v>
                </c:pt>
                <c:pt idx="22">
                  <c:v>44854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#,##0.00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  <c:pt idx="12">
                  <c:v>10.08</c:v>
                </c:pt>
                <c:pt idx="13">
                  <c:v>-6.4799999999999986</c:v>
                </c:pt>
                <c:pt idx="14">
                  <c:v>-5.0600000000000005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  <c:pt idx="15">
                  <c:v>44845</c:v>
                </c:pt>
                <c:pt idx="16">
                  <c:v>44846</c:v>
                </c:pt>
                <c:pt idx="17">
                  <c:v>44847</c:v>
                </c:pt>
                <c:pt idx="18">
                  <c:v>44848</c:v>
                </c:pt>
                <c:pt idx="19">
                  <c:v>44851</c:v>
                </c:pt>
                <c:pt idx="20">
                  <c:v>44852</c:v>
                </c:pt>
                <c:pt idx="21">
                  <c:v>44853</c:v>
                </c:pt>
                <c:pt idx="22">
                  <c:v>44854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  <c:pt idx="12">
                  <c:v>1</c:v>
                </c:pt>
                <c:pt idx="13">
                  <c:v>-0.43548387096774183</c:v>
                </c:pt>
                <c:pt idx="14">
                  <c:v>-0.46210045662100463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  <c:pt idx="14">
                        <c:v>10.95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  <c:pt idx="14">
                        <c:v>-1645.0000000000009</c:v>
                      </c:pt>
                      <c:pt idx="15">
                        <c:v>-1645.0000000000009</c:v>
                      </c:pt>
                      <c:pt idx="16">
                        <c:v>-1645.0000000000009</c:v>
                      </c:pt>
                      <c:pt idx="17">
                        <c:v>-1645.0000000000009</c:v>
                      </c:pt>
                      <c:pt idx="18">
                        <c:v>-1645.0000000000009</c:v>
                      </c:pt>
                      <c:pt idx="19">
                        <c:v>-1645.0000000000009</c:v>
                      </c:pt>
                      <c:pt idx="20">
                        <c:v>-1645.0000000000009</c:v>
                      </c:pt>
                      <c:pt idx="21">
                        <c:v>-1645.0000000000009</c:v>
                      </c:pt>
                      <c:pt idx="22">
                        <c:v>-1645.0000000000009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  <c:pt idx="15">
                        <c:v>44845</c:v>
                      </c:pt>
                      <c:pt idx="16">
                        <c:v>44846</c:v>
                      </c:pt>
                      <c:pt idx="17">
                        <c:v>44847</c:v>
                      </c:pt>
                      <c:pt idx="18">
                        <c:v>44848</c:v>
                      </c:pt>
                      <c:pt idx="19">
                        <c:v>44851</c:v>
                      </c:pt>
                      <c:pt idx="20">
                        <c:v>44852</c:v>
                      </c:pt>
                      <c:pt idx="21">
                        <c:v>44853</c:v>
                      </c:pt>
                      <c:pt idx="22">
                        <c:v>44854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#,##0.00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  <c:pt idx="14">
                        <c:v>-5.0600000000000005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I4" sqref="I4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44855</v>
      </c>
      <c r="C2" s="67">
        <v>951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3</v>
      </c>
    </row>
    <row r="6" spans="2:9" ht="15.75" thickBot="1" x14ac:dyDescent="0.3">
      <c r="B6" s="1" t="s">
        <v>114</v>
      </c>
      <c r="C6" s="95">
        <f>INDEX(Tracker!B:B,COUNTA(Tracker!B:B)+0)</f>
        <v>3703.11</v>
      </c>
    </row>
    <row r="7" spans="2:9" ht="15.75" thickBot="1" x14ac:dyDescent="0.3">
      <c r="B7" s="4" t="s">
        <v>115</v>
      </c>
      <c r="C7" s="96">
        <f>INDEX(Tracker!B:B,COUNTA(Tracker!B:B)+1)</f>
        <v>3689.05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3673</v>
      </c>
      <c r="E8" s="2" t="s">
        <v>100</v>
      </c>
      <c r="F8" s="74">
        <f>MROUND(MAX(F10:F11),5)</f>
        <v>3715</v>
      </c>
      <c r="G8" s="75"/>
      <c r="H8" s="13" t="s">
        <v>100</v>
      </c>
      <c r="I8" s="72">
        <f>MROUND(MIN(I10:I11),5)</f>
        <v>3625</v>
      </c>
    </row>
    <row r="9" spans="2:9" ht="15.75" thickBot="1" x14ac:dyDescent="0.3">
      <c r="B9" s="2" t="s">
        <v>117</v>
      </c>
      <c r="C9" s="11"/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0.27800000000000002</v>
      </c>
      <c r="E10" s="2" t="s">
        <v>101</v>
      </c>
      <c r="F10" s="74">
        <f>C8+C13</f>
        <v>3716.5467928652447</v>
      </c>
      <c r="G10" s="75"/>
      <c r="H10" s="13" t="s">
        <v>101</v>
      </c>
      <c r="I10" s="72">
        <f>C8-C13</f>
        <v>3629.4532071347553</v>
      </c>
    </row>
    <row r="11" spans="2:9" ht="15.75" thickBot="1" x14ac:dyDescent="0.3">
      <c r="E11" s="4" t="s">
        <v>102</v>
      </c>
      <c r="F11" s="77">
        <f>C14+C13</f>
        <v>3714.3431887206439</v>
      </c>
      <c r="G11" s="78"/>
      <c r="H11" s="79" t="s">
        <v>102</v>
      </c>
      <c r="I11" s="73">
        <f>C14-C13</f>
        <v>3627.2496029901545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43.54679286524491</v>
      </c>
    </row>
    <row r="14" spans="2:9" ht="15.75" thickBot="1" x14ac:dyDescent="0.3">
      <c r="B14" s="4" t="s">
        <v>94</v>
      </c>
      <c r="C14" s="5">
        <f>C23*(1-F24)+C24*F24</f>
        <v>3670.7963958553992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64.196436738539788</v>
      </c>
    </row>
    <row r="18" spans="2:7" x14ac:dyDescent="0.25">
      <c r="B18" s="2" t="s">
        <v>3</v>
      </c>
      <c r="C18" s="3">
        <f>INDEX(Tracker!C:C,COUNTA(Tracker!C:C)+1)+C17</f>
        <v>3729.9764367385401</v>
      </c>
    </row>
    <row r="19" spans="2:7" ht="15.75" thickBot="1" x14ac:dyDescent="0.3">
      <c r="B19" s="4" t="s">
        <v>4</v>
      </c>
      <c r="C19" s="5">
        <f>INDEX(Tracker!C:C,COUNTA(Tracker!C:C)+1)-C17</f>
        <v>3601.5835632614603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-4.9489608763693207</v>
      </c>
      <c r="E22" s="84" t="s">
        <v>112</v>
      </c>
      <c r="F22" s="85">
        <v>0.39</v>
      </c>
      <c r="G22" s="107">
        <v>1</v>
      </c>
    </row>
    <row r="23" spans="2:7" x14ac:dyDescent="0.25">
      <c r="B23" s="83" t="s">
        <v>92</v>
      </c>
      <c r="C23" s="85">
        <f>$C$8+C22*F22</f>
        <v>3671.0699052582158</v>
      </c>
      <c r="E23" s="84" t="s">
        <v>113</v>
      </c>
      <c r="F23" s="85">
        <v>0.28000000000000003</v>
      </c>
      <c r="G23" s="107">
        <v>2</v>
      </c>
    </row>
    <row r="24" spans="2:7" x14ac:dyDescent="0.25">
      <c r="B24" s="83" t="s">
        <v>118</v>
      </c>
      <c r="C24" s="85">
        <f>_xlfn.FORECAST.LINEAR(G24+F23, C6:C8, G22:G24)</f>
        <v>3669.1162666666669</v>
      </c>
      <c r="E24" s="84" t="s">
        <v>111</v>
      </c>
      <c r="F24" s="85">
        <v>0.14000000000000001</v>
      </c>
      <c r="G24" s="107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0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0</v>
      </c>
      <c r="E27" s="83" t="s">
        <v>97</v>
      </c>
      <c r="F27" s="83">
        <f>IF(C27&gt;=2, 0, 1)</f>
        <v>1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0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H7" sqref="H7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COUNTA(Tracker!I:I)-1</f>
        <v>15</v>
      </c>
      <c r="G3" s="49" t="s">
        <v>7</v>
      </c>
      <c r="H3" s="41">
        <f>C7/F3</f>
        <v>-109.66666666666673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7</v>
      </c>
      <c r="G4" s="50">
        <f>F4/F3</f>
        <v>0.46666666666666667</v>
      </c>
      <c r="H4" s="41">
        <f>(SUMIF(Tracker!G:G, "&gt;0", Tracker!G:G)-SUMIF(Tracker!G1,"&gt;0", Tracker!G1))/F4*100</f>
        <v>1040.7142857142856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8</v>
      </c>
      <c r="G5" s="50">
        <f>F5/F3</f>
        <v>0.53333333333333333</v>
      </c>
      <c r="H5" s="41">
        <f>IFERROR((SUMIF(Tracker!G:G, "&lt;0", Tracker!G:G)-SUMIF(Tracker!G1,"&lt;0", Tracker!G1))/F5*100, 0)</f>
        <v>-1116.2500000000002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-1645.0000000000009</v>
      </c>
      <c r="E7" s="17" t="s">
        <v>40</v>
      </c>
      <c r="F7" s="45">
        <f>C7/C4</f>
        <v>-6.9463065284724707E-2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20371</v>
      </c>
      <c r="E8" s="17" t="s">
        <v>45</v>
      </c>
      <c r="F8" s="45">
        <f>(1+F7)^(365/(Indicator!B2-Dashboard!C3+1))-1</f>
        <v>-0.56008597840825236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-8.0752049482106958E-2</v>
      </c>
      <c r="E9" s="17" t="s">
        <v>46</v>
      </c>
      <c r="F9" s="45">
        <f>(1+F7)^((44927-C3)/(Indicator!B2-Dashboard!C3+1))-1</f>
        <v>-0.2068390473856474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42"/>
  <sheetViews>
    <sheetView workbookViewId="0">
      <pane ySplit="3" topLeftCell="A19" activePane="bottomLeft" state="frozen"/>
      <selection pane="bottomLeft" activeCell="F42" sqref="F42"/>
    </sheetView>
  </sheetViews>
  <sheetFormatPr defaultRowHeight="15" x14ac:dyDescent="0.25"/>
  <cols>
    <col min="1" max="1" width="10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08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3" customFormat="1" x14ac:dyDescent="0.25">
      <c r="A1" s="86">
        <f>Indicator!$B$2</f>
        <v>44855</v>
      </c>
      <c r="B1" s="87">
        <f>Indicator!$C$8</f>
        <v>3673</v>
      </c>
      <c r="C1" s="87">
        <f>Indicator!$C$9</f>
        <v>0</v>
      </c>
      <c r="D1" s="87">
        <f>Indicator!$C$14</f>
        <v>3670.7963958553992</v>
      </c>
      <c r="E1" s="88">
        <f>Indicator!$C$10</f>
        <v>0.27800000000000002</v>
      </c>
      <c r="F1" s="71">
        <f>IF(ABS(D1-C1)&gt;=SQRT((7/24)/252)*E1*B1,       1, 0)</f>
        <v>1</v>
      </c>
      <c r="G1" s="108">
        <f>SUMIF(Trades!A:A,Tracker!A1,Trades!H:H)</f>
        <v>0</v>
      </c>
      <c r="H1" s="89">
        <f>SUMIFS(Trades!H:H,  Trades!A:A,Tracker!A1,  Trades!C:C, "STO")</f>
        <v>0</v>
      </c>
      <c r="I1" s="90"/>
      <c r="J1" s="91"/>
      <c r="K1" s="92"/>
    </row>
    <row r="2" spans="1:12" s="106" customFormat="1" x14ac:dyDescent="0.25">
      <c r="A2" s="98"/>
      <c r="B2" s="99"/>
      <c r="C2" s="99"/>
      <c r="D2" s="99"/>
      <c r="E2" s="100"/>
      <c r="F2" s="101"/>
      <c r="G2" s="109"/>
      <c r="H2" s="102"/>
      <c r="I2" s="103"/>
      <c r="J2" s="104"/>
      <c r="K2" s="105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110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4">
        <v>44799</v>
      </c>
      <c r="B4" s="97">
        <v>4198.74</v>
      </c>
      <c r="C4" s="97">
        <v>4057.66</v>
      </c>
      <c r="D4" s="22"/>
      <c r="E4" s="23"/>
      <c r="F4" s="70"/>
      <c r="H4" s="33"/>
      <c r="I4" s="24"/>
      <c r="J4" s="36"/>
      <c r="K4" s="69"/>
      <c r="L4" s="43"/>
    </row>
    <row r="5" spans="1:12" x14ac:dyDescent="0.25">
      <c r="A5" s="94">
        <v>44802</v>
      </c>
      <c r="B5" s="97">
        <v>4034.58</v>
      </c>
      <c r="C5" s="97">
        <v>4030.61</v>
      </c>
      <c r="D5" s="22"/>
      <c r="E5" s="23"/>
      <c r="F5" s="70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 t="shared" ref="F20:F41" si="0">IF(ABS(D20-C20)&gt;=0.975*SQRT((11/24)/252)*E20*B20,       1, 0)</f>
        <v>0</v>
      </c>
      <c r="G20" s="108">
        <v>7.2899999999999991</v>
      </c>
      <c r="H20" s="31">
        <v>7.2899999999999991</v>
      </c>
      <c r="I20" s="16">
        <f t="shared" ref="I20:I25" si="1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si="0"/>
        <v>1</v>
      </c>
      <c r="G21" s="108">
        <v>3.84</v>
      </c>
      <c r="H21" s="31">
        <v>5.17</v>
      </c>
      <c r="I21" s="16">
        <f t="shared" si="1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0"/>
        <v>0</v>
      </c>
      <c r="G22" s="108">
        <v>9.7100000000000009</v>
      </c>
      <c r="H22" s="31">
        <v>9.7100000000000009</v>
      </c>
      <c r="I22" s="16">
        <f t="shared" si="1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0"/>
        <v>0</v>
      </c>
      <c r="G23" s="108">
        <v>-19.870000000000005</v>
      </c>
      <c r="H23" s="31">
        <v>12.66</v>
      </c>
      <c r="I23" s="16">
        <f t="shared" si="1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0"/>
        <v>0</v>
      </c>
      <c r="G24" s="108">
        <v>13.28</v>
      </c>
      <c r="H24" s="31">
        <v>13.28</v>
      </c>
      <c r="I24" s="16">
        <f t="shared" si="1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0"/>
        <v>0</v>
      </c>
      <c r="G25" s="108">
        <v>-5.58</v>
      </c>
      <c r="H25" s="31">
        <v>22.619999999999997</v>
      </c>
      <c r="I25" s="16">
        <f t="shared" si="1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0"/>
        <v>1</v>
      </c>
      <c r="G26" s="108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0"/>
        <v>1</v>
      </c>
      <c r="G27" s="108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0"/>
        <v>0</v>
      </c>
      <c r="G28" s="108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f>(B29+SLOPE(C4:C28,A4:A28)*Indicator!$F$22)*(1-Indicator!$F$24)+Indicator!$F$24*_xlfn.FORECAST.LINEAR(Indicator!$G$24+Indicator!$F$23,B27:B29,Indicator!$G$22:$G$24)</f>
        <v>3603.6021637394333</v>
      </c>
      <c r="E29" s="20">
        <v>0.27100000000000002</v>
      </c>
      <c r="F29" s="71">
        <f t="shared" si="0"/>
        <v>1</v>
      </c>
      <c r="G29" s="108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f>(B30+SLOPE(C5:C29,A5:A29)*Indicator!$F$22)*(1-Indicator!$F$24)+Indicator!$F$24*_xlfn.FORECAST.LINEAR(Indicator!$G$24+Indicator!$F$23,B28:B30,Indicator!$G$22:$G$24)</f>
        <v>3721.015650981004</v>
      </c>
      <c r="E30" s="20">
        <v>0.25600000000000001</v>
      </c>
      <c r="F30" s="71">
        <f t="shared" si="0"/>
        <v>1</v>
      </c>
      <c r="G30" s="108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f>(B31+SLOPE(C6:C30,A6:A30)*Indicator!$F$22)*(1-Indicator!$F$24)+Indicator!$F$24*_xlfn.FORECAST.LINEAR(Indicator!$G$24+Indicator!$F$23,B29:B31,Indicator!$G$22:$G$24)</f>
        <v>3754.4209973363477</v>
      </c>
      <c r="E31" s="20">
        <v>0.26400000000000001</v>
      </c>
      <c r="F31" s="71">
        <f t="shared" si="0"/>
        <v>0</v>
      </c>
      <c r="G31" s="108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  <row r="32" spans="1:12" x14ac:dyDescent="0.25">
      <c r="A32" s="30">
        <v>44840</v>
      </c>
      <c r="B32" s="21">
        <v>3771.97</v>
      </c>
      <c r="C32" s="21">
        <v>3744.52</v>
      </c>
      <c r="D32" s="21">
        <f>(B32+SLOPE(C7:C31,A7:A31)*Indicator!$F$22)*(1-Indicator!$F$24)+Indicator!$F$24*_xlfn.FORECAST.LINEAR(Indicator!$G$24+Indicator!$F$23,B30:B32,Indicator!$G$22:$G$24)</f>
        <v>3769.4580542802919</v>
      </c>
      <c r="E32" s="20">
        <v>0.26200000000000001</v>
      </c>
      <c r="F32" s="71">
        <f t="shared" si="0"/>
        <v>0</v>
      </c>
      <c r="G32" s="108">
        <v>10.08</v>
      </c>
      <c r="H32" s="31">
        <v>10.08</v>
      </c>
      <c r="I32" s="16">
        <f t="shared" ref="I32" si="20">G32/H32</f>
        <v>1</v>
      </c>
      <c r="J32" s="35">
        <f t="shared" ref="J32" si="21">J31+G32*100</f>
        <v>-491.00000000000091</v>
      </c>
      <c r="K32" s="68">
        <f t="shared" ref="K32" si="22">H32*100+K31</f>
        <v>17788</v>
      </c>
    </row>
    <row r="33" spans="1:11" x14ac:dyDescent="0.25">
      <c r="A33" s="30">
        <v>44841</v>
      </c>
      <c r="B33" s="21">
        <v>3706.74</v>
      </c>
      <c r="C33" s="21">
        <v>3639.66</v>
      </c>
      <c r="D33" s="21">
        <f>(B33+SLOPE(C8:C32,A8:A32)*Indicator!$F$22)*(1-Indicator!$F$24)+Indicator!$F$24*_xlfn.FORECAST.LINEAR(Indicator!$G$24+Indicator!$F$23,B31:B33,Indicator!$G$22:$G$24)</f>
        <v>3704.194707864373</v>
      </c>
      <c r="E33" s="20">
        <v>0.27200000000000002</v>
      </c>
      <c r="F33" s="71">
        <f t="shared" si="0"/>
        <v>1</v>
      </c>
      <c r="G33" s="108">
        <v>-6.4799999999999986</v>
      </c>
      <c r="H33" s="31">
        <v>14.88</v>
      </c>
      <c r="I33" s="16">
        <f t="shared" ref="I33" si="23">G33/H33</f>
        <v>-0.43548387096774183</v>
      </c>
      <c r="J33" s="35">
        <f t="shared" ref="J33" si="24">J32+G33*100</f>
        <v>-1139.0000000000009</v>
      </c>
      <c r="K33" s="68">
        <f t="shared" ref="K33" si="25">H33*100+K32</f>
        <v>19276</v>
      </c>
    </row>
    <row r="34" spans="1:11" x14ac:dyDescent="0.25">
      <c r="A34" s="30">
        <v>44844</v>
      </c>
      <c r="B34" s="21">
        <v>3647.51</v>
      </c>
      <c r="C34" s="21">
        <v>3612.39</v>
      </c>
      <c r="D34" s="21">
        <f>(B34+SLOPE(C9:C33,A9:A33)*Indicator!$F$22)*(1-Indicator!$F$24)+Indicator!$F$24*_xlfn.FORECAST.LINEAR(Indicator!$G$24+Indicator!$F$23,B32:B34,Indicator!$G$22:$G$24)</f>
        <v>3641.1576804948404</v>
      </c>
      <c r="E34" s="20">
        <v>0.28799999999999998</v>
      </c>
      <c r="F34" s="71">
        <f t="shared" si="0"/>
        <v>0</v>
      </c>
      <c r="G34" s="108">
        <v>-5.0600000000000005</v>
      </c>
      <c r="H34" s="31">
        <v>10.95</v>
      </c>
      <c r="I34" s="16">
        <f t="shared" ref="I34" si="26">G34/H34</f>
        <v>-0.46210045662100463</v>
      </c>
      <c r="J34" s="35">
        <f t="shared" ref="J34" si="27">J33+G34*100</f>
        <v>-1645.0000000000009</v>
      </c>
      <c r="K34" s="68">
        <f t="shared" ref="K34" si="28">H34*100+K33</f>
        <v>20371</v>
      </c>
    </row>
    <row r="35" spans="1:11" x14ac:dyDescent="0.25">
      <c r="A35" s="30">
        <v>44845</v>
      </c>
      <c r="B35" s="21">
        <v>3595.86</v>
      </c>
      <c r="C35" s="21">
        <v>3588.84</v>
      </c>
      <c r="D35" s="21">
        <f>(B35+SLOPE(C10:C34,A10:A34)*Indicator!$F$22)*(1-Indicator!$F$24)+Indicator!$F$24*_xlfn.FORECAST.LINEAR(Indicator!$G$24+Indicator!$F$23,B33:B35,Indicator!$G$22:$G$24)</f>
        <v>3589.4582562201876</v>
      </c>
      <c r="E35" s="20">
        <v>0.29499999999999998</v>
      </c>
      <c r="F35" s="71">
        <f t="shared" si="0"/>
        <v>0</v>
      </c>
      <c r="G35" s="108">
        <v>0</v>
      </c>
      <c r="H35" s="31">
        <v>0</v>
      </c>
      <c r="I35" s="90"/>
      <c r="J35" s="35">
        <f t="shared" ref="J35:J41" si="29">J34+G35*100</f>
        <v>-1645.0000000000009</v>
      </c>
      <c r="K35" s="68">
        <f t="shared" ref="K35:K41" si="30">H35*100+K34</f>
        <v>20371</v>
      </c>
    </row>
    <row r="36" spans="1:11" x14ac:dyDescent="0.25">
      <c r="A36" s="30">
        <v>44846</v>
      </c>
      <c r="B36" s="21">
        <v>3590.83</v>
      </c>
      <c r="C36" s="21">
        <v>3608.34</v>
      </c>
      <c r="D36" s="21">
        <f>(B36+SLOPE(C11:C35,A11:A35)*Indicator!$F$22)*(1-Indicator!$F$24)+Indicator!$F$24*_xlfn.FORECAST.LINEAR(Indicator!$G$24+Indicator!$F$23,B34:B36,Indicator!$G$22:$G$24)</f>
        <v>3584.3619329503094</v>
      </c>
      <c r="E36" s="20">
        <v>0.32800000000000001</v>
      </c>
      <c r="F36" s="71">
        <f t="shared" si="0"/>
        <v>0</v>
      </c>
      <c r="G36" s="108">
        <v>0</v>
      </c>
      <c r="H36" s="31">
        <v>0</v>
      </c>
      <c r="I36" s="90"/>
      <c r="J36" s="35">
        <f t="shared" si="29"/>
        <v>-1645.0000000000009</v>
      </c>
      <c r="K36" s="68">
        <f t="shared" si="30"/>
        <v>20371</v>
      </c>
    </row>
    <row r="37" spans="1:11" x14ac:dyDescent="0.25">
      <c r="A37" s="30">
        <v>44847</v>
      </c>
      <c r="B37" s="21">
        <v>3520.37</v>
      </c>
      <c r="C37" s="21">
        <v>3685.41</v>
      </c>
      <c r="D37" s="21">
        <f>(B37+SLOPE(C12:C36,A12:A36)*Indicator!$F$22)*(1-Indicator!$F$24)+Indicator!$F$24*_xlfn.FORECAST.LINEAR(Indicator!$G$24+Indicator!$F$23,B35:B37,Indicator!$G$22:$G$24)</f>
        <v>3516.1726105575854</v>
      </c>
      <c r="E37" s="20">
        <v>0.28499999999999998</v>
      </c>
      <c r="F37" s="71">
        <f t="shared" si="0"/>
        <v>1</v>
      </c>
      <c r="G37" s="108">
        <v>0</v>
      </c>
      <c r="H37" s="31">
        <v>0</v>
      </c>
      <c r="I37" s="90"/>
      <c r="J37" s="35">
        <f t="shared" si="29"/>
        <v>-1645.0000000000009</v>
      </c>
      <c r="K37" s="68">
        <f t="shared" si="30"/>
        <v>20371</v>
      </c>
    </row>
    <row r="38" spans="1:11" x14ac:dyDescent="0.25">
      <c r="A38" s="30">
        <v>44848</v>
      </c>
      <c r="B38" s="21">
        <v>3690.41</v>
      </c>
      <c r="C38" s="21">
        <v>3583.07</v>
      </c>
      <c r="D38" s="21">
        <f>(B38+SLOPE(C13:C37,A13:A37)*Indicator!$F$22)*(1-Indicator!$F$24)+Indicator!$F$24*_xlfn.FORECAST.LINEAR(Indicator!$G$24+Indicator!$F$23,B36:B38,Indicator!$G$22:$G$24)</f>
        <v>3682.8020704042251</v>
      </c>
      <c r="E38" s="20">
        <v>0.27300000000000002</v>
      </c>
      <c r="F38" s="71">
        <f t="shared" si="0"/>
        <v>1</v>
      </c>
      <c r="G38" s="108">
        <v>0</v>
      </c>
      <c r="H38" s="31">
        <v>0</v>
      </c>
      <c r="I38" s="90"/>
      <c r="J38" s="35">
        <f t="shared" si="29"/>
        <v>-1645.0000000000009</v>
      </c>
      <c r="K38" s="68">
        <f t="shared" si="30"/>
        <v>20371</v>
      </c>
    </row>
    <row r="39" spans="1:11" x14ac:dyDescent="0.25">
      <c r="A39" s="30">
        <v>44851</v>
      </c>
      <c r="B39" s="21">
        <v>3638.65</v>
      </c>
      <c r="C39" s="21">
        <v>3677.95</v>
      </c>
      <c r="D39" s="21">
        <f>(B39+SLOPE(C14:C38,A14:A38)*Indicator!$F$22)*(1-Indicator!$F$24)+Indicator!$F$24*_xlfn.FORECAST.LINEAR(Indicator!$G$24+Indicator!$F$23,B37:B39,Indicator!$G$22:$G$24)</f>
        <v>3642.4715212653336</v>
      </c>
      <c r="E39" s="20">
        <v>0.28699999999999998</v>
      </c>
      <c r="F39" s="71">
        <f t="shared" si="0"/>
        <v>0</v>
      </c>
      <c r="G39" s="108">
        <v>0</v>
      </c>
      <c r="H39" s="31">
        <v>0</v>
      </c>
      <c r="I39" s="90"/>
      <c r="J39" s="35">
        <f t="shared" si="29"/>
        <v>-1645.0000000000009</v>
      </c>
      <c r="K39" s="68">
        <f t="shared" si="30"/>
        <v>20371</v>
      </c>
    </row>
    <row r="40" spans="1:11" x14ac:dyDescent="0.25">
      <c r="A40" s="30">
        <v>44852</v>
      </c>
      <c r="B40" s="21">
        <v>3746.26</v>
      </c>
      <c r="C40" s="21">
        <v>3719.98</v>
      </c>
      <c r="D40" s="21">
        <f>(B40+SLOPE(C15:C39,A15:A39)*Indicator!$F$22)*(1-Indicator!$F$24)+Indicator!$F$24*_xlfn.FORECAST.LINEAR(Indicator!$G$24+Indicator!$F$23,B38:B40,Indicator!$G$22:$G$24)</f>
        <v>3740.7054707413149</v>
      </c>
      <c r="E40" s="20">
        <v>0.27700000000000002</v>
      </c>
      <c r="F40" s="71">
        <f t="shared" si="0"/>
        <v>0</v>
      </c>
      <c r="G40" s="108">
        <v>0</v>
      </c>
      <c r="H40" s="31">
        <v>0</v>
      </c>
      <c r="I40" s="90"/>
      <c r="J40" s="35">
        <f t="shared" si="29"/>
        <v>-1645.0000000000009</v>
      </c>
      <c r="K40" s="68">
        <f t="shared" si="30"/>
        <v>20371</v>
      </c>
    </row>
    <row r="41" spans="1:11" x14ac:dyDescent="0.25">
      <c r="A41" s="30">
        <v>44853</v>
      </c>
      <c r="B41" s="21">
        <v>3703.11</v>
      </c>
      <c r="C41" s="21">
        <v>3695.16</v>
      </c>
      <c r="D41" s="21">
        <f>(B41+SLOPE(C16:C40,A16:A40)*Indicator!$F$22)*(1-Indicator!$F$24)+Indicator!$F$24*_xlfn.FORECAST.LINEAR(Indicator!$G$24+Indicator!$F$23,B39:B41,Indicator!$G$22:$G$24)</f>
        <v>3705.430541489216</v>
      </c>
      <c r="E41" s="20">
        <v>0.27700000000000002</v>
      </c>
      <c r="F41" s="71">
        <f t="shared" si="0"/>
        <v>0</v>
      </c>
      <c r="G41" s="108">
        <v>0</v>
      </c>
      <c r="H41" s="31">
        <v>0</v>
      </c>
      <c r="I41" s="90"/>
      <c r="J41" s="35">
        <f t="shared" si="29"/>
        <v>-1645.0000000000009</v>
      </c>
      <c r="K41" s="68">
        <f t="shared" si="30"/>
        <v>20371</v>
      </c>
    </row>
    <row r="42" spans="1:11" x14ac:dyDescent="0.25">
      <c r="A42" s="30">
        <v>44854</v>
      </c>
      <c r="B42" s="21">
        <v>3689.05</v>
      </c>
      <c r="C42" s="21">
        <v>3665.78</v>
      </c>
      <c r="D42" s="21">
        <v>3685.2545427772966</v>
      </c>
      <c r="E42" s="20">
        <v>0.28799999999999998</v>
      </c>
      <c r="F42" s="71">
        <v>0</v>
      </c>
      <c r="G42" s="108">
        <v>0</v>
      </c>
      <c r="H42" s="31">
        <v>0</v>
      </c>
      <c r="J42" s="35">
        <f t="shared" ref="J42" si="31">J41+G42*100</f>
        <v>-1645.0000000000009</v>
      </c>
      <c r="K42" s="68">
        <f t="shared" ref="K42" si="32">H42*100+K41</f>
        <v>20371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55"/>
  <sheetViews>
    <sheetView workbookViewId="0">
      <pane ySplit="1" topLeftCell="A37" activePane="bottomLeft" state="frozen"/>
      <selection pane="bottomLeft" activeCell="E56" sqref="E56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52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  <row r="45" spans="1:14" x14ac:dyDescent="0.25">
      <c r="A45" s="25">
        <v>44840</v>
      </c>
      <c r="B45" s="26">
        <v>934</v>
      </c>
      <c r="C45" s="18" t="s">
        <v>19</v>
      </c>
      <c r="D45" s="66" t="s">
        <v>134</v>
      </c>
      <c r="E45" s="64">
        <v>0.15</v>
      </c>
      <c r="F45" s="18">
        <v>2</v>
      </c>
      <c r="G45" s="27">
        <v>2.57</v>
      </c>
      <c r="H45" s="28">
        <f t="shared" si="12"/>
        <v>5.14</v>
      </c>
      <c r="I45" s="29">
        <v>3</v>
      </c>
      <c r="J45" s="42">
        <f t="shared" ref="J45:J46" si="17">-I45*G45</f>
        <v>-7.7099999999999991</v>
      </c>
    </row>
    <row r="46" spans="1:14" x14ac:dyDescent="0.25">
      <c r="A46" s="25">
        <v>44840</v>
      </c>
      <c r="B46" s="26">
        <v>957</v>
      </c>
      <c r="C46" s="18" t="s">
        <v>19</v>
      </c>
      <c r="D46" s="66" t="s">
        <v>135</v>
      </c>
      <c r="E46" s="64">
        <v>-0.12</v>
      </c>
      <c r="F46" s="18">
        <v>2</v>
      </c>
      <c r="G46" s="27">
        <v>2.4700000000000002</v>
      </c>
      <c r="H46" s="28">
        <f t="shared" si="12"/>
        <v>4.9400000000000004</v>
      </c>
      <c r="I46" s="29">
        <v>3</v>
      </c>
      <c r="J46" s="42">
        <f t="shared" si="17"/>
        <v>-7.41</v>
      </c>
    </row>
    <row r="47" spans="1:14" x14ac:dyDescent="0.25">
      <c r="A47" s="25">
        <v>44841</v>
      </c>
      <c r="B47" s="26">
        <v>936</v>
      </c>
      <c r="C47" s="18" t="s">
        <v>19</v>
      </c>
      <c r="D47" s="66" t="s">
        <v>136</v>
      </c>
      <c r="F47" s="18">
        <v>2</v>
      </c>
      <c r="G47" s="27">
        <v>3.97</v>
      </c>
      <c r="H47" s="28">
        <f t="shared" si="12"/>
        <v>7.94</v>
      </c>
      <c r="I47" s="29">
        <v>3</v>
      </c>
      <c r="J47" s="42">
        <f t="shared" ref="J47:J48" si="18">-I47*G47</f>
        <v>-11.91</v>
      </c>
    </row>
    <row r="48" spans="1:14" x14ac:dyDescent="0.25">
      <c r="A48" s="25">
        <v>44841</v>
      </c>
      <c r="B48" s="26">
        <v>944</v>
      </c>
      <c r="C48" s="18" t="s">
        <v>19</v>
      </c>
      <c r="D48" s="66" t="s">
        <v>137</v>
      </c>
      <c r="F48" s="18">
        <v>2</v>
      </c>
      <c r="G48" s="27">
        <v>3.47</v>
      </c>
      <c r="H48" s="28">
        <f t="shared" si="12"/>
        <v>6.94</v>
      </c>
      <c r="I48" s="29">
        <v>3</v>
      </c>
      <c r="J48" s="42">
        <f t="shared" si="18"/>
        <v>-10.41</v>
      </c>
    </row>
    <row r="49" spans="1:14" x14ac:dyDescent="0.25">
      <c r="A49" s="25">
        <v>44841</v>
      </c>
      <c r="B49" s="26">
        <v>1431</v>
      </c>
      <c r="C49" s="18" t="s">
        <v>62</v>
      </c>
      <c r="D49" s="66" t="s">
        <v>138</v>
      </c>
      <c r="F49" s="18">
        <v>2</v>
      </c>
      <c r="G49" s="27">
        <v>-10.68</v>
      </c>
      <c r="H49" s="28">
        <f t="shared" si="12"/>
        <v>-21.36</v>
      </c>
      <c r="M49">
        <v>3636</v>
      </c>
      <c r="N49">
        <v>9</v>
      </c>
    </row>
    <row r="50" spans="1:14" x14ac:dyDescent="0.25">
      <c r="A50" s="25">
        <v>44844</v>
      </c>
      <c r="B50" s="26">
        <v>941</v>
      </c>
      <c r="C50" s="18" t="s">
        <v>19</v>
      </c>
      <c r="D50" s="66" t="s">
        <v>141</v>
      </c>
      <c r="E50" s="64">
        <v>0.15</v>
      </c>
      <c r="F50" s="18">
        <v>2</v>
      </c>
      <c r="G50" s="27">
        <v>2.88</v>
      </c>
      <c r="H50" s="28">
        <f t="shared" si="12"/>
        <v>5.76</v>
      </c>
      <c r="I50" s="29">
        <v>3</v>
      </c>
      <c r="J50" s="42">
        <f t="shared" ref="J50:J52" si="19">-I50*G50</f>
        <v>-8.64</v>
      </c>
    </row>
    <row r="51" spans="1:14" x14ac:dyDescent="0.25">
      <c r="A51" s="25">
        <v>44844</v>
      </c>
      <c r="B51" s="26">
        <v>942</v>
      </c>
      <c r="C51" s="18" t="s">
        <v>19</v>
      </c>
      <c r="D51" s="66" t="s">
        <v>140</v>
      </c>
      <c r="E51" s="64">
        <v>-0.15</v>
      </c>
      <c r="F51" s="18">
        <v>1</v>
      </c>
      <c r="G51" s="27">
        <v>3.02</v>
      </c>
      <c r="H51" s="28">
        <f t="shared" si="12"/>
        <v>3.02</v>
      </c>
      <c r="I51" s="29">
        <v>3</v>
      </c>
      <c r="J51" s="42">
        <f t="shared" si="19"/>
        <v>-9.06</v>
      </c>
    </row>
    <row r="52" spans="1:14" x14ac:dyDescent="0.25">
      <c r="A52" s="25">
        <v>44844</v>
      </c>
      <c r="B52" s="26">
        <v>943</v>
      </c>
      <c r="C52" s="18" t="s">
        <v>19</v>
      </c>
      <c r="D52" s="66" t="s">
        <v>139</v>
      </c>
      <c r="E52" s="64">
        <v>-0.11</v>
      </c>
      <c r="F52" s="18">
        <v>1</v>
      </c>
      <c r="G52" s="27">
        <v>2.17</v>
      </c>
      <c r="H52" s="28">
        <f t="shared" si="12"/>
        <v>2.17</v>
      </c>
      <c r="I52" s="29">
        <v>3</v>
      </c>
      <c r="J52" s="42">
        <f t="shared" si="19"/>
        <v>-6.51</v>
      </c>
    </row>
    <row r="53" spans="1:14" x14ac:dyDescent="0.25">
      <c r="A53" s="25">
        <v>44844</v>
      </c>
      <c r="B53" s="26">
        <v>1251</v>
      </c>
      <c r="C53" s="18" t="s">
        <v>62</v>
      </c>
      <c r="D53" s="66" t="s">
        <v>142</v>
      </c>
      <c r="F53" s="18">
        <v>1</v>
      </c>
      <c r="G53" s="27">
        <v>-9.18</v>
      </c>
      <c r="H53" s="28">
        <f t="shared" ref="H53:H54" si="20">G53*F53</f>
        <v>-9.18</v>
      </c>
      <c r="M53">
        <v>3598</v>
      </c>
      <c r="N53">
        <v>2</v>
      </c>
    </row>
    <row r="54" spans="1:14" x14ac:dyDescent="0.25">
      <c r="A54" s="25">
        <v>44844</v>
      </c>
      <c r="B54" s="26">
        <v>1253</v>
      </c>
      <c r="C54" s="18" t="s">
        <v>62</v>
      </c>
      <c r="D54" s="66" t="s">
        <v>143</v>
      </c>
      <c r="F54" s="18">
        <v>1</v>
      </c>
      <c r="G54" s="27">
        <v>-6.83</v>
      </c>
      <c r="H54" s="28">
        <f t="shared" si="20"/>
        <v>-6.83</v>
      </c>
      <c r="M54">
        <v>3956</v>
      </c>
      <c r="N54">
        <v>-6</v>
      </c>
    </row>
    <row r="55" spans="1:14" x14ac:dyDescent="0.25">
      <c r="E55" s="64">
        <v>-0.12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9"/>
  <sheetViews>
    <sheetView workbookViewId="0">
      <pane ySplit="1" topLeftCell="A2" activePane="bottomLeft" state="frozen"/>
      <selection pane="bottomLeft" activeCell="A30" sqref="A30:XFD30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3.9199999999999982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9" si="6">G16*F16</f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6"/>
        <v>2.57</v>
      </c>
      <c r="I22" s="29">
        <v>3</v>
      </c>
      <c r="J22" s="42">
        <f t="shared" ref="J22:J23" si="9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6"/>
        <v>2.4700000000000002</v>
      </c>
      <c r="I23" s="29">
        <v>3</v>
      </c>
      <c r="J23" s="42">
        <f t="shared" si="9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6"/>
        <v>3.97</v>
      </c>
      <c r="I24" s="29">
        <v>3</v>
      </c>
      <c r="J24" s="42">
        <f t="shared" ref="J24:J25" si="10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6"/>
        <v>3.47</v>
      </c>
      <c r="I25" s="29">
        <v>3</v>
      </c>
      <c r="J25" s="42">
        <f t="shared" si="10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6"/>
        <v>-10.68</v>
      </c>
      <c r="M26">
        <v>3636</v>
      </c>
      <c r="N26">
        <v>9</v>
      </c>
    </row>
    <row r="27" spans="1:14" x14ac:dyDescent="0.25">
      <c r="A27" s="25">
        <v>44844</v>
      </c>
      <c r="B27" s="26">
        <v>941</v>
      </c>
      <c r="C27" s="18" t="s">
        <v>19</v>
      </c>
      <c r="D27" s="66" t="s">
        <v>141</v>
      </c>
      <c r="E27" s="64">
        <v>0.15</v>
      </c>
      <c r="F27" s="18">
        <v>1</v>
      </c>
      <c r="G27" s="27">
        <v>2.88</v>
      </c>
      <c r="H27" s="28">
        <f t="shared" si="6"/>
        <v>2.88</v>
      </c>
      <c r="I27" s="29">
        <v>3</v>
      </c>
      <c r="J27" s="42">
        <f t="shared" ref="J27:J28" si="11">-I27*G27</f>
        <v>-8.64</v>
      </c>
    </row>
    <row r="28" spans="1:14" x14ac:dyDescent="0.25">
      <c r="A28" s="25">
        <v>44844</v>
      </c>
      <c r="B28" s="26">
        <v>942</v>
      </c>
      <c r="C28" s="18" t="s">
        <v>19</v>
      </c>
      <c r="D28" s="66" t="s">
        <v>140</v>
      </c>
      <c r="E28" s="64">
        <v>-0.15</v>
      </c>
      <c r="F28" s="18">
        <v>1</v>
      </c>
      <c r="G28" s="27">
        <v>3.02</v>
      </c>
      <c r="H28" s="28">
        <f t="shared" si="6"/>
        <v>3.02</v>
      </c>
      <c r="I28" s="29">
        <v>3</v>
      </c>
      <c r="J28" s="42">
        <f t="shared" si="11"/>
        <v>-9.06</v>
      </c>
    </row>
    <row r="29" spans="1:14" x14ac:dyDescent="0.25">
      <c r="A29" s="25">
        <v>44844</v>
      </c>
      <c r="B29" s="26">
        <v>1251</v>
      </c>
      <c r="C29" s="18" t="s">
        <v>62</v>
      </c>
      <c r="D29" s="66" t="s">
        <v>142</v>
      </c>
      <c r="F29" s="18">
        <v>1</v>
      </c>
      <c r="G29" s="27">
        <v>-9.18</v>
      </c>
      <c r="H29" s="28">
        <f t="shared" si="6"/>
        <v>-9.18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9"/>
  <sheetViews>
    <sheetView workbookViewId="0">
      <pane ySplit="1" topLeftCell="A2" activePane="bottomLeft" state="frozen"/>
      <selection pane="bottomLeft" activeCell="A29" sqref="A29:XFD29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9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-2.0300000000000038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0"/>
        <v>2.57</v>
      </c>
      <c r="I22" s="29">
        <v>3</v>
      </c>
      <c r="J22" s="42">
        <f t="shared" ref="J22:J23" si="8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0"/>
        <v>2.4700000000000002</v>
      </c>
      <c r="I23" s="29">
        <v>3</v>
      </c>
      <c r="J23" s="42">
        <f t="shared" si="8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0"/>
        <v>3.97</v>
      </c>
      <c r="I24" s="29">
        <v>3</v>
      </c>
      <c r="J24" s="42">
        <f t="shared" ref="J24:J25" si="9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0"/>
        <v>3.47</v>
      </c>
      <c r="I25" s="29">
        <v>3</v>
      </c>
      <c r="J25" s="42">
        <f t="shared" si="9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0"/>
        <v>-10.68</v>
      </c>
      <c r="M26">
        <v>3636</v>
      </c>
      <c r="N26">
        <v>9</v>
      </c>
    </row>
    <row r="27" spans="1:14" x14ac:dyDescent="0.25">
      <c r="A27" s="25">
        <v>44844</v>
      </c>
      <c r="B27" s="26">
        <v>941</v>
      </c>
      <c r="C27" s="18" t="s">
        <v>19</v>
      </c>
      <c r="D27" s="66" t="s">
        <v>141</v>
      </c>
      <c r="E27" s="64">
        <v>0.15</v>
      </c>
      <c r="F27" s="18">
        <v>1</v>
      </c>
      <c r="G27" s="27">
        <v>2.88</v>
      </c>
      <c r="H27" s="28">
        <f t="shared" si="0"/>
        <v>2.88</v>
      </c>
      <c r="I27" s="29">
        <v>3</v>
      </c>
      <c r="J27" s="42">
        <f t="shared" ref="J27:J28" si="10">-I27*G27</f>
        <v>-8.64</v>
      </c>
    </row>
    <row r="28" spans="1:14" x14ac:dyDescent="0.25">
      <c r="A28" s="25">
        <v>44844</v>
      </c>
      <c r="B28" s="26">
        <v>943</v>
      </c>
      <c r="C28" s="18" t="s">
        <v>19</v>
      </c>
      <c r="D28" s="66" t="s">
        <v>139</v>
      </c>
      <c r="E28" s="64">
        <v>-0.11</v>
      </c>
      <c r="F28" s="18">
        <v>1</v>
      </c>
      <c r="G28" s="27">
        <v>2.17</v>
      </c>
      <c r="H28" s="28">
        <f t="shared" si="0"/>
        <v>2.17</v>
      </c>
      <c r="I28" s="29">
        <v>3</v>
      </c>
      <c r="J28" s="42">
        <f t="shared" si="10"/>
        <v>-6.51</v>
      </c>
    </row>
    <row r="29" spans="1:14" x14ac:dyDescent="0.25">
      <c r="A29" s="25">
        <v>44844</v>
      </c>
      <c r="B29" s="26">
        <v>1253</v>
      </c>
      <c r="C29" s="18" t="s">
        <v>62</v>
      </c>
      <c r="D29" s="66" t="s">
        <v>143</v>
      </c>
      <c r="F29" s="18">
        <v>1</v>
      </c>
      <c r="G29" s="27">
        <v>-6.83</v>
      </c>
      <c r="H29" s="28">
        <f t="shared" si="0"/>
        <v>-6.83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2022-10-21T20:13:14Z</dcterms:modified>
</cp:coreProperties>
</file>