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167DB3FE-5522-4718-9C75-B3AB51935F4D}" xr6:coauthVersionLast="47" xr6:coauthVersionMax="47" xr10:uidLastSave="{00000000-0000-0000-0000-000000000000}"/>
  <bookViews>
    <workbookView xWindow="4020" yWindow="1905" windowWidth="32700" windowHeight="15045" activeTab="1"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0" i="2" l="1"/>
  <c r="AA10" i="2"/>
  <c r="AA9" i="2"/>
  <c r="AB9" i="2"/>
  <c r="Z76" i="2"/>
  <c r="Y76" i="2"/>
  <c r="X76" i="2"/>
  <c r="W76" i="2"/>
  <c r="V76" i="2"/>
  <c r="U76" i="2"/>
  <c r="T76" i="2"/>
  <c r="S76" i="2"/>
  <c r="R76" i="2"/>
  <c r="Q76" i="2"/>
  <c r="P76" i="2"/>
  <c r="O76" i="2"/>
  <c r="N76" i="2"/>
  <c r="Z75" i="2"/>
  <c r="Y75" i="2"/>
  <c r="X75" i="2"/>
  <c r="W75" i="2"/>
  <c r="V75" i="2"/>
  <c r="U75" i="2"/>
  <c r="T75" i="2"/>
  <c r="S75" i="2"/>
  <c r="R75" i="2"/>
  <c r="Q75" i="2"/>
  <c r="P75" i="2"/>
  <c r="O75" i="2"/>
  <c r="N75" i="2"/>
  <c r="C76" i="2"/>
  <c r="J76" i="2"/>
  <c r="I76" i="2"/>
  <c r="H76" i="2"/>
  <c r="G76" i="2"/>
  <c r="F76" i="2"/>
  <c r="E76" i="2"/>
  <c r="D76" i="2"/>
  <c r="J75" i="2"/>
  <c r="I75" i="2"/>
  <c r="H75" i="2"/>
  <c r="G75" i="2"/>
  <c r="F75" i="2"/>
  <c r="E75" i="2"/>
  <c r="D75" i="2"/>
  <c r="C75" i="2"/>
  <c r="Z73" i="2"/>
  <c r="Y73" i="2"/>
  <c r="X73" i="2"/>
  <c r="W73" i="2"/>
  <c r="V73" i="2"/>
  <c r="U73" i="2"/>
  <c r="T73" i="2"/>
  <c r="S73" i="2"/>
  <c r="R73" i="2"/>
  <c r="Q73" i="2"/>
  <c r="P73" i="2"/>
  <c r="O73" i="2"/>
  <c r="N73" i="2"/>
  <c r="J73" i="2"/>
  <c r="I73" i="2"/>
  <c r="H73" i="2"/>
  <c r="G73" i="2"/>
  <c r="F73" i="2"/>
  <c r="E73" i="2"/>
  <c r="D73" i="2"/>
  <c r="C73" i="2"/>
  <c r="D68" i="2" l="1"/>
  <c r="C68" i="2"/>
  <c r="H68" i="2"/>
  <c r="G68" i="2"/>
  <c r="E68" i="2"/>
  <c r="I68" i="2"/>
  <c r="F68" i="2"/>
  <c r="J68" i="2"/>
  <c r="I72" i="2"/>
  <c r="H72" i="2"/>
  <c r="G72" i="2"/>
  <c r="E72" i="2"/>
  <c r="D72" i="2"/>
  <c r="C72" i="2"/>
  <c r="Y72" i="2"/>
  <c r="X72" i="2"/>
  <c r="Z72" i="2"/>
  <c r="V65" i="2"/>
  <c r="V72" i="2" s="1"/>
  <c r="U65" i="2"/>
  <c r="U72" i="2" s="1"/>
  <c r="T65" i="2"/>
  <c r="T72" i="2" s="1"/>
  <c r="S65" i="2"/>
  <c r="S72" i="2" s="1"/>
  <c r="R65" i="2"/>
  <c r="R72" i="2" s="1"/>
  <c r="Q65" i="2"/>
  <c r="Q72" i="2" s="1"/>
  <c r="P65" i="2"/>
  <c r="P72" i="2" s="1"/>
  <c r="O65" i="2"/>
  <c r="O72" i="2" s="1"/>
  <c r="N65" i="2"/>
  <c r="N72" i="2" s="1"/>
  <c r="W65" i="2"/>
  <c r="W72" i="2" s="1"/>
  <c r="Z68" i="2"/>
  <c r="Y68" i="2"/>
  <c r="X68" i="2"/>
  <c r="Q5" i="2"/>
  <c r="Q69" i="2" s="1"/>
  <c r="P5" i="2"/>
  <c r="P70" i="2" s="1"/>
  <c r="O5" i="2"/>
  <c r="O70" i="2" s="1"/>
  <c r="N5" i="2"/>
  <c r="N70" i="2" s="1"/>
  <c r="Q70" i="2" l="1"/>
  <c r="O69" i="2"/>
  <c r="N69" i="2"/>
  <c r="Q45" i="2"/>
  <c r="P45" i="2"/>
  <c r="O45" i="2"/>
  <c r="P69" i="2"/>
  <c r="AB14" i="2" l="1"/>
  <c r="AA14" i="2" s="1"/>
  <c r="AB11" i="2"/>
  <c r="AC11" i="2" s="1"/>
  <c r="AC14" i="2" l="1"/>
  <c r="S31" i="2"/>
  <c r="S33" i="2" s="1"/>
  <c r="T31" i="2"/>
  <c r="T33" i="2" s="1"/>
  <c r="S38" i="2"/>
  <c r="T38" i="2"/>
  <c r="Y38" i="2"/>
  <c r="X38" i="2"/>
  <c r="W38" i="2"/>
  <c r="V38" i="2"/>
  <c r="U38" i="2"/>
  <c r="Z38" i="2"/>
  <c r="AB15" i="2"/>
  <c r="AC15" i="2" s="1"/>
  <c r="AD14" i="2"/>
  <c r="R20" i="2"/>
  <c r="R19" i="2"/>
  <c r="R4" i="2"/>
  <c r="S20" i="2"/>
  <c r="S19" i="2"/>
  <c r="S4" i="2"/>
  <c r="T20" i="2"/>
  <c r="T19" i="2"/>
  <c r="T4" i="2"/>
  <c r="R12" i="2"/>
  <c r="S12" i="2"/>
  <c r="T12" i="2"/>
  <c r="T46" i="2" s="1"/>
  <c r="AA11" i="2"/>
  <c r="AB6" i="2"/>
  <c r="AB7" i="2"/>
  <c r="AC7" i="2" s="1"/>
  <c r="AD7" i="2" s="1"/>
  <c r="AE7" i="2" s="1"/>
  <c r="AF7" i="2" s="1"/>
  <c r="AG7" i="2" s="1"/>
  <c r="AH7" i="2" s="1"/>
  <c r="AI7" i="2" s="1"/>
  <c r="AJ7" i="2" s="1"/>
  <c r="Z54" i="2"/>
  <c r="Y54" i="2"/>
  <c r="X54" i="2"/>
  <c r="W54" i="2"/>
  <c r="V54" i="2"/>
  <c r="AD56" i="2"/>
  <c r="AE56" i="2" s="1"/>
  <c r="AF56" i="2" s="1"/>
  <c r="AG56" i="2" s="1"/>
  <c r="AH56" i="2" s="1"/>
  <c r="AI56" i="2" s="1"/>
  <c r="AJ56" i="2" s="1"/>
  <c r="AC57" i="2"/>
  <c r="AB57" i="2"/>
  <c r="AA57" i="2"/>
  <c r="Z57" i="2"/>
  <c r="Y57" i="2"/>
  <c r="X57" i="2"/>
  <c r="W57" i="2"/>
  <c r="V57" i="2"/>
  <c r="Z40" i="2"/>
  <c r="Y40" i="2"/>
  <c r="W40" i="2"/>
  <c r="U40" i="2"/>
  <c r="V31" i="2"/>
  <c r="V33" i="2" s="1"/>
  <c r="U31" i="2"/>
  <c r="U33" i="2" s="1"/>
  <c r="W31" i="2"/>
  <c r="W33" i="2" s="1"/>
  <c r="X31" i="2"/>
  <c r="X33" i="2" s="1"/>
  <c r="Y31" i="2"/>
  <c r="Y30" i="2"/>
  <c r="Z31" i="2"/>
  <c r="Z30" i="2"/>
  <c r="F22" i="2"/>
  <c r="F17" i="2"/>
  <c r="F16" i="2"/>
  <c r="F15" i="2"/>
  <c r="F14" i="2"/>
  <c r="F11" i="2"/>
  <c r="F10" i="2"/>
  <c r="F9" i="2"/>
  <c r="F8" i="2"/>
  <c r="F7" i="2"/>
  <c r="F6" i="2"/>
  <c r="F4" i="2"/>
  <c r="F3" i="2"/>
  <c r="F72" i="2" s="1"/>
  <c r="J22" i="2"/>
  <c r="J17" i="2"/>
  <c r="J16" i="2"/>
  <c r="J15" i="2"/>
  <c r="J14" i="2"/>
  <c r="J11" i="2"/>
  <c r="J10" i="2"/>
  <c r="J9" i="2"/>
  <c r="J8" i="2"/>
  <c r="J7" i="2"/>
  <c r="J6" i="2"/>
  <c r="J4" i="2"/>
  <c r="J3" i="2"/>
  <c r="J72" i="2" s="1"/>
  <c r="E20" i="2"/>
  <c r="E19" i="2"/>
  <c r="I20" i="2"/>
  <c r="I19" i="2"/>
  <c r="D20" i="2"/>
  <c r="D19" i="2"/>
  <c r="H19" i="2"/>
  <c r="C19" i="2"/>
  <c r="C20" i="2"/>
  <c r="I12" i="2"/>
  <c r="I5" i="2"/>
  <c r="G20" i="2"/>
  <c r="G19" i="2"/>
  <c r="U20" i="2"/>
  <c r="U19" i="2"/>
  <c r="U4" i="2"/>
  <c r="V20" i="2"/>
  <c r="V19" i="2"/>
  <c r="V4" i="2"/>
  <c r="W20" i="2"/>
  <c r="W19" i="2"/>
  <c r="W4" i="2"/>
  <c r="X20" i="2"/>
  <c r="X19" i="2"/>
  <c r="Y20" i="2"/>
  <c r="Y19" i="2"/>
  <c r="Z20" i="2"/>
  <c r="Z19" i="2"/>
  <c r="Z12" i="2"/>
  <c r="Y12" i="2"/>
  <c r="X12" i="2"/>
  <c r="W12" i="2"/>
  <c r="V12" i="2"/>
  <c r="U12" i="2"/>
  <c r="Z5" i="2"/>
  <c r="Y5" i="2"/>
  <c r="X5" i="2"/>
  <c r="G12" i="2"/>
  <c r="H12" i="2"/>
  <c r="E12" i="2"/>
  <c r="D12" i="2"/>
  <c r="G5" i="2"/>
  <c r="H5" i="2"/>
  <c r="E5" i="2"/>
  <c r="D5" i="2"/>
  <c r="C5" i="2"/>
  <c r="C12" i="2"/>
  <c r="W5" i="2" l="1"/>
  <c r="T5" i="2"/>
  <c r="T70" i="2" s="1"/>
  <c r="V5" i="2"/>
  <c r="V39" i="2" s="1"/>
  <c r="S5" i="2"/>
  <c r="S13" i="2" s="1"/>
  <c r="R5" i="2"/>
  <c r="R45" i="2" s="1"/>
  <c r="U5" i="2"/>
  <c r="U45" i="2" s="1"/>
  <c r="R39" i="2"/>
  <c r="R70" i="2"/>
  <c r="R69" i="2"/>
  <c r="C50" i="2"/>
  <c r="C70" i="2"/>
  <c r="C69" i="2"/>
  <c r="D50" i="2"/>
  <c r="D70" i="2"/>
  <c r="D69" i="2"/>
  <c r="E49" i="2"/>
  <c r="E70" i="2"/>
  <c r="E69" i="2"/>
  <c r="W48" i="2"/>
  <c r="W70" i="2"/>
  <c r="W69" i="2"/>
  <c r="X50" i="2"/>
  <c r="X70" i="2"/>
  <c r="X69" i="2"/>
  <c r="T39" i="2"/>
  <c r="T69" i="2"/>
  <c r="V69" i="2"/>
  <c r="G49" i="2"/>
  <c r="G70" i="2"/>
  <c r="G69" i="2"/>
  <c r="S51" i="2"/>
  <c r="S70" i="2"/>
  <c r="S69" i="2"/>
  <c r="Y50" i="2"/>
  <c r="Y69" i="2"/>
  <c r="Y70" i="2"/>
  <c r="H49" i="2"/>
  <c r="H69" i="2"/>
  <c r="H70" i="2"/>
  <c r="I48" i="2"/>
  <c r="I69" i="2"/>
  <c r="I70" i="2"/>
  <c r="Z50" i="2"/>
  <c r="Z69" i="2"/>
  <c r="Z70" i="2"/>
  <c r="S46" i="2"/>
  <c r="Y46" i="2"/>
  <c r="W46" i="2"/>
  <c r="Z46" i="2"/>
  <c r="U46" i="2"/>
  <c r="V46" i="2"/>
  <c r="AC5" i="2"/>
  <c r="AD5" i="2" s="1"/>
  <c r="X46" i="2"/>
  <c r="AB8" i="2"/>
  <c r="AC8" i="2" s="1"/>
  <c r="AD8" i="2" s="1"/>
  <c r="AE8" i="2" s="1"/>
  <c r="AF8" i="2" s="1"/>
  <c r="AG8" i="2" s="1"/>
  <c r="AH8" i="2" s="1"/>
  <c r="AI8" i="2" s="1"/>
  <c r="AJ8" i="2" s="1"/>
  <c r="S35" i="2"/>
  <c r="AA6" i="2"/>
  <c r="U35" i="2"/>
  <c r="AC9" i="2"/>
  <c r="AE14" i="2"/>
  <c r="AF14" i="2" s="1"/>
  <c r="AG14" i="2" s="1"/>
  <c r="AH14" i="2" s="1"/>
  <c r="AI14" i="2" s="1"/>
  <c r="AJ14" i="2" s="1"/>
  <c r="X35" i="2"/>
  <c r="W35" i="2"/>
  <c r="AA15" i="2"/>
  <c r="V35" i="2"/>
  <c r="T35" i="2"/>
  <c r="T51" i="2"/>
  <c r="U39" i="2"/>
  <c r="C51" i="2"/>
  <c r="Y39" i="2"/>
  <c r="W39" i="2"/>
  <c r="Z51" i="2"/>
  <c r="X39" i="2"/>
  <c r="Z39" i="2"/>
  <c r="S39" i="2"/>
  <c r="D51" i="2"/>
  <c r="W51" i="2"/>
  <c r="AD15" i="2"/>
  <c r="AE15" i="2" s="1"/>
  <c r="R50" i="2"/>
  <c r="R51" i="2"/>
  <c r="U51" i="2"/>
  <c r="V51" i="2"/>
  <c r="X51" i="2"/>
  <c r="AD11" i="2"/>
  <c r="AE11" i="2" s="1"/>
  <c r="AF11" i="2" s="1"/>
  <c r="Y51" i="2"/>
  <c r="E51" i="2"/>
  <c r="G51" i="2"/>
  <c r="H51" i="2"/>
  <c r="AC10" i="2"/>
  <c r="AD10" i="2" s="1"/>
  <c r="AE10" i="2" s="1"/>
  <c r="AF10" i="2" s="1"/>
  <c r="AG10" i="2" s="1"/>
  <c r="AH10" i="2" s="1"/>
  <c r="AI10" i="2" s="1"/>
  <c r="AJ10" i="2" s="1"/>
  <c r="I51" i="2"/>
  <c r="T50" i="2"/>
  <c r="T49" i="2"/>
  <c r="T48" i="2"/>
  <c r="T45" i="2"/>
  <c r="S50" i="2"/>
  <c r="S48" i="2"/>
  <c r="S49" i="2"/>
  <c r="S45" i="2"/>
  <c r="R48" i="2"/>
  <c r="R49" i="2"/>
  <c r="T13" i="2"/>
  <c r="AA7" i="2"/>
  <c r="AC6" i="2"/>
  <c r="AD6" i="2" s="1"/>
  <c r="AE6" i="2" s="1"/>
  <c r="AF6" i="2" s="1"/>
  <c r="AG6" i="2" s="1"/>
  <c r="AH6" i="2" s="1"/>
  <c r="AI6" i="2" s="1"/>
  <c r="AJ6" i="2" s="1"/>
  <c r="Z33" i="2"/>
  <c r="AA19" i="2" s="1"/>
  <c r="Y33" i="2"/>
  <c r="Y35" i="2" s="1"/>
  <c r="C48" i="2"/>
  <c r="D48" i="2"/>
  <c r="E48" i="2"/>
  <c r="G48" i="2"/>
  <c r="F5" i="2"/>
  <c r="E50" i="2"/>
  <c r="G50" i="2"/>
  <c r="X48" i="2"/>
  <c r="J20" i="2"/>
  <c r="H50" i="2"/>
  <c r="Y48" i="2"/>
  <c r="X49" i="2"/>
  <c r="Z48" i="2"/>
  <c r="H48" i="2"/>
  <c r="Y49" i="2"/>
  <c r="Z49" i="2"/>
  <c r="V49" i="2"/>
  <c r="U50" i="2"/>
  <c r="U49" i="2"/>
  <c r="C49" i="2"/>
  <c r="I45" i="2"/>
  <c r="J12" i="2"/>
  <c r="F19" i="2"/>
  <c r="F20" i="2"/>
  <c r="I49" i="2"/>
  <c r="H45" i="2"/>
  <c r="G45" i="2"/>
  <c r="D49" i="2"/>
  <c r="W45" i="2"/>
  <c r="X45" i="2"/>
  <c r="W49" i="2"/>
  <c r="J19" i="2"/>
  <c r="Y45" i="2"/>
  <c r="I50" i="2"/>
  <c r="V50" i="2"/>
  <c r="W50" i="2"/>
  <c r="Z45" i="2"/>
  <c r="F12" i="2"/>
  <c r="J5" i="2"/>
  <c r="I13" i="2"/>
  <c r="D13" i="2"/>
  <c r="H13" i="2"/>
  <c r="C13" i="2"/>
  <c r="E13" i="2"/>
  <c r="G13" i="2"/>
  <c r="V13" i="2"/>
  <c r="W13" i="2"/>
  <c r="X13" i="2"/>
  <c r="Y13" i="2"/>
  <c r="Z13" i="2"/>
  <c r="V45" i="2" l="1"/>
  <c r="U48" i="2"/>
  <c r="V70" i="2"/>
  <c r="R13" i="2"/>
  <c r="R18" i="2" s="1"/>
  <c r="V48" i="2"/>
  <c r="U70" i="2"/>
  <c r="U69" i="2"/>
  <c r="U13" i="2"/>
  <c r="J51" i="2"/>
  <c r="J69" i="2"/>
  <c r="J70" i="2"/>
  <c r="F49" i="2"/>
  <c r="F69" i="2"/>
  <c r="F70" i="2"/>
  <c r="AA8" i="2"/>
  <c r="AA12" i="2" s="1"/>
  <c r="AB12" i="2"/>
  <c r="AA5" i="2"/>
  <c r="AB5" i="2" s="1"/>
  <c r="AC45" i="2" s="1"/>
  <c r="Z35" i="2"/>
  <c r="AB48" i="2"/>
  <c r="F51" i="2"/>
  <c r="AF15" i="2"/>
  <c r="T18" i="2"/>
  <c r="T42" i="2"/>
  <c r="S18" i="2"/>
  <c r="S42" i="2"/>
  <c r="J49" i="2"/>
  <c r="AG11" i="2"/>
  <c r="F50" i="2"/>
  <c r="F48" i="2"/>
  <c r="F13" i="2"/>
  <c r="F18" i="2" s="1"/>
  <c r="J48" i="2"/>
  <c r="H18" i="2"/>
  <c r="H42" i="2"/>
  <c r="U18" i="2"/>
  <c r="U42" i="2"/>
  <c r="E18" i="2"/>
  <c r="E42" i="2"/>
  <c r="I18" i="2"/>
  <c r="I42" i="2"/>
  <c r="J13" i="2"/>
  <c r="J45" i="2"/>
  <c r="Z18" i="2"/>
  <c r="Z42" i="2"/>
  <c r="G18" i="2"/>
  <c r="G42" i="2"/>
  <c r="Y18" i="2"/>
  <c r="Y42" i="2"/>
  <c r="C18" i="2"/>
  <c r="C42" i="2"/>
  <c r="X18" i="2"/>
  <c r="X42" i="2"/>
  <c r="V18" i="2"/>
  <c r="V42" i="2"/>
  <c r="D18" i="2"/>
  <c r="D42" i="2"/>
  <c r="W18" i="2"/>
  <c r="W42" i="2"/>
  <c r="J50" i="2"/>
  <c r="R42" i="2" l="1"/>
  <c r="AB50" i="2"/>
  <c r="V21" i="2"/>
  <c r="V36" i="2" s="1"/>
  <c r="V27" i="2"/>
  <c r="H21" i="2"/>
  <c r="H27" i="2"/>
  <c r="X21" i="2"/>
  <c r="X36" i="2" s="1"/>
  <c r="X27" i="2"/>
  <c r="Y21" i="2"/>
  <c r="Y36" i="2" s="1"/>
  <c r="Y27" i="2"/>
  <c r="U21" i="2"/>
  <c r="U36" i="2" s="1"/>
  <c r="U27" i="2"/>
  <c r="Z21" i="2"/>
  <c r="Z36" i="2" s="1"/>
  <c r="Z27" i="2"/>
  <c r="G21" i="2"/>
  <c r="G27" i="2"/>
  <c r="F21" i="2"/>
  <c r="F27" i="2"/>
  <c r="T21" i="2"/>
  <c r="T36" i="2" s="1"/>
  <c r="T27" i="2"/>
  <c r="W21" i="2"/>
  <c r="W36" i="2" s="1"/>
  <c r="W27" i="2"/>
  <c r="D21" i="2"/>
  <c r="D27" i="2"/>
  <c r="S21" i="2"/>
  <c r="S36" i="2" s="1"/>
  <c r="S27" i="2"/>
  <c r="E21" i="2"/>
  <c r="E27" i="2"/>
  <c r="C21" i="2"/>
  <c r="C27" i="2"/>
  <c r="R21" i="2"/>
  <c r="R36" i="2" s="1"/>
  <c r="R27" i="2"/>
  <c r="I21" i="2"/>
  <c r="I27" i="2"/>
  <c r="AB16" i="2"/>
  <c r="AA16" i="2"/>
  <c r="AB46" i="2"/>
  <c r="AA46" i="2"/>
  <c r="AB51" i="2"/>
  <c r="AA48" i="2"/>
  <c r="AC51" i="2"/>
  <c r="AC16" i="2"/>
  <c r="AB45" i="2"/>
  <c r="AA51" i="2"/>
  <c r="AG15" i="2"/>
  <c r="R23" i="2"/>
  <c r="R43" i="2"/>
  <c r="S23" i="2"/>
  <c r="S43" i="2"/>
  <c r="AC48" i="2"/>
  <c r="AC50" i="2"/>
  <c r="T23" i="2"/>
  <c r="T43" i="2"/>
  <c r="AA13" i="2"/>
  <c r="AA45" i="2"/>
  <c r="AA50" i="2"/>
  <c r="AA49" i="2"/>
  <c r="AB49" i="2"/>
  <c r="AB13" i="2"/>
  <c r="F42" i="2"/>
  <c r="AH11" i="2"/>
  <c r="Z23" i="2"/>
  <c r="Z43" i="2"/>
  <c r="D23" i="2"/>
  <c r="D43" i="2"/>
  <c r="J18" i="2"/>
  <c r="J42" i="2"/>
  <c r="G23" i="2"/>
  <c r="G43" i="2"/>
  <c r="F23" i="2"/>
  <c r="F28" i="2" s="1"/>
  <c r="F43" i="2"/>
  <c r="V23" i="2"/>
  <c r="V43" i="2"/>
  <c r="C23" i="2"/>
  <c r="C43" i="2"/>
  <c r="U23" i="2"/>
  <c r="U43" i="2"/>
  <c r="X23" i="2"/>
  <c r="X43" i="2"/>
  <c r="W23" i="2"/>
  <c r="W43" i="2"/>
  <c r="I23" i="2"/>
  <c r="I43" i="2"/>
  <c r="E23" i="2"/>
  <c r="E43" i="2"/>
  <c r="Y23" i="2"/>
  <c r="Y43" i="2"/>
  <c r="H23" i="2"/>
  <c r="H43" i="2"/>
  <c r="U24" i="2" l="1"/>
  <c r="U28" i="2"/>
  <c r="H24" i="2"/>
  <c r="H28" i="2"/>
  <c r="Y24" i="2"/>
  <c r="F24" i="2" s="1"/>
  <c r="F25" i="2" s="1"/>
  <c r="Y28" i="2"/>
  <c r="G24" i="2"/>
  <c r="G28" i="2"/>
  <c r="W24" i="2"/>
  <c r="W28" i="2"/>
  <c r="S24" i="2"/>
  <c r="S28" i="2"/>
  <c r="C24" i="2"/>
  <c r="C28" i="2"/>
  <c r="V24" i="2"/>
  <c r="V28" i="2"/>
  <c r="E24" i="2"/>
  <c r="E28" i="2"/>
  <c r="T24" i="2"/>
  <c r="T28" i="2"/>
  <c r="I24" i="2"/>
  <c r="I28" i="2"/>
  <c r="D24" i="2"/>
  <c r="D28" i="2"/>
  <c r="X24" i="2"/>
  <c r="X28" i="2"/>
  <c r="Z24" i="2"/>
  <c r="Z28" i="2"/>
  <c r="R24" i="2"/>
  <c r="R28" i="2"/>
  <c r="J21" i="2"/>
  <c r="J27" i="2"/>
  <c r="AD51" i="2"/>
  <c r="AD16" i="2"/>
  <c r="AH15" i="2"/>
  <c r="AB18" i="2"/>
  <c r="AB42" i="2"/>
  <c r="AA18" i="2"/>
  <c r="AA21" i="2" s="1"/>
  <c r="AA22" i="2" s="1"/>
  <c r="AA42" i="2"/>
  <c r="AD50" i="2"/>
  <c r="AD48" i="2"/>
  <c r="AE5" i="2"/>
  <c r="AD9" i="2"/>
  <c r="AC49" i="2"/>
  <c r="AC12" i="2"/>
  <c r="J24" i="2"/>
  <c r="AA24" i="2"/>
  <c r="AB24" i="2" s="1"/>
  <c r="AC24" i="2" s="1"/>
  <c r="AD24" i="2" s="1"/>
  <c r="AE24" i="2" s="1"/>
  <c r="AF24" i="2" s="1"/>
  <c r="AG24" i="2" s="1"/>
  <c r="AH24" i="2" s="1"/>
  <c r="AI24" i="2" s="1"/>
  <c r="AJ24" i="2" s="1"/>
  <c r="AI11" i="2"/>
  <c r="J23" i="2"/>
  <c r="J28" i="2" s="1"/>
  <c r="J43" i="2"/>
  <c r="AC13" i="2" l="1"/>
  <c r="AC42" i="2" s="1"/>
  <c r="AC46" i="2"/>
  <c r="AE51" i="2"/>
  <c r="AE16" i="2"/>
  <c r="J25" i="2"/>
  <c r="AI15" i="2"/>
  <c r="AE9" i="2"/>
  <c r="AD12" i="2"/>
  <c r="AD49" i="2"/>
  <c r="AA23" i="2"/>
  <c r="AA33" i="2" s="1"/>
  <c r="AA43" i="2"/>
  <c r="AF5" i="2"/>
  <c r="AE50" i="2"/>
  <c r="AE48" i="2"/>
  <c r="AB43" i="2"/>
  <c r="AJ11" i="2"/>
  <c r="AC18" i="2" l="1"/>
  <c r="AC43" i="2" s="1"/>
  <c r="AD13" i="2"/>
  <c r="AD42" i="2" s="1"/>
  <c r="AD46" i="2"/>
  <c r="AB19" i="2"/>
  <c r="AA25" i="2"/>
  <c r="AF51" i="2"/>
  <c r="AF16" i="2"/>
  <c r="AJ15" i="2"/>
  <c r="AF50" i="2"/>
  <c r="AG5" i="2"/>
  <c r="AF48" i="2"/>
  <c r="AF9" i="2"/>
  <c r="AE12" i="2"/>
  <c r="AE49" i="2"/>
  <c r="AD18" i="2" l="1"/>
  <c r="AD43" i="2" s="1"/>
  <c r="AE13" i="2"/>
  <c r="AE18" i="2" s="1"/>
  <c r="AE46" i="2"/>
  <c r="AB21" i="2"/>
  <c r="AB22" i="2" s="1"/>
  <c r="AB23" i="2" s="1"/>
  <c r="AG51" i="2"/>
  <c r="AG16" i="2"/>
  <c r="AG50" i="2"/>
  <c r="AG48" i="2"/>
  <c r="AH5" i="2"/>
  <c r="AG9" i="2"/>
  <c r="AF12" i="2"/>
  <c r="AF49" i="2"/>
  <c r="AE42" i="2" l="1"/>
  <c r="AF13" i="2"/>
  <c r="AF42" i="2" s="1"/>
  <c r="AF46" i="2"/>
  <c r="AB33" i="2"/>
  <c r="AC19" i="2" s="1"/>
  <c r="AC21" i="2" s="1"/>
  <c r="AB25" i="2"/>
  <c r="AH51" i="2"/>
  <c r="AH16" i="2"/>
  <c r="AE43" i="2"/>
  <c r="AH9" i="2"/>
  <c r="AG12" i="2"/>
  <c r="AG49" i="2"/>
  <c r="AI5" i="2"/>
  <c r="AH50" i="2"/>
  <c r="AH48" i="2"/>
  <c r="AF18" i="2" l="1"/>
  <c r="AG13" i="2"/>
  <c r="AG42" i="2" s="1"/>
  <c r="AG46" i="2"/>
  <c r="AC22" i="2"/>
  <c r="AC23" i="2" s="1"/>
  <c r="AI51" i="2"/>
  <c r="AI16" i="2"/>
  <c r="AF43" i="2"/>
  <c r="AI50" i="2"/>
  <c r="AI48" i="2"/>
  <c r="AJ5" i="2"/>
  <c r="AI9" i="2"/>
  <c r="AH12" i="2"/>
  <c r="AH49" i="2"/>
  <c r="AG18" i="2" l="1"/>
  <c r="AH13" i="2"/>
  <c r="AH42" i="2" s="1"/>
  <c r="AH46" i="2"/>
  <c r="AC33" i="2"/>
  <c r="AD19" i="2" s="1"/>
  <c r="AD21" i="2" s="1"/>
  <c r="AD22" i="2" s="1"/>
  <c r="AD23" i="2" s="1"/>
  <c r="AC25" i="2"/>
  <c r="AJ51" i="2"/>
  <c r="AJ16" i="2"/>
  <c r="AJ9" i="2"/>
  <c r="AI12" i="2"/>
  <c r="AI49" i="2"/>
  <c r="AJ50" i="2"/>
  <c r="AJ48" i="2"/>
  <c r="AH18" i="2"/>
  <c r="AG43" i="2"/>
  <c r="AI13" i="2" l="1"/>
  <c r="AI18" i="2" s="1"/>
  <c r="AI46" i="2"/>
  <c r="AD33" i="2"/>
  <c r="AE19" i="2" s="1"/>
  <c r="AE21" i="2" s="1"/>
  <c r="AE22" i="2" s="1"/>
  <c r="AE23" i="2" s="1"/>
  <c r="AD25" i="2"/>
  <c r="AH43" i="2"/>
  <c r="AJ12" i="2"/>
  <c r="AJ49" i="2"/>
  <c r="AI42" i="2" l="1"/>
  <c r="AJ13" i="2"/>
  <c r="AJ18" i="2" s="1"/>
  <c r="AJ46" i="2"/>
  <c r="AE33" i="2"/>
  <c r="AF19" i="2" s="1"/>
  <c r="AF21" i="2" s="1"/>
  <c r="AF22" i="2" s="1"/>
  <c r="AF23" i="2" s="1"/>
  <c r="AE25" i="2"/>
  <c r="AI43" i="2"/>
  <c r="AJ42" i="2" l="1"/>
  <c r="AF33" i="2"/>
  <c r="AG19" i="2" s="1"/>
  <c r="AG21" i="2" s="1"/>
  <c r="AG22" i="2" s="1"/>
  <c r="AG23" i="2" s="1"/>
  <c r="AF25" i="2"/>
  <c r="AJ43" i="2"/>
  <c r="AG33" i="2" l="1"/>
  <c r="AH19" i="2" s="1"/>
  <c r="AH21" i="2" s="1"/>
  <c r="AH22" i="2" s="1"/>
  <c r="AH23" i="2" s="1"/>
  <c r="AG25" i="2"/>
  <c r="AH33" i="2" l="1"/>
  <c r="AI19" i="2" s="1"/>
  <c r="AI21" i="2" s="1"/>
  <c r="AI22" i="2" s="1"/>
  <c r="AI23" i="2" s="1"/>
  <c r="AH25" i="2"/>
  <c r="AI33" i="2" l="1"/>
  <c r="AJ19" i="2" s="1"/>
  <c r="AJ21" i="2" s="1"/>
  <c r="AJ22"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BS23" i="2" s="1"/>
  <c r="BT23" i="2" s="1"/>
  <c r="BU23" i="2" s="1"/>
  <c r="BV23" i="2" s="1"/>
  <c r="BW23" i="2" s="1"/>
  <c r="BX23" i="2" s="1"/>
  <c r="BY23" i="2" s="1"/>
  <c r="BZ23" i="2" s="1"/>
  <c r="CA23" i="2" s="1"/>
  <c r="CB23" i="2" s="1"/>
  <c r="CC23" i="2" s="1"/>
  <c r="CD23" i="2" s="1"/>
  <c r="CE23" i="2" s="1"/>
  <c r="CF23" i="2" s="1"/>
  <c r="CG23" i="2" s="1"/>
  <c r="CH23" i="2" s="1"/>
  <c r="CI23" i="2" s="1"/>
  <c r="CJ23" i="2" s="1"/>
  <c r="CK23" i="2" s="1"/>
  <c r="CL23" i="2" s="1"/>
  <c r="CM23" i="2" s="1"/>
  <c r="CN23" i="2" s="1"/>
  <c r="CO23" i="2" s="1"/>
  <c r="CP23" i="2" s="1"/>
  <c r="CQ23" i="2" s="1"/>
  <c r="CR23" i="2" s="1"/>
  <c r="CS23" i="2" s="1"/>
  <c r="CT23" i="2" s="1"/>
  <c r="CU23" i="2" s="1"/>
  <c r="CV23" i="2" s="1"/>
  <c r="CW23" i="2" s="1"/>
  <c r="CX23" i="2" s="1"/>
  <c r="CY23" i="2" s="1"/>
  <c r="CZ23" i="2" s="1"/>
  <c r="DA23" i="2" s="1"/>
  <c r="DB23" i="2" s="1"/>
  <c r="DC23" i="2" s="1"/>
  <c r="DD23" i="2" s="1"/>
  <c r="DE23" i="2" s="1"/>
  <c r="DF23" i="2" s="1"/>
  <c r="DG23" i="2" s="1"/>
  <c r="DH23" i="2" s="1"/>
  <c r="DI23" i="2" s="1"/>
  <c r="DJ23" i="2" s="1"/>
  <c r="DK23" i="2" s="1"/>
  <c r="DL23" i="2" s="1"/>
  <c r="DM23" i="2" s="1"/>
  <c r="DN23" i="2" s="1"/>
  <c r="DO23" i="2" s="1"/>
  <c r="DP23" i="2" s="1"/>
  <c r="DQ23" i="2" s="1"/>
  <c r="DR23" i="2" s="1"/>
  <c r="DS23" i="2" s="1"/>
  <c r="DT23" i="2" s="1"/>
  <c r="DU23" i="2" s="1"/>
  <c r="DV23" i="2" s="1"/>
  <c r="DW23" i="2" s="1"/>
  <c r="C4" i="3" s="1"/>
  <c r="AI25" i="2"/>
  <c r="AJ33" i="2" l="1"/>
  <c r="AJ25" i="2"/>
  <c r="N8" i="1" l="1"/>
  <c r="N7" i="1"/>
  <c r="N5" i="1"/>
  <c r="N12" i="1"/>
  <c r="N13" i="1" l="1"/>
  <c r="N6" i="1"/>
  <c r="N9" i="1" s="1"/>
</calcChain>
</file>

<file path=xl/sharedStrings.xml><?xml version="1.0" encoding="utf-8"?>
<sst xmlns="http://schemas.openxmlformats.org/spreadsheetml/2006/main" count="163" uniqueCount="149">
  <si>
    <t>Price</t>
  </si>
  <si>
    <t>Shares</t>
  </si>
  <si>
    <t>MkCap</t>
  </si>
  <si>
    <t>Cash</t>
  </si>
  <si>
    <t>Debt</t>
  </si>
  <si>
    <t>Run rate</t>
  </si>
  <si>
    <t>EV</t>
  </si>
  <si>
    <t>Update</t>
  </si>
  <si>
    <t>NPV</t>
  </si>
  <si>
    <t>2022Q4</t>
  </si>
  <si>
    <t>2022Q3</t>
  </si>
  <si>
    <t>2022Q2</t>
  </si>
  <si>
    <t>2022Q1</t>
  </si>
  <si>
    <t>2021Q4</t>
  </si>
  <si>
    <t>2021Q3</t>
  </si>
  <si>
    <t>2021Q2</t>
  </si>
  <si>
    <t>2021Q1</t>
  </si>
  <si>
    <t>Revenue y/y</t>
  </si>
  <si>
    <t>NPV/Sh</t>
  </si>
  <si>
    <t>Maturity decay</t>
  </si>
  <si>
    <t>Discount</t>
  </si>
  <si>
    <t>Revenue</t>
  </si>
  <si>
    <t>COGS</t>
  </si>
  <si>
    <t>D&amp;Amortization</t>
  </si>
  <si>
    <t>Goodwill</t>
  </si>
  <si>
    <t>SG&amp;A</t>
  </si>
  <si>
    <t>Operating Income</t>
  </si>
  <si>
    <t>Gross income</t>
  </si>
  <si>
    <t>Interest income</t>
  </si>
  <si>
    <t>Net Income</t>
  </si>
  <si>
    <t>EPS</t>
  </si>
  <si>
    <t xml:space="preserve">  Commisions, tranport, etc.</t>
  </si>
  <si>
    <t xml:space="preserve">  Onboard extras</t>
  </si>
  <si>
    <t xml:space="preserve">  Payroll</t>
  </si>
  <si>
    <t xml:space="preserve">  Fuel</t>
  </si>
  <si>
    <t xml:space="preserve">  Food</t>
  </si>
  <si>
    <t xml:space="preserve">  Ship and other impairments</t>
  </si>
  <si>
    <t>Other operating</t>
  </si>
  <si>
    <t>Other income</t>
  </si>
  <si>
    <t>Tax income</t>
  </si>
  <si>
    <t xml:space="preserve">  Passenger tickets</t>
  </si>
  <si>
    <t>Gross margin</t>
  </si>
  <si>
    <t>Op margin</t>
  </si>
  <si>
    <t>Food %rev</t>
  </si>
  <si>
    <t>Fuel %rev</t>
  </si>
  <si>
    <t>Payroll %rev</t>
  </si>
  <si>
    <t>PPE</t>
  </si>
  <si>
    <t>Net cash</t>
  </si>
  <si>
    <t>Debt repayment CF</t>
  </si>
  <si>
    <t>Approx gas price</t>
  </si>
  <si>
    <t>"As of November 30, 2022, 97% of our capacity has resumed guest cruise operations and is serving guests."</t>
  </si>
  <si>
    <t>This is indicative of fuel costs being returned to normal</t>
  </si>
  <si>
    <t>Employment cost index</t>
  </si>
  <si>
    <t>Payroll inflation+growth rate</t>
  </si>
  <si>
    <t>Gas inflation+growth rate</t>
  </si>
  <si>
    <t>Food inflation+growth rate</t>
  </si>
  <si>
    <t>CPI less Food&amp;Energy rate</t>
  </si>
  <si>
    <t>General opcost growth rate</t>
  </si>
  <si>
    <t>SG&amp;A %rev</t>
  </si>
  <si>
    <t>D&amp;A %PPE</t>
  </si>
  <si>
    <t>D&amp;A %rev</t>
  </si>
  <si>
    <t>u</t>
  </si>
  <si>
    <t>Tax rate</t>
  </si>
  <si>
    <t>EBT</t>
  </si>
  <si>
    <t>COGS y/y</t>
  </si>
  <si>
    <t>Interest rate (ROIC)</t>
  </si>
  <si>
    <t xml:space="preserve"> "The full extent of the collective impact of these items is uncertain and may be amplified by our substantial debt balance."</t>
  </si>
  <si>
    <t>" November 30, 2022, we believe that we have sufficient liquidity to fund our obligations and expect to remain in compliance with our financial covenants for at least the next twelve months from the issuance of these financial statements."</t>
  </si>
  <si>
    <t>Year</t>
  </si>
  <si>
    <t>Principal Payments</t>
  </si>
  <si>
    <t>$</t>
  </si>
  <si>
    <t>2,396 </t>
  </si>
  <si>
    <t>2024 (a)</t>
  </si>
  <si>
    <t>2,645 </t>
  </si>
  <si>
    <t>4,385 </t>
  </si>
  <si>
    <t>4,507 </t>
  </si>
  <si>
    <t>5,662 </t>
  </si>
  <si>
    <t>Thereafter</t>
  </si>
  <si>
    <t>16,020 </t>
  </si>
  <si>
    <t>Total</t>
  </si>
  <si>
    <t>35,615 </t>
  </si>
  <si>
    <t>Debt schedule (millions)</t>
  </si>
  <si>
    <t>Passenger Capacity as of December 31 (a) (b)</t>
  </si>
  <si>
    <t>Calendar Year</t>
  </si>
  <si>
    <t>Global Cruise</t>
  </si>
  <si>
    <t>Industry (c)</t>
  </si>
  <si>
    <t>Carnival</t>
  </si>
  <si>
    <t>Corporation &amp; plc</t>
  </si>
  <si>
    <t>589,820 </t>
  </si>
  <si>
    <t>254,010 </t>
  </si>
  <si>
    <t>607,500 </t>
  </si>
  <si>
    <t>246,450 </t>
  </si>
  <si>
    <t>636,270 </t>
  </si>
  <si>
    <t>253,950 </t>
  </si>
  <si>
    <t>663,970 </t>
  </si>
  <si>
    <t>259,060 </t>
  </si>
  <si>
    <t>701,490 </t>
  </si>
  <si>
    <t>263,730 </t>
  </si>
  <si>
    <t>729,820 </t>
  </si>
  <si>
    <t>268,050 </t>
  </si>
  <si>
    <t>764,440 </t>
  </si>
  <si>
    <t>272,360 </t>
  </si>
  <si>
    <t>Passenger Capacity by Ocean Going Vessels</t>
  </si>
  <si>
    <t>Ships in Service or Expected to Return to Service as of</t>
  </si>
  <si>
    <t>November 30, 2022 (a)</t>
  </si>
  <si>
    <t>North America and Australia (“NAA”) Segment</t>
  </si>
  <si>
    <t>   Costa Cruises (“Costa”)</t>
  </si>
  <si>
    <t>   AIDA Cruises (“AIDA”)</t>
  </si>
  <si>
    <r>
      <t>I. </t>
    </r>
    <r>
      <rPr>
        <b/>
        <u/>
        <sz val="10"/>
        <color rgb="FF000000"/>
        <rFont val="Times New Roman"/>
        <family val="1"/>
      </rPr>
      <t>Segment Information</t>
    </r>
  </si>
  <si>
    <t>Passenger Capacity</t>
  </si>
  <si>
    <t>Percentage of Total Capacity</t>
  </si>
  <si>
    <t>Number of Cruise Ships</t>
  </si>
  <si>
    <t>   Carnival Cruise Line</t>
  </si>
  <si>
    <t>(b)</t>
  </si>
  <si>
    <t>30 </t>
  </si>
  <si>
    <t>%</t>
  </si>
  <si>
    <t>   Princess Cruises</t>
  </si>
  <si>
    <t>18 </t>
  </si>
  <si>
    <t>   Holland America Line</t>
  </si>
  <si>
    <t>9 </t>
  </si>
  <si>
    <t>   P&amp;O Cruises (Australia)</t>
  </si>
  <si>
    <t>3 </t>
  </si>
  <si>
    <t>   Seabourn</t>
  </si>
  <si>
    <t>1 </t>
  </si>
  <si>
    <t>61 </t>
  </si>
  <si>
    <t>59 </t>
  </si>
  <si>
    <t>Europe and Asia (“EA”) Segment</t>
  </si>
  <si>
    <t>(b) (c)</t>
  </si>
  <si>
    <t>16 </t>
  </si>
  <si>
    <t>(d)</t>
  </si>
  <si>
    <t>13 </t>
  </si>
  <si>
    <t>   P&amp;O Cruises (UK)</t>
  </si>
  <si>
    <t>7 </t>
  </si>
  <si>
    <t>   Cunard</t>
  </si>
  <si>
    <t>39 </t>
  </si>
  <si>
    <t>32 </t>
  </si>
  <si>
    <t>100 </t>
  </si>
  <si>
    <t>91 </t>
  </si>
  <si>
    <t>Passenger cruise days</t>
  </si>
  <si>
    <t>Occupancy</t>
  </si>
  <si>
    <t>Cash extraction per PCD</t>
  </si>
  <si>
    <t>Cash extraction per APCD</t>
  </si>
  <si>
    <t>Ticket per PCD</t>
  </si>
  <si>
    <t>Available Passenger Cruise Days (ALBD)</t>
  </si>
  <si>
    <t>EBITDA</t>
  </si>
  <si>
    <t>EBIT</t>
  </si>
  <si>
    <t>Extras per PCD</t>
  </si>
  <si>
    <t>Ticket per APCD</t>
  </si>
  <si>
    <t>Extras per APCD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</si>
</sst>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6" x14ac:knownFonts="1">
    <font>
      <sz val="11"/>
      <color theme="1"/>
      <name val="Calibri"/>
      <family val="2"/>
      <scheme val="minor"/>
    </font>
    <font>
      <b/>
      <sz val="11"/>
      <color theme="1"/>
      <name val="Calibri"/>
      <family val="2"/>
      <scheme val="minor"/>
    </font>
    <font>
      <sz val="10"/>
      <color rgb="FF000000"/>
      <name val="Times New Roman"/>
      <family val="1"/>
    </font>
    <font>
      <sz val="14"/>
      <color rgb="FF000000"/>
      <name val="Times New Roman"/>
      <family val="1"/>
    </font>
    <font>
      <b/>
      <sz val="10"/>
      <color rgb="FF000000"/>
      <name val="Times New Roman"/>
      <family val="1"/>
    </font>
    <font>
      <b/>
      <u/>
      <sz val="10"/>
      <color rgb="FF000000"/>
      <name val="Times New Roman"/>
      <family val="1"/>
    </font>
  </fonts>
  <fills count="4">
    <fill>
      <patternFill patternType="none"/>
    </fill>
    <fill>
      <patternFill patternType="gray125"/>
    </fill>
    <fill>
      <patternFill patternType="solid">
        <fgColor rgb="FFCCEEFF"/>
        <bgColor indexed="64"/>
      </patternFill>
    </fill>
    <fill>
      <patternFill patternType="solid">
        <fgColor rgb="FFFFFFFF"/>
        <bgColor indexed="64"/>
      </patternFill>
    </fill>
  </fills>
  <borders count="5">
    <border>
      <left/>
      <right/>
      <top/>
      <bottom/>
      <diagonal/>
    </border>
    <border>
      <left/>
      <right/>
      <top style="medium">
        <color rgb="FF000000"/>
      </top>
      <bottom/>
      <diagonal/>
    </border>
    <border>
      <left/>
      <right/>
      <top style="medium">
        <color rgb="FF000000"/>
      </top>
      <bottom style="double">
        <color rgb="FF000000"/>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74">
    <xf numFmtId="0" fontId="0" fillId="0" borderId="0" xfId="0"/>
    <xf numFmtId="14" fontId="0" fillId="0" borderId="0" xfId="0" applyNumberFormat="1"/>
    <xf numFmtId="3" fontId="0" fillId="0" borderId="0" xfId="0" applyNumberFormat="1"/>
    <xf numFmtId="8" fontId="0" fillId="0" borderId="0" xfId="0" applyNumberFormat="1"/>
    <xf numFmtId="0" fontId="1" fillId="0" borderId="0" xfId="0" applyFont="1"/>
    <xf numFmtId="3" fontId="1" fillId="0" borderId="0" xfId="0" applyNumberFormat="1" applyFont="1"/>
    <xf numFmtId="8" fontId="1" fillId="0" borderId="0" xfId="0" applyNumberFormat="1" applyFont="1"/>
    <xf numFmtId="9" fontId="0" fillId="0" borderId="0" xfId="0" applyNumberFormat="1"/>
    <xf numFmtId="164" fontId="0" fillId="0" borderId="0" xfId="0" applyNumberFormat="1"/>
    <xf numFmtId="10" fontId="0" fillId="0" borderId="0" xfId="0" applyNumberFormat="1"/>
    <xf numFmtId="38" fontId="0" fillId="0" borderId="0" xfId="0" applyNumberFormat="1"/>
    <xf numFmtId="164" fontId="1" fillId="0" borderId="0" xfId="0" applyNumberFormat="1" applyFont="1"/>
    <xf numFmtId="0" fontId="2" fillId="2" borderId="1" xfId="0" applyFont="1" applyFill="1" applyBorder="1" applyAlignment="1">
      <alignment horizontal="left" wrapText="1"/>
    </xf>
    <xf numFmtId="0" fontId="2" fillId="2" borderId="1" xfId="0" applyFont="1" applyFill="1" applyBorder="1" applyAlignment="1">
      <alignment horizontal="right" wrapText="1"/>
    </xf>
    <xf numFmtId="0" fontId="3" fillId="2" borderId="1" xfId="0" applyFont="1" applyFill="1" applyBorder="1" applyAlignment="1">
      <alignment horizontal="right" wrapText="1"/>
    </xf>
    <xf numFmtId="0" fontId="3" fillId="3" borderId="0" xfId="0" applyFont="1" applyFill="1" applyAlignment="1">
      <alignment horizontal="right" wrapText="1"/>
    </xf>
    <xf numFmtId="0" fontId="3" fillId="2" borderId="0" xfId="0" applyFont="1" applyFill="1" applyAlignment="1">
      <alignment horizontal="right" wrapText="1"/>
    </xf>
    <xf numFmtId="0" fontId="2" fillId="2" borderId="2" xfId="0" applyFont="1" applyFill="1" applyBorder="1" applyAlignment="1">
      <alignment horizontal="left" wrapText="1"/>
    </xf>
    <xf numFmtId="0" fontId="2" fillId="2" borderId="2" xfId="0" applyFont="1" applyFill="1" applyBorder="1" applyAlignment="1">
      <alignment horizontal="right" wrapText="1"/>
    </xf>
    <xf numFmtId="0" fontId="4" fillId="0" borderId="0" xfId="0" applyFont="1"/>
    <xf numFmtId="0" fontId="0" fillId="0" borderId="0" xfId="0" applyAlignment="1">
      <alignment vertical="center" wrapText="1"/>
    </xf>
    <xf numFmtId="0" fontId="0" fillId="3" borderId="0" xfId="0" applyFill="1" applyAlignment="1">
      <alignment horizontal="right" vertical="center" wrapText="1"/>
    </xf>
    <xf numFmtId="0" fontId="2" fillId="3" borderId="0" xfId="0" applyFont="1" applyFill="1" applyAlignment="1">
      <alignment horizontal="right" vertical="center" wrapText="1"/>
    </xf>
    <xf numFmtId="0" fontId="0" fillId="2" borderId="0" xfId="0" applyFill="1" applyAlignment="1">
      <alignment horizontal="right" vertical="center" wrapText="1"/>
    </xf>
    <xf numFmtId="0" fontId="0" fillId="2" borderId="1" xfId="0" applyFill="1" applyBorder="1" applyAlignment="1">
      <alignment horizontal="right" vertical="top" wrapText="1"/>
    </xf>
    <xf numFmtId="0" fontId="0" fillId="2" borderId="1" xfId="0" applyFill="1" applyBorder="1" applyAlignment="1">
      <alignment horizontal="right" vertical="center" wrapText="1"/>
    </xf>
    <xf numFmtId="0" fontId="0" fillId="3" borderId="1" xfId="0" applyFill="1" applyBorder="1" applyAlignment="1">
      <alignment horizontal="right" vertical="center" wrapText="1"/>
    </xf>
    <xf numFmtId="0" fontId="2" fillId="2" borderId="2" xfId="0" applyFont="1" applyFill="1" applyBorder="1" applyAlignment="1">
      <alignment horizontal="right" vertical="center" wrapText="1"/>
    </xf>
    <xf numFmtId="4" fontId="0" fillId="0" borderId="0" xfId="0" applyNumberFormat="1"/>
    <xf numFmtId="0" fontId="2" fillId="2" borderId="0" xfId="0" applyFont="1" applyFill="1" applyAlignment="1">
      <alignment horizontal="left" wrapText="1"/>
    </xf>
    <xf numFmtId="0" fontId="3" fillId="2" borderId="0" xfId="0" applyFont="1" applyFill="1" applyAlignment="1">
      <alignment vertical="center" wrapText="1"/>
    </xf>
    <xf numFmtId="0" fontId="2" fillId="2" borderId="0" xfId="0" applyFont="1" applyFill="1" applyAlignment="1">
      <alignment horizontal="right" wrapText="1"/>
    </xf>
    <xf numFmtId="0" fontId="2" fillId="3" borderId="0" xfId="0" applyFont="1" applyFill="1" applyAlignment="1">
      <alignment horizontal="left" wrapText="1"/>
    </xf>
    <xf numFmtId="0" fontId="3" fillId="3" borderId="0" xfId="0" applyFont="1" applyFill="1" applyAlignment="1">
      <alignment vertical="center" wrapText="1"/>
    </xf>
    <xf numFmtId="0" fontId="2" fillId="3" borderId="0" xfId="0" applyFont="1" applyFill="1" applyAlignment="1">
      <alignment horizontal="right" wrapText="1"/>
    </xf>
    <xf numFmtId="0" fontId="2" fillId="2" borderId="1" xfId="0" applyFont="1" applyFill="1" applyBorder="1" applyAlignment="1">
      <alignment horizontal="left" wrapText="1"/>
    </xf>
    <xf numFmtId="0" fontId="2" fillId="2" borderId="1" xfId="0" applyFont="1" applyFill="1" applyBorder="1" applyAlignment="1">
      <alignment horizontal="right" wrapText="1"/>
    </xf>
    <xf numFmtId="0" fontId="4" fillId="0" borderId="0" xfId="0" applyFont="1" applyAlignment="1">
      <alignment horizontal="center" wrapText="1"/>
    </xf>
    <xf numFmtId="0" fontId="4" fillId="0" borderId="0" xfId="0" applyFont="1" applyAlignment="1">
      <alignment horizontal="left" wrapText="1"/>
    </xf>
    <xf numFmtId="0" fontId="4" fillId="0" borderId="3" xfId="0" applyFont="1" applyBorder="1" applyAlignment="1">
      <alignment horizontal="left" wrapText="1"/>
    </xf>
    <xf numFmtId="0" fontId="3" fillId="0" borderId="0" xfId="0" applyFont="1" applyAlignment="1">
      <alignment vertical="center" wrapText="1"/>
    </xf>
    <xf numFmtId="0" fontId="4" fillId="0" borderId="1" xfId="0" applyFont="1" applyBorder="1" applyAlignment="1">
      <alignment horizontal="center" wrapText="1"/>
    </xf>
    <xf numFmtId="0" fontId="4" fillId="0" borderId="3" xfId="0" applyFont="1" applyBorder="1" applyAlignment="1">
      <alignment horizontal="center" wrapText="1"/>
    </xf>
    <xf numFmtId="0" fontId="3" fillId="0" borderId="1" xfId="0" applyFont="1" applyBorder="1" applyAlignment="1">
      <alignment vertical="center" wrapText="1"/>
    </xf>
    <xf numFmtId="0" fontId="0" fillId="0" borderId="0" xfId="0" applyAlignment="1">
      <alignment vertical="center" wrapText="1"/>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0" fontId="2" fillId="3" borderId="3" xfId="0" applyFont="1" applyFill="1" applyBorder="1" applyAlignment="1">
      <alignment horizontal="right" wrapText="1"/>
    </xf>
    <xf numFmtId="0" fontId="4" fillId="0" borderId="4" xfId="0" applyFont="1" applyBorder="1" applyAlignment="1">
      <alignment horizontal="center" wrapText="1"/>
    </xf>
    <xf numFmtId="0" fontId="2" fillId="2" borderId="0" xfId="0" applyFont="1" applyFill="1" applyAlignment="1">
      <alignment horizontal="left" vertical="center" wrapText="1"/>
    </xf>
    <xf numFmtId="0" fontId="0" fillId="2" borderId="1" xfId="0" applyFill="1" applyBorder="1" applyAlignment="1">
      <alignment vertical="center" wrapText="1"/>
    </xf>
    <xf numFmtId="0" fontId="0" fillId="2" borderId="0" xfId="0" applyFill="1" applyAlignment="1">
      <alignment vertical="center" wrapText="1"/>
    </xf>
    <xf numFmtId="0" fontId="0" fillId="0" borderId="1" xfId="0" applyBorder="1" applyAlignment="1">
      <alignment vertical="center" wrapText="1"/>
    </xf>
    <xf numFmtId="0" fontId="2" fillId="2" borderId="0" xfId="0" applyFont="1" applyFill="1" applyAlignment="1">
      <alignment horizontal="left" vertical="top" wrapText="1"/>
    </xf>
    <xf numFmtId="3" fontId="2" fillId="2" borderId="0" xfId="0" applyNumberFormat="1" applyFont="1" applyFill="1" applyAlignment="1">
      <alignment horizontal="right" vertical="center" wrapText="1"/>
    </xf>
    <xf numFmtId="0" fontId="2" fillId="2" borderId="0" xfId="0" applyFont="1" applyFill="1" applyAlignment="1">
      <alignment horizontal="right" vertical="center" wrapText="1"/>
    </xf>
    <xf numFmtId="0" fontId="2" fillId="3" borderId="0" xfId="0" applyFont="1" applyFill="1" applyAlignment="1">
      <alignment horizontal="left" vertical="top" wrapText="1"/>
    </xf>
    <xf numFmtId="3" fontId="2" fillId="3" borderId="0" xfId="0" applyNumberFormat="1" applyFont="1" applyFill="1" applyAlignment="1">
      <alignment horizontal="right" vertical="center" wrapText="1"/>
    </xf>
    <xf numFmtId="0" fontId="2" fillId="3" borderId="0" xfId="0" applyFont="1" applyFill="1" applyAlignment="1">
      <alignment horizontal="right" vertical="center" wrapText="1"/>
    </xf>
    <xf numFmtId="0" fontId="0" fillId="3" borderId="0" xfId="0" applyFill="1" applyAlignment="1">
      <alignment vertical="center" wrapText="1"/>
    </xf>
    <xf numFmtId="3" fontId="2" fillId="2" borderId="4" xfId="0" applyNumberFormat="1" applyFont="1" applyFill="1" applyBorder="1" applyAlignment="1">
      <alignment horizontal="right" vertical="center" wrapText="1"/>
    </xf>
    <xf numFmtId="0" fontId="2" fillId="2" borderId="4" xfId="0" applyFont="1" applyFill="1" applyBorder="1" applyAlignment="1">
      <alignment horizontal="right" vertical="top" wrapText="1"/>
    </xf>
    <xf numFmtId="0" fontId="2" fillId="2" borderId="4" xfId="0" applyFont="1" applyFill="1" applyBorder="1" applyAlignment="1">
      <alignment horizontal="right" vertical="center" wrapText="1"/>
    </xf>
    <xf numFmtId="3" fontId="2" fillId="3" borderId="3" xfId="0" applyNumberFormat="1" applyFont="1" applyFill="1" applyBorder="1" applyAlignment="1">
      <alignment horizontal="right" vertical="center" wrapText="1"/>
    </xf>
    <xf numFmtId="0" fontId="2" fillId="3" borderId="3" xfId="0" applyFont="1" applyFill="1" applyBorder="1" applyAlignment="1">
      <alignment horizontal="right" vertical="center" wrapText="1"/>
    </xf>
    <xf numFmtId="0" fontId="0" fillId="3" borderId="1" xfId="0" applyFill="1" applyBorder="1" applyAlignment="1">
      <alignment vertical="center" wrapText="1"/>
    </xf>
    <xf numFmtId="0" fontId="2" fillId="3" borderId="0" xfId="0" applyFont="1" applyFill="1" applyAlignment="1">
      <alignment horizontal="left" vertical="center" wrapText="1"/>
    </xf>
    <xf numFmtId="3" fontId="2" fillId="2" borderId="3" xfId="0" applyNumberFormat="1" applyFont="1" applyFill="1" applyBorder="1" applyAlignment="1">
      <alignment horizontal="right" vertical="center" wrapText="1"/>
    </xf>
    <xf numFmtId="0" fontId="2" fillId="2" borderId="3" xfId="0" applyFont="1" applyFill="1" applyBorder="1" applyAlignment="1">
      <alignment horizontal="right" vertical="center" wrapText="1"/>
    </xf>
    <xf numFmtId="0" fontId="2" fillId="2" borderId="3" xfId="0" applyFont="1" applyFill="1" applyBorder="1" applyAlignment="1">
      <alignment horizontal="right" wrapText="1"/>
    </xf>
    <xf numFmtId="0" fontId="2" fillId="3" borderId="4" xfId="0" applyFont="1" applyFill="1" applyBorder="1" applyAlignment="1">
      <alignment horizontal="right" vertical="center" wrapText="1"/>
    </xf>
    <xf numFmtId="3" fontId="2" fillId="2" borderId="2" xfId="0" applyNumberFormat="1" applyFont="1" applyFill="1" applyBorder="1" applyAlignment="1">
      <alignment horizontal="right" vertical="center" wrapText="1"/>
    </xf>
    <xf numFmtId="0" fontId="2" fillId="2" borderId="2" xfId="0" applyFont="1" applyFill="1" applyBorder="1" applyAlignment="1">
      <alignment horizontal="right" vertical="center" wrapText="1"/>
    </xf>
    <xf numFmtId="3" fontId="2" fillId="3" borderId="4" xfId="0" applyNumberFormat="1"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38100</xdr:rowOff>
    </xdr:from>
    <xdr:to>
      <xdr:col>26</xdr:col>
      <xdr:colOff>9525</xdr:colOff>
      <xdr:row>56</xdr:row>
      <xdr:rowOff>19050</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2201525" y="38100"/>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19050</xdr:colOff>
      <xdr:row>0</xdr:row>
      <xdr:rowOff>9525</xdr:rowOff>
    </xdr:from>
    <xdr:to>
      <xdr:col>36</xdr:col>
      <xdr:colOff>19050</xdr:colOff>
      <xdr:row>55</xdr:row>
      <xdr:rowOff>180975</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19631025" y="9525"/>
          <a:ext cx="0" cy="874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S67"/>
  <sheetViews>
    <sheetView workbookViewId="0">
      <selection activeCell="N2" sqref="N2"/>
    </sheetView>
  </sheetViews>
  <sheetFormatPr defaultRowHeight="15" x14ac:dyDescent="0.25"/>
  <cols>
    <col min="14" max="14" width="9.7109375" bestFit="1" customWidth="1"/>
  </cols>
  <sheetData>
    <row r="2" spans="2:14" x14ac:dyDescent="0.25">
      <c r="M2" t="s">
        <v>7</v>
      </c>
      <c r="N2" s="1">
        <v>44972</v>
      </c>
    </row>
    <row r="4" spans="2:14" x14ac:dyDescent="0.25">
      <c r="M4" t="s">
        <v>0</v>
      </c>
      <c r="N4" s="3">
        <v>12.19</v>
      </c>
    </row>
    <row r="5" spans="2:14" x14ac:dyDescent="0.25">
      <c r="M5" t="s">
        <v>1</v>
      </c>
      <c r="N5" s="2">
        <f>6093/5.16</f>
        <v>1180.8139534883721</v>
      </c>
    </row>
    <row r="6" spans="2:14" x14ac:dyDescent="0.25">
      <c r="M6" t="s">
        <v>2</v>
      </c>
      <c r="N6" s="2">
        <f>N4*N5</f>
        <v>14394.122093023256</v>
      </c>
    </row>
    <row r="7" spans="2:14" x14ac:dyDescent="0.25">
      <c r="M7" t="s">
        <v>3</v>
      </c>
      <c r="N7" s="2">
        <f>4029+1988</f>
        <v>6017</v>
      </c>
    </row>
    <row r="8" spans="2:14" x14ac:dyDescent="0.25">
      <c r="M8" t="s">
        <v>4</v>
      </c>
      <c r="N8" s="2">
        <f>200+2393+1050+31953</f>
        <v>35596</v>
      </c>
    </row>
    <row r="9" spans="2:14" x14ac:dyDescent="0.25">
      <c r="M9" t="s">
        <v>6</v>
      </c>
      <c r="N9" s="2">
        <f>+N6-N7+N8</f>
        <v>43973.122093023252</v>
      </c>
    </row>
    <row r="10" spans="2:14" x14ac:dyDescent="0.25">
      <c r="M10" t="s">
        <v>5</v>
      </c>
      <c r="N10" s="2">
        <v>2075</v>
      </c>
    </row>
    <row r="12" spans="2:14" x14ac:dyDescent="0.25">
      <c r="M12" t="s">
        <v>8</v>
      </c>
      <c r="N12" s="2">
        <f>Dash!C4</f>
        <v>18848.439289507303</v>
      </c>
    </row>
    <row r="13" spans="2:14" x14ac:dyDescent="0.25">
      <c r="M13" t="s">
        <v>18</v>
      </c>
      <c r="N13" s="3">
        <f>N12/N5</f>
        <v>15.962243022133215</v>
      </c>
    </row>
    <row r="15" spans="2:14" x14ac:dyDescent="0.25">
      <c r="B15" t="s">
        <v>50</v>
      </c>
    </row>
    <row r="16" spans="2:14" x14ac:dyDescent="0.25">
      <c r="B16" t="s">
        <v>51</v>
      </c>
    </row>
    <row r="17" spans="2:10" x14ac:dyDescent="0.25">
      <c r="B17" t="s">
        <v>66</v>
      </c>
    </row>
    <row r="18" spans="2:10" x14ac:dyDescent="0.25">
      <c r="B18" t="s">
        <v>67</v>
      </c>
    </row>
    <row r="21" spans="2:10" x14ac:dyDescent="0.25">
      <c r="B21" t="s">
        <v>81</v>
      </c>
    </row>
    <row r="22" spans="2:10" ht="20.25" thickBot="1" x14ac:dyDescent="0.3">
      <c r="B22" s="38" t="s">
        <v>68</v>
      </c>
      <c r="C22" s="38"/>
      <c r="D22" s="38"/>
      <c r="E22" s="40"/>
      <c r="F22" s="40"/>
      <c r="G22" s="40"/>
      <c r="H22" s="42" t="s">
        <v>69</v>
      </c>
      <c r="I22" s="42"/>
      <c r="J22" s="42"/>
    </row>
    <row r="23" spans="2:10" ht="18.75" x14ac:dyDescent="0.3">
      <c r="B23" s="29">
        <v>2023</v>
      </c>
      <c r="C23" s="29"/>
      <c r="D23" s="29"/>
      <c r="E23" s="30"/>
      <c r="F23" s="30"/>
      <c r="G23" s="30"/>
      <c r="H23" s="12" t="s">
        <v>70</v>
      </c>
      <c r="I23" s="13" t="s">
        <v>71</v>
      </c>
      <c r="J23" s="14"/>
    </row>
    <row r="24" spans="2:10" ht="18.75" x14ac:dyDescent="0.3">
      <c r="B24" s="32" t="s">
        <v>72</v>
      </c>
      <c r="C24" s="32"/>
      <c r="D24" s="32"/>
      <c r="E24" s="33"/>
      <c r="F24" s="33"/>
      <c r="G24" s="33"/>
      <c r="H24" s="34" t="s">
        <v>73</v>
      </c>
      <c r="I24" s="34"/>
      <c r="J24" s="15"/>
    </row>
    <row r="25" spans="2:10" ht="18.75" x14ac:dyDescent="0.3">
      <c r="B25" s="29">
        <v>2025</v>
      </c>
      <c r="C25" s="29"/>
      <c r="D25" s="29"/>
      <c r="E25" s="30"/>
      <c r="F25" s="30"/>
      <c r="G25" s="30"/>
      <c r="H25" s="31" t="s">
        <v>74</v>
      </c>
      <c r="I25" s="31"/>
      <c r="J25" s="16"/>
    </row>
    <row r="26" spans="2:10" ht="18.75" x14ac:dyDescent="0.3">
      <c r="B26" s="32">
        <v>2026</v>
      </c>
      <c r="C26" s="32"/>
      <c r="D26" s="32"/>
      <c r="E26" s="33"/>
      <c r="F26" s="33"/>
      <c r="G26" s="33"/>
      <c r="H26" s="34" t="s">
        <v>75</v>
      </c>
      <c r="I26" s="34"/>
      <c r="J26" s="15"/>
    </row>
    <row r="27" spans="2:10" ht="18.75" x14ac:dyDescent="0.3">
      <c r="B27" s="29">
        <v>2027</v>
      </c>
      <c r="C27" s="29"/>
      <c r="D27" s="29"/>
      <c r="E27" s="30"/>
      <c r="F27" s="30"/>
      <c r="G27" s="30"/>
      <c r="H27" s="31" t="s">
        <v>76</v>
      </c>
      <c r="I27" s="31"/>
      <c r="J27" s="16"/>
    </row>
    <row r="28" spans="2:10" ht="19.5" thickBot="1" x14ac:dyDescent="0.35">
      <c r="B28" s="32" t="s">
        <v>77</v>
      </c>
      <c r="C28" s="32"/>
      <c r="D28" s="32"/>
      <c r="E28" s="33"/>
      <c r="F28" s="33"/>
      <c r="G28" s="33"/>
      <c r="H28" s="47" t="s">
        <v>78</v>
      </c>
      <c r="I28" s="47"/>
      <c r="J28" s="15"/>
    </row>
    <row r="29" spans="2:10" ht="19.5" thickBot="1" x14ac:dyDescent="0.3">
      <c r="B29" s="29" t="s">
        <v>79</v>
      </c>
      <c r="C29" s="29"/>
      <c r="D29" s="29"/>
      <c r="E29" s="30"/>
      <c r="F29" s="30"/>
      <c r="G29" s="30"/>
      <c r="H29" s="17" t="s">
        <v>70</v>
      </c>
      <c r="I29" s="18" t="s">
        <v>80</v>
      </c>
    </row>
    <row r="30" spans="2:10" ht="15.75" thickTop="1" x14ac:dyDescent="0.25"/>
    <row r="33" spans="2:19" x14ac:dyDescent="0.25">
      <c r="B33" t="s">
        <v>102</v>
      </c>
    </row>
    <row r="34" spans="2:19" ht="15.75" thickBot="1" x14ac:dyDescent="0.3">
      <c r="B34" s="37" t="s">
        <v>82</v>
      </c>
      <c r="C34" s="37"/>
      <c r="D34" s="37"/>
      <c r="E34" s="37"/>
      <c r="F34" s="37"/>
      <c r="G34" s="37"/>
      <c r="H34" s="37"/>
      <c r="I34" s="37"/>
      <c r="J34" s="37"/>
    </row>
    <row r="35" spans="2:19" x14ac:dyDescent="0.25">
      <c r="B35" s="38" t="s">
        <v>83</v>
      </c>
      <c r="C35" s="38"/>
      <c r="D35" s="38"/>
      <c r="E35" s="40"/>
      <c r="F35" s="40"/>
      <c r="G35" s="40"/>
      <c r="H35" s="41" t="s">
        <v>84</v>
      </c>
      <c r="I35" s="41"/>
      <c r="J35" s="41"/>
      <c r="K35" s="43"/>
      <c r="L35" s="43"/>
      <c r="M35" s="43"/>
      <c r="N35" s="41" t="s">
        <v>86</v>
      </c>
      <c r="O35" s="41"/>
      <c r="P35" s="41"/>
    </row>
    <row r="36" spans="2:19" ht="15.75" thickBot="1" x14ac:dyDescent="0.3">
      <c r="B36" s="39"/>
      <c r="C36" s="39"/>
      <c r="D36" s="39"/>
      <c r="E36" s="40"/>
      <c r="F36" s="40"/>
      <c r="G36" s="40"/>
      <c r="H36" s="42" t="s">
        <v>85</v>
      </c>
      <c r="I36" s="42"/>
      <c r="J36" s="42"/>
      <c r="K36" s="40"/>
      <c r="L36" s="40"/>
      <c r="M36" s="40"/>
      <c r="N36" s="42" t="s">
        <v>87</v>
      </c>
      <c r="O36" s="42"/>
      <c r="P36" s="42"/>
    </row>
    <row r="37" spans="2:19" ht="18.75" x14ac:dyDescent="0.3">
      <c r="B37" s="35">
        <v>2019</v>
      </c>
      <c r="C37" s="35"/>
      <c r="D37" s="35"/>
      <c r="E37" s="30"/>
      <c r="F37" s="30"/>
      <c r="G37" s="30"/>
      <c r="H37" s="36" t="s">
        <v>88</v>
      </c>
      <c r="I37" s="36"/>
      <c r="J37" s="14"/>
      <c r="K37" s="30"/>
      <c r="L37" s="30"/>
      <c r="M37" s="30"/>
      <c r="N37" s="36" t="s">
        <v>89</v>
      </c>
      <c r="O37" s="36"/>
      <c r="P37" s="14"/>
    </row>
    <row r="38" spans="2:19" ht="18.75" x14ac:dyDescent="0.3">
      <c r="B38" s="32">
        <v>2020</v>
      </c>
      <c r="C38" s="32"/>
      <c r="D38" s="32"/>
      <c r="E38" s="33"/>
      <c r="F38" s="33"/>
      <c r="G38" s="33"/>
      <c r="H38" s="34" t="s">
        <v>90</v>
      </c>
      <c r="I38" s="34"/>
      <c r="J38" s="15"/>
      <c r="K38" s="33"/>
      <c r="L38" s="33"/>
      <c r="M38" s="33"/>
      <c r="N38" s="34" t="s">
        <v>91</v>
      </c>
      <c r="O38" s="34"/>
      <c r="P38" s="15"/>
    </row>
    <row r="39" spans="2:19" ht="18.75" x14ac:dyDescent="0.3">
      <c r="B39" s="29">
        <v>2021</v>
      </c>
      <c r="C39" s="29"/>
      <c r="D39" s="29"/>
      <c r="E39" s="30"/>
      <c r="F39" s="30"/>
      <c r="G39" s="30"/>
      <c r="H39" s="31" t="s">
        <v>92</v>
      </c>
      <c r="I39" s="31"/>
      <c r="J39" s="16"/>
      <c r="K39" s="30"/>
      <c r="L39" s="30"/>
      <c r="M39" s="30"/>
      <c r="N39" s="31" t="s">
        <v>93</v>
      </c>
      <c r="O39" s="31"/>
      <c r="P39" s="16"/>
    </row>
    <row r="40" spans="2:19" ht="18.75" x14ac:dyDescent="0.3">
      <c r="B40" s="32">
        <v>2022</v>
      </c>
      <c r="C40" s="32"/>
      <c r="D40" s="32"/>
      <c r="E40" s="33"/>
      <c r="F40" s="33"/>
      <c r="G40" s="33"/>
      <c r="H40" s="34" t="s">
        <v>94</v>
      </c>
      <c r="I40" s="34"/>
      <c r="J40" s="15"/>
      <c r="K40" s="33"/>
      <c r="L40" s="33"/>
      <c r="M40" s="33"/>
      <c r="N40" s="34" t="s">
        <v>95</v>
      </c>
      <c r="O40" s="34"/>
      <c r="P40" s="15"/>
    </row>
    <row r="41" spans="2:19" ht="18.75" x14ac:dyDescent="0.3">
      <c r="B41" s="29">
        <v>2023</v>
      </c>
      <c r="C41" s="29"/>
      <c r="D41" s="29"/>
      <c r="E41" s="30"/>
      <c r="F41" s="30"/>
      <c r="G41" s="30"/>
      <c r="H41" s="31" t="s">
        <v>96</v>
      </c>
      <c r="I41" s="31"/>
      <c r="J41" s="16"/>
      <c r="K41" s="30"/>
      <c r="L41" s="30"/>
      <c r="M41" s="30"/>
      <c r="N41" s="31" t="s">
        <v>97</v>
      </c>
      <c r="O41" s="31"/>
      <c r="P41" s="16"/>
    </row>
    <row r="42" spans="2:19" ht="18.75" x14ac:dyDescent="0.3">
      <c r="B42" s="32">
        <v>2024</v>
      </c>
      <c r="C42" s="32"/>
      <c r="D42" s="32"/>
      <c r="E42" s="33"/>
      <c r="F42" s="33"/>
      <c r="G42" s="33"/>
      <c r="H42" s="34" t="s">
        <v>98</v>
      </c>
      <c r="I42" s="34"/>
      <c r="J42" s="15"/>
      <c r="K42" s="33"/>
      <c r="L42" s="33"/>
      <c r="M42" s="33"/>
      <c r="N42" s="34" t="s">
        <v>99</v>
      </c>
      <c r="O42" s="34"/>
      <c r="P42" s="15"/>
    </row>
    <row r="43" spans="2:19" ht="18.75" x14ac:dyDescent="0.3">
      <c r="B43" s="29">
        <v>2025</v>
      </c>
      <c r="C43" s="29"/>
      <c r="D43" s="29"/>
      <c r="E43" s="30"/>
      <c r="F43" s="30"/>
      <c r="G43" s="30"/>
      <c r="H43" s="31" t="s">
        <v>100</v>
      </c>
      <c r="I43" s="31"/>
      <c r="J43" s="16"/>
      <c r="K43" s="30"/>
      <c r="L43" s="30"/>
      <c r="M43" s="30"/>
      <c r="N43" s="31" t="s">
        <v>101</v>
      </c>
      <c r="O43" s="31"/>
    </row>
    <row r="47" spans="2:19" x14ac:dyDescent="0.25">
      <c r="B47" s="19" t="s">
        <v>108</v>
      </c>
    </row>
    <row r="48" spans="2:19" x14ac:dyDescent="0.25">
      <c r="B48" s="20"/>
      <c r="C48" s="20"/>
      <c r="D48" s="20"/>
      <c r="E48" s="20"/>
      <c r="F48" s="20"/>
      <c r="G48" s="20"/>
      <c r="H48" s="20"/>
      <c r="I48" s="20"/>
      <c r="J48" s="20"/>
      <c r="K48" s="20"/>
      <c r="L48" s="20"/>
      <c r="M48" s="20"/>
      <c r="N48" s="20"/>
      <c r="O48" s="20"/>
      <c r="P48" s="20"/>
      <c r="Q48" s="20"/>
      <c r="R48" s="20"/>
      <c r="S48" s="20"/>
    </row>
    <row r="49" spans="2:19" x14ac:dyDescent="0.25">
      <c r="B49" s="44"/>
      <c r="C49" s="44"/>
      <c r="D49" s="44"/>
      <c r="E49" s="45" t="s">
        <v>103</v>
      </c>
      <c r="F49" s="45"/>
      <c r="G49" s="45"/>
      <c r="H49" s="45"/>
      <c r="I49" s="45"/>
      <c r="J49" s="45"/>
      <c r="K49" s="45"/>
      <c r="L49" s="45"/>
      <c r="M49" s="45"/>
      <c r="N49" s="45"/>
      <c r="O49" s="45"/>
      <c r="P49" s="45"/>
      <c r="Q49" s="45"/>
      <c r="R49" s="45"/>
      <c r="S49" s="45"/>
    </row>
    <row r="50" spans="2:19" ht="15.75" thickBot="1" x14ac:dyDescent="0.3">
      <c r="B50" s="44"/>
      <c r="C50" s="44"/>
      <c r="D50" s="44"/>
      <c r="E50" s="46" t="s">
        <v>104</v>
      </c>
      <c r="F50" s="46"/>
      <c r="G50" s="46"/>
      <c r="H50" s="46"/>
      <c r="I50" s="46"/>
      <c r="J50" s="46"/>
      <c r="K50" s="46"/>
      <c r="L50" s="46"/>
      <c r="M50" s="46"/>
      <c r="N50" s="46"/>
      <c r="O50" s="46"/>
      <c r="P50" s="46"/>
      <c r="Q50" s="46"/>
      <c r="R50" s="46"/>
      <c r="S50" s="46"/>
    </row>
    <row r="51" spans="2:19" ht="16.5" thickBot="1" x14ac:dyDescent="0.3">
      <c r="B51" s="44"/>
      <c r="C51" s="44"/>
      <c r="D51" s="44"/>
      <c r="E51" s="48" t="s">
        <v>109</v>
      </c>
      <c r="F51" s="48"/>
      <c r="G51" s="48"/>
      <c r="H51" s="52"/>
      <c r="I51" s="52"/>
      <c r="J51" s="52"/>
      <c r="K51" s="48" t="s">
        <v>110</v>
      </c>
      <c r="L51" s="48"/>
      <c r="M51" s="48"/>
      <c r="N51" s="52"/>
      <c r="O51" s="52"/>
      <c r="P51" s="52"/>
      <c r="Q51" s="48" t="s">
        <v>111</v>
      </c>
      <c r="R51" s="48"/>
      <c r="S51" s="48"/>
    </row>
    <row r="52" spans="2:19" ht="25.5" customHeight="1" x14ac:dyDescent="0.25">
      <c r="B52" s="49" t="s">
        <v>105</v>
      </c>
      <c r="C52" s="49"/>
      <c r="D52" s="49"/>
      <c r="E52" s="50"/>
      <c r="F52" s="50"/>
      <c r="G52" s="50"/>
      <c r="H52" s="51"/>
      <c r="I52" s="51"/>
      <c r="J52" s="51"/>
      <c r="K52" s="50"/>
      <c r="L52" s="50"/>
      <c r="M52" s="50"/>
      <c r="N52" s="51"/>
      <c r="O52" s="51"/>
      <c r="P52" s="51"/>
      <c r="Q52" s="50"/>
      <c r="R52" s="50"/>
      <c r="S52" s="50"/>
    </row>
    <row r="53" spans="2:19" x14ac:dyDescent="0.25">
      <c r="B53" s="56" t="s">
        <v>112</v>
      </c>
      <c r="C53" s="56"/>
      <c r="D53" s="56"/>
      <c r="E53" s="57">
        <v>75530</v>
      </c>
      <c r="F53" s="57"/>
      <c r="G53" s="57"/>
      <c r="H53" s="56" t="s">
        <v>113</v>
      </c>
      <c r="I53" s="56"/>
      <c r="J53" s="56"/>
      <c r="K53" s="58" t="s">
        <v>114</v>
      </c>
      <c r="L53" s="58"/>
      <c r="M53" s="22" t="s">
        <v>115</v>
      </c>
      <c r="N53" s="59"/>
      <c r="O53" s="59"/>
      <c r="P53" s="59"/>
      <c r="Q53" s="34">
        <v>24</v>
      </c>
      <c r="R53" s="34"/>
      <c r="S53" s="34"/>
    </row>
    <row r="54" spans="2:19" x14ac:dyDescent="0.25">
      <c r="B54" s="53" t="s">
        <v>116</v>
      </c>
      <c r="C54" s="53"/>
      <c r="D54" s="53"/>
      <c r="E54" s="54">
        <v>46280</v>
      </c>
      <c r="F54" s="54"/>
      <c r="G54" s="54"/>
      <c r="H54" s="51"/>
      <c r="I54" s="51"/>
      <c r="J54" s="51"/>
      <c r="K54" s="55" t="s">
        <v>117</v>
      </c>
      <c r="L54" s="55"/>
      <c r="M54" s="23"/>
      <c r="N54" s="51"/>
      <c r="O54" s="51"/>
      <c r="P54" s="51"/>
      <c r="Q54" s="31">
        <v>15</v>
      </c>
      <c r="R54" s="31"/>
      <c r="S54" s="31"/>
    </row>
    <row r="55" spans="2:19" x14ac:dyDescent="0.25">
      <c r="B55" s="56" t="s">
        <v>118</v>
      </c>
      <c r="C55" s="56"/>
      <c r="D55" s="56"/>
      <c r="E55" s="57">
        <v>22920</v>
      </c>
      <c r="F55" s="57"/>
      <c r="G55" s="57"/>
      <c r="H55" s="59"/>
      <c r="I55" s="59"/>
      <c r="J55" s="59"/>
      <c r="K55" s="58" t="s">
        <v>119</v>
      </c>
      <c r="L55" s="58"/>
      <c r="M55" s="21"/>
      <c r="N55" s="59"/>
      <c r="O55" s="59"/>
      <c r="P55" s="59"/>
      <c r="Q55" s="34">
        <v>11</v>
      </c>
      <c r="R55" s="34"/>
      <c r="S55" s="34"/>
    </row>
    <row r="56" spans="2:19" x14ac:dyDescent="0.25">
      <c r="B56" s="53" t="s">
        <v>120</v>
      </c>
      <c r="C56" s="53"/>
      <c r="D56" s="53"/>
      <c r="E56" s="54">
        <v>7230</v>
      </c>
      <c r="F56" s="54"/>
      <c r="G56" s="54"/>
      <c r="H56" s="51"/>
      <c r="I56" s="51"/>
      <c r="J56" s="51"/>
      <c r="K56" s="55" t="s">
        <v>121</v>
      </c>
      <c r="L56" s="55"/>
      <c r="M56" s="23"/>
      <c r="N56" s="51"/>
      <c r="O56" s="51"/>
      <c r="P56" s="51"/>
      <c r="Q56" s="31">
        <v>3</v>
      </c>
      <c r="R56" s="31"/>
      <c r="S56" s="31"/>
    </row>
    <row r="57" spans="2:19" ht="15.75" thickBot="1" x14ac:dyDescent="0.3">
      <c r="B57" s="56" t="s">
        <v>122</v>
      </c>
      <c r="C57" s="56"/>
      <c r="D57" s="56"/>
      <c r="E57" s="63">
        <v>2840</v>
      </c>
      <c r="F57" s="63"/>
      <c r="G57" s="63"/>
      <c r="H57" s="59"/>
      <c r="I57" s="59"/>
      <c r="J57" s="59"/>
      <c r="K57" s="64" t="s">
        <v>123</v>
      </c>
      <c r="L57" s="64"/>
      <c r="M57" s="21"/>
      <c r="N57" s="59"/>
      <c r="O57" s="59"/>
      <c r="P57" s="59"/>
      <c r="Q57" s="47">
        <v>6</v>
      </c>
      <c r="R57" s="47"/>
      <c r="S57" s="47"/>
    </row>
    <row r="58" spans="2:19" ht="15.75" thickBot="1" x14ac:dyDescent="0.3">
      <c r="B58" s="51"/>
      <c r="C58" s="51"/>
      <c r="D58" s="51"/>
      <c r="E58" s="60">
        <v>154800</v>
      </c>
      <c r="F58" s="60"/>
      <c r="G58" s="60"/>
      <c r="H58" s="51"/>
      <c r="I58" s="51"/>
      <c r="J58" s="51"/>
      <c r="K58" s="61" t="s">
        <v>124</v>
      </c>
      <c r="L58" s="61"/>
      <c r="M58" s="24"/>
      <c r="N58" s="51"/>
      <c r="O58" s="51"/>
      <c r="P58" s="51"/>
      <c r="Q58" s="62" t="s">
        <v>125</v>
      </c>
      <c r="R58" s="62"/>
      <c r="S58" s="25"/>
    </row>
    <row r="59" spans="2:19" x14ac:dyDescent="0.25">
      <c r="B59" s="59"/>
      <c r="C59" s="59"/>
      <c r="D59" s="59"/>
      <c r="E59" s="65"/>
      <c r="F59" s="65"/>
      <c r="G59" s="65"/>
      <c r="H59" s="59"/>
      <c r="I59" s="59"/>
      <c r="J59" s="59"/>
      <c r="K59" s="65"/>
      <c r="L59" s="65"/>
      <c r="M59" s="65"/>
      <c r="N59" s="59"/>
      <c r="O59" s="59"/>
      <c r="P59" s="59"/>
      <c r="Q59" s="65"/>
      <c r="R59" s="65"/>
      <c r="S59" s="65"/>
    </row>
    <row r="60" spans="2:19" x14ac:dyDescent="0.25">
      <c r="B60" s="53" t="s">
        <v>126</v>
      </c>
      <c r="C60" s="53"/>
      <c r="D60" s="53"/>
      <c r="E60" s="53"/>
      <c r="F60" s="53"/>
      <c r="G60" s="53"/>
      <c r="H60" s="53"/>
      <c r="I60" s="53"/>
      <c r="J60" s="53"/>
      <c r="K60" s="51"/>
      <c r="L60" s="51"/>
      <c r="M60" s="51"/>
      <c r="N60" s="51"/>
      <c r="O60" s="51"/>
      <c r="P60" s="51"/>
      <c r="Q60" s="51"/>
      <c r="R60" s="51"/>
      <c r="S60" s="51"/>
    </row>
    <row r="61" spans="2:19" x14ac:dyDescent="0.25">
      <c r="B61" s="66" t="s">
        <v>106</v>
      </c>
      <c r="C61" s="66"/>
      <c r="D61" s="66"/>
      <c r="E61" s="57">
        <v>39580</v>
      </c>
      <c r="F61" s="57"/>
      <c r="G61" s="57"/>
      <c r="H61" s="56" t="s">
        <v>127</v>
      </c>
      <c r="I61" s="56"/>
      <c r="J61" s="56"/>
      <c r="K61" s="58" t="s">
        <v>128</v>
      </c>
      <c r="L61" s="58"/>
      <c r="M61" s="21"/>
      <c r="N61" s="59"/>
      <c r="O61" s="59"/>
      <c r="P61" s="59"/>
      <c r="Q61" s="34">
        <v>11</v>
      </c>
      <c r="R61" s="34"/>
      <c r="S61" s="34"/>
    </row>
    <row r="62" spans="2:19" x14ac:dyDescent="0.25">
      <c r="B62" s="49" t="s">
        <v>107</v>
      </c>
      <c r="C62" s="49"/>
      <c r="D62" s="49"/>
      <c r="E62" s="54">
        <v>33540</v>
      </c>
      <c r="F62" s="54"/>
      <c r="G62" s="54"/>
      <c r="H62" s="53" t="s">
        <v>129</v>
      </c>
      <c r="I62" s="53"/>
      <c r="J62" s="53"/>
      <c r="K62" s="55" t="s">
        <v>130</v>
      </c>
      <c r="L62" s="55"/>
      <c r="M62" s="23"/>
      <c r="N62" s="51"/>
      <c r="O62" s="51"/>
      <c r="P62" s="51"/>
      <c r="Q62" s="31">
        <v>12</v>
      </c>
      <c r="R62" s="31"/>
      <c r="S62" s="31"/>
    </row>
    <row r="63" spans="2:19" x14ac:dyDescent="0.25">
      <c r="B63" s="56" t="s">
        <v>131</v>
      </c>
      <c r="C63" s="56"/>
      <c r="D63" s="56"/>
      <c r="E63" s="57">
        <v>19020</v>
      </c>
      <c r="F63" s="57"/>
      <c r="G63" s="57"/>
      <c r="H63" s="59"/>
      <c r="I63" s="59"/>
      <c r="J63" s="59"/>
      <c r="K63" s="58" t="s">
        <v>132</v>
      </c>
      <c r="L63" s="58"/>
      <c r="M63" s="21"/>
      <c r="N63" s="59"/>
      <c r="O63" s="59"/>
      <c r="P63" s="59"/>
      <c r="Q63" s="34">
        <v>6</v>
      </c>
      <c r="R63" s="34"/>
      <c r="S63" s="34"/>
    </row>
    <row r="64" spans="2:19" ht="15.75" thickBot="1" x14ac:dyDescent="0.3">
      <c r="B64" s="53" t="s">
        <v>133</v>
      </c>
      <c r="C64" s="53"/>
      <c r="D64" s="53"/>
      <c r="E64" s="67">
        <v>6820</v>
      </c>
      <c r="F64" s="67"/>
      <c r="G64" s="67"/>
      <c r="H64" s="51"/>
      <c r="I64" s="51"/>
      <c r="J64" s="51"/>
      <c r="K64" s="68" t="s">
        <v>121</v>
      </c>
      <c r="L64" s="68"/>
      <c r="M64" s="23"/>
      <c r="N64" s="51"/>
      <c r="O64" s="51"/>
      <c r="P64" s="51"/>
      <c r="Q64" s="69">
        <v>3</v>
      </c>
      <c r="R64" s="69"/>
      <c r="S64" s="69"/>
    </row>
    <row r="65" spans="2:19" ht="15.75" thickBot="1" x14ac:dyDescent="0.3">
      <c r="B65" s="59"/>
      <c r="C65" s="59"/>
      <c r="D65" s="59"/>
      <c r="E65" s="73">
        <v>98960</v>
      </c>
      <c r="F65" s="73"/>
      <c r="G65" s="73"/>
      <c r="H65" s="59"/>
      <c r="I65" s="59"/>
      <c r="J65" s="59"/>
      <c r="K65" s="70" t="s">
        <v>134</v>
      </c>
      <c r="L65" s="70"/>
      <c r="M65" s="26"/>
      <c r="N65" s="59"/>
      <c r="O65" s="59"/>
      <c r="P65" s="59"/>
      <c r="Q65" s="70" t="s">
        <v>135</v>
      </c>
      <c r="R65" s="70"/>
      <c r="S65" s="26"/>
    </row>
    <row r="66" spans="2:19" ht="19.5" thickBot="1" x14ac:dyDescent="0.3">
      <c r="B66" s="30"/>
      <c r="C66" s="30"/>
      <c r="D66" s="30"/>
      <c r="E66" s="71">
        <v>253760</v>
      </c>
      <c r="F66" s="71"/>
      <c r="G66" s="71"/>
      <c r="H66" s="30"/>
      <c r="I66" s="30"/>
      <c r="J66" s="30"/>
      <c r="K66" s="72" t="s">
        <v>136</v>
      </c>
      <c r="L66" s="72"/>
      <c r="M66" s="27" t="s">
        <v>115</v>
      </c>
      <c r="N66" s="30"/>
      <c r="O66" s="30"/>
      <c r="P66" s="30"/>
      <c r="Q66" s="72" t="s">
        <v>137</v>
      </c>
      <c r="R66" s="72"/>
    </row>
    <row r="67" spans="2:19" ht="15.75" thickTop="1" x14ac:dyDescent="0.25"/>
  </sheetData>
  <mergeCells count="162">
    <mergeCell ref="Q65:R65"/>
    <mergeCell ref="B66:D66"/>
    <mergeCell ref="E66:G66"/>
    <mergeCell ref="H66:J66"/>
    <mergeCell ref="K66:L66"/>
    <mergeCell ref="N66:P66"/>
    <mergeCell ref="Q66:R66"/>
    <mergeCell ref="B65:D65"/>
    <mergeCell ref="E65:G65"/>
    <mergeCell ref="H65:J65"/>
    <mergeCell ref="K65:L65"/>
    <mergeCell ref="N65:P65"/>
    <mergeCell ref="Q63:S63"/>
    <mergeCell ref="B64:D64"/>
    <mergeCell ref="E64:G64"/>
    <mergeCell ref="H64:J64"/>
    <mergeCell ref="K64:L64"/>
    <mergeCell ref="N64:P64"/>
    <mergeCell ref="Q64:S64"/>
    <mergeCell ref="B63:D63"/>
    <mergeCell ref="E63:G63"/>
    <mergeCell ref="H63:J63"/>
    <mergeCell ref="K63:L63"/>
    <mergeCell ref="N63:P63"/>
    <mergeCell ref="Q61:S61"/>
    <mergeCell ref="B62:D62"/>
    <mergeCell ref="E62:G62"/>
    <mergeCell ref="H62:J62"/>
    <mergeCell ref="K62:L62"/>
    <mergeCell ref="N62:P62"/>
    <mergeCell ref="Q62:S62"/>
    <mergeCell ref="B61:D61"/>
    <mergeCell ref="E61:G61"/>
    <mergeCell ref="H61:J61"/>
    <mergeCell ref="K61:L61"/>
    <mergeCell ref="N61:P61"/>
    <mergeCell ref="Q59:S59"/>
    <mergeCell ref="B60:J60"/>
    <mergeCell ref="K60:M60"/>
    <mergeCell ref="N60:P60"/>
    <mergeCell ref="Q60:S60"/>
    <mergeCell ref="B59:D59"/>
    <mergeCell ref="E59:G59"/>
    <mergeCell ref="H59:J59"/>
    <mergeCell ref="K59:M59"/>
    <mergeCell ref="N59:P59"/>
    <mergeCell ref="Q57:S57"/>
    <mergeCell ref="B58:D58"/>
    <mergeCell ref="E58:G58"/>
    <mergeCell ref="H58:J58"/>
    <mergeCell ref="K58:L58"/>
    <mergeCell ref="N58:P58"/>
    <mergeCell ref="Q58:R58"/>
    <mergeCell ref="B57:D57"/>
    <mergeCell ref="E57:G57"/>
    <mergeCell ref="H57:J57"/>
    <mergeCell ref="K57:L57"/>
    <mergeCell ref="N57:P57"/>
    <mergeCell ref="Q55:S55"/>
    <mergeCell ref="B56:D56"/>
    <mergeCell ref="E56:G56"/>
    <mergeCell ref="H56:J56"/>
    <mergeCell ref="K56:L56"/>
    <mergeCell ref="N56:P56"/>
    <mergeCell ref="Q56:S56"/>
    <mergeCell ref="B55:D55"/>
    <mergeCell ref="E55:G55"/>
    <mergeCell ref="H55:J55"/>
    <mergeCell ref="K55:L55"/>
    <mergeCell ref="N55:P55"/>
    <mergeCell ref="Q53:S53"/>
    <mergeCell ref="B54:D54"/>
    <mergeCell ref="E54:G54"/>
    <mergeCell ref="H54:J54"/>
    <mergeCell ref="K54:L54"/>
    <mergeCell ref="N54:P54"/>
    <mergeCell ref="Q54:S54"/>
    <mergeCell ref="B53:D53"/>
    <mergeCell ref="E53:G53"/>
    <mergeCell ref="H53:J53"/>
    <mergeCell ref="K53:L53"/>
    <mergeCell ref="N53:P53"/>
    <mergeCell ref="Q51:S51"/>
    <mergeCell ref="B52:D52"/>
    <mergeCell ref="E52:G52"/>
    <mergeCell ref="H52:J52"/>
    <mergeCell ref="K52:M52"/>
    <mergeCell ref="N52:P52"/>
    <mergeCell ref="Q52:S52"/>
    <mergeCell ref="B51:D51"/>
    <mergeCell ref="E51:G51"/>
    <mergeCell ref="H51:J51"/>
    <mergeCell ref="K51:M51"/>
    <mergeCell ref="N51:P51"/>
    <mergeCell ref="B24:D24"/>
    <mergeCell ref="E24:G24"/>
    <mergeCell ref="H24:I24"/>
    <mergeCell ref="B49:D50"/>
    <mergeCell ref="E49:S49"/>
    <mergeCell ref="E50:S50"/>
    <mergeCell ref="B22:D22"/>
    <mergeCell ref="E22:G22"/>
    <mergeCell ref="H22:J22"/>
    <mergeCell ref="B23:D23"/>
    <mergeCell ref="E23:G23"/>
    <mergeCell ref="B25:D25"/>
    <mergeCell ref="E25:G25"/>
    <mergeCell ref="H25:I25"/>
    <mergeCell ref="B26:D26"/>
    <mergeCell ref="E26:G26"/>
    <mergeCell ref="H26:I26"/>
    <mergeCell ref="B27:D27"/>
    <mergeCell ref="E27:G27"/>
    <mergeCell ref="H27:I27"/>
    <mergeCell ref="B28:D28"/>
    <mergeCell ref="E28:G28"/>
    <mergeCell ref="H28:I28"/>
    <mergeCell ref="B29:D29"/>
    <mergeCell ref="E29:G29"/>
    <mergeCell ref="B34:J34"/>
    <mergeCell ref="B35:D36"/>
    <mergeCell ref="E35:G36"/>
    <mergeCell ref="H35:J35"/>
    <mergeCell ref="H36:J36"/>
    <mergeCell ref="K35:M36"/>
    <mergeCell ref="N35:P35"/>
    <mergeCell ref="N36:P36"/>
    <mergeCell ref="B37:D37"/>
    <mergeCell ref="E37:G37"/>
    <mergeCell ref="H37:I37"/>
    <mergeCell ref="K37:M37"/>
    <mergeCell ref="N37:O37"/>
    <mergeCell ref="B39:D39"/>
    <mergeCell ref="E39:G39"/>
    <mergeCell ref="H39:I39"/>
    <mergeCell ref="K39:M39"/>
    <mergeCell ref="N39:O39"/>
    <mergeCell ref="B38:D38"/>
    <mergeCell ref="E38:G38"/>
    <mergeCell ref="H38:I38"/>
    <mergeCell ref="K38:M38"/>
    <mergeCell ref="N38:O38"/>
    <mergeCell ref="B41:D41"/>
    <mergeCell ref="E41:G41"/>
    <mergeCell ref="H41:I41"/>
    <mergeCell ref="K41:M41"/>
    <mergeCell ref="N41:O41"/>
    <mergeCell ref="B40:D40"/>
    <mergeCell ref="E40:G40"/>
    <mergeCell ref="H40:I40"/>
    <mergeCell ref="K40:M40"/>
    <mergeCell ref="N40:O40"/>
    <mergeCell ref="B43:D43"/>
    <mergeCell ref="E43:G43"/>
    <mergeCell ref="H43:I43"/>
    <mergeCell ref="K43:M43"/>
    <mergeCell ref="N43:O43"/>
    <mergeCell ref="B42:D42"/>
    <mergeCell ref="E42:G42"/>
    <mergeCell ref="H42:I42"/>
    <mergeCell ref="K42:M42"/>
    <mergeCell ref="N42:O42"/>
  </mergeCells>
  <pageMargins left="0.7" right="0.7" top="0.75" bottom="0.75" header="0.3" footer="0.3"/>
  <pageSetup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2:DW81"/>
  <sheetViews>
    <sheetView tabSelected="1" workbookViewId="0">
      <pane xSplit="2" ySplit="2" topLeftCell="C3" activePane="bottomRight" state="frozen"/>
      <selection pane="topRight" activeCell="C1" sqref="C1"/>
      <selection pane="bottomLeft" activeCell="A3" sqref="A3"/>
      <selection pane="bottomRight" activeCell="AB10" sqref="AB10"/>
    </sheetView>
  </sheetViews>
  <sheetFormatPr defaultRowHeight="15" x14ac:dyDescent="0.25"/>
  <cols>
    <col min="2" max="2" width="25.85546875" bestFit="1" customWidth="1"/>
    <col min="26" max="40" width="9.42578125" bestFit="1" customWidth="1"/>
  </cols>
  <sheetData>
    <row r="2" spans="2:127" x14ac:dyDescent="0.25">
      <c r="C2" t="s">
        <v>16</v>
      </c>
      <c r="D2" t="s">
        <v>15</v>
      </c>
      <c r="E2" t="s">
        <v>14</v>
      </c>
      <c r="F2" t="s">
        <v>13</v>
      </c>
      <c r="G2" t="s">
        <v>12</v>
      </c>
      <c r="H2" t="s">
        <v>11</v>
      </c>
      <c r="I2" t="s">
        <v>10</v>
      </c>
      <c r="J2" t="s">
        <v>9</v>
      </c>
      <c r="N2">
        <v>2010</v>
      </c>
      <c r="O2">
        <v>2011</v>
      </c>
      <c r="P2">
        <v>2012</v>
      </c>
      <c r="Q2">
        <v>2013</v>
      </c>
      <c r="R2">
        <v>2014</v>
      </c>
      <c r="S2">
        <v>2015</v>
      </c>
      <c r="T2">
        <v>2016</v>
      </c>
      <c r="U2">
        <v>2017</v>
      </c>
      <c r="V2">
        <v>2018</v>
      </c>
      <c r="W2">
        <v>2019</v>
      </c>
      <c r="X2">
        <v>2020</v>
      </c>
      <c r="Y2">
        <v>2021</v>
      </c>
      <c r="Z2">
        <v>2022</v>
      </c>
      <c r="AA2">
        <v>2023</v>
      </c>
      <c r="AB2">
        <v>2024</v>
      </c>
      <c r="AC2">
        <v>2025</v>
      </c>
      <c r="AD2">
        <v>2026</v>
      </c>
      <c r="AE2">
        <v>2027</v>
      </c>
      <c r="AF2">
        <v>2028</v>
      </c>
      <c r="AG2">
        <v>2029</v>
      </c>
      <c r="AH2">
        <v>2030</v>
      </c>
      <c r="AI2">
        <v>2031</v>
      </c>
      <c r="AJ2">
        <v>2032</v>
      </c>
      <c r="AK2">
        <v>2033</v>
      </c>
      <c r="AL2">
        <v>2034</v>
      </c>
      <c r="AM2">
        <v>2035</v>
      </c>
      <c r="AN2">
        <v>2036</v>
      </c>
      <c r="AO2">
        <v>2037</v>
      </c>
      <c r="AP2">
        <v>2038</v>
      </c>
      <c r="AQ2">
        <v>2039</v>
      </c>
      <c r="AR2">
        <v>2040</v>
      </c>
      <c r="AS2">
        <v>2041</v>
      </c>
      <c r="AT2">
        <v>2042</v>
      </c>
      <c r="AU2">
        <v>2043</v>
      </c>
      <c r="AV2">
        <v>2044</v>
      </c>
      <c r="AW2">
        <v>2045</v>
      </c>
      <c r="AX2">
        <v>2046</v>
      </c>
      <c r="AY2">
        <v>2047</v>
      </c>
      <c r="AZ2">
        <v>2048</v>
      </c>
      <c r="BA2">
        <v>2049</v>
      </c>
      <c r="BB2">
        <v>2050</v>
      </c>
      <c r="BC2">
        <v>2051</v>
      </c>
      <c r="BD2">
        <v>2052</v>
      </c>
      <c r="BE2">
        <v>2053</v>
      </c>
      <c r="BF2">
        <v>2054</v>
      </c>
      <c r="BG2">
        <v>2055</v>
      </c>
      <c r="BH2">
        <v>2056</v>
      </c>
      <c r="BI2">
        <v>2057</v>
      </c>
      <c r="BJ2">
        <v>2058</v>
      </c>
      <c r="BK2">
        <v>2059</v>
      </c>
      <c r="BL2">
        <v>2060</v>
      </c>
      <c r="BM2">
        <v>2061</v>
      </c>
      <c r="BN2">
        <v>2062</v>
      </c>
      <c r="BO2">
        <v>2063</v>
      </c>
      <c r="BP2">
        <v>2064</v>
      </c>
      <c r="BQ2">
        <v>2065</v>
      </c>
      <c r="BR2">
        <v>2066</v>
      </c>
      <c r="BS2">
        <v>2067</v>
      </c>
      <c r="BT2">
        <v>2068</v>
      </c>
      <c r="BU2">
        <v>2069</v>
      </c>
      <c r="BV2">
        <v>2070</v>
      </c>
      <c r="BW2">
        <v>2071</v>
      </c>
      <c r="BX2">
        <v>2072</v>
      </c>
      <c r="BY2">
        <v>2073</v>
      </c>
      <c r="BZ2">
        <v>2074</v>
      </c>
      <c r="CA2">
        <v>2075</v>
      </c>
      <c r="CB2">
        <v>2076</v>
      </c>
      <c r="CC2">
        <v>2077</v>
      </c>
      <c r="CD2">
        <v>2078</v>
      </c>
      <c r="CE2">
        <v>2079</v>
      </c>
      <c r="CF2">
        <v>2080</v>
      </c>
      <c r="CG2">
        <v>2081</v>
      </c>
      <c r="CH2">
        <v>2082</v>
      </c>
      <c r="CI2">
        <v>2083</v>
      </c>
      <c r="CJ2">
        <v>2084</v>
      </c>
      <c r="CK2">
        <v>2085</v>
      </c>
      <c r="CL2">
        <v>2086</v>
      </c>
      <c r="CM2">
        <v>2087</v>
      </c>
      <c r="CN2">
        <v>2088</v>
      </c>
      <c r="CO2">
        <v>2089</v>
      </c>
      <c r="CP2">
        <v>2090</v>
      </c>
      <c r="CQ2">
        <v>2091</v>
      </c>
      <c r="CR2">
        <v>2092</v>
      </c>
      <c r="CS2">
        <v>2093</v>
      </c>
      <c r="CT2">
        <v>2094</v>
      </c>
      <c r="CU2">
        <v>2095</v>
      </c>
      <c r="CV2">
        <v>2096</v>
      </c>
      <c r="CW2">
        <v>2097</v>
      </c>
      <c r="CX2">
        <v>2098</v>
      </c>
      <c r="CY2">
        <v>2099</v>
      </c>
      <c r="CZ2">
        <v>2100</v>
      </c>
      <c r="DA2">
        <v>2101</v>
      </c>
      <c r="DB2">
        <v>2102</v>
      </c>
      <c r="DC2">
        <v>2103</v>
      </c>
      <c r="DD2">
        <v>2104</v>
      </c>
      <c r="DE2">
        <v>2105</v>
      </c>
      <c r="DF2">
        <v>2106</v>
      </c>
      <c r="DG2">
        <v>2107</v>
      </c>
      <c r="DH2">
        <v>2108</v>
      </c>
      <c r="DI2">
        <v>2109</v>
      </c>
      <c r="DJ2">
        <v>2110</v>
      </c>
      <c r="DK2">
        <v>2111</v>
      </c>
      <c r="DL2">
        <v>2112</v>
      </c>
      <c r="DM2">
        <v>2113</v>
      </c>
      <c r="DN2">
        <v>2114</v>
      </c>
      <c r="DO2">
        <v>2115</v>
      </c>
      <c r="DP2">
        <v>2116</v>
      </c>
      <c r="DQ2">
        <v>2117</v>
      </c>
      <c r="DR2">
        <v>2118</v>
      </c>
      <c r="DS2">
        <v>2119</v>
      </c>
      <c r="DT2">
        <v>2120</v>
      </c>
      <c r="DU2">
        <v>2121</v>
      </c>
      <c r="DV2">
        <v>2122</v>
      </c>
      <c r="DW2">
        <v>2123</v>
      </c>
    </row>
    <row r="3" spans="2:127" x14ac:dyDescent="0.25">
      <c r="B3" t="s">
        <v>40</v>
      </c>
      <c r="C3" s="2">
        <v>3</v>
      </c>
      <c r="D3" s="2">
        <v>20</v>
      </c>
      <c r="E3" s="2">
        <v>303</v>
      </c>
      <c r="F3" s="2">
        <f>+Y3-E3-D3-C3</f>
        <v>674</v>
      </c>
      <c r="G3" s="2">
        <v>873</v>
      </c>
      <c r="H3" s="2">
        <v>1285</v>
      </c>
      <c r="I3" s="2">
        <v>2595</v>
      </c>
      <c r="J3" s="2">
        <f>+Z3-I3-H3-G3</f>
        <v>2269</v>
      </c>
      <c r="K3" s="2"/>
      <c r="L3" s="2"/>
      <c r="M3" s="2"/>
      <c r="N3" s="2">
        <v>11084</v>
      </c>
      <c r="O3" s="2">
        <v>12158</v>
      </c>
      <c r="P3" s="2">
        <v>11658</v>
      </c>
      <c r="Q3" s="2">
        <v>11648</v>
      </c>
      <c r="R3" s="2">
        <v>11889</v>
      </c>
      <c r="S3" s="2">
        <v>11601</v>
      </c>
      <c r="T3" s="2">
        <v>12090</v>
      </c>
      <c r="U3" s="2">
        <v>12944</v>
      </c>
      <c r="V3" s="2">
        <v>13930</v>
      </c>
      <c r="W3" s="2">
        <v>14104</v>
      </c>
      <c r="X3" s="2">
        <v>3684</v>
      </c>
      <c r="Y3" s="2">
        <v>1000</v>
      </c>
      <c r="Z3" s="2">
        <v>7022</v>
      </c>
      <c r="AA3" s="2"/>
      <c r="AB3" s="2"/>
      <c r="AC3" s="2"/>
      <c r="AD3" s="2"/>
      <c r="AE3" s="2"/>
      <c r="AF3" s="2"/>
      <c r="AG3" s="2"/>
      <c r="AH3" s="2"/>
      <c r="AI3" s="2"/>
      <c r="AJ3" s="2"/>
      <c r="AK3" s="2"/>
      <c r="AL3" s="2"/>
      <c r="AM3" s="2"/>
      <c r="AN3" s="2"/>
    </row>
    <row r="4" spans="2:127" x14ac:dyDescent="0.25">
      <c r="B4" t="s">
        <v>32</v>
      </c>
      <c r="C4" s="2">
        <v>23</v>
      </c>
      <c r="D4" s="2">
        <v>29</v>
      </c>
      <c r="E4" s="2">
        <v>243</v>
      </c>
      <c r="F4" s="2">
        <f>+Y4-E4-D4-C4</f>
        <v>613</v>
      </c>
      <c r="G4" s="2">
        <v>750</v>
      </c>
      <c r="H4" s="2">
        <v>1116</v>
      </c>
      <c r="I4" s="2">
        <v>1711</v>
      </c>
      <c r="J4" s="2">
        <f>+Z4-I4-H4-G4</f>
        <v>1570</v>
      </c>
      <c r="K4" s="2"/>
      <c r="L4" s="2"/>
      <c r="M4" s="2"/>
      <c r="N4" s="2">
        <v>3104</v>
      </c>
      <c r="O4" s="2">
        <v>3357</v>
      </c>
      <c r="P4" s="2">
        <v>3513</v>
      </c>
      <c r="Q4" s="2">
        <v>3598</v>
      </c>
      <c r="R4" s="2">
        <f>3780+215</f>
        <v>3995</v>
      </c>
      <c r="S4" s="2">
        <f>3887+226</f>
        <v>4113</v>
      </c>
      <c r="T4" s="2">
        <f>4068+231</f>
        <v>4299</v>
      </c>
      <c r="U4" s="2">
        <f>4330+236</f>
        <v>4566</v>
      </c>
      <c r="V4" s="2">
        <f>4679+272</f>
        <v>4951</v>
      </c>
      <c r="W4" s="2">
        <f>6331+390</f>
        <v>6721</v>
      </c>
      <c r="X4" s="2">
        <v>1910</v>
      </c>
      <c r="Y4" s="2">
        <v>908</v>
      </c>
      <c r="Z4" s="2">
        <v>5147</v>
      </c>
      <c r="AA4" s="2"/>
      <c r="AB4" s="2"/>
      <c r="AC4" s="2"/>
      <c r="AD4" s="2"/>
      <c r="AE4" s="2"/>
      <c r="AF4" s="2"/>
      <c r="AG4" s="2"/>
      <c r="AH4" s="2"/>
      <c r="AI4" s="2"/>
      <c r="AJ4" s="2"/>
      <c r="AK4" s="2"/>
      <c r="AL4" s="2"/>
      <c r="AM4" s="2"/>
      <c r="AN4" s="2"/>
    </row>
    <row r="5" spans="2:127" s="4" customFormat="1" x14ac:dyDescent="0.25">
      <c r="B5" s="4" t="s">
        <v>21</v>
      </c>
      <c r="C5" s="5">
        <f>+C4+C3</f>
        <v>26</v>
      </c>
      <c r="D5" s="5">
        <f t="shared" ref="D5:J5" si="0">+D4+D3</f>
        <v>49</v>
      </c>
      <c r="E5" s="5">
        <f t="shared" si="0"/>
        <v>546</v>
      </c>
      <c r="F5" s="5">
        <f t="shared" si="0"/>
        <v>1287</v>
      </c>
      <c r="G5" s="5">
        <f>+G4+G3</f>
        <v>1623</v>
      </c>
      <c r="H5" s="5">
        <f t="shared" si="0"/>
        <v>2401</v>
      </c>
      <c r="I5" s="5">
        <f t="shared" si="0"/>
        <v>4306</v>
      </c>
      <c r="J5" s="5">
        <f t="shared" si="0"/>
        <v>3839</v>
      </c>
      <c r="N5" s="5">
        <f t="shared" ref="N5:Q5" si="1">+N4+N3</f>
        <v>14188</v>
      </c>
      <c r="O5" s="5">
        <f t="shared" si="1"/>
        <v>15515</v>
      </c>
      <c r="P5" s="5">
        <f t="shared" si="1"/>
        <v>15171</v>
      </c>
      <c r="Q5" s="5">
        <f t="shared" si="1"/>
        <v>15246</v>
      </c>
      <c r="R5" s="5">
        <f t="shared" ref="R5:Z5" si="2">+R4+R3</f>
        <v>15884</v>
      </c>
      <c r="S5" s="5">
        <f t="shared" si="2"/>
        <v>15714</v>
      </c>
      <c r="T5" s="5">
        <f t="shared" si="2"/>
        <v>16389</v>
      </c>
      <c r="U5" s="5">
        <f t="shared" si="2"/>
        <v>17510</v>
      </c>
      <c r="V5" s="5">
        <f t="shared" si="2"/>
        <v>18881</v>
      </c>
      <c r="W5" s="5">
        <f t="shared" si="2"/>
        <v>20825</v>
      </c>
      <c r="X5" s="5">
        <f t="shared" si="2"/>
        <v>5594</v>
      </c>
      <c r="Y5" s="5">
        <f t="shared" si="2"/>
        <v>1908</v>
      </c>
      <c r="Z5" s="5">
        <f t="shared" si="2"/>
        <v>12169</v>
      </c>
      <c r="AA5" s="5">
        <f>Z5+(-Z5+AC5)/3</f>
        <v>16761.781004876964</v>
      </c>
      <c r="AB5" s="5">
        <f>AA5+(-Z5+AC5)/3</f>
        <v>21354.562009753929</v>
      </c>
      <c r="AC5" s="5">
        <f>W5*(1+X61)*(1+Y61)*(1+Z61)*(1+AA61)*(1+AB61)*(1+AC61)</f>
        <v>25947.343014630897</v>
      </c>
      <c r="AD5" s="5">
        <f>AC5*(1+AD45)</f>
        <v>26985.236735216135</v>
      </c>
      <c r="AE5" s="5">
        <f t="shared" ref="AE5:AJ5" si="3">AD5*(1+AE45)</f>
        <v>28064.64620462478</v>
      </c>
      <c r="AF5" s="5">
        <f t="shared" si="3"/>
        <v>28906.585590763523</v>
      </c>
      <c r="AG5" s="5">
        <f t="shared" si="3"/>
        <v>29773.783158486429</v>
      </c>
      <c r="AH5" s="5">
        <f t="shared" si="3"/>
        <v>30666.996653241022</v>
      </c>
      <c r="AI5" s="5">
        <f t="shared" si="3"/>
        <v>31587.006552838255</v>
      </c>
      <c r="AJ5" s="5">
        <f t="shared" si="3"/>
        <v>32534.616749423403</v>
      </c>
      <c r="AK5" s="5"/>
      <c r="AL5" s="5"/>
      <c r="AM5" s="5"/>
      <c r="AN5" s="5"/>
    </row>
    <row r="6" spans="2:127" x14ac:dyDescent="0.25">
      <c r="B6" t="s">
        <v>31</v>
      </c>
      <c r="C6" s="2">
        <v>15</v>
      </c>
      <c r="D6" s="2">
        <v>22</v>
      </c>
      <c r="E6" s="2">
        <v>79</v>
      </c>
      <c r="F6" s="2">
        <f>+Y6-E6-D6-C6</f>
        <v>153</v>
      </c>
      <c r="G6" s="2">
        <v>251</v>
      </c>
      <c r="H6" s="2">
        <v>325</v>
      </c>
      <c r="I6" s="2">
        <v>565</v>
      </c>
      <c r="J6" s="2">
        <f>+Z6-I6-H6-G6</f>
        <v>489</v>
      </c>
      <c r="R6" s="2">
        <v>2299</v>
      </c>
      <c r="S6" s="2">
        <v>2161</v>
      </c>
      <c r="T6" s="2">
        <v>2240</v>
      </c>
      <c r="U6" s="2">
        <v>2359</v>
      </c>
      <c r="V6" s="2">
        <v>2590</v>
      </c>
      <c r="W6" s="2">
        <v>2720</v>
      </c>
      <c r="X6" s="2">
        <v>1139</v>
      </c>
      <c r="Y6" s="2">
        <v>269</v>
      </c>
      <c r="Z6" s="2">
        <v>1630</v>
      </c>
      <c r="AA6" s="2">
        <f>+(Z6+AB6)/2</f>
        <v>2464.9711393760081</v>
      </c>
      <c r="AB6" s="2">
        <f>W6*(1+X61)*(1+Y61)*(1+Z61)*(1+AA61)*(1+AB61)</f>
        <v>3299.9422787520166</v>
      </c>
      <c r="AC6" s="2">
        <f>AB6*(1+AC61+AC62)</f>
        <v>3395.6406048358249</v>
      </c>
      <c r="AD6" s="2">
        <f t="shared" ref="AD6:AJ6" si="4">AC6*(1+AD61+AD62)</f>
        <v>3494.1141823760636</v>
      </c>
      <c r="AE6" s="2">
        <f t="shared" si="4"/>
        <v>3598.9376078473447</v>
      </c>
      <c r="AF6" s="2">
        <f t="shared" si="4"/>
        <v>3706.9057360827642</v>
      </c>
      <c r="AG6" s="2">
        <f t="shared" si="4"/>
        <v>3818.1129081652462</v>
      </c>
      <c r="AH6" s="2">
        <f t="shared" si="4"/>
        <v>3940.2925212265332</v>
      </c>
      <c r="AI6" s="2">
        <f t="shared" si="4"/>
        <v>4066.3818819057815</v>
      </c>
      <c r="AJ6" s="2">
        <f t="shared" si="4"/>
        <v>4196.5061021267657</v>
      </c>
      <c r="AK6" s="2"/>
      <c r="AL6" s="2"/>
      <c r="AM6" s="2"/>
      <c r="AN6" s="2"/>
    </row>
    <row r="7" spans="2:127" x14ac:dyDescent="0.25">
      <c r="B7" t="s">
        <v>32</v>
      </c>
      <c r="C7" s="2">
        <v>7</v>
      </c>
      <c r="D7" s="2">
        <v>15</v>
      </c>
      <c r="E7" s="2">
        <v>72</v>
      </c>
      <c r="F7" s="2">
        <f t="shared" ref="F7:F11" si="5">+Y7-E7-D7-C7</f>
        <v>178</v>
      </c>
      <c r="G7" s="2">
        <v>209</v>
      </c>
      <c r="H7" s="2">
        <v>314</v>
      </c>
      <c r="I7" s="2">
        <v>537</v>
      </c>
      <c r="J7" s="2">
        <f t="shared" ref="J7:J11" si="6">+Z7-I7-H7-G7</f>
        <v>468</v>
      </c>
      <c r="R7" s="2">
        <v>519</v>
      </c>
      <c r="S7" s="2">
        <v>526</v>
      </c>
      <c r="T7" s="2">
        <v>553</v>
      </c>
      <c r="U7" s="2">
        <v>587</v>
      </c>
      <c r="V7" s="2">
        <v>638</v>
      </c>
      <c r="W7" s="2">
        <v>2101</v>
      </c>
      <c r="X7" s="2">
        <v>605</v>
      </c>
      <c r="Y7" s="2">
        <v>272</v>
      </c>
      <c r="Z7" s="2">
        <v>1528</v>
      </c>
      <c r="AA7" s="2">
        <f>+(Z7+AB7)/2</f>
        <v>2038.4813837606591</v>
      </c>
      <c r="AB7" s="2">
        <f>W7*(1+X61)*(1+Y61)*(1+Z61)*(1+AA61)*(1+AB61)</f>
        <v>2548.9627675213183</v>
      </c>
      <c r="AC7" s="2">
        <f>AB7*(1+AC61+AC62)</f>
        <v>2622.8826877794363</v>
      </c>
      <c r="AD7" s="2">
        <f t="shared" ref="AD7:AJ7" si="7">AC7*(1+AD61+AD62)</f>
        <v>2698.9462857250396</v>
      </c>
      <c r="AE7" s="2">
        <f t="shared" si="7"/>
        <v>2779.9146742967901</v>
      </c>
      <c r="AF7" s="2">
        <f t="shared" si="7"/>
        <v>2863.3121145256932</v>
      </c>
      <c r="AG7" s="2">
        <f t="shared" si="7"/>
        <v>2949.2114779614635</v>
      </c>
      <c r="AH7" s="2">
        <f t="shared" si="7"/>
        <v>3043.5862452562296</v>
      </c>
      <c r="AI7" s="2">
        <f t="shared" si="7"/>
        <v>3140.9810051044283</v>
      </c>
      <c r="AJ7" s="2">
        <f t="shared" si="7"/>
        <v>3241.4923972677693</v>
      </c>
      <c r="AK7" s="2"/>
      <c r="AL7" s="2"/>
      <c r="AM7" s="2"/>
      <c r="AN7" s="2"/>
    </row>
    <row r="8" spans="2:127" x14ac:dyDescent="0.25">
      <c r="B8" t="s">
        <v>33</v>
      </c>
      <c r="C8" s="2">
        <v>218</v>
      </c>
      <c r="D8" s="2">
        <v>241</v>
      </c>
      <c r="E8" s="2">
        <v>375</v>
      </c>
      <c r="F8" s="2">
        <f t="shared" si="5"/>
        <v>475</v>
      </c>
      <c r="G8" s="2">
        <v>506</v>
      </c>
      <c r="H8" s="2">
        <v>533</v>
      </c>
      <c r="I8" s="2">
        <v>563</v>
      </c>
      <c r="J8" s="2">
        <f t="shared" si="6"/>
        <v>579</v>
      </c>
      <c r="R8" s="2">
        <v>1942</v>
      </c>
      <c r="S8" s="2">
        <v>1859</v>
      </c>
      <c r="T8" s="2">
        <v>1993</v>
      </c>
      <c r="U8" s="2">
        <v>2107</v>
      </c>
      <c r="V8" s="2">
        <v>2190</v>
      </c>
      <c r="W8" s="2">
        <v>2249</v>
      </c>
      <c r="X8" s="2">
        <v>1780</v>
      </c>
      <c r="Y8" s="2">
        <v>1309</v>
      </c>
      <c r="Z8" s="2">
        <v>2181</v>
      </c>
      <c r="AA8" s="2">
        <f>+(Z8+AB8)/2</f>
        <v>2555.2509348733997</v>
      </c>
      <c r="AB8" s="2">
        <f>W8*(1+X54)*(1+Y54)*(1+Z54)*(1+AA54)*(1+AB54)</f>
        <v>2929.5018697467995</v>
      </c>
      <c r="AC8" s="2">
        <f>AB8*(1+AC54)</f>
        <v>3011.5279220997099</v>
      </c>
      <c r="AD8" s="2">
        <f t="shared" ref="AD8:AJ8" si="8">AC8*(1+AD54)</f>
        <v>3095.8507039185019</v>
      </c>
      <c r="AE8" s="2">
        <f t="shared" si="8"/>
        <v>3182.5345236282201</v>
      </c>
      <c r="AF8" s="2">
        <f t="shared" si="8"/>
        <v>3271.6454902898104</v>
      </c>
      <c r="AG8" s="2">
        <f t="shared" si="8"/>
        <v>3363.2515640179249</v>
      </c>
      <c r="AH8" s="2">
        <f t="shared" si="8"/>
        <v>3457.4226078104271</v>
      </c>
      <c r="AI8" s="2">
        <f t="shared" si="8"/>
        <v>3554.2304408291193</v>
      </c>
      <c r="AJ8" s="2">
        <f t="shared" si="8"/>
        <v>3653.7488931723346</v>
      </c>
      <c r="AK8" s="2"/>
      <c r="AL8" s="2"/>
      <c r="AM8" s="2"/>
      <c r="AN8" s="2"/>
    </row>
    <row r="9" spans="2:127" x14ac:dyDescent="0.25">
      <c r="B9" t="s">
        <v>34</v>
      </c>
      <c r="C9" s="2">
        <v>103</v>
      </c>
      <c r="D9" s="2">
        <v>113</v>
      </c>
      <c r="E9" s="2">
        <v>182</v>
      </c>
      <c r="F9" s="2">
        <f t="shared" si="5"/>
        <v>282</v>
      </c>
      <c r="G9" s="2">
        <v>365</v>
      </c>
      <c r="H9" s="2">
        <v>545</v>
      </c>
      <c r="I9" s="2">
        <v>668</v>
      </c>
      <c r="J9" s="2">
        <f t="shared" si="6"/>
        <v>579</v>
      </c>
      <c r="R9" s="2">
        <v>2033</v>
      </c>
      <c r="S9" s="2">
        <v>1249</v>
      </c>
      <c r="T9" s="2">
        <v>915</v>
      </c>
      <c r="U9" s="2">
        <v>1244</v>
      </c>
      <c r="V9" s="2">
        <v>1619</v>
      </c>
      <c r="W9" s="2">
        <v>1562</v>
      </c>
      <c r="X9" s="2">
        <v>823</v>
      </c>
      <c r="Y9" s="2">
        <v>680</v>
      </c>
      <c r="Z9" s="2">
        <v>2157</v>
      </c>
      <c r="AA9" s="2">
        <f>+W9*(1+X57)*(1+Y57)*(1+Z57)*(1+AA57)</f>
        <v>2297.0588235294117</v>
      </c>
      <c r="AB9" s="2">
        <f>AA9*(1+AB57)</f>
        <v>2113.2941176470586</v>
      </c>
      <c r="AC9" s="2">
        <f>AB9*(1+AC57)</f>
        <v>2113.2941176470586</v>
      </c>
      <c r="AD9" s="2">
        <f t="shared" ref="AD9:AJ9" si="9">AC9*(1+AD57)</f>
        <v>2172.4663529411764</v>
      </c>
      <c r="AE9" s="2">
        <f t="shared" si="9"/>
        <v>2233.2954108235294</v>
      </c>
      <c r="AF9" s="2">
        <f t="shared" si="9"/>
        <v>2306.9941593807057</v>
      </c>
      <c r="AG9" s="2">
        <f t="shared" si="9"/>
        <v>2383.1249666402687</v>
      </c>
      <c r="AH9" s="2">
        <f t="shared" si="9"/>
        <v>2473.6837153725992</v>
      </c>
      <c r="AI9" s="2">
        <f t="shared" si="9"/>
        <v>2567.6836965567582</v>
      </c>
      <c r="AJ9" s="2">
        <f t="shared" si="9"/>
        <v>2665.2556770259152</v>
      </c>
      <c r="AK9" s="2"/>
      <c r="AL9" s="2"/>
      <c r="AM9" s="2"/>
      <c r="AN9" s="2"/>
    </row>
    <row r="10" spans="2:127" x14ac:dyDescent="0.25">
      <c r="B10" t="s">
        <v>35</v>
      </c>
      <c r="C10" s="2">
        <v>11</v>
      </c>
      <c r="D10" s="2">
        <v>17</v>
      </c>
      <c r="E10" s="2">
        <v>52</v>
      </c>
      <c r="F10" s="2">
        <f t="shared" si="5"/>
        <v>107</v>
      </c>
      <c r="G10" s="2">
        <v>136</v>
      </c>
      <c r="H10" s="2">
        <v>191</v>
      </c>
      <c r="I10" s="2">
        <v>259</v>
      </c>
      <c r="J10" s="2">
        <f t="shared" si="6"/>
        <v>277</v>
      </c>
      <c r="R10" s="2">
        <v>1005</v>
      </c>
      <c r="S10" s="2">
        <v>981</v>
      </c>
      <c r="T10" s="2">
        <v>1005</v>
      </c>
      <c r="U10" s="2">
        <v>1031</v>
      </c>
      <c r="V10" s="2">
        <v>1066</v>
      </c>
      <c r="W10" s="2">
        <v>1083</v>
      </c>
      <c r="X10" s="2">
        <v>413</v>
      </c>
      <c r="Y10" s="2">
        <v>187</v>
      </c>
      <c r="Z10" s="2">
        <v>863</v>
      </c>
      <c r="AA10" s="2">
        <f>(Z10+AB10)/2</f>
        <v>1149.7489215886553</v>
      </c>
      <c r="AB10" s="2">
        <f>W10*(1+X59)*(1+Y59)*(1+Z59)*(1+AA59)*(1+AB59)</f>
        <v>1436.4978431773109</v>
      </c>
      <c r="AC10" s="2">
        <f>AB10*(1+AC59)</f>
        <v>1478.1562806294528</v>
      </c>
      <c r="AD10" s="2">
        <f t="shared" ref="AD10:AJ10" si="10">AC10*(1+AD59)</f>
        <v>1521.0228127677069</v>
      </c>
      <c r="AE10" s="2">
        <f t="shared" si="10"/>
        <v>1565.1324743379703</v>
      </c>
      <c r="AF10" s="2">
        <f t="shared" si="10"/>
        <v>1610.5213160937712</v>
      </c>
      <c r="AG10" s="2">
        <f t="shared" si="10"/>
        <v>1657.2264342604906</v>
      </c>
      <c r="AH10" s="2">
        <f t="shared" si="10"/>
        <v>1705.2860008540447</v>
      </c>
      <c r="AI10" s="2">
        <f t="shared" si="10"/>
        <v>1754.7392948788117</v>
      </c>
      <c r="AJ10" s="2">
        <f t="shared" si="10"/>
        <v>1805.6267344302971</v>
      </c>
      <c r="AK10" s="2"/>
      <c r="AL10" s="2"/>
      <c r="AM10" s="2"/>
      <c r="AN10" s="2"/>
    </row>
    <row r="11" spans="2:127" x14ac:dyDescent="0.25">
      <c r="B11" t="s">
        <v>36</v>
      </c>
      <c r="C11" s="2">
        <v>0</v>
      </c>
      <c r="D11" s="2">
        <v>49</v>
      </c>
      <c r="E11" s="2">
        <v>475</v>
      </c>
      <c r="F11" s="2">
        <f t="shared" si="5"/>
        <v>67</v>
      </c>
      <c r="G11" s="2">
        <v>8</v>
      </c>
      <c r="H11" s="2">
        <v>0</v>
      </c>
      <c r="I11" s="2">
        <v>0</v>
      </c>
      <c r="J11" s="2">
        <f t="shared" si="6"/>
        <v>432</v>
      </c>
      <c r="R11" s="2">
        <v>2463</v>
      </c>
      <c r="S11" s="2">
        <v>2516</v>
      </c>
      <c r="T11" s="2">
        <v>2525</v>
      </c>
      <c r="U11" s="2">
        <v>3010</v>
      </c>
      <c r="V11" s="2">
        <v>2807</v>
      </c>
      <c r="W11" s="2">
        <v>2925</v>
      </c>
      <c r="X11" s="2">
        <v>1967</v>
      </c>
      <c r="Y11" s="2">
        <v>591</v>
      </c>
      <c r="Z11" s="2">
        <v>440</v>
      </c>
      <c r="AA11" s="2">
        <f>(Z11+AB11)/2</f>
        <v>1964.7614711183789</v>
      </c>
      <c r="AB11" s="2">
        <f>W11*(1+Y61)*(1+Z61)*(1+AA61)*(1+AB61)</f>
        <v>3489.5229422367579</v>
      </c>
      <c r="AC11" s="2">
        <f>AB11*(1+AC61+AC62)</f>
        <v>3590.7191075616238</v>
      </c>
      <c r="AD11" s="2">
        <f t="shared" ref="AD11:AJ11" si="11">AC11*(1+AD61+AD62)</f>
        <v>3694.8499616809104</v>
      </c>
      <c r="AE11" s="2">
        <f t="shared" si="11"/>
        <v>3805.6954605313372</v>
      </c>
      <c r="AF11" s="2">
        <f t="shared" si="11"/>
        <v>3919.8663243472765</v>
      </c>
      <c r="AG11" s="2">
        <f t="shared" si="11"/>
        <v>4037.4623140776939</v>
      </c>
      <c r="AH11" s="2">
        <f t="shared" si="11"/>
        <v>4166.661108128179</v>
      </c>
      <c r="AI11" s="2">
        <f t="shared" si="11"/>
        <v>4299.9942635882799</v>
      </c>
      <c r="AJ11" s="2">
        <f t="shared" si="11"/>
        <v>4437.5940800231037</v>
      </c>
      <c r="AK11" s="2"/>
      <c r="AL11" s="2"/>
      <c r="AM11" s="2"/>
      <c r="AN11" s="2"/>
    </row>
    <row r="12" spans="2:127" x14ac:dyDescent="0.25">
      <c r="B12" t="s">
        <v>22</v>
      </c>
      <c r="C12" s="2">
        <f>SUM(C6:C11)</f>
        <v>354</v>
      </c>
      <c r="D12" s="2">
        <f t="shared" ref="D12:J12" si="12">SUM(D6:D11)</f>
        <v>457</v>
      </c>
      <c r="E12" s="2">
        <f t="shared" si="12"/>
        <v>1235</v>
      </c>
      <c r="F12" s="2">
        <f t="shared" si="12"/>
        <v>1262</v>
      </c>
      <c r="G12" s="2">
        <f>SUM(G6:G11)</f>
        <v>1475</v>
      </c>
      <c r="H12" s="2">
        <f t="shared" si="12"/>
        <v>1908</v>
      </c>
      <c r="I12" s="2">
        <f t="shared" si="12"/>
        <v>2592</v>
      </c>
      <c r="J12" s="2">
        <f t="shared" si="12"/>
        <v>2824</v>
      </c>
      <c r="R12" s="2">
        <f t="shared" ref="R12:Z12" si="13">SUM(R6:R11)</f>
        <v>10261</v>
      </c>
      <c r="S12" s="2">
        <f t="shared" si="13"/>
        <v>9292</v>
      </c>
      <c r="T12" s="2">
        <f t="shared" si="13"/>
        <v>9231</v>
      </c>
      <c r="U12" s="2">
        <f t="shared" si="13"/>
        <v>10338</v>
      </c>
      <c r="V12" s="2">
        <f t="shared" si="13"/>
        <v>10910</v>
      </c>
      <c r="W12" s="2">
        <f t="shared" si="13"/>
        <v>12640</v>
      </c>
      <c r="X12" s="2">
        <f t="shared" si="13"/>
        <v>6727</v>
      </c>
      <c r="Y12" s="2">
        <f t="shared" si="13"/>
        <v>3308</v>
      </c>
      <c r="Z12" s="2">
        <f t="shared" si="13"/>
        <v>8799</v>
      </c>
      <c r="AA12" s="2">
        <f t="shared" ref="AA12" si="14">SUM(AA6:AA11)</f>
        <v>12470.272674246515</v>
      </c>
      <c r="AB12" s="2">
        <f>SUM(AB6:AB11)</f>
        <v>15817.72181908126</v>
      </c>
      <c r="AC12" s="2">
        <f t="shared" ref="AC12" si="15">SUM(AC6:AC11)</f>
        <v>16212.220720553109</v>
      </c>
      <c r="AD12" s="2">
        <f t="shared" ref="AD12" si="16">SUM(AD6:AD11)</f>
        <v>16677.250299409399</v>
      </c>
      <c r="AE12" s="2">
        <f t="shared" ref="AE12" si="17">SUM(AE6:AE11)</f>
        <v>17165.510151465194</v>
      </c>
      <c r="AF12" s="2">
        <f t="shared" ref="AF12" si="18">SUM(AF6:AF11)</f>
        <v>17679.245140720021</v>
      </c>
      <c r="AG12" s="2">
        <f t="shared" ref="AG12" si="19">SUM(AG6:AG11)</f>
        <v>18208.389665123086</v>
      </c>
      <c r="AH12" s="2">
        <f t="shared" ref="AH12" si="20">SUM(AH6:AH11)</f>
        <v>18786.932198648014</v>
      </c>
      <c r="AI12" s="2">
        <f t="shared" ref="AI12" si="21">SUM(AI6:AI11)</f>
        <v>19384.010582863179</v>
      </c>
      <c r="AJ12" s="2">
        <f t="shared" ref="AJ12" si="22">SUM(AJ6:AJ11)</f>
        <v>20000.223884046187</v>
      </c>
      <c r="AK12" s="2"/>
      <c r="AL12" s="2"/>
      <c r="AM12" s="2"/>
      <c r="AN12" s="2"/>
    </row>
    <row r="13" spans="2:127" s="4" customFormat="1" x14ac:dyDescent="0.25">
      <c r="B13" s="4" t="s">
        <v>27</v>
      </c>
      <c r="C13" s="5">
        <f>+C5-C12</f>
        <v>-328</v>
      </c>
      <c r="D13" s="5">
        <f t="shared" ref="D13:J13" si="23">+D5-D12</f>
        <v>-408</v>
      </c>
      <c r="E13" s="5">
        <f t="shared" si="23"/>
        <v>-689</v>
      </c>
      <c r="F13" s="5">
        <f t="shared" si="23"/>
        <v>25</v>
      </c>
      <c r="G13" s="5">
        <f>+G5-G12</f>
        <v>148</v>
      </c>
      <c r="H13" s="5">
        <f t="shared" si="23"/>
        <v>493</v>
      </c>
      <c r="I13" s="5">
        <f t="shared" si="23"/>
        <v>1714</v>
      </c>
      <c r="J13" s="5">
        <f t="shared" si="23"/>
        <v>1015</v>
      </c>
      <c r="R13" s="5">
        <f t="shared" ref="R13:Z13" si="24">+R5-R12</f>
        <v>5623</v>
      </c>
      <c r="S13" s="5">
        <f t="shared" si="24"/>
        <v>6422</v>
      </c>
      <c r="T13" s="5">
        <f t="shared" si="24"/>
        <v>7158</v>
      </c>
      <c r="U13" s="5">
        <f t="shared" si="24"/>
        <v>7172</v>
      </c>
      <c r="V13" s="5">
        <f t="shared" si="24"/>
        <v>7971</v>
      </c>
      <c r="W13" s="5">
        <f t="shared" si="24"/>
        <v>8185</v>
      </c>
      <c r="X13" s="5">
        <f t="shared" si="24"/>
        <v>-1133</v>
      </c>
      <c r="Y13" s="5">
        <f t="shared" si="24"/>
        <v>-1400</v>
      </c>
      <c r="Z13" s="5">
        <f t="shared" si="24"/>
        <v>3370</v>
      </c>
      <c r="AA13" s="5">
        <f t="shared" ref="AA13" si="25">+AA5-AA12</f>
        <v>4291.5083306304496</v>
      </c>
      <c r="AB13" s="5">
        <f>+AB5-AB12</f>
        <v>5536.8401906726685</v>
      </c>
      <c r="AC13" s="5">
        <f>+AC5-AC12</f>
        <v>9735.122294077788</v>
      </c>
      <c r="AD13" s="5">
        <f t="shared" ref="AD13" si="26">+AD5-AD12</f>
        <v>10307.986435806735</v>
      </c>
      <c r="AE13" s="5">
        <f t="shared" ref="AE13" si="27">+AE5-AE12</f>
        <v>10899.136053159586</v>
      </c>
      <c r="AF13" s="5">
        <f t="shared" ref="AF13" si="28">+AF5-AF12</f>
        <v>11227.340450043503</v>
      </c>
      <c r="AG13" s="5">
        <f t="shared" ref="AG13" si="29">+AG5-AG12</f>
        <v>11565.393493363343</v>
      </c>
      <c r="AH13" s="5">
        <f t="shared" ref="AH13" si="30">+AH5-AH12</f>
        <v>11880.064454593008</v>
      </c>
      <c r="AI13" s="5">
        <f t="shared" ref="AI13" si="31">+AI5-AI12</f>
        <v>12202.995969975076</v>
      </c>
      <c r="AJ13" s="5">
        <f t="shared" ref="AJ13" si="32">+AJ5-AJ12</f>
        <v>12534.392865377216</v>
      </c>
      <c r="AK13" s="5"/>
      <c r="AL13" s="5"/>
      <c r="AM13" s="5"/>
      <c r="AN13" s="5"/>
    </row>
    <row r="14" spans="2:127" x14ac:dyDescent="0.25">
      <c r="B14" t="s">
        <v>37</v>
      </c>
      <c r="C14" s="2">
        <v>181</v>
      </c>
      <c r="D14" s="2">
        <v>224</v>
      </c>
      <c r="E14" s="2">
        <v>381</v>
      </c>
      <c r="F14" s="2">
        <f t="shared" ref="F14:F17" si="33">+Y14-E14-D14-C14</f>
        <v>560</v>
      </c>
      <c r="G14" s="2">
        <v>557</v>
      </c>
      <c r="H14" s="2">
        <v>774</v>
      </c>
      <c r="I14" s="2">
        <v>787</v>
      </c>
      <c r="J14" s="2">
        <f t="shared" ref="J14:J17" si="34">+Z14-I14-H14-G14</f>
        <v>840</v>
      </c>
      <c r="R14" s="2">
        <v>160</v>
      </c>
      <c r="S14" s="2">
        <v>155</v>
      </c>
      <c r="T14" s="2">
        <v>152</v>
      </c>
      <c r="U14" s="2">
        <v>163</v>
      </c>
      <c r="V14" s="2">
        <v>180</v>
      </c>
      <c r="W14" s="2">
        <v>268</v>
      </c>
      <c r="X14" s="2">
        <v>1518</v>
      </c>
      <c r="Y14" s="2">
        <v>1346</v>
      </c>
      <c r="Z14" s="2">
        <v>2958</v>
      </c>
      <c r="AA14" s="2">
        <f>(Z14+AB14)/2</f>
        <v>1641.5706857914597</v>
      </c>
      <c r="AB14" s="2">
        <f>W14*(1+X61)*(1+Y61)*(1+Z61)*(1+AA61)*(1+AB61)</f>
        <v>325.14137158291931</v>
      </c>
      <c r="AC14" s="2">
        <f>AB14*(1+AC61+AC62)</f>
        <v>334.57047135882397</v>
      </c>
      <c r="AD14" s="2">
        <f t="shared" ref="AD14:AJ14" si="35">AC14*(1+AD61+AD62)</f>
        <v>344.27301502822985</v>
      </c>
      <c r="AE14" s="2">
        <f>AD14*(1+AE61+AE62)</f>
        <v>354.60120547907667</v>
      </c>
      <c r="AF14" s="2">
        <f t="shared" si="35"/>
        <v>365.23924164344891</v>
      </c>
      <c r="AG14" s="2">
        <f t="shared" si="35"/>
        <v>376.19641889275232</v>
      </c>
      <c r="AH14" s="2">
        <f t="shared" si="35"/>
        <v>388.23470429732032</v>
      </c>
      <c r="AI14" s="2">
        <f t="shared" si="35"/>
        <v>400.6582148348345</v>
      </c>
      <c r="AJ14" s="2">
        <f t="shared" si="35"/>
        <v>413.47927770954914</v>
      </c>
      <c r="AK14" s="2"/>
      <c r="AL14" s="2"/>
      <c r="AM14" s="2"/>
      <c r="AN14" s="2"/>
    </row>
    <row r="15" spans="2:127" x14ac:dyDescent="0.25">
      <c r="B15" t="s">
        <v>25</v>
      </c>
      <c r="C15" s="2">
        <v>462</v>
      </c>
      <c r="D15" s="2">
        <v>417</v>
      </c>
      <c r="E15" s="2">
        <v>425</v>
      </c>
      <c r="F15" s="2">
        <f t="shared" si="33"/>
        <v>581</v>
      </c>
      <c r="G15" s="2">
        <v>530</v>
      </c>
      <c r="H15" s="2">
        <v>619</v>
      </c>
      <c r="I15" s="2">
        <v>625</v>
      </c>
      <c r="J15" s="2">
        <f t="shared" si="34"/>
        <v>741</v>
      </c>
      <c r="R15" s="2">
        <v>2054</v>
      </c>
      <c r="S15" s="2">
        <v>2067</v>
      </c>
      <c r="T15" s="2">
        <v>2197</v>
      </c>
      <c r="U15" s="2">
        <v>2265</v>
      </c>
      <c r="V15" s="2">
        <v>2450</v>
      </c>
      <c r="W15" s="2">
        <v>2480</v>
      </c>
      <c r="X15" s="2">
        <v>1878</v>
      </c>
      <c r="Y15" s="2">
        <v>1885</v>
      </c>
      <c r="Z15" s="2">
        <v>2515</v>
      </c>
      <c r="AA15" s="2">
        <f>(Z15+AB15)/2</f>
        <v>2761.8854506075372</v>
      </c>
      <c r="AB15" s="2">
        <f>W15*(1+X61)*(1+Y61)*(1+Z61)*(1+AA61)*(1+AB61)</f>
        <v>3008.7709012150744</v>
      </c>
      <c r="AC15" s="2">
        <f>AB15*(1+AC61+AC62)</f>
        <v>3096.0252573503112</v>
      </c>
      <c r="AD15" s="2">
        <f t="shared" ref="AD15:AJ15" si="36">AC15*(1+AD61+AD62)</f>
        <v>3185.8099898134701</v>
      </c>
      <c r="AE15" s="2">
        <f t="shared" si="36"/>
        <v>3281.3842895078737</v>
      </c>
      <c r="AF15" s="2">
        <f t="shared" si="36"/>
        <v>3379.8258181931092</v>
      </c>
      <c r="AG15" s="2">
        <f t="shared" si="36"/>
        <v>3481.2205927389018</v>
      </c>
      <c r="AH15" s="2">
        <f t="shared" si="36"/>
        <v>3592.6196517065459</v>
      </c>
      <c r="AI15" s="2">
        <f t="shared" si="36"/>
        <v>3707.5834805611548</v>
      </c>
      <c r="AJ15" s="2">
        <f t="shared" si="36"/>
        <v>3826.2261519391109</v>
      </c>
      <c r="AK15" s="2"/>
      <c r="AL15" s="2"/>
      <c r="AM15" s="2"/>
      <c r="AN15" s="2"/>
    </row>
    <row r="16" spans="2:127" x14ac:dyDescent="0.25">
      <c r="B16" t="s">
        <v>23</v>
      </c>
      <c r="C16" s="2">
        <v>552</v>
      </c>
      <c r="D16" s="2">
        <v>567</v>
      </c>
      <c r="E16" s="2">
        <v>562</v>
      </c>
      <c r="F16" s="2">
        <f t="shared" si="33"/>
        <v>552</v>
      </c>
      <c r="G16" s="2">
        <v>554</v>
      </c>
      <c r="H16" s="2">
        <v>572</v>
      </c>
      <c r="I16" s="2">
        <v>581</v>
      </c>
      <c r="J16" s="2">
        <f t="shared" si="34"/>
        <v>568</v>
      </c>
      <c r="R16" s="2">
        <v>1637</v>
      </c>
      <c r="S16" s="2">
        <v>1626</v>
      </c>
      <c r="T16" s="2">
        <v>1738</v>
      </c>
      <c r="U16" s="2">
        <v>1846</v>
      </c>
      <c r="V16" s="2">
        <v>2017</v>
      </c>
      <c r="W16" s="2">
        <v>2160</v>
      </c>
      <c r="X16" s="2">
        <v>2241</v>
      </c>
      <c r="Y16" s="2">
        <v>2233</v>
      </c>
      <c r="Z16" s="2">
        <v>2275</v>
      </c>
      <c r="AA16" s="2">
        <f>AA5*AA39</f>
        <v>2262.8404356583901</v>
      </c>
      <c r="AB16" s="2">
        <f>AB5*AB39</f>
        <v>2242.2290110241624</v>
      </c>
      <c r="AC16" s="2">
        <f>AC5*AC39</f>
        <v>2335.2608713167806</v>
      </c>
      <c r="AD16" s="2">
        <f t="shared" ref="AD16:AJ16" si="37">AD5*AD39</f>
        <v>2428.6713061694522</v>
      </c>
      <c r="AE16" s="2">
        <f t="shared" si="37"/>
        <v>2581.9474508254798</v>
      </c>
      <c r="AF16" s="2">
        <f t="shared" si="37"/>
        <v>2659.4058743502442</v>
      </c>
      <c r="AG16" s="2">
        <f t="shared" si="37"/>
        <v>2739.1880505807512</v>
      </c>
      <c r="AH16" s="2">
        <f t="shared" si="37"/>
        <v>2913.364682057897</v>
      </c>
      <c r="AI16" s="2">
        <f t="shared" si="37"/>
        <v>3000.7656225196342</v>
      </c>
      <c r="AJ16" s="2">
        <f t="shared" si="37"/>
        <v>3090.7885911952235</v>
      </c>
      <c r="AK16" s="2"/>
      <c r="AL16" s="2"/>
      <c r="AM16" s="2"/>
      <c r="AN16" s="2"/>
    </row>
    <row r="17" spans="2:127" x14ac:dyDescent="0.25">
      <c r="B17" t="s">
        <v>24</v>
      </c>
      <c r="C17" s="2">
        <v>0</v>
      </c>
      <c r="D17" s="2">
        <v>0</v>
      </c>
      <c r="E17" s="2">
        <v>0</v>
      </c>
      <c r="F17" s="2">
        <f t="shared" si="33"/>
        <v>226</v>
      </c>
      <c r="G17" s="2">
        <v>0</v>
      </c>
      <c r="H17" s="2">
        <v>0</v>
      </c>
      <c r="I17" s="2">
        <v>0</v>
      </c>
      <c r="J17" s="2">
        <f t="shared" si="34"/>
        <v>0</v>
      </c>
      <c r="R17" s="2">
        <v>0</v>
      </c>
      <c r="S17" s="2">
        <v>0</v>
      </c>
      <c r="T17" s="2">
        <v>0</v>
      </c>
      <c r="U17" s="2">
        <v>89</v>
      </c>
      <c r="V17" s="2">
        <v>0</v>
      </c>
      <c r="W17" s="2">
        <v>0</v>
      </c>
      <c r="X17" s="2">
        <v>2096</v>
      </c>
      <c r="Y17" s="2">
        <v>226</v>
      </c>
      <c r="Z17" s="2">
        <v>0</v>
      </c>
      <c r="AA17" s="2"/>
      <c r="AB17" s="2"/>
      <c r="AC17" s="2"/>
      <c r="AD17" s="2"/>
      <c r="AE17" s="2"/>
      <c r="AF17" s="2"/>
      <c r="AG17" s="2"/>
      <c r="AH17" s="2"/>
      <c r="AI17" s="2"/>
      <c r="AJ17" s="2"/>
      <c r="AK17" s="2"/>
      <c r="AL17" s="2"/>
      <c r="AM17" s="2"/>
      <c r="AN17" s="2"/>
    </row>
    <row r="18" spans="2:127" s="4" customFormat="1" x14ac:dyDescent="0.25">
      <c r="B18" s="4" t="s">
        <v>26</v>
      </c>
      <c r="C18" s="5">
        <f>+C13-C14-C15-C16-C17</f>
        <v>-1523</v>
      </c>
      <c r="D18" s="5">
        <f t="shared" ref="D18:J18" si="38">+D13-D14-D15-D16-D17</f>
        <v>-1616</v>
      </c>
      <c r="E18" s="5">
        <f t="shared" si="38"/>
        <v>-2057</v>
      </c>
      <c r="F18" s="5">
        <f t="shared" si="38"/>
        <v>-1894</v>
      </c>
      <c r="G18" s="5">
        <f>+G13-G14-G15-G16-G17</f>
        <v>-1493</v>
      </c>
      <c r="H18" s="5">
        <f t="shared" si="38"/>
        <v>-1472</v>
      </c>
      <c r="I18" s="5">
        <f t="shared" si="38"/>
        <v>-279</v>
      </c>
      <c r="J18" s="5">
        <f t="shared" si="38"/>
        <v>-1134</v>
      </c>
      <c r="R18" s="5">
        <f t="shared" ref="R18:Z18" si="39">+R13-R14-R15-R16-R17</f>
        <v>1772</v>
      </c>
      <c r="S18" s="5">
        <f t="shared" si="39"/>
        <v>2574</v>
      </c>
      <c r="T18" s="5">
        <f t="shared" si="39"/>
        <v>3071</v>
      </c>
      <c r="U18" s="5">
        <f t="shared" si="39"/>
        <v>2809</v>
      </c>
      <c r="V18" s="5">
        <f t="shared" si="39"/>
        <v>3324</v>
      </c>
      <c r="W18" s="5">
        <f t="shared" si="39"/>
        <v>3277</v>
      </c>
      <c r="X18" s="5">
        <f t="shared" si="39"/>
        <v>-8866</v>
      </c>
      <c r="Y18" s="5">
        <f t="shared" si="39"/>
        <v>-7090</v>
      </c>
      <c r="Z18" s="5">
        <f t="shared" si="39"/>
        <v>-4378</v>
      </c>
      <c r="AA18" s="5">
        <f t="shared" ref="AA18" si="40">+AA13-AA14-AA15-AA16-AA17</f>
        <v>-2374.7882414269375</v>
      </c>
      <c r="AB18" s="5">
        <f t="shared" ref="AB18" si="41">+AB13-AB14-AB15-AB16-AB17</f>
        <v>-39.30109314948777</v>
      </c>
      <c r="AC18" s="5">
        <f t="shared" ref="AC18" si="42">+AC13-AC14-AC15-AC16-AC17</f>
        <v>3969.2656940518723</v>
      </c>
      <c r="AD18" s="5">
        <f t="shared" ref="AD18" si="43">+AD13-AD14-AD15-AD16-AD17</f>
        <v>4349.2321247955842</v>
      </c>
      <c r="AE18" s="5">
        <f t="shared" ref="AE18" si="44">+AE13-AE14-AE15-AE16-AE17</f>
        <v>4681.2031073471544</v>
      </c>
      <c r="AF18" s="5">
        <f t="shared" ref="AF18" si="45">+AF13-AF14-AF15-AF16-AF17</f>
        <v>4822.8695158567007</v>
      </c>
      <c r="AG18" s="5">
        <f t="shared" ref="AG18" si="46">+AG13-AG14-AG15-AG16-AG17</f>
        <v>4968.788431150937</v>
      </c>
      <c r="AH18" s="5">
        <f t="shared" ref="AH18" si="47">+AH13-AH14-AH15-AH16-AH17</f>
        <v>4985.845416531246</v>
      </c>
      <c r="AI18" s="5">
        <f t="shared" ref="AI18" si="48">+AI13-AI14-AI15-AI16-AI17</f>
        <v>5093.9886520594519</v>
      </c>
      <c r="AJ18" s="5">
        <f t="shared" ref="AJ18" si="49">+AJ13-AJ14-AJ15-AJ16-AJ17</f>
        <v>5203.8988445333325</v>
      </c>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row>
    <row r="19" spans="2:127" x14ac:dyDescent="0.25">
      <c r="B19" t="s">
        <v>28</v>
      </c>
      <c r="C19" s="2">
        <f>3-398</f>
        <v>-395</v>
      </c>
      <c r="D19" s="2">
        <f>4-437</f>
        <v>-433</v>
      </c>
      <c r="E19" s="2">
        <f>3-418</f>
        <v>-415</v>
      </c>
      <c r="F19" s="2">
        <f t="shared" ref="F19:F22" si="50">+Y19-E19-D19-C19</f>
        <v>-346</v>
      </c>
      <c r="G19" s="2">
        <f>3-368</f>
        <v>-365</v>
      </c>
      <c r="H19" s="2">
        <f>6-370</f>
        <v>-364</v>
      </c>
      <c r="I19" s="2">
        <f>24-422</f>
        <v>-398</v>
      </c>
      <c r="J19" s="2">
        <f t="shared" ref="J19:J22" si="51">+Z19-I19-H19-G19</f>
        <v>-408</v>
      </c>
      <c r="R19" s="2">
        <f>8-288</f>
        <v>-280</v>
      </c>
      <c r="S19" s="2">
        <f>8-217</f>
        <v>-209</v>
      </c>
      <c r="T19" s="2">
        <f>6-223</f>
        <v>-217</v>
      </c>
      <c r="U19" s="2">
        <f>9-198</f>
        <v>-189</v>
      </c>
      <c r="V19" s="2">
        <f>14-194</f>
        <v>-180</v>
      </c>
      <c r="W19" s="2">
        <f>23-206</f>
        <v>-183</v>
      </c>
      <c r="X19" s="2">
        <f>18-895</f>
        <v>-877</v>
      </c>
      <c r="Y19" s="2">
        <f>12-1601</f>
        <v>-1589</v>
      </c>
      <c r="Z19" s="2">
        <f>74-1609</f>
        <v>-1535</v>
      </c>
      <c r="AA19" s="2">
        <f>Z33*AA35</f>
        <v>-1774.74</v>
      </c>
      <c r="AB19" s="2">
        <f t="shared" ref="AB19:AJ19" si="52">AA33*AB35</f>
        <v>-2023.2137510966447</v>
      </c>
      <c r="AC19" s="2">
        <f t="shared" si="52"/>
        <v>-2146.7171399701033</v>
      </c>
      <c r="AD19" s="2">
        <f t="shared" si="52"/>
        <v>-2040.3167553828093</v>
      </c>
      <c r="AE19" s="2">
        <f t="shared" si="52"/>
        <v>-1588.2815674024882</v>
      </c>
      <c r="AF19" s="2">
        <f t="shared" si="52"/>
        <v>-1438.7388109461635</v>
      </c>
      <c r="AG19" s="2">
        <f t="shared" si="52"/>
        <v>-1148.6704833994118</v>
      </c>
      <c r="AH19" s="2">
        <f t="shared" si="52"/>
        <v>-983.64138805654602</v>
      </c>
      <c r="AI19" s="2">
        <f t="shared" si="52"/>
        <v>-810.74617402643889</v>
      </c>
      <c r="AJ19" s="2">
        <f t="shared" si="52"/>
        <v>-625.71009897541273</v>
      </c>
      <c r="AK19" s="2"/>
      <c r="AL19" s="2"/>
      <c r="AM19" s="2"/>
      <c r="AN19" s="2"/>
    </row>
    <row r="20" spans="2:127" x14ac:dyDescent="0.25">
      <c r="B20" t="s">
        <v>38</v>
      </c>
      <c r="C20" s="2">
        <f>2-62</f>
        <v>-60</v>
      </c>
      <c r="D20" s="2">
        <f>2-13</f>
        <v>-11</v>
      </c>
      <c r="E20" s="2">
        <f>-376-11</f>
        <v>-387</v>
      </c>
      <c r="F20" s="2">
        <f t="shared" si="50"/>
        <v>-385</v>
      </c>
      <c r="G20" s="2">
        <f>0-32</f>
        <v>-32</v>
      </c>
      <c r="H20" s="2">
        <v>6</v>
      </c>
      <c r="I20" s="2">
        <f>0-81</f>
        <v>-81</v>
      </c>
      <c r="J20" s="2">
        <f t="shared" si="51"/>
        <v>-59</v>
      </c>
      <c r="R20" s="2">
        <f>4-271</f>
        <v>-267</v>
      </c>
      <c r="S20" s="2">
        <f>10-576</f>
        <v>-566</v>
      </c>
      <c r="T20" s="2">
        <f>-47+21</f>
        <v>-26</v>
      </c>
      <c r="U20" s="2">
        <f>35+11</f>
        <v>46</v>
      </c>
      <c r="V20" s="2">
        <f>59+3</f>
        <v>62</v>
      </c>
      <c r="W20" s="2">
        <f>0-32</f>
        <v>-32</v>
      </c>
      <c r="X20" s="2">
        <f>-459-52</f>
        <v>-511</v>
      </c>
      <c r="Y20" s="2">
        <f>-670-173</f>
        <v>-843</v>
      </c>
      <c r="Z20" s="2">
        <f>-1-165</f>
        <v>-166</v>
      </c>
      <c r="AA20" s="2"/>
      <c r="AB20" s="2"/>
      <c r="AC20" s="2"/>
      <c r="AD20" s="2"/>
      <c r="AE20" s="2"/>
      <c r="AF20" s="2"/>
      <c r="AG20" s="2"/>
      <c r="AH20" s="2"/>
      <c r="AI20" s="2"/>
      <c r="AJ20" s="2"/>
      <c r="AK20" s="2"/>
      <c r="AL20" s="2"/>
      <c r="AM20" s="2"/>
      <c r="AN20" s="2"/>
    </row>
    <row r="21" spans="2:127" x14ac:dyDescent="0.25">
      <c r="B21" t="s">
        <v>63</v>
      </c>
      <c r="C21" s="2">
        <f>+C18+C19+C20</f>
        <v>-1978</v>
      </c>
      <c r="D21" s="2">
        <f t="shared" ref="D21:J21" si="53">+D18+D19+D20</f>
        <v>-2060</v>
      </c>
      <c r="E21" s="2">
        <f t="shared" si="53"/>
        <v>-2859</v>
      </c>
      <c r="F21" s="2">
        <f t="shared" si="53"/>
        <v>-2625</v>
      </c>
      <c r="G21" s="2">
        <f t="shared" si="53"/>
        <v>-1890</v>
      </c>
      <c r="H21" s="2">
        <f t="shared" si="53"/>
        <v>-1830</v>
      </c>
      <c r="I21" s="2">
        <f t="shared" si="53"/>
        <v>-758</v>
      </c>
      <c r="J21" s="2">
        <f t="shared" si="53"/>
        <v>-1601</v>
      </c>
      <c r="R21" s="2">
        <f t="shared" ref="R21:AJ21" si="54">+R18+R19+R20</f>
        <v>1225</v>
      </c>
      <c r="S21" s="2">
        <f t="shared" si="54"/>
        <v>1799</v>
      </c>
      <c r="T21" s="2">
        <f t="shared" si="54"/>
        <v>2828</v>
      </c>
      <c r="U21" s="2">
        <f t="shared" si="54"/>
        <v>2666</v>
      </c>
      <c r="V21" s="2">
        <f t="shared" si="54"/>
        <v>3206</v>
      </c>
      <c r="W21" s="2">
        <f t="shared" si="54"/>
        <v>3062</v>
      </c>
      <c r="X21" s="2">
        <f t="shared" si="54"/>
        <v>-10254</v>
      </c>
      <c r="Y21" s="2">
        <f t="shared" si="54"/>
        <v>-9522</v>
      </c>
      <c r="Z21" s="2">
        <f t="shared" si="54"/>
        <v>-6079</v>
      </c>
      <c r="AA21" s="2">
        <f t="shared" si="54"/>
        <v>-4149.5282414269377</v>
      </c>
      <c r="AB21" s="2">
        <f t="shared" si="54"/>
        <v>-2062.5148442461323</v>
      </c>
      <c r="AC21" s="2">
        <f t="shared" si="54"/>
        <v>1822.548554081769</v>
      </c>
      <c r="AD21" s="2">
        <f t="shared" si="54"/>
        <v>2308.9153694127749</v>
      </c>
      <c r="AE21" s="2">
        <f t="shared" si="54"/>
        <v>3092.9215399446662</v>
      </c>
      <c r="AF21" s="2">
        <f t="shared" si="54"/>
        <v>3384.1307049105371</v>
      </c>
      <c r="AG21" s="2">
        <f t="shared" si="54"/>
        <v>3820.1179477515252</v>
      </c>
      <c r="AH21" s="2">
        <f t="shared" si="54"/>
        <v>4002.2040284747</v>
      </c>
      <c r="AI21" s="2">
        <f t="shared" si="54"/>
        <v>4283.242478033013</v>
      </c>
      <c r="AJ21" s="2">
        <f t="shared" si="54"/>
        <v>4578.1887455579199</v>
      </c>
      <c r="AK21" s="2"/>
      <c r="AL21" s="2"/>
      <c r="AM21" s="2"/>
      <c r="AN21" s="2"/>
    </row>
    <row r="22" spans="2:127" x14ac:dyDescent="0.25">
      <c r="B22" t="s">
        <v>39</v>
      </c>
      <c r="C22" s="2">
        <v>6</v>
      </c>
      <c r="D22" s="2">
        <v>-12</v>
      </c>
      <c r="E22" s="2">
        <v>23</v>
      </c>
      <c r="F22" s="2">
        <f t="shared" si="50"/>
        <v>4</v>
      </c>
      <c r="G22" s="2">
        <v>-3</v>
      </c>
      <c r="H22" s="2">
        <v>-3</v>
      </c>
      <c r="I22" s="2">
        <v>-11</v>
      </c>
      <c r="J22" s="2">
        <f t="shared" si="51"/>
        <v>3</v>
      </c>
      <c r="R22" s="2">
        <v>-9</v>
      </c>
      <c r="S22" s="2">
        <v>-42</v>
      </c>
      <c r="T22" s="2">
        <v>-49</v>
      </c>
      <c r="U22" s="2">
        <v>-60</v>
      </c>
      <c r="V22" s="2">
        <v>-54</v>
      </c>
      <c r="W22" s="2">
        <v>-71</v>
      </c>
      <c r="X22" s="2">
        <v>17</v>
      </c>
      <c r="Y22" s="2">
        <v>21</v>
      </c>
      <c r="Z22" s="2">
        <v>-14</v>
      </c>
      <c r="AA22" s="2">
        <f>AA21*-AA36</f>
        <v>8.2990564828538762</v>
      </c>
      <c r="AB22" s="2">
        <f>AB21*-AB36</f>
        <v>4.1250296884922646</v>
      </c>
      <c r="AC22" s="2">
        <f t="shared" ref="AC22:AJ22" si="55">AC21*-AC36</f>
        <v>-49.208810960207764</v>
      </c>
      <c r="AD22" s="2">
        <f t="shared" si="55"/>
        <v>-69.26746108238325</v>
      </c>
      <c r="AE22" s="2">
        <f t="shared" si="55"/>
        <v>-102.06641081817399</v>
      </c>
      <c r="AF22" s="2">
        <f t="shared" si="55"/>
        <v>-135.3652281964215</v>
      </c>
      <c r="AG22" s="2">
        <f t="shared" si="55"/>
        <v>-152.80471791006102</v>
      </c>
      <c r="AH22" s="2">
        <f t="shared" si="55"/>
        <v>-160.088161138988</v>
      </c>
      <c r="AI22" s="2">
        <f t="shared" si="55"/>
        <v>-171.32969912132052</v>
      </c>
      <c r="AJ22" s="2">
        <f t="shared" si="55"/>
        <v>-183.12754982231681</v>
      </c>
      <c r="AK22" s="2"/>
      <c r="AL22" s="2"/>
      <c r="AM22" s="2"/>
      <c r="AN22" s="2"/>
    </row>
    <row r="23" spans="2:127" s="4" customFormat="1" x14ac:dyDescent="0.25">
      <c r="B23" s="4" t="s">
        <v>29</v>
      </c>
      <c r="C23" s="5">
        <f>+C18+C19+C20+C22</f>
        <v>-1972</v>
      </c>
      <c r="D23" s="5">
        <f t="shared" ref="D23:J23" si="56">+D18+D19+D20+D22</f>
        <v>-2072</v>
      </c>
      <c r="E23" s="5">
        <f t="shared" si="56"/>
        <v>-2836</v>
      </c>
      <c r="F23" s="5">
        <f t="shared" si="56"/>
        <v>-2621</v>
      </c>
      <c r="G23" s="5">
        <f>+G18+G19+G20+G22</f>
        <v>-1893</v>
      </c>
      <c r="H23" s="5">
        <f t="shared" si="56"/>
        <v>-1833</v>
      </c>
      <c r="I23" s="5">
        <f t="shared" si="56"/>
        <v>-769</v>
      </c>
      <c r="J23" s="5">
        <f t="shared" si="56"/>
        <v>-1598</v>
      </c>
      <c r="R23" s="5">
        <f t="shared" ref="R23:Z23" si="57">+R18+R19+R20+R22</f>
        <v>1216</v>
      </c>
      <c r="S23" s="5">
        <f t="shared" si="57"/>
        <v>1757</v>
      </c>
      <c r="T23" s="5">
        <f t="shared" si="57"/>
        <v>2779</v>
      </c>
      <c r="U23" s="5">
        <f t="shared" si="57"/>
        <v>2606</v>
      </c>
      <c r="V23" s="5">
        <f t="shared" si="57"/>
        <v>3152</v>
      </c>
      <c r="W23" s="5">
        <f t="shared" si="57"/>
        <v>2991</v>
      </c>
      <c r="X23" s="5">
        <f t="shared" si="57"/>
        <v>-10237</v>
      </c>
      <c r="Y23" s="5">
        <f t="shared" si="57"/>
        <v>-9501</v>
      </c>
      <c r="Z23" s="5">
        <f t="shared" si="57"/>
        <v>-6093</v>
      </c>
      <c r="AA23" s="5">
        <f t="shared" ref="AA23" si="58">+AA18+AA19+AA20+AA22</f>
        <v>-4141.2291849440835</v>
      </c>
      <c r="AB23" s="5">
        <f t="shared" ref="AB23" si="59">+AB18+AB19+AB20+AB22</f>
        <v>-2058.38981455764</v>
      </c>
      <c r="AC23" s="5">
        <f t="shared" ref="AC23" si="60">+AC18+AC19+AC20+AC22</f>
        <v>1773.3397431215612</v>
      </c>
      <c r="AD23" s="5">
        <f t="shared" ref="AD23" si="61">+AD18+AD19+AD20+AD22</f>
        <v>2239.6479083303916</v>
      </c>
      <c r="AE23" s="5">
        <f t="shared" ref="AE23" si="62">+AE18+AE19+AE20+AE22</f>
        <v>2990.8551291264921</v>
      </c>
      <c r="AF23" s="5">
        <f t="shared" ref="AF23" si="63">+AF18+AF19+AF20+AF22</f>
        <v>3248.7654767141157</v>
      </c>
      <c r="AG23" s="5">
        <f t="shared" ref="AG23" si="64">+AG18+AG19+AG20+AG22</f>
        <v>3667.3132298414644</v>
      </c>
      <c r="AH23" s="5">
        <f t="shared" ref="AH23" si="65">+AH18+AH19+AH20+AH22</f>
        <v>3842.1158673357118</v>
      </c>
      <c r="AI23" s="5">
        <f t="shared" ref="AI23" si="66">+AI18+AI19+AI20+AI22</f>
        <v>4111.9127789116928</v>
      </c>
      <c r="AJ23" s="5">
        <f t="shared" ref="AJ23" si="67">+AJ18+AJ19+AJ20+AJ22</f>
        <v>4395.0611957356032</v>
      </c>
      <c r="AK23" s="5">
        <f>AJ23*(1+Dash!$C$2)</f>
        <v>4351.110583778247</v>
      </c>
      <c r="AL23" s="5">
        <f>AK23*(1+Dash!$C$2)</f>
        <v>4307.5994779404646</v>
      </c>
      <c r="AM23" s="5">
        <f>AL23*(1+Dash!$C$2)</f>
        <v>4264.5234831610596</v>
      </c>
      <c r="AN23" s="5">
        <f>AM23*(1+Dash!$C$2)</f>
        <v>4221.878248329449</v>
      </c>
      <c r="AO23" s="5">
        <f>AN23*(1+Dash!$C$2)</f>
        <v>4179.6594658461545</v>
      </c>
      <c r="AP23" s="5">
        <f>AO23*(1+Dash!$C$2)</f>
        <v>4137.8628711876927</v>
      </c>
      <c r="AQ23" s="5">
        <f>AP23*(1+Dash!$C$2)</f>
        <v>4096.4842424758153</v>
      </c>
      <c r="AR23" s="5">
        <f>AQ23*(1+Dash!$C$2)</f>
        <v>4055.5194000510573</v>
      </c>
      <c r="AS23" s="5">
        <f>AR23*(1+Dash!$C$2)</f>
        <v>4014.9642060505466</v>
      </c>
      <c r="AT23" s="5">
        <f>AS23*(1+Dash!$C$2)</f>
        <v>3974.8145639900413</v>
      </c>
      <c r="AU23" s="5">
        <f>AT23*(1+Dash!$C$2)</f>
        <v>3935.0664183501408</v>
      </c>
      <c r="AV23" s="5">
        <f>AU23*(1+Dash!$C$2)</f>
        <v>3895.7157541666393</v>
      </c>
      <c r="AW23" s="5">
        <f>AV23*(1+Dash!$C$2)</f>
        <v>3856.7585966249731</v>
      </c>
      <c r="AX23" s="5">
        <f>AW23*(1+Dash!$C$2)</f>
        <v>3818.1910106587234</v>
      </c>
      <c r="AY23" s="5">
        <f>AX23*(1+Dash!$C$2)</f>
        <v>3780.0091005521363</v>
      </c>
      <c r="AZ23" s="5">
        <f>AY23*(1+Dash!$C$2)</f>
        <v>3742.2090095466147</v>
      </c>
      <c r="BA23" s="5">
        <f>AZ23*(1+Dash!$C$2)</f>
        <v>3704.7869194511486</v>
      </c>
      <c r="BB23" s="5">
        <f>BA23*(1+Dash!$C$2)</f>
        <v>3667.7390502566373</v>
      </c>
      <c r="BC23" s="5">
        <f>BB23*(1+Dash!$C$2)</f>
        <v>3631.0616597540707</v>
      </c>
      <c r="BD23" s="5">
        <f>BC23*(1+Dash!$C$2)</f>
        <v>3594.7510431565297</v>
      </c>
      <c r="BE23" s="5">
        <f>BD23*(1+Dash!$C$2)</f>
        <v>3558.8035327249645</v>
      </c>
      <c r="BF23" s="5">
        <f>BE23*(1+Dash!$C$2)</f>
        <v>3523.2154973977149</v>
      </c>
      <c r="BG23" s="5">
        <f>BF23*(1+Dash!$C$2)</f>
        <v>3487.9833424237377</v>
      </c>
      <c r="BH23" s="5">
        <f>BG23*(1+Dash!$C$2)</f>
        <v>3453.1035089995003</v>
      </c>
      <c r="BI23" s="5">
        <f>BH23*(1+Dash!$C$2)</f>
        <v>3418.5724739095053</v>
      </c>
      <c r="BJ23" s="5">
        <f>BI23*(1+Dash!$C$2)</f>
        <v>3384.3867491704104</v>
      </c>
      <c r="BK23" s="5">
        <f>BJ23*(1+Dash!$C$2)</f>
        <v>3350.5428816787062</v>
      </c>
      <c r="BL23" s="5">
        <f>BK23*(1+Dash!$C$2)</f>
        <v>3317.0374528619191</v>
      </c>
      <c r="BM23" s="5">
        <f>BL23*(1+Dash!$C$2)</f>
        <v>3283.8670783333</v>
      </c>
      <c r="BN23" s="5">
        <f>BM23*(1+Dash!$C$2)</f>
        <v>3251.0284075499671</v>
      </c>
      <c r="BO23" s="5">
        <f>BN23*(1+Dash!$C$2)</f>
        <v>3218.5181234744673</v>
      </c>
      <c r="BP23" s="5">
        <f>BO23*(1+Dash!$C$2)</f>
        <v>3186.3329422397228</v>
      </c>
      <c r="BQ23" s="5">
        <f>BP23*(1+Dash!$C$2)</f>
        <v>3154.4696128173255</v>
      </c>
      <c r="BR23" s="5">
        <f>BQ23*(1+Dash!$C$2)</f>
        <v>3122.9249166891523</v>
      </c>
      <c r="BS23" s="5">
        <f>BR23*(1+Dash!$C$2)</f>
        <v>3091.6956675222609</v>
      </c>
      <c r="BT23" s="5">
        <f>BS23*(1+Dash!$C$2)</f>
        <v>3060.7787108470384</v>
      </c>
      <c r="BU23" s="5">
        <f>BT23*(1+Dash!$C$2)</f>
        <v>3030.170923738568</v>
      </c>
      <c r="BV23" s="5">
        <f>BU23*(1+Dash!$C$2)</f>
        <v>2999.8692145011823</v>
      </c>
      <c r="BW23" s="5">
        <f>BV23*(1+Dash!$C$2)</f>
        <v>2969.8705223561706</v>
      </c>
      <c r="BX23" s="5">
        <f>BW23*(1+Dash!$C$2)</f>
        <v>2940.1718171326088</v>
      </c>
      <c r="BY23" s="5">
        <f>BX23*(1+Dash!$C$2)</f>
        <v>2910.7700989612827</v>
      </c>
      <c r="BZ23" s="5">
        <f>BY23*(1+Dash!$C$2)</f>
        <v>2881.6623979716696</v>
      </c>
      <c r="CA23" s="5">
        <f>BZ23*(1+Dash!$C$2)</f>
        <v>2852.8457739919531</v>
      </c>
      <c r="CB23" s="5">
        <f>CA23*(1+Dash!$C$2)</f>
        <v>2824.3173162520334</v>
      </c>
      <c r="CC23" s="5">
        <f>CB23*(1+Dash!$C$2)</f>
        <v>2796.0741430895132</v>
      </c>
      <c r="CD23" s="5">
        <f>CC23*(1+Dash!$C$2)</f>
        <v>2768.1134016586179</v>
      </c>
      <c r="CE23" s="5">
        <f>CD23*(1+Dash!$C$2)</f>
        <v>2740.4322676420315</v>
      </c>
      <c r="CF23" s="5">
        <f>CE23*(1+Dash!$C$2)</f>
        <v>2713.0279449656114</v>
      </c>
      <c r="CG23" s="5">
        <f>CF23*(1+Dash!$C$2)</f>
        <v>2685.8976655159554</v>
      </c>
      <c r="CH23" s="5">
        <f>CG23*(1+Dash!$C$2)</f>
        <v>2659.0386888607959</v>
      </c>
      <c r="CI23" s="5">
        <f>CH23*(1+Dash!$C$2)</f>
        <v>2632.4483019721879</v>
      </c>
      <c r="CJ23" s="5">
        <f>CI23*(1+Dash!$C$2)</f>
        <v>2606.1238189524661</v>
      </c>
      <c r="CK23" s="5">
        <f>CJ23*(1+Dash!$C$2)</f>
        <v>2580.0625807629413</v>
      </c>
      <c r="CL23" s="5">
        <f>CK23*(1+Dash!$C$2)</f>
        <v>2554.2619549553119</v>
      </c>
      <c r="CM23" s="5">
        <f>CL23*(1+Dash!$C$2)</f>
        <v>2528.7193354057586</v>
      </c>
      <c r="CN23" s="5">
        <f>CM23*(1+Dash!$C$2)</f>
        <v>2503.4321420517008</v>
      </c>
      <c r="CO23" s="5">
        <f>CN23*(1+Dash!$C$2)</f>
        <v>2478.3978206311835</v>
      </c>
      <c r="CP23" s="5">
        <f>CO23*(1+Dash!$C$2)</f>
        <v>2453.6138424248716</v>
      </c>
      <c r="CQ23" s="5">
        <f>CP23*(1+Dash!$C$2)</f>
        <v>2429.0777040006228</v>
      </c>
      <c r="CR23" s="5">
        <f>CQ23*(1+Dash!$C$2)</f>
        <v>2404.7869269606167</v>
      </c>
      <c r="CS23" s="5">
        <f>CR23*(1+Dash!$C$2)</f>
        <v>2380.7390576910107</v>
      </c>
      <c r="CT23" s="5">
        <f>CS23*(1+Dash!$C$2)</f>
        <v>2356.9316671141005</v>
      </c>
      <c r="CU23" s="5">
        <f>CT23*(1+Dash!$C$2)</f>
        <v>2333.3623504429593</v>
      </c>
      <c r="CV23" s="5">
        <f>CU23*(1+Dash!$C$2)</f>
        <v>2310.0287269385299</v>
      </c>
      <c r="CW23" s="5">
        <f>CV23*(1+Dash!$C$2)</f>
        <v>2286.9284396691446</v>
      </c>
      <c r="CX23" s="5">
        <f>CW23*(1+Dash!$C$2)</f>
        <v>2264.0591552724532</v>
      </c>
      <c r="CY23" s="5">
        <f>CX23*(1+Dash!$C$2)</f>
        <v>2241.4185637197288</v>
      </c>
      <c r="CZ23" s="5">
        <f>CY23*(1+Dash!$C$2)</f>
        <v>2219.0043780825313</v>
      </c>
      <c r="DA23" s="5">
        <f>CZ23*(1+Dash!$C$2)</f>
        <v>2196.8143343017059</v>
      </c>
      <c r="DB23" s="5">
        <f>DA23*(1+Dash!$C$2)</f>
        <v>2174.846190958689</v>
      </c>
      <c r="DC23" s="5">
        <f>DB23*(1+Dash!$C$2)</f>
        <v>2153.0977290491023</v>
      </c>
      <c r="DD23" s="5">
        <f>DC23*(1+Dash!$C$2)</f>
        <v>2131.5667517586112</v>
      </c>
      <c r="DE23" s="5">
        <f>DD23*(1+Dash!$C$2)</f>
        <v>2110.2510842410252</v>
      </c>
      <c r="DF23" s="5">
        <f>DE23*(1+Dash!$C$2)</f>
        <v>2089.1485733986151</v>
      </c>
      <c r="DG23" s="5">
        <f>DF23*(1+Dash!$C$2)</f>
        <v>2068.2570876646291</v>
      </c>
      <c r="DH23" s="5">
        <f>DG23*(1+Dash!$C$2)</f>
        <v>2047.5745167879827</v>
      </c>
      <c r="DI23" s="5">
        <f>DH23*(1+Dash!$C$2)</f>
        <v>2027.0987716201028</v>
      </c>
      <c r="DJ23" s="5">
        <f>DI23*(1+Dash!$C$2)</f>
        <v>2006.8277839039017</v>
      </c>
      <c r="DK23" s="5">
        <f>DJ23*(1+Dash!$C$2)</f>
        <v>1986.7595060648628</v>
      </c>
      <c r="DL23" s="5">
        <f>DK23*(1+Dash!$C$2)</f>
        <v>1966.8919110042141</v>
      </c>
      <c r="DM23" s="5">
        <f>DL23*(1+Dash!$C$2)</f>
        <v>1947.2229918941719</v>
      </c>
      <c r="DN23" s="5">
        <f>DM23*(1+Dash!$C$2)</f>
        <v>1927.75076197523</v>
      </c>
      <c r="DO23" s="5">
        <f>DN23*(1+Dash!$C$2)</f>
        <v>1908.4732543554778</v>
      </c>
      <c r="DP23" s="5">
        <f>DO23*(1+Dash!$C$2)</f>
        <v>1889.3885218119231</v>
      </c>
      <c r="DQ23" s="5">
        <f>DP23*(1+Dash!$C$2)</f>
        <v>1870.4946365938038</v>
      </c>
      <c r="DR23" s="5">
        <f>DQ23*(1+Dash!$C$2)</f>
        <v>1851.7896902278658</v>
      </c>
      <c r="DS23" s="5">
        <f>DR23*(1+Dash!$C$2)</f>
        <v>1833.2717933255872</v>
      </c>
      <c r="DT23" s="5">
        <f>DS23*(1+Dash!$C$2)</f>
        <v>1814.9390753923312</v>
      </c>
      <c r="DU23" s="5">
        <f>DT23*(1+Dash!$C$2)</f>
        <v>1796.7896846384078</v>
      </c>
      <c r="DV23" s="5">
        <f>DU23*(1+Dash!$C$2)</f>
        <v>1778.8217877920238</v>
      </c>
      <c r="DW23" s="5">
        <f>DV23*(1+Dash!$C$2)</f>
        <v>1761.0335699141035</v>
      </c>
    </row>
    <row r="24" spans="2:127" x14ac:dyDescent="0.25">
      <c r="B24" t="s">
        <v>1</v>
      </c>
      <c r="C24" s="2">
        <f t="shared" ref="C24:Y24" si="68">+C23/C25</f>
        <v>1095.5555555555554</v>
      </c>
      <c r="D24" s="2">
        <f t="shared" si="68"/>
        <v>1132.2404371584698</v>
      </c>
      <c r="E24" s="2">
        <f t="shared" si="68"/>
        <v>1134.4000000000001</v>
      </c>
      <c r="F24" s="2">
        <f>+Y24</f>
        <v>1123.0496453900707</v>
      </c>
      <c r="G24" s="2">
        <f t="shared" si="68"/>
        <v>1140.3614457831327</v>
      </c>
      <c r="H24" s="2">
        <f t="shared" si="68"/>
        <v>1138.5093167701862</v>
      </c>
      <c r="I24" s="2">
        <f t="shared" si="68"/>
        <v>1183.0769230769231</v>
      </c>
      <c r="J24" s="2">
        <f>+Z24</f>
        <v>1180.8139534883721</v>
      </c>
      <c r="K24" s="2"/>
      <c r="L24" s="2"/>
      <c r="M24" s="2"/>
      <c r="N24" s="2"/>
      <c r="O24" s="2"/>
      <c r="P24" s="2"/>
      <c r="Q24" s="2"/>
      <c r="R24" s="2">
        <f t="shared" si="68"/>
        <v>774.52229299363057</v>
      </c>
      <c r="S24" s="2">
        <f t="shared" si="68"/>
        <v>777.43362831858417</v>
      </c>
      <c r="T24" s="2">
        <f t="shared" si="68"/>
        <v>745.04021447721175</v>
      </c>
      <c r="U24" s="2">
        <f t="shared" si="68"/>
        <v>721.88365650969536</v>
      </c>
      <c r="V24" s="2">
        <f t="shared" si="68"/>
        <v>708.31460674157302</v>
      </c>
      <c r="W24" s="2">
        <f t="shared" si="68"/>
        <v>689.17050691244242</v>
      </c>
      <c r="X24" s="2">
        <f t="shared" si="68"/>
        <v>775.53030303030312</v>
      </c>
      <c r="Y24" s="2">
        <f t="shared" si="68"/>
        <v>1123.0496453900707</v>
      </c>
      <c r="Z24" s="2">
        <f>+Z23/Z25</f>
        <v>1180.8139534883721</v>
      </c>
      <c r="AA24" s="2">
        <f>Z24</f>
        <v>1180.8139534883721</v>
      </c>
      <c r="AB24" s="2">
        <f t="shared" ref="AB24:AJ24" si="69">AA24</f>
        <v>1180.8139534883721</v>
      </c>
      <c r="AC24" s="2">
        <f t="shared" si="69"/>
        <v>1180.8139534883721</v>
      </c>
      <c r="AD24" s="2">
        <f t="shared" si="69"/>
        <v>1180.8139534883721</v>
      </c>
      <c r="AE24" s="2">
        <f t="shared" si="69"/>
        <v>1180.8139534883721</v>
      </c>
      <c r="AF24" s="2">
        <f t="shared" si="69"/>
        <v>1180.8139534883721</v>
      </c>
      <c r="AG24" s="2">
        <f t="shared" si="69"/>
        <v>1180.8139534883721</v>
      </c>
      <c r="AH24" s="2">
        <f t="shared" si="69"/>
        <v>1180.8139534883721</v>
      </c>
      <c r="AI24" s="2">
        <f t="shared" si="69"/>
        <v>1180.8139534883721</v>
      </c>
      <c r="AJ24" s="2">
        <f t="shared" si="69"/>
        <v>1180.8139534883721</v>
      </c>
      <c r="AK24" s="2"/>
      <c r="AL24" s="2"/>
      <c r="AM24" s="2"/>
      <c r="AN24" s="2"/>
    </row>
    <row r="25" spans="2:127" s="4" customFormat="1" x14ac:dyDescent="0.25">
      <c r="B25" s="4" t="s">
        <v>30</v>
      </c>
      <c r="C25" s="6">
        <v>-1.8</v>
      </c>
      <c r="D25" s="6">
        <v>-1.83</v>
      </c>
      <c r="E25" s="6">
        <v>-2.5</v>
      </c>
      <c r="F25" s="6">
        <f>+F23/F24</f>
        <v>-2.3338238080202087</v>
      </c>
      <c r="G25" s="6">
        <v>-1.66</v>
      </c>
      <c r="H25" s="6">
        <v>-1.61</v>
      </c>
      <c r="I25" s="6">
        <v>-0.65</v>
      </c>
      <c r="J25" s="6">
        <f>+J23/J24</f>
        <v>-1.3533037912358443</v>
      </c>
      <c r="R25" s="4">
        <v>1.57</v>
      </c>
      <c r="S25" s="4">
        <v>2.2599999999999998</v>
      </c>
      <c r="T25" s="6">
        <v>3.73</v>
      </c>
      <c r="U25" s="6">
        <v>3.61</v>
      </c>
      <c r="V25" s="6">
        <v>4.45</v>
      </c>
      <c r="W25" s="6">
        <v>4.34</v>
      </c>
      <c r="X25" s="6">
        <v>-13.2</v>
      </c>
      <c r="Y25" s="6">
        <v>-8.4600000000000009</v>
      </c>
      <c r="Z25" s="6">
        <v>-5.16</v>
      </c>
      <c r="AA25" s="6">
        <f>AA23/AA24</f>
        <v>-3.5070970940934632</v>
      </c>
      <c r="AB25" s="6">
        <f t="shared" ref="AB25:AJ25" si="70">AB23/AB24</f>
        <v>-1.7431957070601383</v>
      </c>
      <c r="AC25" s="6">
        <f t="shared" si="70"/>
        <v>1.5017943664052611</v>
      </c>
      <c r="AD25" s="6">
        <f t="shared" si="70"/>
        <v>1.8966983763310061</v>
      </c>
      <c r="AE25" s="6">
        <f t="shared" si="70"/>
        <v>2.5328758355970291</v>
      </c>
      <c r="AF25" s="6">
        <f t="shared" si="70"/>
        <v>2.7512932643763066</v>
      </c>
      <c r="AG25" s="6">
        <f t="shared" si="70"/>
        <v>3.1057502488071482</v>
      </c>
      <c r="AH25" s="6">
        <f t="shared" si="70"/>
        <v>3.2537859634748516</v>
      </c>
      <c r="AI25" s="6">
        <f t="shared" si="70"/>
        <v>3.482269807842497</v>
      </c>
      <c r="AJ25" s="6">
        <f t="shared" si="70"/>
        <v>3.7220606876736766</v>
      </c>
      <c r="AK25" s="6"/>
      <c r="AL25" s="6"/>
      <c r="AM25" s="6"/>
      <c r="AN25" s="6"/>
    </row>
    <row r="27" spans="2:127" x14ac:dyDescent="0.25">
      <c r="B27" s="4" t="s">
        <v>144</v>
      </c>
      <c r="C27" s="2">
        <f>+C18+C16</f>
        <v>-971</v>
      </c>
      <c r="D27" s="2">
        <f t="shared" ref="D27:J27" si="71">+D18+D16</f>
        <v>-1049</v>
      </c>
      <c r="E27" s="2">
        <f t="shared" si="71"/>
        <v>-1495</v>
      </c>
      <c r="F27" s="2">
        <f t="shared" si="71"/>
        <v>-1342</v>
      </c>
      <c r="G27" s="2">
        <f t="shared" si="71"/>
        <v>-939</v>
      </c>
      <c r="H27" s="2">
        <f t="shared" si="71"/>
        <v>-900</v>
      </c>
      <c r="I27" s="2">
        <f t="shared" si="71"/>
        <v>302</v>
      </c>
      <c r="J27" s="2">
        <f t="shared" si="71"/>
        <v>-566</v>
      </c>
      <c r="R27" s="2">
        <f t="shared" ref="R27:Z27" si="72">+R18+R16</f>
        <v>3409</v>
      </c>
      <c r="S27" s="2">
        <f t="shared" si="72"/>
        <v>4200</v>
      </c>
      <c r="T27" s="2">
        <f t="shared" si="72"/>
        <v>4809</v>
      </c>
      <c r="U27" s="2">
        <f t="shared" si="72"/>
        <v>4655</v>
      </c>
      <c r="V27" s="2">
        <f t="shared" si="72"/>
        <v>5341</v>
      </c>
      <c r="W27" s="2">
        <f t="shared" si="72"/>
        <v>5437</v>
      </c>
      <c r="X27" s="2">
        <f t="shared" si="72"/>
        <v>-6625</v>
      </c>
      <c r="Y27" s="2">
        <f t="shared" si="72"/>
        <v>-4857</v>
      </c>
      <c r="Z27" s="2">
        <f t="shared" si="72"/>
        <v>-2103</v>
      </c>
      <c r="AB27" s="2"/>
      <c r="AC27" s="2"/>
      <c r="AD27" s="2"/>
    </row>
    <row r="28" spans="2:127" x14ac:dyDescent="0.25">
      <c r="B28" s="4" t="s">
        <v>145</v>
      </c>
      <c r="C28" s="2">
        <f>C23+C22+C19</f>
        <v>-2361</v>
      </c>
      <c r="D28" s="2">
        <f t="shared" ref="D28:J28" si="73">D23+D22+D19</f>
        <v>-2517</v>
      </c>
      <c r="E28" s="2">
        <f>E23+E22+E19</f>
        <v>-3228</v>
      </c>
      <c r="F28" s="2">
        <f t="shared" si="73"/>
        <v>-2963</v>
      </c>
      <c r="G28" s="2">
        <f t="shared" si="73"/>
        <v>-2261</v>
      </c>
      <c r="H28" s="2">
        <f t="shared" si="73"/>
        <v>-2200</v>
      </c>
      <c r="I28" s="2">
        <f t="shared" si="73"/>
        <v>-1178</v>
      </c>
      <c r="J28" s="2">
        <f t="shared" si="73"/>
        <v>-2003</v>
      </c>
      <c r="R28" s="2">
        <f t="shared" ref="R28:Z28" si="74">R23+R22+R19</f>
        <v>927</v>
      </c>
      <c r="S28" s="2">
        <f t="shared" si="74"/>
        <v>1506</v>
      </c>
      <c r="T28" s="2">
        <f t="shared" si="74"/>
        <v>2513</v>
      </c>
      <c r="U28" s="2">
        <f t="shared" si="74"/>
        <v>2357</v>
      </c>
      <c r="V28" s="2">
        <f t="shared" si="74"/>
        <v>2918</v>
      </c>
      <c r="W28" s="2">
        <f t="shared" si="74"/>
        <v>2737</v>
      </c>
      <c r="X28" s="2">
        <f t="shared" si="74"/>
        <v>-11097</v>
      </c>
      <c r="Y28" s="2">
        <f t="shared" si="74"/>
        <v>-11069</v>
      </c>
      <c r="Z28" s="2">
        <f t="shared" si="74"/>
        <v>-7642</v>
      </c>
    </row>
    <row r="29" spans="2:127" x14ac:dyDescent="0.25">
      <c r="AB29" s="2"/>
      <c r="AC29" s="2"/>
      <c r="AD29" s="2"/>
    </row>
    <row r="30" spans="2:127" s="2" customFormat="1" x14ac:dyDescent="0.25">
      <c r="B30" s="2" t="s">
        <v>3</v>
      </c>
      <c r="S30" s="2">
        <v>1395</v>
      </c>
      <c r="T30" s="2">
        <v>603</v>
      </c>
      <c r="U30" s="2">
        <v>395</v>
      </c>
      <c r="V30" s="2">
        <v>982</v>
      </c>
      <c r="W30" s="2">
        <v>518</v>
      </c>
      <c r="X30" s="2">
        <v>9513</v>
      </c>
      <c r="Y30" s="2">
        <f>8939+14+200</f>
        <v>9153</v>
      </c>
      <c r="Z30" s="2">
        <f>4029+1988</f>
        <v>6017</v>
      </c>
    </row>
    <row r="31" spans="2:127" s="2" customFormat="1" x14ac:dyDescent="0.25">
      <c r="B31" s="2" t="s">
        <v>4</v>
      </c>
      <c r="S31" s="2">
        <f>30+1344+627+7413</f>
        <v>9414</v>
      </c>
      <c r="T31" s="2">
        <f>457+640+713+8357</f>
        <v>10167</v>
      </c>
      <c r="U31" s="2">
        <f>485+1717+762+6993</f>
        <v>9957</v>
      </c>
      <c r="V31" s="2">
        <f>848+1578+730+7897</f>
        <v>11053</v>
      </c>
      <c r="W31" s="2">
        <f>231+1596+756+9675</f>
        <v>12258</v>
      </c>
      <c r="X31" s="2">
        <f>3084+1742+624+22130</f>
        <v>27580</v>
      </c>
      <c r="Y31" s="2">
        <f>2790+1927+797+28509</f>
        <v>34023</v>
      </c>
      <c r="Z31" s="2">
        <f>200+2393+1050+31953</f>
        <v>35596</v>
      </c>
    </row>
    <row r="32" spans="2:127" s="2" customFormat="1" x14ac:dyDescent="0.25">
      <c r="B32" s="2" t="s">
        <v>46</v>
      </c>
      <c r="S32" s="2">
        <v>31818</v>
      </c>
      <c r="T32" s="2">
        <v>32429</v>
      </c>
      <c r="U32" s="2">
        <v>34430</v>
      </c>
      <c r="V32" s="2">
        <v>35336</v>
      </c>
      <c r="W32" s="2">
        <v>38131</v>
      </c>
      <c r="X32" s="2">
        <v>38073</v>
      </c>
      <c r="Y32" s="2">
        <v>38107</v>
      </c>
      <c r="Z32" s="2">
        <v>38687</v>
      </c>
    </row>
    <row r="33" spans="1:40" s="2" customFormat="1" x14ac:dyDescent="0.25">
      <c r="B33" s="2" t="s">
        <v>47</v>
      </c>
      <c r="S33" s="2">
        <f t="shared" ref="S33:X33" si="75">+S30-S31</f>
        <v>-8019</v>
      </c>
      <c r="T33" s="2">
        <f t="shared" si="75"/>
        <v>-9564</v>
      </c>
      <c r="U33" s="2">
        <f t="shared" si="75"/>
        <v>-9562</v>
      </c>
      <c r="V33" s="2">
        <f t="shared" si="75"/>
        <v>-10071</v>
      </c>
      <c r="W33" s="2">
        <f t="shared" si="75"/>
        <v>-11740</v>
      </c>
      <c r="X33" s="2">
        <f t="shared" si="75"/>
        <v>-18067</v>
      </c>
      <c r="Y33" s="2">
        <f>+Y30-Y31</f>
        <v>-24870</v>
      </c>
      <c r="Z33" s="2">
        <f>+Z30-Z31</f>
        <v>-29579</v>
      </c>
      <c r="AA33" s="2">
        <f>Z33+AA23</f>
        <v>-33720.229184944081</v>
      </c>
      <c r="AB33" s="2">
        <f>AA33+AB23</f>
        <v>-35778.618999501719</v>
      </c>
      <c r="AC33" s="2">
        <f>AB33+AC23</f>
        <v>-34005.279256380156</v>
      </c>
      <c r="AD33" s="2">
        <f t="shared" ref="AD33:AJ33" si="76">AC33+AD23</f>
        <v>-31765.631348049763</v>
      </c>
      <c r="AE33" s="2">
        <f t="shared" si="76"/>
        <v>-28774.776218923271</v>
      </c>
      <c r="AF33" s="2">
        <f t="shared" si="76"/>
        <v>-25526.010742209153</v>
      </c>
      <c r="AG33" s="2">
        <f t="shared" si="76"/>
        <v>-21858.697512367689</v>
      </c>
      <c r="AH33" s="2">
        <f t="shared" si="76"/>
        <v>-18016.581645031976</v>
      </c>
      <c r="AI33" s="2">
        <f t="shared" si="76"/>
        <v>-13904.668866120282</v>
      </c>
      <c r="AJ33" s="2">
        <f t="shared" si="76"/>
        <v>-9509.6076703846793</v>
      </c>
    </row>
    <row r="34" spans="1:40" s="2" customFormat="1" x14ac:dyDescent="0.25"/>
    <row r="35" spans="1:40" s="8" customFormat="1" x14ac:dyDescent="0.25">
      <c r="B35" s="8" t="s">
        <v>65</v>
      </c>
      <c r="S35" s="8">
        <f>S19/S33</f>
        <v>2.6063100137174212E-2</v>
      </c>
      <c r="T35" s="8">
        <f t="shared" ref="T35:Z35" si="77">T19/T33</f>
        <v>2.2689251359263907E-2</v>
      </c>
      <c r="U35" s="8">
        <f t="shared" si="77"/>
        <v>1.9765739385065886E-2</v>
      </c>
      <c r="V35" s="8">
        <f t="shared" si="77"/>
        <v>1.7873100983020553E-2</v>
      </c>
      <c r="W35" s="8">
        <f t="shared" si="77"/>
        <v>1.5587734241908006E-2</v>
      </c>
      <c r="X35" s="8">
        <f t="shared" si="77"/>
        <v>4.854153982398849E-2</v>
      </c>
      <c r="Y35" s="8">
        <f t="shared" si="77"/>
        <v>6.3892239646160032E-2</v>
      </c>
      <c r="Z35" s="8">
        <f t="shared" si="77"/>
        <v>5.1894925453869298E-2</v>
      </c>
      <c r="AA35" s="8">
        <v>0.06</v>
      </c>
      <c r="AB35" s="8">
        <v>0.06</v>
      </c>
      <c r="AC35" s="8">
        <v>0.06</v>
      </c>
      <c r="AD35" s="8">
        <v>0.06</v>
      </c>
      <c r="AE35" s="8">
        <v>0.05</v>
      </c>
      <c r="AF35" s="8">
        <v>0.05</v>
      </c>
      <c r="AG35" s="8">
        <v>4.4999999999999998E-2</v>
      </c>
      <c r="AH35" s="8">
        <v>4.4999999999999998E-2</v>
      </c>
      <c r="AI35" s="8">
        <v>4.4999999999999998E-2</v>
      </c>
      <c r="AJ35" s="8">
        <v>4.4999999999999998E-2</v>
      </c>
    </row>
    <row r="36" spans="1:40" s="8" customFormat="1" x14ac:dyDescent="0.25">
      <c r="B36" s="8" t="s">
        <v>62</v>
      </c>
      <c r="R36" s="8">
        <f>+-R22/R21</f>
        <v>7.3469387755102037E-3</v>
      </c>
      <c r="S36" s="8">
        <f>+-S22/S21</f>
        <v>2.3346303501945526E-2</v>
      </c>
      <c r="T36" s="8">
        <f t="shared" ref="T36:Z36" si="78">+-T22/T21</f>
        <v>1.7326732673267328E-2</v>
      </c>
      <c r="U36" s="8">
        <f t="shared" si="78"/>
        <v>2.2505626406601649E-2</v>
      </c>
      <c r="V36" s="8">
        <f t="shared" si="78"/>
        <v>1.6843418590143482E-2</v>
      </c>
      <c r="W36" s="8">
        <f t="shared" si="78"/>
        <v>2.3187459177008492E-2</v>
      </c>
      <c r="X36" s="8">
        <f t="shared" si="78"/>
        <v>1.6578896040569534E-3</v>
      </c>
      <c r="Y36" s="8">
        <f t="shared" si="78"/>
        <v>2.2054190296156269E-3</v>
      </c>
      <c r="Z36" s="8">
        <f t="shared" si="78"/>
        <v>-2.3030103635466358E-3</v>
      </c>
      <c r="AA36" s="8">
        <v>2E-3</v>
      </c>
      <c r="AB36" s="8">
        <v>2E-3</v>
      </c>
      <c r="AC36" s="8">
        <v>2.7E-2</v>
      </c>
      <c r="AD36" s="8">
        <v>0.03</v>
      </c>
      <c r="AE36" s="8">
        <v>3.3000000000000002E-2</v>
      </c>
      <c r="AF36" s="8">
        <v>0.04</v>
      </c>
      <c r="AG36" s="8">
        <v>0.04</v>
      </c>
      <c r="AH36" s="8">
        <v>0.04</v>
      </c>
      <c r="AI36" s="8">
        <v>0.04</v>
      </c>
      <c r="AJ36" s="8">
        <v>0.04</v>
      </c>
    </row>
    <row r="37" spans="1:40" s="2" customFormat="1" x14ac:dyDescent="0.25"/>
    <row r="38" spans="1:40" s="8" customFormat="1" x14ac:dyDescent="0.25">
      <c r="B38" s="8" t="s">
        <v>59</v>
      </c>
      <c r="S38" s="8">
        <f t="shared" ref="S38:Y38" si="79">S16/S32</f>
        <v>5.1103149160852346E-2</v>
      </c>
      <c r="T38" s="8">
        <f t="shared" si="79"/>
        <v>5.3594005365567854E-2</v>
      </c>
      <c r="U38" s="8">
        <f t="shared" si="79"/>
        <v>5.3616032529770548E-2</v>
      </c>
      <c r="V38" s="8">
        <f t="shared" si="79"/>
        <v>5.7080597690740323E-2</v>
      </c>
      <c r="W38" s="8">
        <f t="shared" si="79"/>
        <v>5.6646822795101096E-2</v>
      </c>
      <c r="X38" s="8">
        <f t="shared" si="79"/>
        <v>5.8860609881018044E-2</v>
      </c>
      <c r="Y38" s="8">
        <f t="shared" si="79"/>
        <v>5.8598157818773457E-2</v>
      </c>
      <c r="Z38" s="8">
        <f>Z16/Z32</f>
        <v>5.8805283428541889E-2</v>
      </c>
    </row>
    <row r="39" spans="1:40" s="11" customFormat="1" x14ac:dyDescent="0.25">
      <c r="A39" s="11" t="s">
        <v>61</v>
      </c>
      <c r="B39" s="11" t="s">
        <v>60</v>
      </c>
      <c r="R39" s="11">
        <f t="shared" ref="R39:Y39" si="80">R16/R5</f>
        <v>0.1030596826995719</v>
      </c>
      <c r="S39" s="11">
        <f t="shared" si="80"/>
        <v>0.1034746086292478</v>
      </c>
      <c r="T39" s="11">
        <f t="shared" si="80"/>
        <v>0.10604673866617853</v>
      </c>
      <c r="U39" s="11">
        <f t="shared" si="80"/>
        <v>0.10542547115933752</v>
      </c>
      <c r="V39" s="11">
        <f t="shared" si="80"/>
        <v>0.10682696891054499</v>
      </c>
      <c r="W39" s="11">
        <f t="shared" si="80"/>
        <v>0.10372148859543817</v>
      </c>
      <c r="X39" s="11">
        <f t="shared" si="80"/>
        <v>0.40060779406506974</v>
      </c>
      <c r="Y39" s="11">
        <f t="shared" si="80"/>
        <v>1.170335429769392</v>
      </c>
      <c r="Z39" s="11">
        <f>Z16/Z5</f>
        <v>0.18695044785931464</v>
      </c>
      <c r="AA39" s="11">
        <v>0.13500000000000001</v>
      </c>
      <c r="AB39" s="11">
        <v>0.105</v>
      </c>
      <c r="AC39" s="11">
        <v>0.09</v>
      </c>
      <c r="AD39" s="11">
        <v>0.09</v>
      </c>
      <c r="AE39" s="11">
        <v>9.1999999999999998E-2</v>
      </c>
      <c r="AF39" s="11">
        <v>9.1999999999999998E-2</v>
      </c>
      <c r="AG39" s="11">
        <v>9.1999999999999998E-2</v>
      </c>
      <c r="AH39" s="11">
        <v>9.5000000000000001E-2</v>
      </c>
      <c r="AI39" s="11">
        <v>9.5000000000000001E-2</v>
      </c>
      <c r="AJ39" s="11">
        <v>9.5000000000000001E-2</v>
      </c>
    </row>
    <row r="40" spans="1:40" s="2" customFormat="1" x14ac:dyDescent="0.25">
      <c r="B40" s="2" t="s">
        <v>48</v>
      </c>
      <c r="R40" s="2">
        <v>2466</v>
      </c>
      <c r="S40" s="2">
        <v>1238</v>
      </c>
      <c r="T40" s="2">
        <v>1278</v>
      </c>
      <c r="U40" s="2">
        <f>1227</f>
        <v>1227</v>
      </c>
      <c r="V40" s="2">
        <v>1556</v>
      </c>
      <c r="W40" s="2">
        <f>1651</f>
        <v>1651</v>
      </c>
      <c r="X40" s="2">
        <v>1621</v>
      </c>
      <c r="Y40" s="2">
        <f>5956</f>
        <v>5956</v>
      </c>
      <c r="Z40" s="2">
        <f>2075</f>
        <v>2075</v>
      </c>
    </row>
    <row r="42" spans="1:40" x14ac:dyDescent="0.25">
      <c r="B42" t="s">
        <v>41</v>
      </c>
      <c r="C42" s="7">
        <f>C13/C5</f>
        <v>-12.615384615384615</v>
      </c>
      <c r="D42" s="7">
        <f t="shared" ref="D42:J42" si="81">D13/D5</f>
        <v>-8.3265306122448983</v>
      </c>
      <c r="E42" s="7">
        <f t="shared" si="81"/>
        <v>-1.2619047619047619</v>
      </c>
      <c r="F42" s="7">
        <f t="shared" si="81"/>
        <v>1.9425019425019424E-2</v>
      </c>
      <c r="G42" s="7">
        <f t="shared" si="81"/>
        <v>9.1189155884165124E-2</v>
      </c>
      <c r="H42" s="7">
        <f t="shared" si="81"/>
        <v>0.20533111203665139</v>
      </c>
      <c r="I42" s="7">
        <f t="shared" si="81"/>
        <v>0.3980492336274965</v>
      </c>
      <c r="J42" s="7">
        <f t="shared" si="81"/>
        <v>0.26439176868976294</v>
      </c>
      <c r="R42" s="7">
        <f t="shared" ref="R42:T42" si="82">R13/R5</f>
        <v>0.35400402921178542</v>
      </c>
      <c r="S42" s="7">
        <f t="shared" si="82"/>
        <v>0.40868015782105127</v>
      </c>
      <c r="T42" s="7">
        <f t="shared" si="82"/>
        <v>0.43675636097382392</v>
      </c>
      <c r="U42" s="7">
        <f t="shared" ref="U42:Z42" si="83">U13/U5</f>
        <v>0.40959451741861791</v>
      </c>
      <c r="V42" s="7">
        <f t="shared" si="83"/>
        <v>0.42217043588792968</v>
      </c>
      <c r="W42" s="7">
        <f t="shared" si="83"/>
        <v>0.39303721488595439</v>
      </c>
      <c r="X42" s="7">
        <f t="shared" si="83"/>
        <v>-0.20253843403646765</v>
      </c>
      <c r="Y42" s="7">
        <f t="shared" si="83"/>
        <v>-0.7337526205450734</v>
      </c>
      <c r="Z42" s="7">
        <f t="shared" si="83"/>
        <v>0.27693319089489687</v>
      </c>
      <c r="AA42" s="7">
        <f t="shared" ref="AA42:AJ42" si="84">AA13/AA5</f>
        <v>0.25602937595842612</v>
      </c>
      <c r="AB42" s="7">
        <f t="shared" si="84"/>
        <v>0.2592813745439338</v>
      </c>
      <c r="AC42" s="7">
        <f t="shared" si="84"/>
        <v>0.37518763630590063</v>
      </c>
      <c r="AD42" s="7">
        <f t="shared" si="84"/>
        <v>0.38198614067945752</v>
      </c>
      <c r="AE42" s="7">
        <f t="shared" si="84"/>
        <v>0.38835822029224493</v>
      </c>
      <c r="AF42" s="7">
        <f t="shared" si="84"/>
        <v>0.3884007820567697</v>
      </c>
      <c r="AG42" s="7">
        <f t="shared" si="84"/>
        <v>0.38844218861273111</v>
      </c>
      <c r="AH42" s="7">
        <f t="shared" si="84"/>
        <v>0.38738923765257172</v>
      </c>
      <c r="AI42" s="7">
        <f t="shared" si="84"/>
        <v>0.38632961149902234</v>
      </c>
      <c r="AJ42" s="7">
        <f t="shared" si="84"/>
        <v>0.38526327086976853</v>
      </c>
      <c r="AK42" s="7"/>
      <c r="AL42" s="7"/>
      <c r="AM42" s="7"/>
      <c r="AN42" s="7"/>
    </row>
    <row r="43" spans="1:40" x14ac:dyDescent="0.25">
      <c r="B43" t="s">
        <v>42</v>
      </c>
      <c r="C43" s="7">
        <f>C18/C5</f>
        <v>-58.57692307692308</v>
      </c>
      <c r="D43" s="7">
        <f t="shared" ref="D43:J43" si="85">D18/D5</f>
        <v>-32.979591836734691</v>
      </c>
      <c r="E43" s="7">
        <f t="shared" si="85"/>
        <v>-3.7673992673992673</v>
      </c>
      <c r="F43" s="7">
        <f t="shared" si="85"/>
        <v>-1.4716394716394716</v>
      </c>
      <c r="G43" s="7">
        <f t="shared" si="85"/>
        <v>-0.91990141712877382</v>
      </c>
      <c r="H43" s="7">
        <f t="shared" si="85"/>
        <v>-0.6130778842149105</v>
      </c>
      <c r="I43" s="7">
        <f t="shared" si="85"/>
        <v>-6.4793311658151415E-2</v>
      </c>
      <c r="J43" s="7">
        <f t="shared" si="85"/>
        <v>-0.29538942432925241</v>
      </c>
      <c r="R43" s="7">
        <f t="shared" ref="R43:T43" si="86">R18/R5</f>
        <v>0.11155880130949383</v>
      </c>
      <c r="S43" s="7">
        <f t="shared" si="86"/>
        <v>0.16380297823596793</v>
      </c>
      <c r="T43" s="7">
        <f t="shared" si="86"/>
        <v>0.18738178046250534</v>
      </c>
      <c r="U43" s="7">
        <f t="shared" ref="U43:Z43" si="87">U18/U5</f>
        <v>0.16042261564820104</v>
      </c>
      <c r="V43" s="7">
        <f t="shared" si="87"/>
        <v>0.17604999735183519</v>
      </c>
      <c r="W43" s="7">
        <f t="shared" si="87"/>
        <v>0.15735894357743097</v>
      </c>
      <c r="X43" s="7">
        <f t="shared" si="87"/>
        <v>-1.5849124061494457</v>
      </c>
      <c r="Y43" s="7">
        <f t="shared" si="87"/>
        <v>-3.7159329140461215</v>
      </c>
      <c r="Z43" s="7">
        <f t="shared" si="87"/>
        <v>-0.35976662010025473</v>
      </c>
      <c r="AA43" s="7">
        <f t="shared" ref="AA43:AJ43" si="88">AA18/AA5</f>
        <v>-0.14167875363220503</v>
      </c>
      <c r="AB43" s="7">
        <f>AB18/AB5</f>
        <v>-1.8404073626767229E-3</v>
      </c>
      <c r="AC43" s="7">
        <f>AC18/AC5</f>
        <v>0.15297387835871007</v>
      </c>
      <c r="AD43" s="7">
        <f t="shared" si="88"/>
        <v>0.16117079747978538</v>
      </c>
      <c r="AE43" s="7">
        <f t="shared" si="88"/>
        <v>0.1668007169310311</v>
      </c>
      <c r="AF43" s="7">
        <f t="shared" si="88"/>
        <v>0.16684327869555596</v>
      </c>
      <c r="AG43" s="7">
        <f t="shared" si="88"/>
        <v>0.1668846852515174</v>
      </c>
      <c r="AH43" s="7">
        <f t="shared" si="88"/>
        <v>0.1625801663236664</v>
      </c>
      <c r="AI43" s="7">
        <f t="shared" si="88"/>
        <v>0.16126848372093464</v>
      </c>
      <c r="AJ43" s="7">
        <f t="shared" si="88"/>
        <v>0.1599495972125001</v>
      </c>
      <c r="AK43" s="7"/>
      <c r="AL43" s="7"/>
      <c r="AM43" s="7"/>
      <c r="AN43" s="7"/>
    </row>
    <row r="45" spans="1:40" s="11" customFormat="1" x14ac:dyDescent="0.25">
      <c r="A45" s="11" t="s">
        <v>61</v>
      </c>
      <c r="B45" s="11" t="s">
        <v>17</v>
      </c>
      <c r="G45" s="11">
        <f>G5/C5-1</f>
        <v>61.42307692307692</v>
      </c>
      <c r="H45" s="11">
        <f>H5/D5-1</f>
        <v>48</v>
      </c>
      <c r="I45" s="11">
        <f>I5/E5-1</f>
        <v>6.8864468864468869</v>
      </c>
      <c r="J45" s="11">
        <f>J5/F5-1</f>
        <v>1.982905982905983</v>
      </c>
      <c r="O45" s="11">
        <f t="shared" ref="O45" si="89">+O5/N5-1</f>
        <v>9.3529743445164959E-2</v>
      </c>
      <c r="P45" s="11">
        <f t="shared" ref="P45" si="90">+P5/O5-1</f>
        <v>-2.2172091524331305E-2</v>
      </c>
      <c r="Q45" s="11">
        <f t="shared" ref="Q45" si="91">+Q5/P5-1</f>
        <v>4.9436424757760555E-3</v>
      </c>
      <c r="R45" s="11">
        <f t="shared" ref="R45" si="92">+R5/Q5-1</f>
        <v>4.1847041847041799E-2</v>
      </c>
      <c r="S45" s="11">
        <f t="shared" ref="S45:U45" si="93">+S5/R5-1</f>
        <v>-1.0702593805086869E-2</v>
      </c>
      <c r="T45" s="11">
        <f t="shared" si="93"/>
        <v>4.2955326460481169E-2</v>
      </c>
      <c r="U45" s="11">
        <f t="shared" si="93"/>
        <v>6.8399536274330375E-2</v>
      </c>
      <c r="V45" s="11">
        <f t="shared" ref="V45:Y45" si="94">+V5/U5-1</f>
        <v>7.8298115362649856E-2</v>
      </c>
      <c r="W45" s="11">
        <f t="shared" si="94"/>
        <v>0.10296064827074836</v>
      </c>
      <c r="X45" s="11">
        <f t="shared" si="94"/>
        <v>-0.73138055222088838</v>
      </c>
      <c r="Y45" s="11">
        <f t="shared" si="94"/>
        <v>-0.65892027171969969</v>
      </c>
      <c r="Z45" s="11">
        <f>+Z5/Y5-1</f>
        <v>5.3778825995807127</v>
      </c>
      <c r="AA45" s="11">
        <f t="shared" ref="AA45" si="95">+AA5/Z5-1</f>
        <v>0.37741646847538535</v>
      </c>
      <c r="AB45" s="11">
        <f>+AB5/AA5-1</f>
        <v>0.27400316252435597</v>
      </c>
      <c r="AC45" s="11">
        <f>+AC5/AB5-1</f>
        <v>0.2150725921130654</v>
      </c>
      <c r="AD45" s="11">
        <v>0.04</v>
      </c>
      <c r="AE45" s="11">
        <v>0.04</v>
      </c>
      <c r="AF45" s="11">
        <v>0.03</v>
      </c>
      <c r="AG45" s="11">
        <v>0.03</v>
      </c>
      <c r="AH45" s="11">
        <v>0.03</v>
      </c>
      <c r="AI45" s="11">
        <v>0.03</v>
      </c>
      <c r="AJ45" s="11">
        <v>0.03</v>
      </c>
    </row>
    <row r="46" spans="1:40" s="8" customFormat="1" x14ac:dyDescent="0.25">
      <c r="B46" s="8" t="s">
        <v>64</v>
      </c>
      <c r="S46" s="11">
        <f>+S12/R12-1</f>
        <v>-9.4435240229997053E-2</v>
      </c>
      <c r="T46" s="11">
        <f>+T12/S12-1</f>
        <v>-6.5647869134739523E-3</v>
      </c>
      <c r="U46" s="11">
        <f t="shared" ref="U46:AJ46" si="96">+U12/T12-1</f>
        <v>0.11992200194995117</v>
      </c>
      <c r="V46" s="11">
        <f t="shared" si="96"/>
        <v>5.532985103501642E-2</v>
      </c>
      <c r="W46" s="11">
        <f t="shared" si="96"/>
        <v>0.15857011915673702</v>
      </c>
      <c r="X46" s="11">
        <f t="shared" si="96"/>
        <v>-0.4678006329113924</v>
      </c>
      <c r="Y46" s="11">
        <f t="shared" si="96"/>
        <v>-0.50825033447301915</v>
      </c>
      <c r="Z46" s="11">
        <f t="shared" si="96"/>
        <v>1.6599153567110037</v>
      </c>
      <c r="AA46" s="11">
        <f t="shared" si="96"/>
        <v>0.41723748997005505</v>
      </c>
      <c r="AB46" s="11">
        <f t="shared" si="96"/>
        <v>0.26843431834075804</v>
      </c>
      <c r="AC46" s="11">
        <f t="shared" si="96"/>
        <v>2.4940310999524318E-2</v>
      </c>
      <c r="AD46" s="11">
        <f t="shared" si="96"/>
        <v>2.8683891421904084E-2</v>
      </c>
      <c r="AE46" s="11">
        <f t="shared" si="96"/>
        <v>2.9276999702588125E-2</v>
      </c>
      <c r="AF46" s="11">
        <f t="shared" si="96"/>
        <v>2.9928326319563325E-2</v>
      </c>
      <c r="AG46" s="11">
        <f t="shared" si="96"/>
        <v>2.9930266829340191E-2</v>
      </c>
      <c r="AH46" s="11">
        <f t="shared" si="96"/>
        <v>3.1773404686801454E-2</v>
      </c>
      <c r="AI46" s="11">
        <f t="shared" si="96"/>
        <v>3.1781579765222778E-2</v>
      </c>
      <c r="AJ46" s="11">
        <f t="shared" si="96"/>
        <v>3.1789773254033538E-2</v>
      </c>
    </row>
    <row r="48" spans="1:40" s="8" customFormat="1" x14ac:dyDescent="0.25">
      <c r="B48" s="8" t="s">
        <v>45</v>
      </c>
      <c r="C48" s="8">
        <f>C8/C5</f>
        <v>8.384615384615385</v>
      </c>
      <c r="D48" s="8">
        <f t="shared" ref="D48:J48" si="97">D8/D5</f>
        <v>4.9183673469387754</v>
      </c>
      <c r="E48" s="8">
        <f t="shared" si="97"/>
        <v>0.68681318681318682</v>
      </c>
      <c r="F48" s="8">
        <f t="shared" si="97"/>
        <v>0.36907536907536909</v>
      </c>
      <c r="G48" s="8">
        <f t="shared" si="97"/>
        <v>0.31176833025261863</v>
      </c>
      <c r="H48" s="8">
        <f t="shared" si="97"/>
        <v>0.221990837151187</v>
      </c>
      <c r="I48" s="8">
        <f t="shared" si="97"/>
        <v>0.13074779377612633</v>
      </c>
      <c r="J48" s="8">
        <f t="shared" si="97"/>
        <v>0.15082052617869238</v>
      </c>
      <c r="R48" s="8">
        <f t="shared" ref="R48:T48" si="98">R8/R5</f>
        <v>0.12226139511458071</v>
      </c>
      <c r="S48" s="8">
        <f t="shared" si="98"/>
        <v>0.11830215094819906</v>
      </c>
      <c r="T48" s="8">
        <f t="shared" si="98"/>
        <v>0.12160595521386296</v>
      </c>
      <c r="U48" s="8">
        <f t="shared" ref="U48:Z48" si="99">U8/U5</f>
        <v>0.12033123929183324</v>
      </c>
      <c r="V48" s="8">
        <f t="shared" si="99"/>
        <v>0.11598961919389862</v>
      </c>
      <c r="W48" s="8">
        <f t="shared" si="99"/>
        <v>0.10799519807923169</v>
      </c>
      <c r="X48" s="8">
        <f t="shared" si="99"/>
        <v>0.31819806936002859</v>
      </c>
      <c r="Y48" s="8">
        <f t="shared" si="99"/>
        <v>0.68605870020964366</v>
      </c>
      <c r="Z48" s="8">
        <f t="shared" si="99"/>
        <v>0.17922590188183088</v>
      </c>
      <c r="AA48" s="8">
        <f t="shared" ref="AA48:AJ48" si="100">AA8/AA5</f>
        <v>0.15244507335646079</v>
      </c>
      <c r="AB48" s="8">
        <f>AB8/AB5</f>
        <v>0.13718388925086442</v>
      </c>
      <c r="AC48" s="8">
        <f>AC8/AC5</f>
        <v>0.11606305587441471</v>
      </c>
      <c r="AD48" s="8">
        <f t="shared" si="100"/>
        <v>0.11472386676817146</v>
      </c>
      <c r="AE48" s="8">
        <f t="shared" si="100"/>
        <v>0.11340012984392332</v>
      </c>
      <c r="AF48" s="8">
        <f t="shared" si="100"/>
        <v>0.11317993541704192</v>
      </c>
      <c r="AG48" s="8">
        <f t="shared" si="100"/>
        <v>0.11296016855215446</v>
      </c>
      <c r="AH48" s="8">
        <f t="shared" si="100"/>
        <v>0.1127408284190435</v>
      </c>
      <c r="AI48" s="8">
        <f t="shared" si="100"/>
        <v>0.11252191418910361</v>
      </c>
      <c r="AJ48" s="8">
        <f t="shared" si="100"/>
        <v>0.11230342503533836</v>
      </c>
    </row>
    <row r="49" spans="1:36" s="8" customFormat="1" x14ac:dyDescent="0.25">
      <c r="B49" s="8" t="s">
        <v>44</v>
      </c>
      <c r="C49" s="8">
        <f>+C9/C5</f>
        <v>3.9615384615384617</v>
      </c>
      <c r="D49" s="8">
        <f t="shared" ref="D49:J49" si="101">+D9/D5</f>
        <v>2.306122448979592</v>
      </c>
      <c r="E49" s="8">
        <f t="shared" si="101"/>
        <v>0.33333333333333331</v>
      </c>
      <c r="F49" s="8">
        <f t="shared" si="101"/>
        <v>0.21911421911421911</v>
      </c>
      <c r="G49" s="8">
        <f t="shared" si="101"/>
        <v>0.22489217498459643</v>
      </c>
      <c r="H49" s="8">
        <f t="shared" si="101"/>
        <v>0.22698875468554769</v>
      </c>
      <c r="I49" s="8">
        <f t="shared" si="101"/>
        <v>0.15513237343241987</v>
      </c>
      <c r="J49" s="8">
        <f t="shared" si="101"/>
        <v>0.15082052617869238</v>
      </c>
      <c r="R49" s="8">
        <f t="shared" ref="R49:T49" si="102">+R9/R5</f>
        <v>0.12799043062200957</v>
      </c>
      <c r="S49" s="8">
        <f t="shared" si="102"/>
        <v>7.9483263332060586E-2</v>
      </c>
      <c r="T49" s="8">
        <f t="shared" si="102"/>
        <v>5.5830129965220576E-2</v>
      </c>
      <c r="U49" s="8">
        <f t="shared" ref="U49:Z49" si="103">+U9/U5</f>
        <v>7.1045117075956593E-2</v>
      </c>
      <c r="V49" s="8">
        <f t="shared" si="103"/>
        <v>8.5747576929188066E-2</v>
      </c>
      <c r="W49" s="8">
        <f t="shared" si="103"/>
        <v>7.5006002400960378E-2</v>
      </c>
      <c r="X49" s="8">
        <f t="shared" si="103"/>
        <v>0.14712191633893457</v>
      </c>
      <c r="Y49" s="8">
        <f t="shared" si="103"/>
        <v>0.35639412997903563</v>
      </c>
      <c r="Z49" s="8">
        <f t="shared" si="103"/>
        <v>0.17725367737694142</v>
      </c>
      <c r="AA49" s="8">
        <f t="shared" ref="AA49:AJ49" si="104">+AA9/AA5</f>
        <v>0.13704145298528034</v>
      </c>
      <c r="AB49" s="8">
        <f>+AB9/AB5</f>
        <v>9.8962185067611716E-2</v>
      </c>
      <c r="AC49" s="8">
        <f>+AC9/AC5</f>
        <v>8.1445491989504973E-2</v>
      </c>
      <c r="AD49" s="8">
        <f t="shared" si="104"/>
        <v>8.0505736312702997E-2</v>
      </c>
      <c r="AE49" s="8">
        <f t="shared" si="104"/>
        <v>7.9576823970633356E-2</v>
      </c>
      <c r="AF49" s="8">
        <f t="shared" si="104"/>
        <v>7.9808601127829365E-2</v>
      </c>
      <c r="AG49" s="8">
        <f t="shared" si="104"/>
        <v>8.0041053364123996E-2</v>
      </c>
      <c r="AH49" s="8">
        <f t="shared" si="104"/>
        <v>8.0662731448505554E-2</v>
      </c>
      <c r="AI49" s="8">
        <f t="shared" si="104"/>
        <v>8.128923810053279E-2</v>
      </c>
      <c r="AJ49" s="8">
        <f t="shared" si="104"/>
        <v>8.1920610823643727E-2</v>
      </c>
    </row>
    <row r="50" spans="1:36" s="8" customFormat="1" x14ac:dyDescent="0.25">
      <c r="B50" s="8" t="s">
        <v>43</v>
      </c>
      <c r="C50" s="8">
        <f>C10/C5</f>
        <v>0.42307692307692307</v>
      </c>
      <c r="D50" s="8">
        <f t="shared" ref="D50:J50" si="105">D10/D5</f>
        <v>0.34693877551020408</v>
      </c>
      <c r="E50" s="8">
        <f t="shared" si="105"/>
        <v>9.5238095238095233E-2</v>
      </c>
      <c r="F50" s="8">
        <f t="shared" si="105"/>
        <v>8.3139083139083136E-2</v>
      </c>
      <c r="G50" s="8">
        <f t="shared" si="105"/>
        <v>8.3795440542205793E-2</v>
      </c>
      <c r="H50" s="8">
        <f t="shared" si="105"/>
        <v>7.9550187421907545E-2</v>
      </c>
      <c r="I50" s="8">
        <f t="shared" si="105"/>
        <v>6.0148629818857408E-2</v>
      </c>
      <c r="J50" s="8">
        <f t="shared" si="105"/>
        <v>7.2154206824693937E-2</v>
      </c>
      <c r="R50" s="8">
        <f t="shared" ref="R50:T50" si="106">R10/R5</f>
        <v>6.3271216318307733E-2</v>
      </c>
      <c r="S50" s="8">
        <f t="shared" si="106"/>
        <v>6.2428407789232532E-2</v>
      </c>
      <c r="T50" s="8">
        <f t="shared" si="106"/>
        <v>6.1321618158520962E-2</v>
      </c>
      <c r="U50" s="8">
        <f t="shared" ref="U50:Z50" si="107">U10/U5</f>
        <v>5.8880639634494573E-2</v>
      </c>
      <c r="V50" s="8">
        <f t="shared" si="107"/>
        <v>5.645887400031778E-2</v>
      </c>
      <c r="W50" s="8">
        <f t="shared" si="107"/>
        <v>5.2004801920768305E-2</v>
      </c>
      <c r="X50" s="8">
        <f t="shared" si="107"/>
        <v>7.3829102609939218E-2</v>
      </c>
      <c r="Y50" s="8">
        <f t="shared" si="107"/>
        <v>9.8008385744234802E-2</v>
      </c>
      <c r="Z50" s="8">
        <f t="shared" si="107"/>
        <v>7.0917906154983973E-2</v>
      </c>
      <c r="AA50" s="8">
        <f t="shared" ref="AA50:AJ50" si="108">AA10/AA5</f>
        <v>6.8593481877261567E-2</v>
      </c>
      <c r="AB50" s="8">
        <f>AB10/AB5</f>
        <v>6.7268897508699771E-2</v>
      </c>
      <c r="AC50" s="8">
        <f>AC10/AC5</f>
        <v>5.6967539211855586E-2</v>
      </c>
      <c r="AD50" s="8">
        <f t="shared" si="108"/>
        <v>5.6364997931730186E-2</v>
      </c>
      <c r="AE50" s="8">
        <f t="shared" si="108"/>
        <v>5.5768829684375347E-2</v>
      </c>
      <c r="AF50" s="8">
        <f t="shared" si="108"/>
        <v>5.5714685189536137E-2</v>
      </c>
      <c r="AG50" s="8">
        <f t="shared" si="108"/>
        <v>5.5660593262167657E-2</v>
      </c>
      <c r="AH50" s="8">
        <f t="shared" si="108"/>
        <v>5.560655385123351E-2</v>
      </c>
      <c r="AI50" s="8">
        <f t="shared" si="108"/>
        <v>5.5552566905746864E-2</v>
      </c>
      <c r="AJ50" s="8">
        <f t="shared" si="108"/>
        <v>5.5498632374770401E-2</v>
      </c>
    </row>
    <row r="51" spans="1:36" s="8" customFormat="1" x14ac:dyDescent="0.25">
      <c r="B51" s="8" t="s">
        <v>58</v>
      </c>
      <c r="C51" s="8">
        <f t="shared" ref="C51:I51" si="109">C15/C5</f>
        <v>17.76923076923077</v>
      </c>
      <c r="D51" s="8">
        <f t="shared" si="109"/>
        <v>8.5102040816326525</v>
      </c>
      <c r="E51" s="8">
        <f t="shared" si="109"/>
        <v>0.7783882783882784</v>
      </c>
      <c r="F51" s="8">
        <f t="shared" si="109"/>
        <v>0.45143745143745145</v>
      </c>
      <c r="G51" s="8">
        <f t="shared" si="109"/>
        <v>0.32655576093653726</v>
      </c>
      <c r="H51" s="8">
        <f t="shared" si="109"/>
        <v>0.25780924614743855</v>
      </c>
      <c r="I51" s="8">
        <f t="shared" si="109"/>
        <v>0.14514630747793777</v>
      </c>
      <c r="J51" s="8">
        <f>J15/J5</f>
        <v>0.19301901536858557</v>
      </c>
      <c r="R51" s="8">
        <f t="shared" ref="R51:AJ51" si="110">R15/R5</f>
        <v>0.12931251573910854</v>
      </c>
      <c r="S51" s="8">
        <f t="shared" si="110"/>
        <v>0.13153875525009545</v>
      </c>
      <c r="T51" s="8">
        <f t="shared" si="110"/>
        <v>0.13405332845201048</v>
      </c>
      <c r="U51" s="8">
        <f t="shared" si="110"/>
        <v>0.12935465448315248</v>
      </c>
      <c r="V51" s="8">
        <f t="shared" si="110"/>
        <v>0.12976007626714686</v>
      </c>
      <c r="W51" s="8">
        <f t="shared" si="110"/>
        <v>0.1190876350540216</v>
      </c>
      <c r="X51" s="8">
        <f t="shared" si="110"/>
        <v>0.33571683947086162</v>
      </c>
      <c r="Y51" s="8">
        <f t="shared" si="110"/>
        <v>0.98794549266247378</v>
      </c>
      <c r="Z51" s="8">
        <f t="shared" si="110"/>
        <v>0.20667269290820939</v>
      </c>
      <c r="AA51" s="8">
        <f t="shared" si="110"/>
        <v>0.16477279173400167</v>
      </c>
      <c r="AB51" s="8">
        <f>AB15/AB5</f>
        <v>0.14089593126943017</v>
      </c>
      <c r="AC51" s="8">
        <f>AC15/AC5</f>
        <v>0.11931954865685319</v>
      </c>
      <c r="AD51" s="8">
        <f t="shared" si="110"/>
        <v>0.11805751496913647</v>
      </c>
      <c r="AE51" s="8">
        <f t="shared" si="110"/>
        <v>0.11692234655597168</v>
      </c>
      <c r="AF51" s="8">
        <f t="shared" si="110"/>
        <v>0.11692234655597165</v>
      </c>
      <c r="AG51" s="8">
        <f t="shared" si="110"/>
        <v>0.11692234655597163</v>
      </c>
      <c r="AH51" s="8">
        <f t="shared" si="110"/>
        <v>0.11714938023860456</v>
      </c>
      <c r="AI51" s="8">
        <f t="shared" si="110"/>
        <v>0.11737685476333969</v>
      </c>
      <c r="AJ51" s="8">
        <f t="shared" si="110"/>
        <v>0.11760477098618109</v>
      </c>
    </row>
    <row r="52" spans="1:36" s="8" customFormat="1" x14ac:dyDescent="0.25"/>
    <row r="53" spans="1:36" x14ac:dyDescent="0.25">
      <c r="B53" t="s">
        <v>52</v>
      </c>
      <c r="U53">
        <v>130.9</v>
      </c>
      <c r="V53">
        <v>135.6</v>
      </c>
      <c r="W53">
        <v>140.6</v>
      </c>
      <c r="X53">
        <v>145.6</v>
      </c>
      <c r="Y53">
        <v>155.9</v>
      </c>
      <c r="Z53">
        <v>166.6</v>
      </c>
    </row>
    <row r="54" spans="1:36" s="4" customFormat="1" x14ac:dyDescent="0.25">
      <c r="A54" s="4" t="s">
        <v>61</v>
      </c>
      <c r="B54" s="4" t="s">
        <v>53</v>
      </c>
      <c r="V54" s="11">
        <f t="shared" ref="V54:Z54" si="111">V53/U53-1</f>
        <v>3.59052711993888E-2</v>
      </c>
      <c r="W54" s="11">
        <f t="shared" si="111"/>
        <v>3.6873156342182911E-2</v>
      </c>
      <c r="X54" s="11">
        <f t="shared" si="111"/>
        <v>3.5561877667140918E-2</v>
      </c>
      <c r="Y54" s="11">
        <f t="shared" si="111"/>
        <v>7.0741758241758212E-2</v>
      </c>
      <c r="Z54" s="11">
        <f t="shared" si="111"/>
        <v>6.8633739576651642E-2</v>
      </c>
      <c r="AA54" s="11">
        <v>5.6000000000000001E-2</v>
      </c>
      <c r="AB54" s="11">
        <v>4.1000000000000002E-2</v>
      </c>
      <c r="AC54" s="11">
        <v>2.8000000000000001E-2</v>
      </c>
      <c r="AD54" s="11">
        <v>2.8000000000000001E-2</v>
      </c>
      <c r="AE54" s="11">
        <v>2.8000000000000001E-2</v>
      </c>
      <c r="AF54" s="11">
        <v>2.8000000000000001E-2</v>
      </c>
      <c r="AG54" s="11">
        <v>2.8000000000000001E-2</v>
      </c>
      <c r="AH54" s="11">
        <v>2.8000000000000001E-2</v>
      </c>
      <c r="AI54" s="11">
        <v>2.8000000000000001E-2</v>
      </c>
      <c r="AJ54" s="11">
        <v>2.8000000000000001E-2</v>
      </c>
    </row>
    <row r="56" spans="1:36" s="3" customFormat="1" x14ac:dyDescent="0.25">
      <c r="B56" s="3" t="s">
        <v>49</v>
      </c>
      <c r="U56" s="3">
        <v>1.7</v>
      </c>
      <c r="V56" s="3">
        <v>1.75</v>
      </c>
      <c r="W56" s="3">
        <v>1.7</v>
      </c>
      <c r="X56" s="3">
        <v>1.25</v>
      </c>
      <c r="Y56" s="3">
        <v>2</v>
      </c>
      <c r="Z56" s="3">
        <v>2.85</v>
      </c>
      <c r="AA56" s="3">
        <v>2.5</v>
      </c>
      <c r="AB56" s="3">
        <v>2.2999999999999998</v>
      </c>
      <c r="AC56" s="3">
        <v>2.2999999999999998</v>
      </c>
      <c r="AD56" s="3">
        <f>AC56*(1+AD57)</f>
        <v>2.3643999999999998</v>
      </c>
      <c r="AE56" s="3">
        <f t="shared" ref="AE56:AJ56" si="112">AD56*(1+AE57)</f>
        <v>2.4306031999999997</v>
      </c>
      <c r="AF56" s="3">
        <f t="shared" si="112"/>
        <v>2.5108131055999996</v>
      </c>
      <c r="AG56" s="3">
        <f t="shared" si="112"/>
        <v>2.5936699380847994</v>
      </c>
      <c r="AH56" s="3">
        <f t="shared" si="112"/>
        <v>2.692229395732022</v>
      </c>
      <c r="AI56" s="3">
        <f t="shared" si="112"/>
        <v>2.7945341127698389</v>
      </c>
      <c r="AJ56" s="3">
        <f t="shared" si="112"/>
        <v>2.900726409055093</v>
      </c>
    </row>
    <row r="57" spans="1:36" s="11" customFormat="1" x14ac:dyDescent="0.25">
      <c r="A57" s="11" t="s">
        <v>61</v>
      </c>
      <c r="B57" s="11" t="s">
        <v>54</v>
      </c>
      <c r="V57" s="11">
        <f>V56/U56-1</f>
        <v>2.941176470588247E-2</v>
      </c>
      <c r="W57" s="11">
        <f t="shared" ref="W57:Z57" si="113">W56/V56-1</f>
        <v>-2.8571428571428581E-2</v>
      </c>
      <c r="X57" s="11">
        <f t="shared" si="113"/>
        <v>-0.26470588235294112</v>
      </c>
      <c r="Y57" s="11">
        <f t="shared" si="113"/>
        <v>0.60000000000000009</v>
      </c>
      <c r="Z57" s="11">
        <f t="shared" si="113"/>
        <v>0.42500000000000004</v>
      </c>
      <c r="AA57" s="11">
        <f t="shared" ref="AA57" si="114">AA56/Z56-1</f>
        <v>-0.1228070175438597</v>
      </c>
      <c r="AB57" s="11">
        <f t="shared" ref="AB57" si="115">AB56/AA56-1</f>
        <v>-8.0000000000000071E-2</v>
      </c>
      <c r="AC57" s="11">
        <f t="shared" ref="AC57" si="116">AC56/AB56-1</f>
        <v>0</v>
      </c>
      <c r="AD57" s="11">
        <v>2.8000000000000001E-2</v>
      </c>
      <c r="AE57" s="11">
        <v>2.8000000000000001E-2</v>
      </c>
      <c r="AF57" s="11">
        <v>3.3000000000000002E-2</v>
      </c>
      <c r="AG57" s="11">
        <v>3.3000000000000002E-2</v>
      </c>
      <c r="AH57" s="11">
        <v>3.7999999999999999E-2</v>
      </c>
      <c r="AI57" s="11">
        <v>3.7999999999999999E-2</v>
      </c>
      <c r="AJ57" s="11">
        <v>3.7999999999999999E-2</v>
      </c>
    </row>
    <row r="59" spans="1:36" s="11" customFormat="1" x14ac:dyDescent="0.25">
      <c r="A59" s="11" t="s">
        <v>61</v>
      </c>
      <c r="B59" s="11" t="s">
        <v>55</v>
      </c>
      <c r="U59" s="11">
        <v>1.6E-2</v>
      </c>
      <c r="V59" s="11">
        <v>1.6E-2</v>
      </c>
      <c r="W59" s="11">
        <v>1.7999999999999999E-2</v>
      </c>
      <c r="X59" s="11">
        <v>3.9E-2</v>
      </c>
      <c r="Y59" s="11">
        <v>6.3E-2</v>
      </c>
      <c r="Z59" s="11">
        <v>0.104</v>
      </c>
      <c r="AA59" s="11">
        <v>4.8000000000000001E-2</v>
      </c>
      <c r="AB59" s="11">
        <v>3.7999999999999999E-2</v>
      </c>
      <c r="AC59" s="11">
        <v>2.9000000000000001E-2</v>
      </c>
      <c r="AD59" s="11">
        <v>2.9000000000000001E-2</v>
      </c>
      <c r="AE59" s="11">
        <v>2.9000000000000001E-2</v>
      </c>
      <c r="AF59" s="11">
        <v>2.9000000000000001E-2</v>
      </c>
      <c r="AG59" s="11">
        <v>2.9000000000000001E-2</v>
      </c>
      <c r="AH59" s="11">
        <v>2.9000000000000001E-2</v>
      </c>
      <c r="AI59" s="11">
        <v>2.9000000000000001E-2</v>
      </c>
      <c r="AJ59" s="11">
        <v>2.9000000000000001E-2</v>
      </c>
    </row>
    <row r="61" spans="1:36" s="11" customFormat="1" x14ac:dyDescent="0.25">
      <c r="A61" s="11" t="s">
        <v>61</v>
      </c>
      <c r="B61" s="11" t="s">
        <v>56</v>
      </c>
      <c r="U61" s="11">
        <v>2.1254700000000001E-2</v>
      </c>
      <c r="V61" s="11">
        <v>2.37834E-2</v>
      </c>
      <c r="W61" s="11">
        <v>2.7244999999999998E-2</v>
      </c>
      <c r="X61" s="11">
        <v>1.6944500000000001E-2</v>
      </c>
      <c r="Y61" s="11">
        <v>3.4670100000000002E-2</v>
      </c>
      <c r="Z61" s="11">
        <v>6.6059999999999994E-2</v>
      </c>
      <c r="AA61" s="11">
        <v>4.4999999999999998E-2</v>
      </c>
      <c r="AB61" s="11">
        <v>3.5000000000000003E-2</v>
      </c>
      <c r="AC61" s="11">
        <v>2.7E-2</v>
      </c>
      <c r="AD61" s="11">
        <v>2.7E-2</v>
      </c>
      <c r="AE61" s="11">
        <v>2.7E-2</v>
      </c>
      <c r="AF61" s="11">
        <v>2.7E-2</v>
      </c>
      <c r="AG61" s="11">
        <v>2.7E-2</v>
      </c>
      <c r="AH61" s="11">
        <v>2.7E-2</v>
      </c>
      <c r="AI61" s="11">
        <v>2.7E-2</v>
      </c>
      <c r="AJ61" s="11">
        <v>2.7E-2</v>
      </c>
    </row>
    <row r="62" spans="1:36" s="11" customFormat="1" x14ac:dyDescent="0.25">
      <c r="A62" s="11" t="s">
        <v>61</v>
      </c>
      <c r="B62" s="11" t="s">
        <v>57</v>
      </c>
      <c r="AC62" s="11">
        <v>2E-3</v>
      </c>
      <c r="AD62" s="11">
        <v>2E-3</v>
      </c>
      <c r="AE62" s="11">
        <v>3.0000000000000001E-3</v>
      </c>
      <c r="AF62" s="11">
        <v>3.0000000000000001E-3</v>
      </c>
      <c r="AG62" s="11">
        <v>3.0000000000000001E-3</v>
      </c>
      <c r="AH62" s="11">
        <v>5.0000000000000001E-3</v>
      </c>
      <c r="AI62" s="11">
        <v>5.0000000000000001E-3</v>
      </c>
      <c r="AJ62" s="11">
        <v>5.0000000000000001E-3</v>
      </c>
    </row>
    <row r="65" spans="2:27" s="28" customFormat="1" x14ac:dyDescent="0.25">
      <c r="B65" s="28" t="s">
        <v>138</v>
      </c>
      <c r="C65" s="28">
        <v>2.7E-2</v>
      </c>
      <c r="D65" s="28">
        <v>0.13800000000000001</v>
      </c>
      <c r="E65" s="28">
        <v>2.0529999999999999</v>
      </c>
      <c r="F65" s="28">
        <v>6</v>
      </c>
      <c r="G65" s="28">
        <v>7.2290000000000001</v>
      </c>
      <c r="H65" s="28">
        <v>11.433999999999999</v>
      </c>
      <c r="I65" s="28">
        <v>17.7</v>
      </c>
      <c r="J65" s="28">
        <v>18.3</v>
      </c>
      <c r="N65" s="28">
        <f t="shared" ref="N65:V65" si="117">N66*N68</f>
        <v>68.674605119999995</v>
      </c>
      <c r="O65" s="28">
        <f t="shared" si="117"/>
        <v>72.629794200000006</v>
      </c>
      <c r="P65" s="28">
        <f t="shared" si="117"/>
        <v>75.93468</v>
      </c>
      <c r="Q65" s="28">
        <f t="shared" si="117"/>
        <v>77.808683000000002</v>
      </c>
      <c r="R65" s="28">
        <f t="shared" si="117"/>
        <v>79.116</v>
      </c>
      <c r="S65" s="28">
        <f t="shared" si="117"/>
        <v>81.017735999999999</v>
      </c>
      <c r="T65" s="28">
        <f t="shared" si="117"/>
        <v>84.722117999999995</v>
      </c>
      <c r="U65" s="28">
        <f t="shared" si="117"/>
        <v>87.15887699999999</v>
      </c>
      <c r="V65" s="28">
        <f t="shared" si="117"/>
        <v>89.659167999999994</v>
      </c>
      <c r="W65" s="28">
        <f>W66*W68</f>
        <v>93.368832000000012</v>
      </c>
      <c r="X65" s="28">
        <v>26.5</v>
      </c>
      <c r="Y65" s="28">
        <v>8.1999999999999993</v>
      </c>
      <c r="Z65" s="28">
        <v>54.6</v>
      </c>
    </row>
    <row r="66" spans="2:27" s="28" customFormat="1" x14ac:dyDescent="0.25">
      <c r="B66" s="28" t="s">
        <v>143</v>
      </c>
      <c r="C66" s="28">
        <v>0.17299999999999999</v>
      </c>
      <c r="D66" s="28">
        <v>0.44400000000000001</v>
      </c>
      <c r="E66" s="28">
        <v>3.7879999999999998</v>
      </c>
      <c r="F66" s="28">
        <v>10.199999999999999</v>
      </c>
      <c r="G66" s="28">
        <v>13.321999999999999</v>
      </c>
      <c r="H66" s="28">
        <v>16.666</v>
      </c>
      <c r="I66" s="28">
        <v>21.015000000000001</v>
      </c>
      <c r="J66" s="28">
        <v>21.5</v>
      </c>
      <c r="N66" s="28">
        <v>66.545159999999996</v>
      </c>
      <c r="O66" s="28">
        <v>69.9709</v>
      </c>
      <c r="P66" s="28">
        <v>71.975999999999999</v>
      </c>
      <c r="Q66" s="28">
        <v>74.033000000000001</v>
      </c>
      <c r="R66" s="28">
        <v>76</v>
      </c>
      <c r="S66" s="28">
        <v>77.307000000000002</v>
      </c>
      <c r="T66" s="28">
        <v>80.001999999999995</v>
      </c>
      <c r="U66" s="28">
        <v>82.302999999999997</v>
      </c>
      <c r="V66" s="28">
        <v>83.872</v>
      </c>
      <c r="W66" s="28">
        <v>87.424000000000007</v>
      </c>
      <c r="X66" s="28">
        <v>26.1</v>
      </c>
      <c r="Y66" s="28">
        <v>14.6</v>
      </c>
      <c r="Z66" s="28">
        <v>72.5</v>
      </c>
      <c r="AA66" s="28">
        <v>90.3</v>
      </c>
    </row>
    <row r="67" spans="2:27" s="28" customFormat="1" x14ac:dyDescent="0.25"/>
    <row r="68" spans="2:27" s="7" customFormat="1" x14ac:dyDescent="0.25">
      <c r="B68" s="7" t="s">
        <v>139</v>
      </c>
      <c r="C68" s="7">
        <f t="shared" ref="C68:D68" si="118">C65/C66</f>
        <v>0.15606936416184972</v>
      </c>
      <c r="D68" s="7">
        <f t="shared" si="118"/>
        <v>0.31081081081081086</v>
      </c>
      <c r="E68" s="7">
        <f>E65/E66</f>
        <v>0.54197465681098211</v>
      </c>
      <c r="F68" s="7">
        <f>F65/F66</f>
        <v>0.58823529411764708</v>
      </c>
      <c r="G68" s="7">
        <f t="shared" ref="G68:H68" si="119">G65/G66</f>
        <v>0.54263624080468398</v>
      </c>
      <c r="H68" s="7">
        <f t="shared" si="119"/>
        <v>0.68606744269770781</v>
      </c>
      <c r="I68" s="7">
        <f>I65/I66</f>
        <v>0.84225553176302637</v>
      </c>
      <c r="J68" s="7">
        <f>J65/J66</f>
        <v>0.85116279069767442</v>
      </c>
      <c r="N68" s="7">
        <v>1.032</v>
      </c>
      <c r="O68" s="7">
        <v>1.038</v>
      </c>
      <c r="P68" s="7">
        <v>1.0549999999999999</v>
      </c>
      <c r="Q68" s="7">
        <v>1.0509999999999999</v>
      </c>
      <c r="R68" s="7">
        <v>1.0409999999999999</v>
      </c>
      <c r="S68" s="7">
        <v>1.048</v>
      </c>
      <c r="T68" s="7">
        <v>1.0589999999999999</v>
      </c>
      <c r="U68" s="7">
        <v>1.0589999999999999</v>
      </c>
      <c r="V68" s="7">
        <v>1.069</v>
      </c>
      <c r="W68" s="7">
        <v>1.0680000000000001</v>
      </c>
      <c r="X68" s="7">
        <f>X65/X66</f>
        <v>1.0153256704980842</v>
      </c>
      <c r="Y68" s="7">
        <f>Y65/Y66</f>
        <v>0.56164383561643827</v>
      </c>
      <c r="Z68" s="7">
        <f>Z65/Z66</f>
        <v>0.75310344827586206</v>
      </c>
    </row>
    <row r="69" spans="2:27" s="28" customFormat="1" x14ac:dyDescent="0.25">
      <c r="B69" s="28" t="s">
        <v>140</v>
      </c>
      <c r="C69" s="28">
        <f t="shared" ref="C69:J69" si="120">C5/C65</f>
        <v>962.96296296296293</v>
      </c>
      <c r="D69" s="28">
        <f t="shared" si="120"/>
        <v>355.07246376811594</v>
      </c>
      <c r="E69" s="28">
        <f t="shared" si="120"/>
        <v>265.95226497808085</v>
      </c>
      <c r="F69" s="28">
        <f>F5/F65</f>
        <v>214.5</v>
      </c>
      <c r="G69" s="28">
        <f t="shared" si="120"/>
        <v>224.51238068889197</v>
      </c>
      <c r="H69" s="28">
        <f t="shared" si="120"/>
        <v>209.98775581598741</v>
      </c>
      <c r="I69" s="28">
        <f>I5/I65</f>
        <v>243.27683615819211</v>
      </c>
      <c r="J69" s="28">
        <f t="shared" si="120"/>
        <v>209.78142076502732</v>
      </c>
      <c r="N69" s="28">
        <f t="shared" ref="N69:Y69" si="121">N5/N65</f>
        <v>206.5974747901106</v>
      </c>
      <c r="O69" s="28">
        <f t="shared" si="121"/>
        <v>213.61756798148821</v>
      </c>
      <c r="P69" s="28">
        <f t="shared" si="121"/>
        <v>199.79013541638682</v>
      </c>
      <c r="Q69" s="28">
        <f t="shared" si="121"/>
        <v>195.94214183010911</v>
      </c>
      <c r="R69" s="28">
        <f t="shared" si="121"/>
        <v>200.76849183477427</v>
      </c>
      <c r="S69" s="28">
        <f t="shared" si="121"/>
        <v>193.95753048443615</v>
      </c>
      <c r="T69" s="28">
        <f t="shared" si="121"/>
        <v>193.44417239427372</v>
      </c>
      <c r="U69" s="28">
        <f t="shared" si="121"/>
        <v>200.89749435390272</v>
      </c>
      <c r="V69" s="28">
        <f t="shared" si="121"/>
        <v>210.58638420557284</v>
      </c>
      <c r="W69" s="28">
        <f t="shared" si="121"/>
        <v>223.04016826514439</v>
      </c>
      <c r="X69" s="28">
        <f t="shared" si="121"/>
        <v>211.09433962264151</v>
      </c>
      <c r="Y69" s="28">
        <f t="shared" si="121"/>
        <v>232.68292682926833</v>
      </c>
      <c r="Z69" s="28">
        <f>Z5/Z65</f>
        <v>222.87545787545787</v>
      </c>
    </row>
    <row r="70" spans="2:27" s="28" customFormat="1" x14ac:dyDescent="0.25">
      <c r="B70" s="28" t="s">
        <v>141</v>
      </c>
      <c r="C70" s="28">
        <f t="shared" ref="C70:J70" si="122">C5/C66</f>
        <v>150.28901734104048</v>
      </c>
      <c r="D70" s="28">
        <f t="shared" si="122"/>
        <v>110.36036036036036</v>
      </c>
      <c r="E70" s="28">
        <f t="shared" si="122"/>
        <v>144.13938753959874</v>
      </c>
      <c r="F70" s="28">
        <f>F5/F66</f>
        <v>126.1764705882353</v>
      </c>
      <c r="G70" s="28">
        <f t="shared" si="122"/>
        <v>121.82855427113047</v>
      </c>
      <c r="H70" s="28">
        <f t="shared" si="122"/>
        <v>144.06576263050522</v>
      </c>
      <c r="I70" s="28">
        <f>I5/I66</f>
        <v>204.90126100404473</v>
      </c>
      <c r="J70" s="28">
        <f t="shared" si="122"/>
        <v>178.55813953488371</v>
      </c>
      <c r="N70" s="28">
        <f t="shared" ref="N70:Y70" si="123">N5/N66</f>
        <v>213.20859398339414</v>
      </c>
      <c r="O70" s="28">
        <f t="shared" si="123"/>
        <v>221.73503556478479</v>
      </c>
      <c r="P70" s="28">
        <f t="shared" si="123"/>
        <v>210.7785928642881</v>
      </c>
      <c r="Q70" s="28">
        <f t="shared" si="123"/>
        <v>205.93519106344468</v>
      </c>
      <c r="R70" s="28">
        <f t="shared" si="123"/>
        <v>209</v>
      </c>
      <c r="S70" s="28">
        <f t="shared" si="123"/>
        <v>203.26749194768908</v>
      </c>
      <c r="T70" s="28">
        <f t="shared" si="123"/>
        <v>204.85737856553587</v>
      </c>
      <c r="U70" s="28">
        <f t="shared" si="123"/>
        <v>212.75044652078296</v>
      </c>
      <c r="V70" s="28">
        <f t="shared" si="123"/>
        <v>225.11684471575734</v>
      </c>
      <c r="W70" s="28">
        <f t="shared" si="123"/>
        <v>238.20689970717422</v>
      </c>
      <c r="X70" s="28">
        <f t="shared" si="123"/>
        <v>214.32950191570879</v>
      </c>
      <c r="Y70" s="28">
        <f t="shared" si="123"/>
        <v>130.68493150684932</v>
      </c>
      <c r="Z70" s="28">
        <f>Z5/Z66</f>
        <v>167.84827586206896</v>
      </c>
    </row>
    <row r="71" spans="2:27" s="28" customFormat="1" x14ac:dyDescent="0.25"/>
    <row r="72" spans="2:27" s="28" customFormat="1" x14ac:dyDescent="0.25">
      <c r="B72" s="28" t="s">
        <v>142</v>
      </c>
      <c r="C72" s="28">
        <f t="shared" ref="C72:J72" si="124">C3/C65</f>
        <v>111.11111111111111</v>
      </c>
      <c r="D72" s="28">
        <f t="shared" si="124"/>
        <v>144.92753623188403</v>
      </c>
      <c r="E72" s="28">
        <f t="shared" si="124"/>
        <v>147.58889430102289</v>
      </c>
      <c r="F72" s="28">
        <f>F3/F65</f>
        <v>112.33333333333333</v>
      </c>
      <c r="G72" s="28">
        <f t="shared" si="124"/>
        <v>120.76359109143726</v>
      </c>
      <c r="H72" s="28">
        <f t="shared" si="124"/>
        <v>112.38411754416653</v>
      </c>
      <c r="I72" s="28">
        <f>I3/I65</f>
        <v>146.61016949152543</v>
      </c>
      <c r="J72" s="28">
        <f t="shared" si="124"/>
        <v>123.98907103825137</v>
      </c>
      <c r="N72" s="28">
        <f t="shared" ref="N72:Z72" si="125">N3/N65</f>
        <v>161.39881664600972</v>
      </c>
      <c r="O72" s="28">
        <f t="shared" si="125"/>
        <v>167.39686700089808</v>
      </c>
      <c r="P72" s="28">
        <f t="shared" si="125"/>
        <v>153.52668899111711</v>
      </c>
      <c r="Q72" s="28">
        <f t="shared" si="125"/>
        <v>149.70051607222294</v>
      </c>
      <c r="R72" s="28">
        <f t="shared" si="125"/>
        <v>150.27301683603821</v>
      </c>
      <c r="S72" s="28">
        <f t="shared" si="125"/>
        <v>143.19086872533688</v>
      </c>
      <c r="T72" s="28">
        <f t="shared" si="125"/>
        <v>142.70181489088836</v>
      </c>
      <c r="U72" s="28">
        <f t="shared" si="125"/>
        <v>148.51040359319913</v>
      </c>
      <c r="V72" s="28">
        <f t="shared" si="125"/>
        <v>155.36615285120649</v>
      </c>
      <c r="W72" s="28">
        <f t="shared" si="125"/>
        <v>151.05683232708745</v>
      </c>
      <c r="X72" s="28">
        <f t="shared" si="125"/>
        <v>139.01886792452831</v>
      </c>
      <c r="Y72" s="28">
        <f t="shared" si="125"/>
        <v>121.95121951219514</v>
      </c>
      <c r="Z72" s="28">
        <f t="shared" si="125"/>
        <v>128.6080586080586</v>
      </c>
    </row>
    <row r="73" spans="2:27" s="28" customFormat="1" x14ac:dyDescent="0.25">
      <c r="B73" s="28" t="s">
        <v>146</v>
      </c>
      <c r="C73" s="28">
        <f>C4/C65</f>
        <v>851.85185185185185</v>
      </c>
      <c r="D73" s="28">
        <f t="shared" ref="D73:J73" si="126">D4/D65</f>
        <v>210.14492753623188</v>
      </c>
      <c r="E73" s="28">
        <f t="shared" si="126"/>
        <v>118.36337067705797</v>
      </c>
      <c r="F73" s="28">
        <f t="shared" si="126"/>
        <v>102.16666666666667</v>
      </c>
      <c r="G73" s="28">
        <f t="shared" si="126"/>
        <v>103.74878959745469</v>
      </c>
      <c r="H73" s="28">
        <f t="shared" si="126"/>
        <v>97.603638271820898</v>
      </c>
      <c r="I73" s="28">
        <f t="shared" si="126"/>
        <v>96.666666666666671</v>
      </c>
      <c r="J73" s="28">
        <f t="shared" si="126"/>
        <v>85.792349726775953</v>
      </c>
      <c r="N73" s="28">
        <f t="shared" ref="N73:Z73" si="127">N4/N65</f>
        <v>45.198658144100882</v>
      </c>
      <c r="O73" s="28">
        <f t="shared" si="127"/>
        <v>46.220700980590138</v>
      </c>
      <c r="P73" s="28">
        <f t="shared" si="127"/>
        <v>46.26344642526972</v>
      </c>
      <c r="Q73" s="28">
        <f t="shared" si="127"/>
        <v>46.241625757886169</v>
      </c>
      <c r="R73" s="28">
        <f t="shared" si="127"/>
        <v>50.495474998736036</v>
      </c>
      <c r="S73" s="28">
        <f t="shared" si="127"/>
        <v>50.766661759099264</v>
      </c>
      <c r="T73" s="28">
        <f t="shared" si="127"/>
        <v>50.742357503385364</v>
      </c>
      <c r="U73" s="28">
        <f t="shared" si="127"/>
        <v>52.387090760703586</v>
      </c>
      <c r="V73" s="28">
        <f t="shared" si="127"/>
        <v>55.220231354366355</v>
      </c>
      <c r="W73" s="28">
        <f t="shared" si="127"/>
        <v>71.983335938056925</v>
      </c>
      <c r="X73" s="28">
        <f t="shared" si="127"/>
        <v>72.075471698113205</v>
      </c>
      <c r="Y73" s="28">
        <f t="shared" si="127"/>
        <v>110.73170731707319</v>
      </c>
      <c r="Z73" s="28">
        <f t="shared" si="127"/>
        <v>94.26739926739927</v>
      </c>
    </row>
    <row r="74" spans="2:27" s="28" customFormat="1" x14ac:dyDescent="0.25"/>
    <row r="75" spans="2:27" s="28" customFormat="1" x14ac:dyDescent="0.25">
      <c r="B75" s="28" t="s">
        <v>147</v>
      </c>
      <c r="C75" s="28">
        <f>C3/C$66</f>
        <v>17.341040462427745</v>
      </c>
      <c r="D75" s="28">
        <f t="shared" ref="D75:J75" si="128">D3/D$66</f>
        <v>45.045045045045043</v>
      </c>
      <c r="E75" s="28">
        <f t="shared" si="128"/>
        <v>79.989440337909187</v>
      </c>
      <c r="F75" s="28">
        <f t="shared" si="128"/>
        <v>66.078431372549019</v>
      </c>
      <c r="G75" s="28">
        <f t="shared" si="128"/>
        <v>65.530701095931548</v>
      </c>
      <c r="H75" s="28">
        <f t="shared" si="128"/>
        <v>77.103084123364937</v>
      </c>
      <c r="I75" s="28">
        <f t="shared" si="128"/>
        <v>123.48322626695217</v>
      </c>
      <c r="J75" s="28">
        <f t="shared" si="128"/>
        <v>105.53488372093024</v>
      </c>
      <c r="N75" s="28">
        <f t="shared" ref="N75:Z75" si="129">N3/N$66</f>
        <v>166.56357877868203</v>
      </c>
      <c r="O75" s="28">
        <f t="shared" si="129"/>
        <v>173.75794794693223</v>
      </c>
      <c r="P75" s="28">
        <f t="shared" si="129"/>
        <v>161.97065688562856</v>
      </c>
      <c r="Q75" s="28">
        <f t="shared" si="129"/>
        <v>157.33524239190632</v>
      </c>
      <c r="R75" s="28">
        <f t="shared" si="129"/>
        <v>156.43421052631578</v>
      </c>
      <c r="S75" s="28">
        <f t="shared" si="129"/>
        <v>150.06403042415306</v>
      </c>
      <c r="T75" s="28">
        <f t="shared" si="129"/>
        <v>151.12122196945077</v>
      </c>
      <c r="U75" s="28">
        <f t="shared" si="129"/>
        <v>157.27251740519787</v>
      </c>
      <c r="V75" s="28">
        <f t="shared" si="129"/>
        <v>166.08641739793973</v>
      </c>
      <c r="W75" s="28">
        <f t="shared" si="129"/>
        <v>161.32869692532941</v>
      </c>
      <c r="X75" s="28">
        <f t="shared" si="129"/>
        <v>141.14942528735631</v>
      </c>
      <c r="Y75" s="28">
        <f t="shared" si="129"/>
        <v>68.493150684931507</v>
      </c>
      <c r="Z75" s="28">
        <f t="shared" si="129"/>
        <v>96.855172413793099</v>
      </c>
    </row>
    <row r="76" spans="2:27" s="28" customFormat="1" x14ac:dyDescent="0.25">
      <c r="B76" s="28" t="s">
        <v>148</v>
      </c>
      <c r="C76" s="28">
        <f>C4/C$66</f>
        <v>132.94797687861274</v>
      </c>
      <c r="D76" s="28">
        <f t="shared" ref="C76:J76" si="130">D4/D$66</f>
        <v>65.315315315315317</v>
      </c>
      <c r="E76" s="28">
        <f t="shared" si="130"/>
        <v>64.149947201689542</v>
      </c>
      <c r="F76" s="28">
        <f t="shared" si="130"/>
        <v>60.098039215686278</v>
      </c>
      <c r="G76" s="28">
        <f t="shared" si="130"/>
        <v>56.297853175198924</v>
      </c>
      <c r="H76" s="28">
        <f t="shared" si="130"/>
        <v>66.962678507140282</v>
      </c>
      <c r="I76" s="28">
        <f t="shared" si="130"/>
        <v>81.418034737092555</v>
      </c>
      <c r="J76" s="28">
        <f t="shared" si="130"/>
        <v>73.023255813953483</v>
      </c>
      <c r="N76" s="28">
        <f t="shared" ref="N76:Z76" si="131">N4/N$66</f>
        <v>46.645015204712109</v>
      </c>
      <c r="O76" s="28">
        <f t="shared" si="131"/>
        <v>47.977087617852561</v>
      </c>
      <c r="P76" s="28">
        <f t="shared" si="131"/>
        <v>48.80793597865955</v>
      </c>
      <c r="Q76" s="28">
        <f t="shared" si="131"/>
        <v>48.599948671538364</v>
      </c>
      <c r="R76" s="28">
        <f t="shared" si="131"/>
        <v>52.565789473684212</v>
      </c>
      <c r="S76" s="28">
        <f t="shared" si="131"/>
        <v>53.203461523536028</v>
      </c>
      <c r="T76" s="28">
        <f t="shared" si="131"/>
        <v>53.736156596085102</v>
      </c>
      <c r="U76" s="28">
        <f t="shared" si="131"/>
        <v>55.477929115585098</v>
      </c>
      <c r="V76" s="28">
        <f t="shared" si="131"/>
        <v>59.030427317817626</v>
      </c>
      <c r="W76" s="28">
        <f t="shared" si="131"/>
        <v>76.878202781844792</v>
      </c>
      <c r="X76" s="28">
        <f t="shared" si="131"/>
        <v>73.180076628352481</v>
      </c>
      <c r="Y76" s="28">
        <f t="shared" si="131"/>
        <v>62.19178082191781</v>
      </c>
      <c r="Z76" s="28">
        <f t="shared" si="131"/>
        <v>70.993103448275861</v>
      </c>
    </row>
    <row r="77" spans="2:27" s="7" customFormat="1" x14ac:dyDescent="0.25">
      <c r="B77" s="28"/>
    </row>
    <row r="78" spans="2:27" x14ac:dyDescent="0.25">
      <c r="B78" s="28"/>
      <c r="C78" s="7"/>
      <c r="D78" s="7"/>
      <c r="E78" s="7"/>
      <c r="F78" s="7"/>
      <c r="G78" s="7"/>
      <c r="H78" s="7"/>
      <c r="I78" s="7"/>
      <c r="J78" s="7"/>
      <c r="N78" s="7"/>
      <c r="O78" s="7"/>
      <c r="P78" s="7"/>
      <c r="Q78" s="7"/>
      <c r="R78" s="7"/>
      <c r="S78" s="7"/>
      <c r="T78" s="7"/>
      <c r="U78" s="7"/>
      <c r="V78" s="7"/>
      <c r="W78" s="7"/>
      <c r="X78" s="7"/>
      <c r="Y78" s="7"/>
      <c r="Z78" s="7"/>
    </row>
    <row r="80" spans="2:27" x14ac:dyDescent="0.25">
      <c r="B80" s="28"/>
      <c r="C80" s="28"/>
      <c r="D80" s="28"/>
      <c r="E80" s="28"/>
      <c r="F80" s="28"/>
      <c r="G80" s="28"/>
      <c r="H80" s="28"/>
      <c r="I80" s="28"/>
      <c r="J80" s="28"/>
    </row>
    <row r="81" spans="2:2" s="7" customFormat="1" x14ac:dyDescent="0.25">
      <c r="B81" s="28"/>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D24" sqref="A1:XFD1048576"/>
    </sheetView>
  </sheetViews>
  <sheetFormatPr defaultRowHeight="15" x14ac:dyDescent="0.25"/>
  <cols>
    <col min="2" max="2" width="18.85546875" bestFit="1" customWidth="1"/>
    <col min="3" max="7" width="10" customWidth="1"/>
  </cols>
  <sheetData>
    <row r="2" spans="2:3" s="9" customFormat="1" x14ac:dyDescent="0.25">
      <c r="B2" s="9" t="s">
        <v>19</v>
      </c>
      <c r="C2" s="9">
        <v>-0.01</v>
      </c>
    </row>
    <row r="3" spans="2:3" s="9" customFormat="1" x14ac:dyDescent="0.25">
      <c r="B3" s="9" t="s">
        <v>20</v>
      </c>
      <c r="C3" s="9">
        <v>0.115</v>
      </c>
    </row>
    <row r="4" spans="2:3" x14ac:dyDescent="0.25">
      <c r="B4" t="s">
        <v>8</v>
      </c>
      <c r="C4" s="10">
        <f>NPV(C3,Model!AA23:DW23)</f>
        <v>18848.439289507303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2023-02-17T23:24:04Z</dcterms:modified>
</cp:coreProperties>
</file>