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DCF Models\"/>
    </mc:Choice>
  </mc:AlternateContent>
  <xr:revisionPtr revIDLastSave="0" documentId="13_ncr:1_{529A498F-E146-4C4F-AC91-BAE987AB432E}" xr6:coauthVersionLast="47" xr6:coauthVersionMax="47" xr10:uidLastSave="{00000000-0000-0000-0000-000000000000}"/>
  <bookViews>
    <workbookView xWindow="5445" yWindow="630" windowWidth="32700" windowHeight="15045" activeTab="1" xr2:uid="{3056AFBF-C33C-44A0-B793-E31A92920761}"/>
  </bookViews>
  <sheets>
    <sheet name="Main" sheetId="1" r:id="rId1"/>
    <sheet name="Model" sheetId="2" r:id="rId2"/>
    <sheet name="Dash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82" i="2" l="1"/>
  <c r="Z82" i="2"/>
  <c r="Y82" i="2"/>
  <c r="X82" i="2"/>
  <c r="W82" i="2"/>
  <c r="V82" i="2"/>
  <c r="U82" i="2"/>
  <c r="T82" i="2"/>
  <c r="S82" i="2"/>
  <c r="R82" i="2"/>
  <c r="Q82" i="2"/>
  <c r="P82" i="2"/>
  <c r="O82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J82" i="2"/>
  <c r="I82" i="2"/>
  <c r="H82" i="2"/>
  <c r="G82" i="2"/>
  <c r="F82" i="2"/>
  <c r="E82" i="2"/>
  <c r="D82" i="2"/>
  <c r="C82" i="2"/>
  <c r="J81" i="2"/>
  <c r="I81" i="2"/>
  <c r="H81" i="2"/>
  <c r="G81" i="2"/>
  <c r="F81" i="2"/>
  <c r="E81" i="2"/>
  <c r="D81" i="2"/>
  <c r="C81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J79" i="2"/>
  <c r="I79" i="2"/>
  <c r="H79" i="2"/>
  <c r="G79" i="2"/>
  <c r="F79" i="2"/>
  <c r="E79" i="2"/>
  <c r="D79" i="2"/>
  <c r="C79" i="2"/>
  <c r="AC5" i="2" l="1"/>
  <c r="P41" i="2"/>
  <c r="Q41" i="2"/>
  <c r="R41" i="2"/>
  <c r="S41" i="2"/>
  <c r="AB5" i="2" l="1"/>
  <c r="AD5" i="2"/>
  <c r="AA28" i="2"/>
  <c r="Z28" i="2"/>
  <c r="Y28" i="2"/>
  <c r="X28" i="2"/>
  <c r="W28" i="2"/>
  <c r="V28" i="2"/>
  <c r="U28" i="2"/>
  <c r="T28" i="2"/>
  <c r="S28" i="2"/>
  <c r="J28" i="2"/>
  <c r="I28" i="2"/>
  <c r="H28" i="2"/>
  <c r="G28" i="2"/>
  <c r="F28" i="2"/>
  <c r="E28" i="2"/>
  <c r="D28" i="2"/>
  <c r="C28" i="2"/>
  <c r="P74" i="2" l="1"/>
  <c r="O74" i="2"/>
  <c r="R5" i="2"/>
  <c r="R75" i="2" s="1"/>
  <c r="Q5" i="2"/>
  <c r="Q75" i="2" s="1"/>
  <c r="P5" i="2"/>
  <c r="P75" i="2" s="1"/>
  <c r="O5" i="2"/>
  <c r="O75" i="2" s="1"/>
  <c r="R78" i="2"/>
  <c r="Q78" i="2"/>
  <c r="P78" i="2"/>
  <c r="O78" i="2"/>
  <c r="R76" i="2"/>
  <c r="Q76" i="2"/>
  <c r="P76" i="2"/>
  <c r="O76" i="2"/>
  <c r="Q74" i="2"/>
  <c r="R74" i="2"/>
  <c r="J78" i="2"/>
  <c r="Z78" i="2"/>
  <c r="Y78" i="2"/>
  <c r="X78" i="2"/>
  <c r="W78" i="2"/>
  <c r="V78" i="2"/>
  <c r="U78" i="2"/>
  <c r="S78" i="2"/>
  <c r="I78" i="2"/>
  <c r="H78" i="2"/>
  <c r="G78" i="2"/>
  <c r="E78" i="2"/>
  <c r="D78" i="2"/>
  <c r="C78" i="2"/>
  <c r="T78" i="2"/>
  <c r="H74" i="2"/>
  <c r="G74" i="2"/>
  <c r="F74" i="2"/>
  <c r="E74" i="2"/>
  <c r="D74" i="2"/>
  <c r="C74" i="2"/>
  <c r="I74" i="2"/>
  <c r="AA74" i="2"/>
  <c r="Z74" i="2"/>
  <c r="Y74" i="2"/>
  <c r="X74" i="2"/>
  <c r="W74" i="2"/>
  <c r="V74" i="2"/>
  <c r="U74" i="2"/>
  <c r="T74" i="2"/>
  <c r="S74" i="2"/>
  <c r="J74" i="2"/>
  <c r="AA35" i="2" l="1"/>
  <c r="AA37" i="2" s="1"/>
  <c r="AA19" i="2"/>
  <c r="AA16" i="2"/>
  <c r="AA15" i="2"/>
  <c r="AA14" i="2"/>
  <c r="AA11" i="2"/>
  <c r="AA10" i="2"/>
  <c r="AA9" i="2"/>
  <c r="AA8" i="2"/>
  <c r="AA7" i="2"/>
  <c r="AA6" i="2"/>
  <c r="AA4" i="2"/>
  <c r="AA3" i="2"/>
  <c r="AA78" i="2" s="1"/>
  <c r="J21" i="2"/>
  <c r="AA32" i="2"/>
  <c r="AA30" i="2"/>
  <c r="J32" i="2"/>
  <c r="J30" i="2"/>
  <c r="J18" i="2"/>
  <c r="AA33" i="2" l="1"/>
  <c r="AB18" i="2" s="1"/>
  <c r="Z55" i="2" l="1"/>
  <c r="Y55" i="2"/>
  <c r="X55" i="2"/>
  <c r="W55" i="2"/>
  <c r="V55" i="2"/>
  <c r="U55" i="2"/>
  <c r="T55" i="2"/>
  <c r="S55" i="2"/>
  <c r="J55" i="2"/>
  <c r="I55" i="2"/>
  <c r="H55" i="2"/>
  <c r="G55" i="2"/>
  <c r="E55" i="2"/>
  <c r="D55" i="2"/>
  <c r="C55" i="2"/>
  <c r="AC11" i="2"/>
  <c r="AD11" i="2" s="1"/>
  <c r="AE11" i="2" s="1"/>
  <c r="AF11" i="2" s="1"/>
  <c r="AG11" i="2" s="1"/>
  <c r="AH11" i="2" s="1"/>
  <c r="AI11" i="2" s="1"/>
  <c r="AJ11" i="2" s="1"/>
  <c r="AK11" i="2" s="1"/>
  <c r="AC9" i="2"/>
  <c r="AD9" i="2" s="1"/>
  <c r="AE9" i="2" s="1"/>
  <c r="AF9" i="2" s="1"/>
  <c r="AG9" i="2" s="1"/>
  <c r="AH9" i="2" s="1"/>
  <c r="AI9" i="2" s="1"/>
  <c r="AJ9" i="2" s="1"/>
  <c r="AK9" i="2" s="1"/>
  <c r="AC7" i="2"/>
  <c r="AD7" i="2" s="1"/>
  <c r="AE7" i="2" s="1"/>
  <c r="AF7" i="2" s="1"/>
  <c r="AG7" i="2" s="1"/>
  <c r="AH7" i="2" s="1"/>
  <c r="AI7" i="2" s="1"/>
  <c r="AJ7" i="2" s="1"/>
  <c r="AK7" i="2" s="1"/>
  <c r="AC6" i="2"/>
  <c r="AD6" i="2" s="1"/>
  <c r="AE6" i="2" s="1"/>
  <c r="AF6" i="2" s="1"/>
  <c r="AC65" i="2"/>
  <c r="AB65" i="2"/>
  <c r="AA65" i="2"/>
  <c r="Z65" i="2"/>
  <c r="Y65" i="2"/>
  <c r="X65" i="2"/>
  <c r="W65" i="2"/>
  <c r="V65" i="2"/>
  <c r="AD64" i="2"/>
  <c r="AE64" i="2" s="1"/>
  <c r="AF64" i="2" s="1"/>
  <c r="AG64" i="2" s="1"/>
  <c r="AH64" i="2" s="1"/>
  <c r="AI64" i="2" s="1"/>
  <c r="AJ64" i="2" s="1"/>
  <c r="Z60" i="2"/>
  <c r="Y60" i="2"/>
  <c r="X60" i="2"/>
  <c r="W60" i="2"/>
  <c r="V60" i="2"/>
  <c r="F19" i="2"/>
  <c r="F16" i="2"/>
  <c r="F15" i="2"/>
  <c r="F55" i="2" s="1"/>
  <c r="F14" i="2"/>
  <c r="F11" i="2"/>
  <c r="F10" i="2"/>
  <c r="F9" i="2"/>
  <c r="F8" i="2"/>
  <c r="F7" i="2"/>
  <c r="F6" i="2"/>
  <c r="F4" i="2"/>
  <c r="F3" i="2"/>
  <c r="F78" i="2" s="1"/>
  <c r="C18" i="2"/>
  <c r="I21" i="2"/>
  <c r="H21" i="2"/>
  <c r="F21" i="2"/>
  <c r="E21" i="2"/>
  <c r="D21" i="2"/>
  <c r="G21" i="2"/>
  <c r="C21" i="2"/>
  <c r="G18" i="2"/>
  <c r="D18" i="2"/>
  <c r="H18" i="2"/>
  <c r="I32" i="2"/>
  <c r="I30" i="2"/>
  <c r="E18" i="2"/>
  <c r="I18" i="2"/>
  <c r="J37" i="2"/>
  <c r="I37" i="2"/>
  <c r="H37" i="2"/>
  <c r="G37" i="2"/>
  <c r="F37" i="2"/>
  <c r="E37" i="2"/>
  <c r="D37" i="2"/>
  <c r="C37" i="2"/>
  <c r="J33" i="2"/>
  <c r="H33" i="2"/>
  <c r="G33" i="2"/>
  <c r="F33" i="2"/>
  <c r="E33" i="2"/>
  <c r="D33" i="2"/>
  <c r="C33" i="2"/>
  <c r="S35" i="2"/>
  <c r="S37" i="2" s="1"/>
  <c r="T35" i="2"/>
  <c r="T37" i="2" s="1"/>
  <c r="S32" i="2"/>
  <c r="S33" i="2" s="1"/>
  <c r="T32" i="2"/>
  <c r="T30" i="2"/>
  <c r="S18" i="2"/>
  <c r="T18" i="2"/>
  <c r="U35" i="2"/>
  <c r="U37" i="2" s="1"/>
  <c r="V35" i="2"/>
  <c r="V37" i="2" s="1"/>
  <c r="U32" i="2"/>
  <c r="U33" i="2" s="1"/>
  <c r="V32" i="2"/>
  <c r="V30" i="2"/>
  <c r="U18" i="2"/>
  <c r="V18" i="2"/>
  <c r="W35" i="2"/>
  <c r="W37" i="2" s="1"/>
  <c r="X35" i="2"/>
  <c r="X37" i="2" s="1"/>
  <c r="W32" i="2"/>
  <c r="W30" i="2"/>
  <c r="X32" i="2"/>
  <c r="X30" i="2"/>
  <c r="W18" i="2"/>
  <c r="X18" i="2"/>
  <c r="Y35" i="2"/>
  <c r="Y37" i="2" s="1"/>
  <c r="Y32" i="2"/>
  <c r="Z35" i="2"/>
  <c r="Z37" i="2" s="1"/>
  <c r="Y30" i="2"/>
  <c r="Z32" i="2"/>
  <c r="Z30" i="2"/>
  <c r="Y18" i="2"/>
  <c r="Z18" i="2"/>
  <c r="Y12" i="2"/>
  <c r="X12" i="2"/>
  <c r="W12" i="2"/>
  <c r="V12" i="2"/>
  <c r="U12" i="2"/>
  <c r="T12" i="2"/>
  <c r="S12" i="2"/>
  <c r="J12" i="2"/>
  <c r="I12" i="2"/>
  <c r="H12" i="2"/>
  <c r="G12" i="2"/>
  <c r="E12" i="2"/>
  <c r="D12" i="2"/>
  <c r="C12" i="2"/>
  <c r="Z12" i="2"/>
  <c r="S5" i="2"/>
  <c r="S75" i="2" s="1"/>
  <c r="T5" i="2"/>
  <c r="T75" i="2" s="1"/>
  <c r="U5" i="2"/>
  <c r="U75" i="2" s="1"/>
  <c r="Y5" i="2"/>
  <c r="X5" i="2"/>
  <c r="X75" i="2" s="1"/>
  <c r="W5" i="2"/>
  <c r="W75" i="2" s="1"/>
  <c r="V5" i="2"/>
  <c r="V75" i="2" s="1"/>
  <c r="J5" i="2"/>
  <c r="I5" i="2"/>
  <c r="H5" i="2"/>
  <c r="G5" i="2"/>
  <c r="E5" i="2"/>
  <c r="D5" i="2"/>
  <c r="C5" i="2"/>
  <c r="Z5" i="2"/>
  <c r="Z75" i="2" s="1"/>
  <c r="Y51" i="2" l="1"/>
  <c r="Y75" i="2"/>
  <c r="E50" i="2"/>
  <c r="E75" i="2"/>
  <c r="E76" i="2"/>
  <c r="C50" i="2"/>
  <c r="C76" i="2"/>
  <c r="C75" i="2"/>
  <c r="G50" i="2"/>
  <c r="G76" i="2"/>
  <c r="G75" i="2"/>
  <c r="D54" i="2"/>
  <c r="D76" i="2"/>
  <c r="D75" i="2"/>
  <c r="H50" i="2"/>
  <c r="H75" i="2"/>
  <c r="H76" i="2"/>
  <c r="I50" i="2"/>
  <c r="I75" i="2"/>
  <c r="I76" i="2"/>
  <c r="J52" i="2"/>
  <c r="J76" i="2"/>
  <c r="J75" i="2"/>
  <c r="T43" i="2"/>
  <c r="AA21" i="2"/>
  <c r="V43" i="2"/>
  <c r="AA18" i="2"/>
  <c r="Z49" i="2"/>
  <c r="Z76" i="2"/>
  <c r="H49" i="2"/>
  <c r="I52" i="2"/>
  <c r="E54" i="2"/>
  <c r="G54" i="2"/>
  <c r="V51" i="2"/>
  <c r="V76" i="2"/>
  <c r="W52" i="2"/>
  <c r="W76" i="2"/>
  <c r="X76" i="2"/>
  <c r="AD50" i="2"/>
  <c r="Y50" i="2"/>
  <c r="Y76" i="2"/>
  <c r="U51" i="2"/>
  <c r="U76" i="2"/>
  <c r="T41" i="2"/>
  <c r="T76" i="2"/>
  <c r="S52" i="2"/>
  <c r="S76" i="2"/>
  <c r="Z51" i="2"/>
  <c r="T52" i="2"/>
  <c r="Z52" i="2"/>
  <c r="E49" i="2"/>
  <c r="D51" i="2"/>
  <c r="AB7" i="2"/>
  <c r="E51" i="2"/>
  <c r="G51" i="2"/>
  <c r="G49" i="2"/>
  <c r="AB9" i="2"/>
  <c r="I51" i="2"/>
  <c r="U54" i="2"/>
  <c r="S54" i="2"/>
  <c r="H54" i="2"/>
  <c r="I54" i="2"/>
  <c r="C51" i="2"/>
  <c r="S49" i="2"/>
  <c r="C52" i="2"/>
  <c r="Z50" i="2"/>
  <c r="C54" i="2"/>
  <c r="W51" i="2"/>
  <c r="U52" i="2"/>
  <c r="T54" i="2"/>
  <c r="D49" i="2"/>
  <c r="X51" i="2"/>
  <c r="X52" i="2"/>
  <c r="H51" i="2"/>
  <c r="J54" i="2"/>
  <c r="Y52" i="2"/>
  <c r="V54" i="2"/>
  <c r="AA55" i="2"/>
  <c r="W54" i="2"/>
  <c r="I49" i="2"/>
  <c r="D52" i="2"/>
  <c r="U49" i="2"/>
  <c r="Y54" i="2"/>
  <c r="T49" i="2"/>
  <c r="X54" i="2"/>
  <c r="J49" i="2"/>
  <c r="E52" i="2"/>
  <c r="V49" i="2"/>
  <c r="S50" i="2"/>
  <c r="Z54" i="2"/>
  <c r="D50" i="2"/>
  <c r="W49" i="2"/>
  <c r="T50" i="2"/>
  <c r="G52" i="2"/>
  <c r="X49" i="2"/>
  <c r="U50" i="2"/>
  <c r="J50" i="2"/>
  <c r="H52" i="2"/>
  <c r="Y49" i="2"/>
  <c r="V50" i="2"/>
  <c r="S51" i="2"/>
  <c r="V52" i="2"/>
  <c r="J51" i="2"/>
  <c r="W50" i="2"/>
  <c r="C49" i="2"/>
  <c r="X50" i="2"/>
  <c r="T51" i="2"/>
  <c r="AC8" i="2"/>
  <c r="AD8" i="2" s="1"/>
  <c r="AB11" i="2"/>
  <c r="U41" i="2"/>
  <c r="Z33" i="2"/>
  <c r="V33" i="2"/>
  <c r="W43" i="2" s="1"/>
  <c r="AC10" i="2"/>
  <c r="Z41" i="2"/>
  <c r="X33" i="2"/>
  <c r="Y43" i="2" s="1"/>
  <c r="AB6" i="2"/>
  <c r="V41" i="2"/>
  <c r="W33" i="2"/>
  <c r="X43" i="2" s="1"/>
  <c r="AG6" i="2"/>
  <c r="Y33" i="2"/>
  <c r="Z43" i="2" s="1"/>
  <c r="W41" i="2"/>
  <c r="X41" i="2"/>
  <c r="Y41" i="2"/>
  <c r="AA5" i="2"/>
  <c r="AA75" i="2" s="1"/>
  <c r="T33" i="2"/>
  <c r="U43" i="2" s="1"/>
  <c r="I33" i="2"/>
  <c r="J13" i="2"/>
  <c r="AA12" i="2"/>
  <c r="F18" i="2"/>
  <c r="F12" i="2"/>
  <c r="F5" i="2"/>
  <c r="Y13" i="2"/>
  <c r="Z13" i="2"/>
  <c r="G13" i="2"/>
  <c r="H13" i="2"/>
  <c r="I13" i="2"/>
  <c r="E13" i="2"/>
  <c r="C13" i="2"/>
  <c r="D13" i="2"/>
  <c r="S13" i="2"/>
  <c r="T13" i="2"/>
  <c r="T46" i="2" s="1"/>
  <c r="U13" i="2"/>
  <c r="V13" i="2"/>
  <c r="W13" i="2"/>
  <c r="X13" i="2"/>
  <c r="F52" i="2" l="1"/>
  <c r="F75" i="2"/>
  <c r="F76" i="2"/>
  <c r="AD49" i="2"/>
  <c r="AA76" i="2"/>
  <c r="AA43" i="2"/>
  <c r="AE5" i="2"/>
  <c r="AE50" i="2" s="1"/>
  <c r="AD15" i="2"/>
  <c r="AD55" i="2" s="1"/>
  <c r="AD14" i="2"/>
  <c r="AB8" i="2"/>
  <c r="AF5" i="2"/>
  <c r="F54" i="2"/>
  <c r="F51" i="2"/>
  <c r="AD10" i="2"/>
  <c r="AD12" i="2" s="1"/>
  <c r="AD13" i="2" s="1"/>
  <c r="F50" i="2"/>
  <c r="AA50" i="2"/>
  <c r="AA51" i="2"/>
  <c r="F49" i="2"/>
  <c r="AA49" i="2"/>
  <c r="AA52" i="2"/>
  <c r="AA54" i="2"/>
  <c r="AC12" i="2"/>
  <c r="AB10" i="2"/>
  <c r="AA41" i="2"/>
  <c r="AE8" i="2"/>
  <c r="AE49" i="2" s="1"/>
  <c r="AH6" i="2"/>
  <c r="AA13" i="2"/>
  <c r="AA17" i="2" s="1"/>
  <c r="AA27" i="2" s="1"/>
  <c r="F13" i="2"/>
  <c r="F46" i="2" s="1"/>
  <c r="Z17" i="2"/>
  <c r="Z27" i="2" s="1"/>
  <c r="Z46" i="2"/>
  <c r="G17" i="2"/>
  <c r="G27" i="2" s="1"/>
  <c r="G46" i="2"/>
  <c r="U17" i="2"/>
  <c r="U27" i="2" s="1"/>
  <c r="U46" i="2"/>
  <c r="W17" i="2"/>
  <c r="W27" i="2" s="1"/>
  <c r="W46" i="2"/>
  <c r="S17" i="2"/>
  <c r="S27" i="2" s="1"/>
  <c r="S46" i="2"/>
  <c r="J17" i="2"/>
  <c r="J27" i="2" s="1"/>
  <c r="J46" i="2"/>
  <c r="D17" i="2"/>
  <c r="D27" i="2" s="1"/>
  <c r="D46" i="2"/>
  <c r="H17" i="2"/>
  <c r="H27" i="2" s="1"/>
  <c r="H46" i="2"/>
  <c r="Y17" i="2"/>
  <c r="Y27" i="2" s="1"/>
  <c r="Y46" i="2"/>
  <c r="V17" i="2"/>
  <c r="V27" i="2" s="1"/>
  <c r="V46" i="2"/>
  <c r="C17" i="2"/>
  <c r="C27" i="2" s="1"/>
  <c r="C46" i="2"/>
  <c r="I17" i="2"/>
  <c r="I27" i="2" s="1"/>
  <c r="I46" i="2"/>
  <c r="X17" i="2"/>
  <c r="X27" i="2" s="1"/>
  <c r="X46" i="2"/>
  <c r="E17" i="2"/>
  <c r="E27" i="2" s="1"/>
  <c r="E46" i="2"/>
  <c r="T17" i="2"/>
  <c r="T27" i="2" s="1"/>
  <c r="AE14" i="2" l="1"/>
  <c r="AE15" i="2"/>
  <c r="AE55" i="2" s="1"/>
  <c r="AB12" i="2"/>
  <c r="AB13" i="2" s="1"/>
  <c r="AF14" i="2"/>
  <c r="AF15" i="2"/>
  <c r="AF55" i="2" s="1"/>
  <c r="AB14" i="2"/>
  <c r="AB15" i="2"/>
  <c r="AB55" i="2" s="1"/>
  <c r="AB50" i="2"/>
  <c r="AB49" i="2"/>
  <c r="AB51" i="2"/>
  <c r="AE10" i="2"/>
  <c r="AE12" i="2" s="1"/>
  <c r="AE13" i="2" s="1"/>
  <c r="AD51" i="2"/>
  <c r="AG5" i="2"/>
  <c r="AF50" i="2"/>
  <c r="F17" i="2"/>
  <c r="AD17" i="2"/>
  <c r="AD46" i="2"/>
  <c r="AF8" i="2"/>
  <c r="AF49" i="2" s="1"/>
  <c r="AA46" i="2"/>
  <c r="AB41" i="2"/>
  <c r="AI6" i="2"/>
  <c r="I20" i="2"/>
  <c r="I22" i="2" s="1"/>
  <c r="I24" i="2" s="1"/>
  <c r="I47" i="2"/>
  <c r="S20" i="2"/>
  <c r="S44" i="2" s="1"/>
  <c r="S47" i="2"/>
  <c r="T20" i="2"/>
  <c r="T47" i="2"/>
  <c r="X20" i="2"/>
  <c r="X44" i="2" s="1"/>
  <c r="X47" i="2"/>
  <c r="E20" i="2"/>
  <c r="E22" i="2" s="1"/>
  <c r="E23" i="2" s="1"/>
  <c r="E47" i="2"/>
  <c r="Y47" i="2"/>
  <c r="Y20" i="2"/>
  <c r="Y44" i="2" s="1"/>
  <c r="G20" i="2"/>
  <c r="G22" i="2" s="1"/>
  <c r="G24" i="2" s="1"/>
  <c r="G47" i="2"/>
  <c r="D20" i="2"/>
  <c r="D22" i="2" s="1"/>
  <c r="D24" i="2" s="1"/>
  <c r="D47" i="2"/>
  <c r="J20" i="2"/>
  <c r="J22" i="2" s="1"/>
  <c r="J24" i="2" s="1"/>
  <c r="J47" i="2"/>
  <c r="AA20" i="2"/>
  <c r="AA44" i="2" s="1"/>
  <c r="AA47" i="2"/>
  <c r="Z20" i="2"/>
  <c r="Z44" i="2" s="1"/>
  <c r="Z47" i="2"/>
  <c r="C20" i="2"/>
  <c r="C22" i="2" s="1"/>
  <c r="C24" i="2" s="1"/>
  <c r="C47" i="2"/>
  <c r="U20" i="2"/>
  <c r="U44" i="2" s="1"/>
  <c r="U47" i="2"/>
  <c r="W20" i="2"/>
  <c r="W44" i="2" s="1"/>
  <c r="W47" i="2"/>
  <c r="V20" i="2"/>
  <c r="V44" i="2" s="1"/>
  <c r="V47" i="2"/>
  <c r="H20" i="2"/>
  <c r="H22" i="2" s="1"/>
  <c r="H23" i="2" s="1"/>
  <c r="H47" i="2"/>
  <c r="F20" i="2" l="1"/>
  <c r="F22" i="2" s="1"/>
  <c r="F24" i="2" s="1"/>
  <c r="F27" i="2"/>
  <c r="T23" i="2"/>
  <c r="T44" i="2"/>
  <c r="AA22" i="2"/>
  <c r="AA24" i="2" s="1"/>
  <c r="AG15" i="2"/>
  <c r="AG55" i="2" s="1"/>
  <c r="AG14" i="2"/>
  <c r="AC14" i="2"/>
  <c r="AC15" i="2"/>
  <c r="AC55" i="2" s="1"/>
  <c r="F47" i="2"/>
  <c r="AF10" i="2"/>
  <c r="AF12" i="2" s="1"/>
  <c r="AF13" i="2" s="1"/>
  <c r="AE51" i="2"/>
  <c r="AG50" i="2"/>
  <c r="AH5" i="2"/>
  <c r="AC50" i="2"/>
  <c r="AC51" i="2"/>
  <c r="AC49" i="2"/>
  <c r="AB46" i="2"/>
  <c r="AB17" i="2"/>
  <c r="AC13" i="2"/>
  <c r="AC41" i="2"/>
  <c r="AD41" i="2"/>
  <c r="AE17" i="2"/>
  <c r="AE46" i="2"/>
  <c r="AG8" i="2"/>
  <c r="AG49" i="2" s="1"/>
  <c r="AD47" i="2"/>
  <c r="AJ6" i="2"/>
  <c r="T22" i="2"/>
  <c r="X22" i="2"/>
  <c r="X23" i="2"/>
  <c r="W22" i="2"/>
  <c r="W23" i="2"/>
  <c r="U22" i="2"/>
  <c r="U23" i="2"/>
  <c r="Z23" i="2"/>
  <c r="Z22" i="2"/>
  <c r="Y22" i="2"/>
  <c r="Y23" i="2"/>
  <c r="S22" i="2"/>
  <c r="S23" i="2"/>
  <c r="V22" i="2"/>
  <c r="V23" i="2"/>
  <c r="AH15" i="2" l="1"/>
  <c r="AH55" i="2" s="1"/>
  <c r="AH14" i="2"/>
  <c r="AH50" i="2"/>
  <c r="AI5" i="2"/>
  <c r="AG10" i="2"/>
  <c r="AF51" i="2"/>
  <c r="AB23" i="2"/>
  <c r="AC23" i="2" s="1"/>
  <c r="AD23" i="2" s="1"/>
  <c r="AE23" i="2" s="1"/>
  <c r="AF23" i="2" s="1"/>
  <c r="AG23" i="2" s="1"/>
  <c r="AH23" i="2" s="1"/>
  <c r="AI23" i="2" s="1"/>
  <c r="AJ23" i="2" s="1"/>
  <c r="AK23" i="2" s="1"/>
  <c r="AH8" i="2"/>
  <c r="AH49" i="2" s="1"/>
  <c r="AG12" i="2"/>
  <c r="AG13" i="2" s="1"/>
  <c r="AE47" i="2"/>
  <c r="AC17" i="2"/>
  <c r="AC46" i="2"/>
  <c r="AF17" i="2"/>
  <c r="AF46" i="2"/>
  <c r="AB20" i="2"/>
  <c r="AB47" i="2"/>
  <c r="AK6" i="2"/>
  <c r="AI15" i="2" l="1"/>
  <c r="AI55" i="2" s="1"/>
  <c r="AI14" i="2"/>
  <c r="AB21" i="2"/>
  <c r="AB22" i="2" s="1"/>
  <c r="AI50" i="2"/>
  <c r="AJ5" i="2"/>
  <c r="AH10" i="2"/>
  <c r="AG51" i="2"/>
  <c r="AG17" i="2"/>
  <c r="AG46" i="2"/>
  <c r="AI8" i="2"/>
  <c r="AI49" i="2" s="1"/>
  <c r="AH12" i="2"/>
  <c r="AH13" i="2" s="1"/>
  <c r="AC47" i="2"/>
  <c r="AF47" i="2"/>
  <c r="AJ15" i="2" l="1"/>
  <c r="AJ55" i="2" s="1"/>
  <c r="AJ14" i="2"/>
  <c r="AB24" i="2"/>
  <c r="AB33" i="2"/>
  <c r="AC18" i="2" s="1"/>
  <c r="AC20" i="2" s="1"/>
  <c r="AC21" i="2" s="1"/>
  <c r="AC22" i="2" s="1"/>
  <c r="AJ50" i="2"/>
  <c r="AK5" i="2"/>
  <c r="AI10" i="2"/>
  <c r="AH51" i="2"/>
  <c r="AH17" i="2"/>
  <c r="AH46" i="2"/>
  <c r="AG47" i="2"/>
  <c r="AJ8" i="2"/>
  <c r="AJ49" i="2" s="1"/>
  <c r="AI12" i="2"/>
  <c r="AI13" i="2" s="1"/>
  <c r="AC24" i="2" l="1"/>
  <c r="AK15" i="2"/>
  <c r="AK55" i="2" s="1"/>
  <c r="AK14" i="2"/>
  <c r="AC33" i="2"/>
  <c r="AK50" i="2"/>
  <c r="AJ10" i="2"/>
  <c r="AI51" i="2"/>
  <c r="AI17" i="2"/>
  <c r="AI46" i="2"/>
  <c r="AK8" i="2"/>
  <c r="AJ12" i="2"/>
  <c r="AJ13" i="2" s="1"/>
  <c r="AH47" i="2"/>
  <c r="AD18" i="2" l="1"/>
  <c r="AD20" i="2" s="1"/>
  <c r="AD21" i="2" s="1"/>
  <c r="AD22" i="2" s="1"/>
  <c r="AK49" i="2"/>
  <c r="AK10" i="2"/>
  <c r="AK51" i="2" s="1"/>
  <c r="AJ51" i="2"/>
  <c r="AJ46" i="2"/>
  <c r="AJ17" i="2"/>
  <c r="AI47" i="2"/>
  <c r="AD24" i="2" l="1"/>
  <c r="AD33" i="2"/>
  <c r="AK12" i="2"/>
  <c r="AK13" i="2" s="1"/>
  <c r="AJ47" i="2"/>
  <c r="AE18" i="2" l="1"/>
  <c r="AE20" i="2" s="1"/>
  <c r="AE21" i="2" s="1"/>
  <c r="AE22" i="2" s="1"/>
  <c r="AK17" i="2"/>
  <c r="AK46" i="2"/>
  <c r="AE24" i="2" l="1"/>
  <c r="AE33" i="2"/>
  <c r="AK47" i="2"/>
  <c r="AF18" i="2" l="1"/>
  <c r="AF20" i="2" s="1"/>
  <c r="AF21" i="2" s="1"/>
  <c r="AF22" i="2" s="1"/>
  <c r="AF24" i="2" s="1"/>
  <c r="AF33" i="2" l="1"/>
  <c r="AG18" i="2" l="1"/>
  <c r="AG20" i="2" s="1"/>
  <c r="AG21" i="2" s="1"/>
  <c r="AG22" i="2" s="1"/>
  <c r="AG24" i="2" s="1"/>
  <c r="AG33" i="2" l="1"/>
  <c r="AH18" i="2" l="1"/>
  <c r="AH20" i="2" s="1"/>
  <c r="AH21" i="2" s="1"/>
  <c r="AH22" i="2" s="1"/>
  <c r="AH24" i="2" s="1"/>
  <c r="AH33" i="2" l="1"/>
  <c r="AI18" i="2" l="1"/>
  <c r="AI20" i="2" s="1"/>
  <c r="AI21" i="2" s="1"/>
  <c r="AI22" i="2" s="1"/>
  <c r="AI24" i="2" s="1"/>
  <c r="AI33" i="2" l="1"/>
  <c r="AJ18" i="2" l="1"/>
  <c r="AJ20" i="2" s="1"/>
  <c r="AJ21" i="2" s="1"/>
  <c r="AJ22" i="2" s="1"/>
  <c r="AJ24" i="2" s="1"/>
  <c r="N6" i="1"/>
  <c r="N9" i="1" s="1"/>
  <c r="AJ33" i="2" l="1"/>
  <c r="AK18" i="2" l="1"/>
  <c r="AK20" i="2" s="1"/>
  <c r="AK21" i="2" s="1"/>
  <c r="AK22" i="2" s="1"/>
  <c r="AK24" i="2" l="1"/>
  <c r="AL22" i="2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BP22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CG22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2" i="2" s="1"/>
  <c r="CX22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DO22" i="2" s="1"/>
  <c r="DP22" i="2" s="1"/>
  <c r="DQ22" i="2" s="1"/>
  <c r="DR22" i="2" s="1"/>
  <c r="DS22" i="2" s="1"/>
  <c r="DT22" i="2" s="1"/>
  <c r="DU22" i="2" s="1"/>
  <c r="DV22" i="2" s="1"/>
  <c r="DW22" i="2" s="1"/>
  <c r="DX22" i="2" s="1"/>
  <c r="C4" i="3" s="1"/>
  <c r="N12" i="1" s="1"/>
  <c r="AK33" i="2"/>
  <c r="N13" i="1" l="1"/>
</calcChain>
</file>

<file path=xl/sharedStrings.xml><?xml version="1.0" encoding="utf-8"?>
<sst xmlns="http://schemas.openxmlformats.org/spreadsheetml/2006/main" count="123" uniqueCount="110">
  <si>
    <t>Price</t>
  </si>
  <si>
    <t>Shares</t>
  </si>
  <si>
    <t>MkCap</t>
  </si>
  <si>
    <t>Cash</t>
  </si>
  <si>
    <t>Debt</t>
  </si>
  <si>
    <t>Run rate</t>
  </si>
  <si>
    <t>EV</t>
  </si>
  <si>
    <t>Update</t>
  </si>
  <si>
    <t>NPV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</si>
  <si>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</si>
  <si>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</si>
  <si>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</si>
  <si>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</si>
  <si>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</si>
  <si>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</si>
  <si>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</si>
  <si>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</si>
  <si>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Revenue y/y</t>
  </si>
  <si>
    <t>NPV/Sh</t>
  </si>
  <si>
    <t>Maturity decay</t>
  </si>
  <si>
    <t>Discount</t>
  </si>
  <si>
    <r>
      <t>Year </t>
    </r>
    <r>
      <rPr>
        <b/>
        <sz val="6.5"/>
        <color rgb="FF000000"/>
        <rFont val="Times New Roman"/>
        <family val="1"/>
      </rPr>
      <t>(1)</t>
    </r>
  </si>
  <si>
    <t>Weighted-Average</t>
  </si>
  <si>
    <t>Supply of</t>
  </si>
  <si>
    <t>Berths</t>
  </si>
  <si>
    <t>Marketed</t>
  </si>
  <si>
    <r>
      <t>Globally</t>
    </r>
    <r>
      <rPr>
        <b/>
        <sz val="6.5"/>
        <color rgb="FF000000"/>
        <rFont val="Times New Roman"/>
        <family val="1"/>
      </rPr>
      <t>(2)</t>
    </r>
  </si>
  <si>
    <r>
      <t>Royal Caribbean Group Total Berths</t>
    </r>
    <r>
      <rPr>
        <b/>
        <sz val="6.5"/>
        <color rgb="FF000000"/>
        <rFont val="Times New Roman"/>
        <family val="1"/>
      </rPr>
      <t>(3)</t>
    </r>
  </si>
  <si>
    <t>Global</t>
  </si>
  <si>
    <t>Cruise</t>
  </si>
  <si>
    <r>
      <t>Guests</t>
    </r>
    <r>
      <rPr>
        <b/>
        <sz val="6.5"/>
        <color rgb="FF000000"/>
        <rFont val="Times New Roman"/>
        <family val="1"/>
      </rPr>
      <t>(2)</t>
    </r>
  </si>
  <si>
    <r>
      <t>North American Cruise Guests</t>
    </r>
    <r>
      <rPr>
        <b/>
        <sz val="6.5"/>
        <color rgb="FF000000"/>
        <rFont val="Times New Roman"/>
        <family val="1"/>
      </rPr>
      <t>(2)(4)</t>
    </r>
  </si>
  <si>
    <r>
      <t>European Cruise Guests</t>
    </r>
    <r>
      <rPr>
        <b/>
        <sz val="6.5"/>
        <color rgb="FF000000"/>
        <rFont val="Times New Roman"/>
        <family val="1"/>
      </rPr>
      <t>(2)(5)</t>
    </r>
  </si>
  <si>
    <r>
      <t>Asia/Pacific Cruise Guests</t>
    </r>
    <r>
      <rPr>
        <b/>
        <sz val="6.5"/>
        <color rgb="FF000000"/>
        <rFont val="Times New Roman"/>
        <family val="1"/>
      </rPr>
      <t>(2)(6)</t>
    </r>
  </si>
  <si>
    <t>Passenger tickets</t>
  </si>
  <si>
    <t>Onboard extras</t>
  </si>
  <si>
    <t>Revenue</t>
  </si>
  <si>
    <t>Onboard extras opex</t>
  </si>
  <si>
    <t>Commissions, transport, etc opex</t>
  </si>
  <si>
    <t>Payroll</t>
  </si>
  <si>
    <t>Food</t>
  </si>
  <si>
    <t>Fuel</t>
  </si>
  <si>
    <t>Other operating</t>
  </si>
  <si>
    <t xml:space="preserve">  COGS</t>
  </si>
  <si>
    <t>SG&amp;A</t>
  </si>
  <si>
    <t>Gross income</t>
  </si>
  <si>
    <t>Depr &amp; Amortization</t>
  </si>
  <si>
    <t>Impairments and other</t>
  </si>
  <si>
    <t>Operating income</t>
  </si>
  <si>
    <t>Interest income</t>
  </si>
  <si>
    <t>Other income</t>
  </si>
  <si>
    <t xml:space="preserve">  EBT</t>
  </si>
  <si>
    <t>Net income</t>
  </si>
  <si>
    <t>EPS</t>
  </si>
  <si>
    <t>Tax expense</t>
  </si>
  <si>
    <t>PPE</t>
  </si>
  <si>
    <t>CF to debt repayment</t>
  </si>
  <si>
    <t>CF Issuance of commercial paper</t>
  </si>
  <si>
    <t xml:space="preserve">Net CF debt repayment </t>
  </si>
  <si>
    <t>Net cash</t>
  </si>
  <si>
    <t>Tax expense YTD</t>
  </si>
  <si>
    <t>combined fleet of 64 ships as of September 30, 2022</t>
  </si>
  <si>
    <t>full fleet in service by June 2022.</t>
  </si>
  <si>
    <t>10K</t>
  </si>
  <si>
    <t>10Q</t>
  </si>
  <si>
    <t>Year</t>
  </si>
  <si>
    <t>As of September 30, 2022 (1)</t>
  </si>
  <si>
    <t>Remainder of 2022</t>
  </si>
  <si>
    <t>589,222 </t>
  </si>
  <si>
    <t>2023 (2)</t>
  </si>
  <si>
    <t>4,062,005 </t>
  </si>
  <si>
    <t>4,063,513 </t>
  </si>
  <si>
    <t>3,617,022 </t>
  </si>
  <si>
    <t>2,706,650 </t>
  </si>
  <si>
    <t>Thereafter</t>
  </si>
  <si>
    <t>8,290,959 </t>
  </si>
  <si>
    <t>Debt schedule</t>
  </si>
  <si>
    <t>*9mo 2022</t>
  </si>
  <si>
    <t>Number of berths</t>
  </si>
  <si>
    <t>Gross margin</t>
  </si>
  <si>
    <t>Operating margin</t>
  </si>
  <si>
    <t>Employment cost index</t>
  </si>
  <si>
    <t>u</t>
  </si>
  <si>
    <t>Payroll inflation+growth rate</t>
  </si>
  <si>
    <t>Approx gas price</t>
  </si>
  <si>
    <t>Gas inflation+growth rate</t>
  </si>
  <si>
    <t>Food inflation+growth rate</t>
  </si>
  <si>
    <t>CPI less Food&amp;Energy rate</t>
  </si>
  <si>
    <t>General opcost growth rate</t>
  </si>
  <si>
    <t>SG&amp;A %rev</t>
  </si>
  <si>
    <t>D&amp;A %rev</t>
  </si>
  <si>
    <t>D&amp;A %PPE</t>
  </si>
  <si>
    <t>Payroll %rev</t>
  </si>
  <si>
    <t>Food %rev</t>
  </si>
  <si>
    <t>Fuel %rev</t>
  </si>
  <si>
    <t>Interest rate</t>
  </si>
  <si>
    <t>Tax rate</t>
  </si>
  <si>
    <t>Issues a lot of short term debt/commercial paper  each year - this is a very big risk factor</t>
  </si>
  <si>
    <t>As of Dec 31, 2022</t>
  </si>
  <si>
    <t>Available Passenger Cruise Days (APCD)</t>
  </si>
  <si>
    <t>Cash extraction per APCD</t>
  </si>
  <si>
    <t>Passenger cruise days</t>
  </si>
  <si>
    <t>Occupancy</t>
  </si>
  <si>
    <t>Cash extraction per PCD</t>
  </si>
  <si>
    <t>Ticket per PCD</t>
  </si>
  <si>
    <t>EBITDA</t>
  </si>
  <si>
    <t>EBIT</t>
  </si>
  <si>
    <t>Extras per PCD</t>
  </si>
  <si>
    <t>Ticket per APCD</t>
  </si>
  <si>
    <t>Extras per APCD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</si>
</sst>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6.5"/>
      <color rgb="FF000000"/>
      <name val="Times New Roman"/>
      <family val="1"/>
    </font>
    <font>
      <sz val="10"/>
      <color rgb="FF000000"/>
      <name val="Times New Roman"/>
      <family val="1"/>
    </font>
    <font>
      <sz val="14"/>
      <color rgb="FF000000"/>
      <name val="Times New Roman"/>
      <family val="1"/>
    </font>
    <font>
      <sz val="9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EEFF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8" fontId="0" fillId="0" borderId="0" xfId="0" applyNumberFormat="1"/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2" borderId="0" xfId="0" applyFill="1" applyAlignment="1">
      <alignment horizontal="right" wrapText="1"/>
    </xf>
    <xf numFmtId="0" fontId="0" fillId="0" borderId="0" xfId="0" applyAlignment="1">
      <alignment vertical="center"/>
    </xf>
    <xf numFmtId="9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4" fontId="0" fillId="0" borderId="0" xfId="0" applyNumberFormat="1"/>
    <xf numFmtId="3" fontId="4" fillId="2" borderId="0" xfId="0" applyNumberFormat="1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3" fontId="4" fillId="3" borderId="0" xfId="0" applyNumberFormat="1" applyFont="1" applyFill="1" applyAlignment="1">
      <alignment horizontal="center" wrapText="1"/>
    </xf>
    <xf numFmtId="3" fontId="4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4" fillId="3" borderId="0" xfId="0" applyFont="1" applyFill="1" applyAlignment="1">
      <alignment horizontal="left" wrapText="1"/>
    </xf>
    <xf numFmtId="0" fontId="6" fillId="3" borderId="1" xfId="0" applyFont="1" applyFill="1" applyBorder="1" applyAlignment="1">
      <alignment horizontal="right" wrapText="1"/>
    </xf>
    <xf numFmtId="0" fontId="4" fillId="0" borderId="0" xfId="0" applyFont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6" fillId="2" borderId="0" xfId="0" applyFont="1" applyFill="1" applyAlignment="1">
      <alignment horizontal="right" wrapText="1"/>
    </xf>
    <xf numFmtId="0" fontId="6" fillId="3" borderId="0" xfId="0" applyFont="1" applyFill="1" applyAlignment="1">
      <alignment horizontal="right" wrapText="1"/>
    </xf>
    <xf numFmtId="0" fontId="6" fillId="2" borderId="3" xfId="0" applyFont="1" applyFill="1" applyBorder="1" applyAlignment="1">
      <alignment horizontal="right" wrapText="1"/>
    </xf>
    <xf numFmtId="0" fontId="0" fillId="3" borderId="0" xfId="0" applyFill="1" applyAlignment="1">
      <alignment vertical="center" wrapText="1"/>
    </xf>
    <xf numFmtId="3" fontId="4" fillId="3" borderId="2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0</xdr:row>
      <xdr:rowOff>91523</xdr:rowOff>
    </xdr:from>
    <xdr:to>
      <xdr:col>27</xdr:col>
      <xdr:colOff>9525</xdr:colOff>
      <xdr:row>65</xdr:row>
      <xdr:rowOff>136249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F41FF2C-7A02-A688-44AC-9A20A2BC341C}"/>
            </a:ext>
          </a:extLst>
        </xdr:cNvPr>
        <xdr:cNvCxnSpPr/>
      </xdr:nvCxnSpPr>
      <xdr:spPr>
        <a:xfrm flipH="1">
          <a:off x="15487650" y="91523"/>
          <a:ext cx="9525" cy="118557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19050</xdr:colOff>
      <xdr:row>0</xdr:row>
      <xdr:rowOff>0</xdr:rowOff>
    </xdr:from>
    <xdr:to>
      <xdr:col>37</xdr:col>
      <xdr:colOff>19050</xdr:colOff>
      <xdr:row>28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B0F37C3-A497-43EB-8B50-23417BD53A4C}"/>
            </a:ext>
          </a:extLst>
        </xdr:cNvPr>
        <xdr:cNvCxnSpPr/>
      </xdr:nvCxnSpPr>
      <xdr:spPr>
        <a:xfrm>
          <a:off x="18307050" y="0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E6B5-2ED0-4ACF-895E-E286D10A7127}">
  <dimension ref="B2:V54"/>
  <sheetViews>
    <sheetView workbookViewId="0">
      <selection activeCell="H16" sqref="H16"/>
    </sheetView>
  </sheetViews>
  <sheetFormatPr defaultRowHeight="15" x14ac:dyDescent="0.25"/>
  <cols>
    <col min="14" max="14" width="9.7109375" bestFit="1" customWidth="1"/>
  </cols>
  <sheetData>
    <row r="2" spans="2:15" x14ac:dyDescent="0.25">
      <c r="M2" t="s">
        <v>7</v>
      </c>
      <c r="N2" s="1">
        <v>44973</v>
      </c>
    </row>
    <row r="4" spans="2:15" x14ac:dyDescent="0.25">
      <c r="M4" t="s">
        <v>0</v>
      </c>
      <c r="N4" s="5">
        <v>75.75</v>
      </c>
    </row>
    <row r="5" spans="2:15" s="2" customFormat="1" x14ac:dyDescent="0.25">
      <c r="M5" s="2" t="s">
        <v>1</v>
      </c>
      <c r="N5" s="2">
        <v>255.071</v>
      </c>
    </row>
    <row r="6" spans="2:15" s="2" customFormat="1" x14ac:dyDescent="0.25">
      <c r="M6" s="2" t="s">
        <v>2</v>
      </c>
      <c r="N6" s="2">
        <f>N4*N5</f>
        <v>19321.628250000002</v>
      </c>
    </row>
    <row r="7" spans="2:15" s="2" customFormat="1" x14ac:dyDescent="0.25">
      <c r="M7" s="2" t="s">
        <v>3</v>
      </c>
      <c r="N7" s="2">
        <v>1994.08</v>
      </c>
    </row>
    <row r="8" spans="2:15" s="2" customFormat="1" x14ac:dyDescent="0.25">
      <c r="M8" s="2" t="s">
        <v>4</v>
      </c>
      <c r="N8" s="2">
        <v>24558.046999999999</v>
      </c>
    </row>
    <row r="9" spans="2:15" s="2" customFormat="1" x14ac:dyDescent="0.25">
      <c r="M9" s="2" t="s">
        <v>6</v>
      </c>
      <c r="N9" s="2">
        <f>+N6-N7+N8</f>
        <v>41885.595249999998</v>
      </c>
    </row>
    <row r="10" spans="2:15" s="2" customFormat="1" x14ac:dyDescent="0.25">
      <c r="M10" s="2" t="s">
        <v>5</v>
      </c>
      <c r="N10" s="2">
        <v>5358.1230000000005</v>
      </c>
      <c r="O10" s="2" t="s">
        <v>77</v>
      </c>
    </row>
    <row r="12" spans="2:15" x14ac:dyDescent="0.25">
      <c r="M12" t="s">
        <v>8</v>
      </c>
      <c r="N12" s="2">
        <f>Dash!C4</f>
        <v>17718.474111348907</v>
      </c>
    </row>
    <row r="13" spans="2:15" x14ac:dyDescent="0.25">
      <c r="M13" t="s">
        <v>18</v>
      </c>
      <c r="N13" s="5">
        <f>N12/N5</f>
        <v>69.464871001991241</v>
      </c>
    </row>
    <row r="14" spans="2:15" x14ac:dyDescent="0.25">
      <c r="B14" t="s">
        <v>64</v>
      </c>
    </row>
    <row r="15" spans="2:15" x14ac:dyDescent="0.25">
      <c r="B15" t="s">
        <v>61</v>
      </c>
    </row>
    <row r="16" spans="2:15" x14ac:dyDescent="0.25">
      <c r="B16" t="s">
        <v>62</v>
      </c>
    </row>
    <row r="19" spans="2:22" x14ac:dyDescent="0.25">
      <c r="B19" t="s">
        <v>63</v>
      </c>
    </row>
    <row r="20" spans="2:22" x14ac:dyDescent="0.25">
      <c r="B20" t="s">
        <v>97</v>
      </c>
    </row>
    <row r="25" spans="2:22" x14ac:dyDescent="0.25">
      <c r="B25" t="s">
        <v>78</v>
      </c>
    </row>
    <row r="26" spans="2:22" x14ac:dyDescent="0.25">
      <c r="B26" s="22" t="s">
        <v>21</v>
      </c>
      <c r="C26" s="22"/>
      <c r="D26" s="22"/>
      <c r="E26" s="22" t="s">
        <v>22</v>
      </c>
      <c r="F26" s="22"/>
      <c r="G26" s="22"/>
      <c r="H26" s="22" t="s">
        <v>27</v>
      </c>
      <c r="I26" s="22"/>
      <c r="J26" s="22"/>
      <c r="K26" s="22" t="s">
        <v>28</v>
      </c>
      <c r="L26" s="22"/>
      <c r="M26" s="22"/>
      <c r="N26" s="22" t="s">
        <v>31</v>
      </c>
      <c r="O26" s="22"/>
      <c r="P26" s="22"/>
      <c r="Q26" s="22" t="s">
        <v>32</v>
      </c>
      <c r="R26" s="22"/>
      <c r="S26" s="22"/>
      <c r="T26" s="22" t="s">
        <v>33</v>
      </c>
      <c r="U26" s="22"/>
      <c r="V26" s="22"/>
    </row>
    <row r="27" spans="2:22" x14ac:dyDescent="0.25">
      <c r="B27" s="22"/>
      <c r="C27" s="22"/>
      <c r="D27" s="22"/>
      <c r="E27" s="22" t="s">
        <v>23</v>
      </c>
      <c r="F27" s="22"/>
      <c r="G27" s="22"/>
      <c r="H27" s="22"/>
      <c r="I27" s="22"/>
      <c r="J27" s="22"/>
      <c r="K27" s="22" t="s">
        <v>29</v>
      </c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</row>
    <row r="28" spans="2:22" x14ac:dyDescent="0.25">
      <c r="B28" s="22"/>
      <c r="C28" s="22"/>
      <c r="D28" s="22"/>
      <c r="E28" s="22" t="s">
        <v>24</v>
      </c>
      <c r="F28" s="22"/>
      <c r="G28" s="22"/>
      <c r="H28" s="22"/>
      <c r="I28" s="22"/>
      <c r="J28" s="22"/>
      <c r="K28" s="22" t="s">
        <v>30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</row>
    <row r="29" spans="2:22" x14ac:dyDescent="0.25">
      <c r="B29" s="22"/>
      <c r="C29" s="22"/>
      <c r="D29" s="22"/>
      <c r="E29" s="22" t="s">
        <v>25</v>
      </c>
      <c r="F29" s="22"/>
      <c r="G29" s="22"/>
      <c r="H29" s="22"/>
      <c r="I29" s="22"/>
      <c r="J29" s="22"/>
      <c r="K29" s="23"/>
      <c r="L29" s="23"/>
      <c r="M29" s="23"/>
      <c r="N29" s="22"/>
      <c r="O29" s="22"/>
      <c r="P29" s="22"/>
      <c r="Q29" s="22"/>
      <c r="R29" s="22"/>
      <c r="S29" s="22"/>
      <c r="T29" s="22"/>
      <c r="U29" s="22"/>
      <c r="V29" s="22"/>
    </row>
    <row r="30" spans="2:22" x14ac:dyDescent="0.25">
      <c r="B30" s="22"/>
      <c r="C30" s="22"/>
      <c r="D30" s="22"/>
      <c r="E30" s="22" t="s">
        <v>26</v>
      </c>
      <c r="F30" s="22"/>
      <c r="G30" s="22"/>
      <c r="H30" s="22"/>
      <c r="I30" s="22"/>
      <c r="J30" s="22"/>
      <c r="K30" s="23"/>
      <c r="L30" s="23"/>
      <c r="M30" s="23"/>
      <c r="N30" s="22"/>
      <c r="O30" s="22"/>
      <c r="P30" s="22"/>
      <c r="Q30" s="22"/>
      <c r="R30" s="22"/>
      <c r="S30" s="22"/>
      <c r="T30" s="22"/>
      <c r="U30" s="22"/>
      <c r="V30" s="22"/>
    </row>
    <row r="31" spans="2:22" x14ac:dyDescent="0.25">
      <c r="B31" s="19">
        <v>2015</v>
      </c>
      <c r="C31" s="19"/>
      <c r="D31" s="19"/>
      <c r="E31" s="18">
        <v>469000</v>
      </c>
      <c r="F31" s="18"/>
      <c r="G31" s="18"/>
      <c r="H31" s="18">
        <v>112700</v>
      </c>
      <c r="I31" s="18"/>
      <c r="J31" s="18"/>
      <c r="K31" s="18">
        <v>23000</v>
      </c>
      <c r="L31" s="18"/>
      <c r="M31" s="18"/>
      <c r="N31" s="18">
        <v>12004</v>
      </c>
      <c r="O31" s="18"/>
      <c r="P31" s="18"/>
      <c r="Q31" s="18">
        <v>6587</v>
      </c>
      <c r="R31" s="18"/>
      <c r="S31" s="18"/>
      <c r="T31" s="18">
        <v>3129</v>
      </c>
      <c r="U31" s="18"/>
      <c r="V31" s="18"/>
    </row>
    <row r="32" spans="2:22" x14ac:dyDescent="0.25">
      <c r="B32" s="29">
        <v>2016</v>
      </c>
      <c r="C32" s="29"/>
      <c r="D32" s="29"/>
      <c r="E32" s="20">
        <v>493000</v>
      </c>
      <c r="F32" s="20"/>
      <c r="G32" s="20"/>
      <c r="H32" s="20">
        <v>123270</v>
      </c>
      <c r="I32" s="20"/>
      <c r="J32" s="20"/>
      <c r="K32" s="20">
        <v>24000</v>
      </c>
      <c r="L32" s="20"/>
      <c r="M32" s="20"/>
      <c r="N32" s="20">
        <v>12274</v>
      </c>
      <c r="O32" s="20"/>
      <c r="P32" s="20"/>
      <c r="Q32" s="20">
        <v>6512</v>
      </c>
      <c r="R32" s="20"/>
      <c r="S32" s="20"/>
      <c r="T32" s="20">
        <v>4466</v>
      </c>
      <c r="U32" s="20"/>
      <c r="V32" s="20"/>
    </row>
    <row r="33" spans="2:22" x14ac:dyDescent="0.25">
      <c r="B33" s="19">
        <v>2017</v>
      </c>
      <c r="C33" s="19"/>
      <c r="D33" s="19"/>
      <c r="E33" s="18">
        <v>515000</v>
      </c>
      <c r="F33" s="18"/>
      <c r="G33" s="18"/>
      <c r="H33" s="18">
        <v>124070</v>
      </c>
      <c r="I33" s="18"/>
      <c r="J33" s="18"/>
      <c r="K33" s="18">
        <v>26700</v>
      </c>
      <c r="L33" s="18"/>
      <c r="M33" s="18"/>
      <c r="N33" s="18">
        <v>12865</v>
      </c>
      <c r="O33" s="18"/>
      <c r="P33" s="18"/>
      <c r="Q33" s="18">
        <v>6779</v>
      </c>
      <c r="R33" s="18"/>
      <c r="S33" s="18"/>
      <c r="T33" s="18">
        <v>5415</v>
      </c>
      <c r="U33" s="18"/>
      <c r="V33" s="18"/>
    </row>
    <row r="34" spans="2:22" x14ac:dyDescent="0.25">
      <c r="B34" s="28">
        <v>2018</v>
      </c>
      <c r="C34" s="28"/>
      <c r="D34" s="28"/>
      <c r="E34" s="21">
        <v>546000</v>
      </c>
      <c r="F34" s="21"/>
      <c r="G34" s="21"/>
      <c r="H34" s="21">
        <v>135520</v>
      </c>
      <c r="I34" s="21"/>
      <c r="J34" s="21"/>
      <c r="K34" s="21">
        <v>28500</v>
      </c>
      <c r="L34" s="21"/>
      <c r="M34" s="21"/>
      <c r="N34" s="21">
        <v>14062</v>
      </c>
      <c r="O34" s="21"/>
      <c r="P34" s="21"/>
      <c r="Q34" s="21">
        <v>7343</v>
      </c>
      <c r="R34" s="21"/>
      <c r="S34" s="21"/>
      <c r="T34" s="21">
        <v>5685</v>
      </c>
      <c r="U34" s="21"/>
      <c r="V34" s="21"/>
    </row>
    <row r="35" spans="2:22" x14ac:dyDescent="0.25">
      <c r="B35" s="19">
        <v>2019</v>
      </c>
      <c r="C35" s="19"/>
      <c r="D35" s="19"/>
      <c r="E35" s="18">
        <v>579000</v>
      </c>
      <c r="F35" s="18"/>
      <c r="G35" s="18"/>
      <c r="H35" s="18">
        <v>141570</v>
      </c>
      <c r="I35" s="18"/>
      <c r="J35" s="18"/>
      <c r="K35" s="18">
        <v>30000</v>
      </c>
      <c r="L35" s="18"/>
      <c r="M35" s="18"/>
      <c r="N35" s="18">
        <v>14246</v>
      </c>
      <c r="O35" s="18"/>
      <c r="P35" s="18"/>
      <c r="Q35" s="18">
        <v>7554</v>
      </c>
      <c r="R35" s="18"/>
      <c r="S35" s="18"/>
      <c r="T35" s="18">
        <v>7317</v>
      </c>
      <c r="U35" s="18"/>
      <c r="V35" s="18"/>
    </row>
    <row r="41" spans="2:22" x14ac:dyDescent="0.25">
      <c r="B41" s="6"/>
    </row>
    <row r="42" spans="2:22" x14ac:dyDescent="0.25">
      <c r="B42" s="7"/>
    </row>
    <row r="44" spans="2:22" ht="18.75" x14ac:dyDescent="0.25">
      <c r="B44" s="8"/>
    </row>
    <row r="45" spans="2:22" x14ac:dyDescent="0.25">
      <c r="B45" s="13" t="s">
        <v>76</v>
      </c>
      <c r="C45" s="9"/>
      <c r="D45" s="9"/>
      <c r="E45" s="9"/>
      <c r="F45" s="9"/>
      <c r="G45" s="9"/>
    </row>
    <row r="46" spans="2:22" ht="15.75" thickBot="1" x14ac:dyDescent="0.3">
      <c r="B46" s="24" t="s">
        <v>65</v>
      </c>
      <c r="C46" s="24"/>
      <c r="D46" s="24"/>
      <c r="E46" s="25" t="s">
        <v>66</v>
      </c>
      <c r="F46" s="25"/>
      <c r="G46" s="25"/>
      <c r="H46" t="s">
        <v>98</v>
      </c>
    </row>
    <row r="47" spans="2:22" x14ac:dyDescent="0.25">
      <c r="B47" s="26" t="s">
        <v>67</v>
      </c>
      <c r="C47" s="26"/>
      <c r="D47" s="26"/>
      <c r="E47" s="27" t="s">
        <v>68</v>
      </c>
      <c r="F47" s="27"/>
      <c r="G47" s="11"/>
    </row>
    <row r="48" spans="2:22" x14ac:dyDescent="0.25">
      <c r="B48" s="24" t="s">
        <v>69</v>
      </c>
      <c r="C48" s="24"/>
      <c r="D48" s="24"/>
      <c r="E48" s="30" t="s">
        <v>70</v>
      </c>
      <c r="F48" s="30"/>
      <c r="G48" s="12"/>
      <c r="H48">
        <v>2.1</v>
      </c>
    </row>
    <row r="49" spans="2:8" x14ac:dyDescent="0.25">
      <c r="B49" s="26">
        <v>2024</v>
      </c>
      <c r="C49" s="26"/>
      <c r="D49" s="26"/>
      <c r="E49" s="31" t="s">
        <v>71</v>
      </c>
      <c r="F49" s="31"/>
      <c r="G49" s="10"/>
      <c r="H49">
        <v>2.6</v>
      </c>
    </row>
    <row r="50" spans="2:8" x14ac:dyDescent="0.25">
      <c r="B50" s="24">
        <v>2025</v>
      </c>
      <c r="C50" s="24"/>
      <c r="D50" s="24"/>
      <c r="E50" s="30" t="s">
        <v>72</v>
      </c>
      <c r="F50" s="30"/>
      <c r="G50" s="12"/>
      <c r="H50">
        <v>5.7</v>
      </c>
    </row>
    <row r="51" spans="2:8" x14ac:dyDescent="0.25">
      <c r="B51" s="26">
        <v>2026</v>
      </c>
      <c r="C51" s="26"/>
      <c r="D51" s="26"/>
      <c r="E51" s="31" t="s">
        <v>73</v>
      </c>
      <c r="F51" s="31"/>
      <c r="G51" s="10"/>
      <c r="H51">
        <v>2.8</v>
      </c>
    </row>
    <row r="52" spans="2:8" ht="15.75" thickBot="1" x14ac:dyDescent="0.3">
      <c r="B52" s="24" t="s">
        <v>74</v>
      </c>
      <c r="C52" s="24"/>
      <c r="D52" s="24"/>
      <c r="E52" s="32" t="s">
        <v>75</v>
      </c>
      <c r="F52" s="32"/>
      <c r="G52" s="12"/>
    </row>
    <row r="53" spans="2:8" ht="15.75" thickBot="1" x14ac:dyDescent="0.3">
      <c r="B53" s="33"/>
      <c r="C53" s="33"/>
      <c r="D53" s="33"/>
      <c r="E53" s="34">
        <v>23329371</v>
      </c>
      <c r="F53" s="34"/>
    </row>
    <row r="54" spans="2:8" ht="15.75" thickTop="1" x14ac:dyDescent="0.25"/>
  </sheetData>
  <mergeCells count="66">
    <mergeCell ref="B51:D51"/>
    <mergeCell ref="E51:F51"/>
    <mergeCell ref="B52:D52"/>
    <mergeCell ref="E52:F52"/>
    <mergeCell ref="B53:D53"/>
    <mergeCell ref="E53:F53"/>
    <mergeCell ref="B48:D48"/>
    <mergeCell ref="E48:F48"/>
    <mergeCell ref="B49:D49"/>
    <mergeCell ref="E49:F49"/>
    <mergeCell ref="B50:D50"/>
    <mergeCell ref="E50:F50"/>
    <mergeCell ref="E29:G29"/>
    <mergeCell ref="E30:G30"/>
    <mergeCell ref="B46:D46"/>
    <mergeCell ref="E46:G46"/>
    <mergeCell ref="B47:D47"/>
    <mergeCell ref="E47:F47"/>
    <mergeCell ref="B34:D34"/>
    <mergeCell ref="E34:G34"/>
    <mergeCell ref="B32:D32"/>
    <mergeCell ref="E32:G32"/>
    <mergeCell ref="B26:D30"/>
    <mergeCell ref="E26:G26"/>
    <mergeCell ref="E27:G27"/>
    <mergeCell ref="E28:G28"/>
    <mergeCell ref="T26:V30"/>
    <mergeCell ref="H26:J30"/>
    <mergeCell ref="K26:M26"/>
    <mergeCell ref="K27:M27"/>
    <mergeCell ref="K28:M28"/>
    <mergeCell ref="K29:M29"/>
    <mergeCell ref="K30:M30"/>
    <mergeCell ref="N26:P30"/>
    <mergeCell ref="Q26:S30"/>
    <mergeCell ref="T35:V35"/>
    <mergeCell ref="B35:D35"/>
    <mergeCell ref="E35:G35"/>
    <mergeCell ref="H35:J35"/>
    <mergeCell ref="K35:M35"/>
    <mergeCell ref="N35:P35"/>
    <mergeCell ref="Q35:S35"/>
    <mergeCell ref="H34:J34"/>
    <mergeCell ref="K34:M34"/>
    <mergeCell ref="N34:P34"/>
    <mergeCell ref="Q34:S34"/>
    <mergeCell ref="T34:V34"/>
    <mergeCell ref="T33:V33"/>
    <mergeCell ref="B33:D33"/>
    <mergeCell ref="E33:G33"/>
    <mergeCell ref="H33:J33"/>
    <mergeCell ref="K33:M33"/>
    <mergeCell ref="N33:P33"/>
    <mergeCell ref="Q33:S33"/>
    <mergeCell ref="H32:J32"/>
    <mergeCell ref="K32:M32"/>
    <mergeCell ref="N32:P32"/>
    <mergeCell ref="Q32:S32"/>
    <mergeCell ref="T32:V32"/>
    <mergeCell ref="T31:V31"/>
    <mergeCell ref="B31:D31"/>
    <mergeCell ref="E31:G31"/>
    <mergeCell ref="H31:J31"/>
    <mergeCell ref="K31:M31"/>
    <mergeCell ref="N31:P31"/>
    <mergeCell ref="Q31:S31"/>
  </mergeCells>
  <pageMargins left="0.7" right="0.7" top="0.75" bottom="0.75" header="0.3" footer="0.3"/>
  <pageSetup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2598-A76D-432E-8D6B-EF22B15EDFE4}">
  <dimension ref="A2:DX83"/>
  <sheetViews>
    <sheetView tabSelected="1" zoomScaleNormal="100" workbookViewId="0">
      <pane xSplit="2" ySplit="2" topLeftCell="C63" activePane="bottomRight" state="frozen"/>
      <selection pane="topRight" activeCell="C1" sqref="C1"/>
      <selection pane="bottomLeft" activeCell="A3" sqref="A3"/>
      <selection pane="bottomRight" activeCell="G81" sqref="G81:J82"/>
    </sheetView>
  </sheetViews>
  <sheetFormatPr defaultRowHeight="15" x14ac:dyDescent="0.25"/>
  <cols>
    <col min="2" max="2" width="31.140625" bestFit="1" customWidth="1"/>
  </cols>
  <sheetData>
    <row r="2" spans="2:128" x14ac:dyDescent="0.25">
      <c r="C2" t="s">
        <v>16</v>
      </c>
      <c r="D2" t="s">
        <v>15</v>
      </c>
      <c r="E2" t="s">
        <v>14</v>
      </c>
      <c r="F2" t="s">
        <v>13</v>
      </c>
      <c r="G2" t="s">
        <v>12</v>
      </c>
      <c r="H2" t="s">
        <v>11</v>
      </c>
      <c r="I2" t="s">
        <v>10</v>
      </c>
      <c r="J2" t="s">
        <v>9</v>
      </c>
      <c r="O2">
        <v>2010</v>
      </c>
      <c r="P2">
        <v>2011</v>
      </c>
      <c r="Q2">
        <v>2012</v>
      </c>
      <c r="R2">
        <v>2013</v>
      </c>
      <c r="S2">
        <v>2014</v>
      </c>
      <c r="T2">
        <v>2015</v>
      </c>
      <c r="U2">
        <v>2016</v>
      </c>
      <c r="V2">
        <v>2017</v>
      </c>
      <c r="W2">
        <v>2018</v>
      </c>
      <c r="X2">
        <v>2019</v>
      </c>
      <c r="Y2">
        <v>2020</v>
      </c>
      <c r="Z2">
        <v>2021</v>
      </c>
      <c r="AA2">
        <v>2022</v>
      </c>
      <c r="AB2">
        <v>2023</v>
      </c>
      <c r="AC2">
        <v>2024</v>
      </c>
      <c r="AD2">
        <v>2025</v>
      </c>
      <c r="AE2">
        <v>2026</v>
      </c>
      <c r="AF2">
        <v>2027</v>
      </c>
      <c r="AG2">
        <v>2028</v>
      </c>
      <c r="AH2">
        <v>2029</v>
      </c>
      <c r="AI2">
        <v>2030</v>
      </c>
      <c r="AJ2">
        <v>2031</v>
      </c>
      <c r="AK2">
        <v>2032</v>
      </c>
      <c r="AL2">
        <v>2033</v>
      </c>
      <c r="AM2">
        <v>2034</v>
      </c>
      <c r="AN2">
        <v>2035</v>
      </c>
      <c r="AO2">
        <v>2036</v>
      </c>
      <c r="AP2">
        <v>2037</v>
      </c>
      <c r="AQ2">
        <v>2038</v>
      </c>
      <c r="AR2">
        <v>2039</v>
      </c>
      <c r="AS2">
        <v>2040</v>
      </c>
      <c r="AT2">
        <v>2041</v>
      </c>
      <c r="AU2">
        <v>2042</v>
      </c>
      <c r="AV2">
        <v>2043</v>
      </c>
      <c r="AW2">
        <v>2044</v>
      </c>
      <c r="AX2">
        <v>2045</v>
      </c>
      <c r="AY2">
        <v>2046</v>
      </c>
      <c r="AZ2">
        <v>2047</v>
      </c>
      <c r="BA2">
        <v>2048</v>
      </c>
      <c r="BB2">
        <v>2049</v>
      </c>
      <c r="BC2">
        <v>2050</v>
      </c>
      <c r="BD2">
        <v>2051</v>
      </c>
      <c r="BE2">
        <v>2052</v>
      </c>
      <c r="BF2">
        <v>2053</v>
      </c>
      <c r="BG2">
        <v>2054</v>
      </c>
      <c r="BH2">
        <v>2055</v>
      </c>
      <c r="BI2">
        <v>2056</v>
      </c>
      <c r="BJ2">
        <v>2057</v>
      </c>
      <c r="BK2">
        <v>2058</v>
      </c>
      <c r="BL2">
        <v>2059</v>
      </c>
      <c r="BM2">
        <v>2060</v>
      </c>
      <c r="BN2">
        <v>2061</v>
      </c>
      <c r="BO2">
        <v>2062</v>
      </c>
      <c r="BP2">
        <v>2063</v>
      </c>
      <c r="BQ2">
        <v>2064</v>
      </c>
      <c r="BR2">
        <v>2065</v>
      </c>
      <c r="BS2">
        <v>2066</v>
      </c>
      <c r="BT2">
        <v>2067</v>
      </c>
      <c r="BU2">
        <v>2068</v>
      </c>
      <c r="BV2">
        <v>2069</v>
      </c>
      <c r="BW2">
        <v>2070</v>
      </c>
      <c r="BX2">
        <v>2071</v>
      </c>
      <c r="BY2">
        <v>2072</v>
      </c>
      <c r="BZ2">
        <v>2073</v>
      </c>
      <c r="CA2">
        <v>2074</v>
      </c>
      <c r="CB2">
        <v>2075</v>
      </c>
      <c r="CC2">
        <v>2076</v>
      </c>
      <c r="CD2">
        <v>2077</v>
      </c>
      <c r="CE2">
        <v>2078</v>
      </c>
      <c r="CF2">
        <v>2079</v>
      </c>
      <c r="CG2">
        <v>2080</v>
      </c>
      <c r="CH2">
        <v>2081</v>
      </c>
      <c r="CI2">
        <v>2082</v>
      </c>
      <c r="CJ2">
        <v>2083</v>
      </c>
      <c r="CK2">
        <v>2084</v>
      </c>
      <c r="CL2">
        <v>2085</v>
      </c>
      <c r="CM2">
        <v>2086</v>
      </c>
      <c r="CN2">
        <v>2087</v>
      </c>
      <c r="CO2">
        <v>2088</v>
      </c>
      <c r="CP2">
        <v>2089</v>
      </c>
      <c r="CQ2">
        <v>2090</v>
      </c>
      <c r="CR2">
        <v>2091</v>
      </c>
      <c r="CS2">
        <v>2092</v>
      </c>
      <c r="CT2">
        <v>2093</v>
      </c>
      <c r="CU2">
        <v>2094</v>
      </c>
      <c r="CV2">
        <v>2095</v>
      </c>
      <c r="CW2">
        <v>2096</v>
      </c>
      <c r="CX2">
        <v>2097</v>
      </c>
      <c r="CY2">
        <v>2098</v>
      </c>
      <c r="CZ2">
        <v>2099</v>
      </c>
      <c r="DA2">
        <v>2100</v>
      </c>
      <c r="DB2">
        <v>2101</v>
      </c>
      <c r="DC2">
        <v>2102</v>
      </c>
      <c r="DD2">
        <v>2103</v>
      </c>
      <c r="DE2">
        <v>2104</v>
      </c>
      <c r="DF2">
        <v>2105</v>
      </c>
      <c r="DG2">
        <v>2106</v>
      </c>
      <c r="DH2">
        <v>2107</v>
      </c>
      <c r="DI2">
        <v>2108</v>
      </c>
      <c r="DJ2">
        <v>2109</v>
      </c>
      <c r="DK2">
        <v>2110</v>
      </c>
      <c r="DL2">
        <v>2111</v>
      </c>
      <c r="DM2">
        <v>2112</v>
      </c>
      <c r="DN2">
        <v>2113</v>
      </c>
      <c r="DO2">
        <v>2114</v>
      </c>
      <c r="DP2">
        <v>2115</v>
      </c>
      <c r="DQ2">
        <v>2116</v>
      </c>
      <c r="DR2">
        <v>2117</v>
      </c>
      <c r="DS2">
        <v>2118</v>
      </c>
      <c r="DT2">
        <v>2119</v>
      </c>
      <c r="DU2">
        <v>2120</v>
      </c>
      <c r="DV2">
        <v>2121</v>
      </c>
      <c r="DW2">
        <v>2122</v>
      </c>
      <c r="DX2">
        <v>2123</v>
      </c>
    </row>
    <row r="3" spans="2:128" s="2" customFormat="1" x14ac:dyDescent="0.25">
      <c r="B3" s="2" t="s">
        <v>34</v>
      </c>
      <c r="C3" s="2">
        <v>20.844000000000001</v>
      </c>
      <c r="D3" s="2">
        <v>22.8</v>
      </c>
      <c r="E3" s="2">
        <v>280.15300000000002</v>
      </c>
      <c r="F3" s="2">
        <f>Z3-E3-D3-C3</f>
        <v>617.40300000000002</v>
      </c>
      <c r="G3" s="2">
        <v>651.85799999999995</v>
      </c>
      <c r="H3" s="2">
        <v>1418.2</v>
      </c>
      <c r="I3" s="2">
        <v>2020.97</v>
      </c>
      <c r="J3" s="2">
        <v>1702.4570000000001</v>
      </c>
      <c r="O3" s="2">
        <v>4908.6440000000002</v>
      </c>
      <c r="P3" s="2">
        <v>5525.9</v>
      </c>
      <c r="Q3" s="2">
        <v>5594.6</v>
      </c>
      <c r="R3" s="2">
        <v>5722.7</v>
      </c>
      <c r="S3" s="2">
        <v>5893.8469999999998</v>
      </c>
      <c r="T3" s="2">
        <v>6058.82</v>
      </c>
      <c r="U3" s="2">
        <v>6149.32</v>
      </c>
      <c r="V3" s="2">
        <v>6313.17</v>
      </c>
      <c r="W3" s="2">
        <v>6792.7</v>
      </c>
      <c r="X3" s="2">
        <v>7857.0569999999998</v>
      </c>
      <c r="Y3" s="2">
        <v>1504.569</v>
      </c>
      <c r="Z3" s="2">
        <v>941.2</v>
      </c>
      <c r="AA3" s="2">
        <f>G3+H3+I3+J3</f>
        <v>5793.4850000000006</v>
      </c>
    </row>
    <row r="4" spans="2:128" s="2" customFormat="1" x14ac:dyDescent="0.25">
      <c r="B4" s="2" t="s">
        <v>35</v>
      </c>
      <c r="C4" s="2">
        <v>21.17</v>
      </c>
      <c r="D4" s="2">
        <v>28.1</v>
      </c>
      <c r="E4" s="2">
        <v>176.80500000000001</v>
      </c>
      <c r="F4" s="2">
        <f>Z4-E4-D4-C4</f>
        <v>364.875</v>
      </c>
      <c r="G4" s="2">
        <v>407.37</v>
      </c>
      <c r="H4" s="2">
        <v>766</v>
      </c>
      <c r="I4" s="2">
        <v>972.1</v>
      </c>
      <c r="J4" s="2">
        <v>901.53499999999997</v>
      </c>
      <c r="O4" s="2">
        <v>1843.86</v>
      </c>
      <c r="P4" s="2">
        <v>2011.3589999999999</v>
      </c>
      <c r="Q4" s="2">
        <v>2093.4</v>
      </c>
      <c r="R4" s="2">
        <v>2237.1999999999998</v>
      </c>
      <c r="S4" s="2">
        <v>2180</v>
      </c>
      <c r="T4" s="2">
        <v>2240.25</v>
      </c>
      <c r="U4" s="2">
        <v>2347.1</v>
      </c>
      <c r="V4" s="2">
        <v>2464.6999999999998</v>
      </c>
      <c r="W4" s="2">
        <v>2701.13</v>
      </c>
      <c r="X4" s="2">
        <v>3093.6</v>
      </c>
      <c r="Y4" s="2">
        <v>704.23599999999999</v>
      </c>
      <c r="Z4" s="2">
        <v>590.95000000000005</v>
      </c>
      <c r="AA4" s="2">
        <f>G4+H4+I4+J4</f>
        <v>3047.0049999999997</v>
      </c>
    </row>
    <row r="5" spans="2:128" s="4" customFormat="1" x14ac:dyDescent="0.25">
      <c r="B5" s="4" t="s">
        <v>36</v>
      </c>
      <c r="C5" s="4">
        <f t="shared" ref="C5:Y5" si="0">+C4+C3</f>
        <v>42.014000000000003</v>
      </c>
      <c r="D5" s="4">
        <f t="shared" si="0"/>
        <v>50.900000000000006</v>
      </c>
      <c r="E5" s="4">
        <f t="shared" si="0"/>
        <v>456.95800000000003</v>
      </c>
      <c r="F5" s="4">
        <f t="shared" si="0"/>
        <v>982.27800000000002</v>
      </c>
      <c r="G5" s="4">
        <f t="shared" si="0"/>
        <v>1059.2280000000001</v>
      </c>
      <c r="H5" s="4">
        <f t="shared" si="0"/>
        <v>2184.1999999999998</v>
      </c>
      <c r="I5" s="4">
        <f t="shared" si="0"/>
        <v>2993.07</v>
      </c>
      <c r="J5" s="4">
        <f t="shared" si="0"/>
        <v>2603.9920000000002</v>
      </c>
      <c r="O5" s="4">
        <f t="shared" si="0"/>
        <v>6752.5039999999999</v>
      </c>
      <c r="P5" s="4">
        <f t="shared" si="0"/>
        <v>7537.259</v>
      </c>
      <c r="Q5" s="4">
        <f t="shared" si="0"/>
        <v>7688</v>
      </c>
      <c r="R5" s="4">
        <f t="shared" si="0"/>
        <v>7959.9</v>
      </c>
      <c r="S5" s="4">
        <f t="shared" si="0"/>
        <v>8073.8469999999998</v>
      </c>
      <c r="T5" s="4">
        <f t="shared" si="0"/>
        <v>8299.07</v>
      </c>
      <c r="U5" s="4">
        <f t="shared" si="0"/>
        <v>8496.42</v>
      </c>
      <c r="V5" s="4">
        <f t="shared" si="0"/>
        <v>8777.869999999999</v>
      </c>
      <c r="W5" s="4">
        <f t="shared" si="0"/>
        <v>9493.83</v>
      </c>
      <c r="X5" s="4">
        <f t="shared" si="0"/>
        <v>10950.656999999999</v>
      </c>
      <c r="Y5" s="4">
        <f t="shared" si="0"/>
        <v>2208.8049999999998</v>
      </c>
      <c r="Z5" s="4">
        <f>+Z4+Z3</f>
        <v>1532.15</v>
      </c>
      <c r="AA5" s="4">
        <f>+AA4+AA3</f>
        <v>8840.49</v>
      </c>
      <c r="AB5" s="4">
        <f>AA5+(-$AA$5+$AD$5)/2</f>
        <v>11323.218184644493</v>
      </c>
      <c r="AC5" s="4">
        <f>X5*(1+Y67)*(1+Z67)*(1+AA67)*(1+AB67)*(1+AC67)</f>
        <v>13416.857501738568</v>
      </c>
      <c r="AD5" s="4">
        <f>X5*(1+Y67)*(1+Z67)*(1+AA67)*(1+AB67)*(1+AC67)*(1+AD67+AD68)</f>
        <v>13805.946369288986</v>
      </c>
      <c r="AE5" s="4">
        <f>AD5*(1+AE41)</f>
        <v>14358.184224060546</v>
      </c>
      <c r="AF5" s="4">
        <f t="shared" ref="AF5:AK5" si="1">AE5*(1+AF41)</f>
        <v>14932.511593022968</v>
      </c>
      <c r="AG5" s="4">
        <f t="shared" si="1"/>
        <v>15380.486940813656</v>
      </c>
      <c r="AH5" s="4">
        <f t="shared" si="1"/>
        <v>15841.901549038066</v>
      </c>
      <c r="AI5" s="4">
        <f t="shared" si="1"/>
        <v>16317.158595509209</v>
      </c>
      <c r="AJ5" s="4">
        <f t="shared" si="1"/>
        <v>16806.673353374485</v>
      </c>
      <c r="AK5" s="4">
        <f t="shared" si="1"/>
        <v>17310.873553975718</v>
      </c>
    </row>
    <row r="6" spans="2:128" s="2" customFormat="1" x14ac:dyDescent="0.25">
      <c r="B6" s="2" t="s">
        <v>38</v>
      </c>
      <c r="C6" s="2">
        <v>2.95</v>
      </c>
      <c r="D6" s="2">
        <v>5.2</v>
      </c>
      <c r="E6" s="2">
        <v>64.78</v>
      </c>
      <c r="F6" s="2">
        <f t="shared" ref="F6:F11" si="2">Z6-E6-D6-C6</f>
        <v>134.63200000000003</v>
      </c>
      <c r="G6" s="2">
        <v>150.34</v>
      </c>
      <c r="H6" s="2">
        <v>329.9</v>
      </c>
      <c r="I6" s="2">
        <v>484.05</v>
      </c>
      <c r="J6" s="2">
        <v>392.75</v>
      </c>
      <c r="S6" s="2">
        <v>1372.8</v>
      </c>
      <c r="T6" s="2">
        <v>1400.8</v>
      </c>
      <c r="U6" s="2">
        <v>1349.6769999999999</v>
      </c>
      <c r="V6" s="2">
        <v>1363.17</v>
      </c>
      <c r="W6" s="2">
        <v>1433.74</v>
      </c>
      <c r="X6" s="2">
        <v>1656.3</v>
      </c>
      <c r="Y6" s="2">
        <v>344.6</v>
      </c>
      <c r="Z6" s="2">
        <v>207.56200000000001</v>
      </c>
      <c r="AA6" s="2">
        <f t="shared" ref="AA6:AA11" si="3">G6+H6+I6+J6</f>
        <v>1357.04</v>
      </c>
      <c r="AB6" s="2">
        <f t="shared" ref="AB6:AB11" si="4">(AA6+AC6)/2</f>
        <v>1693.1778913086946</v>
      </c>
      <c r="AC6" s="2">
        <f>X6*(1+Y67)*(1+Z67)*(1+AA67)*(1+AB67)*(1+AC67)</f>
        <v>2029.3157826173895</v>
      </c>
      <c r="AD6" s="2">
        <f>AC6*(1+AD67+AD68)</f>
        <v>2088.1659403132935</v>
      </c>
      <c r="AE6" s="2">
        <f t="shared" ref="AE6:AK6" si="5">AD6*(1+AE67+AE68)</f>
        <v>2150.8109185226917</v>
      </c>
      <c r="AF6" s="2">
        <f t="shared" si="5"/>
        <v>2215.3352460783722</v>
      </c>
      <c r="AG6" s="2">
        <f t="shared" si="5"/>
        <v>2281.7953034607231</v>
      </c>
      <c r="AH6" s="2">
        <f t="shared" si="5"/>
        <v>2354.8127531714658</v>
      </c>
      <c r="AI6" s="2">
        <f t="shared" si="5"/>
        <v>2430.1667612729525</v>
      </c>
      <c r="AJ6" s="2">
        <f t="shared" si="5"/>
        <v>2507.9320976336867</v>
      </c>
      <c r="AK6" s="2">
        <f t="shared" si="5"/>
        <v>2507.9320976336867</v>
      </c>
    </row>
    <row r="7" spans="2:128" s="2" customFormat="1" x14ac:dyDescent="0.25">
      <c r="B7" s="2" t="s">
        <v>37</v>
      </c>
      <c r="C7" s="2">
        <v>4.5</v>
      </c>
      <c r="D7" s="2">
        <v>8.6</v>
      </c>
      <c r="E7" s="2">
        <v>42.7</v>
      </c>
      <c r="F7" s="2">
        <f t="shared" si="2"/>
        <v>61.150000000000006</v>
      </c>
      <c r="G7" s="2">
        <v>74.44</v>
      </c>
      <c r="H7" s="2">
        <v>155.6</v>
      </c>
      <c r="I7" s="2">
        <v>220.21600000000001</v>
      </c>
      <c r="J7" s="2">
        <v>146.33000000000001</v>
      </c>
      <c r="S7" s="2">
        <v>582.75</v>
      </c>
      <c r="T7" s="2">
        <v>553.1</v>
      </c>
      <c r="U7" s="2">
        <v>493.55</v>
      </c>
      <c r="V7" s="2">
        <v>495.55</v>
      </c>
      <c r="W7" s="2">
        <v>537.4</v>
      </c>
      <c r="X7" s="2">
        <v>639.79999999999995</v>
      </c>
      <c r="Y7" s="2">
        <v>157.19999999999999</v>
      </c>
      <c r="Z7" s="2">
        <v>116.95</v>
      </c>
      <c r="AA7" s="2">
        <f t="shared" si="3"/>
        <v>596.58600000000001</v>
      </c>
      <c r="AB7" s="2">
        <f t="shared" si="4"/>
        <v>690.23776777111811</v>
      </c>
      <c r="AC7" s="2">
        <f>X7*(1+Y67)*(1+Z67)*(1+AA67)*(1+AB67)*(1+AC67)</f>
        <v>783.8895355422361</v>
      </c>
      <c r="AD7" s="2">
        <f>AC7*(1+AD67+AD68)</f>
        <v>806.62233207296083</v>
      </c>
      <c r="AE7" s="2">
        <f t="shared" ref="AE7:AK7" si="6">AD7*(1+AE67+AE68)</f>
        <v>830.82100203514949</v>
      </c>
      <c r="AF7" s="2">
        <f t="shared" si="6"/>
        <v>855.74563209620385</v>
      </c>
      <c r="AG7" s="2">
        <f t="shared" si="6"/>
        <v>881.41800105908976</v>
      </c>
      <c r="AH7" s="2">
        <f t="shared" si="6"/>
        <v>909.62337709298049</v>
      </c>
      <c r="AI7" s="2">
        <f t="shared" si="6"/>
        <v>938.73132515995565</v>
      </c>
      <c r="AJ7" s="2">
        <f t="shared" si="6"/>
        <v>968.77072756507403</v>
      </c>
      <c r="AK7" s="2">
        <f t="shared" si="6"/>
        <v>968.77072756507403</v>
      </c>
    </row>
    <row r="8" spans="2:128" s="2" customFormat="1" x14ac:dyDescent="0.25">
      <c r="B8" s="2" t="s">
        <v>39</v>
      </c>
      <c r="C8" s="2">
        <v>96.64</v>
      </c>
      <c r="D8" s="2">
        <v>167.6</v>
      </c>
      <c r="E8" s="2">
        <v>265.97000000000003</v>
      </c>
      <c r="F8" s="2">
        <f t="shared" si="2"/>
        <v>307.87</v>
      </c>
      <c r="G8" s="2">
        <v>349.61799999999999</v>
      </c>
      <c r="H8" s="2">
        <v>327.10000000000002</v>
      </c>
      <c r="I8" s="2">
        <v>304.37</v>
      </c>
      <c r="J8" s="2">
        <v>306.67</v>
      </c>
      <c r="S8" s="2">
        <v>847.64</v>
      </c>
      <c r="T8" s="2">
        <v>861.77</v>
      </c>
      <c r="U8" s="2">
        <v>882.89</v>
      </c>
      <c r="V8" s="2">
        <v>852.99</v>
      </c>
      <c r="W8" s="2">
        <v>924.99</v>
      </c>
      <c r="X8" s="2">
        <v>1079.1199999999999</v>
      </c>
      <c r="Y8" s="2">
        <v>788.3</v>
      </c>
      <c r="Z8" s="2">
        <v>838.08</v>
      </c>
      <c r="AA8" s="2">
        <f t="shared" si="3"/>
        <v>1287.758</v>
      </c>
      <c r="AB8" s="2">
        <f t="shared" si="4"/>
        <v>1341.5668026196183</v>
      </c>
      <c r="AC8" s="2">
        <f>X8*(1+Y60)*(1+Z60)*(1+AA60)*(1+AB60)*(1+AC60)</f>
        <v>1395.3756052392366</v>
      </c>
      <c r="AD8" s="2">
        <f>AC8*(1+AD60)</f>
        <v>1434.4461221859353</v>
      </c>
      <c r="AE8" s="2">
        <f t="shared" ref="AE8:AK8" si="7">AD8*(1+AE60)</f>
        <v>1474.6106136071417</v>
      </c>
      <c r="AF8" s="2">
        <f t="shared" si="7"/>
        <v>1515.8997107881416</v>
      </c>
      <c r="AG8" s="2">
        <f t="shared" si="7"/>
        <v>1558.3449026902097</v>
      </c>
      <c r="AH8" s="2">
        <f t="shared" si="7"/>
        <v>1601.9785599655356</v>
      </c>
      <c r="AI8" s="2">
        <f t="shared" si="7"/>
        <v>1646.8339596445708</v>
      </c>
      <c r="AJ8" s="2">
        <f t="shared" si="7"/>
        <v>1692.9453105146188</v>
      </c>
      <c r="AK8" s="2">
        <f t="shared" si="7"/>
        <v>1692.9453105146188</v>
      </c>
    </row>
    <row r="9" spans="2:128" s="2" customFormat="1" x14ac:dyDescent="0.25">
      <c r="B9" s="2" t="s">
        <v>40</v>
      </c>
      <c r="C9" s="2">
        <v>8.5</v>
      </c>
      <c r="D9" s="2">
        <v>17.2</v>
      </c>
      <c r="E9" s="2">
        <v>48.95</v>
      </c>
      <c r="F9" s="2">
        <f t="shared" si="2"/>
        <v>89.75</v>
      </c>
      <c r="G9" s="2">
        <v>100.18</v>
      </c>
      <c r="H9" s="2">
        <v>155.19999999999999</v>
      </c>
      <c r="I9" s="2">
        <v>194.96</v>
      </c>
      <c r="J9" s="2">
        <v>202.76</v>
      </c>
      <c r="S9" s="2">
        <v>478.13</v>
      </c>
      <c r="T9" s="2">
        <v>480</v>
      </c>
      <c r="U9" s="2">
        <v>485.67</v>
      </c>
      <c r="V9" s="2">
        <v>492.85</v>
      </c>
      <c r="W9" s="2">
        <v>520.9</v>
      </c>
      <c r="X9" s="2">
        <v>583.9</v>
      </c>
      <c r="Y9" s="2">
        <v>161.80000000000001</v>
      </c>
      <c r="Z9" s="2">
        <v>164.4</v>
      </c>
      <c r="AA9" s="2">
        <f t="shared" si="3"/>
        <v>653.1</v>
      </c>
      <c r="AB9" s="2">
        <f t="shared" si="4"/>
        <v>710.06718449514972</v>
      </c>
      <c r="AC9" s="2">
        <f>X9*(1+Y62)*(1+Z62)*(1+AA62)*(1+AB62)*(1+AC62)</f>
        <v>767.03436899029941</v>
      </c>
      <c r="AD9" s="2">
        <f>AC9*(1+AD62)</f>
        <v>789.27836569101805</v>
      </c>
      <c r="AE9" s="2">
        <f t="shared" ref="AE9:AK9" si="8">AD9*(1+AE62)</f>
        <v>812.16743829605753</v>
      </c>
      <c r="AF9" s="2">
        <f t="shared" si="8"/>
        <v>835.72029400664314</v>
      </c>
      <c r="AG9" s="2">
        <f t="shared" si="8"/>
        <v>859.95618253283567</v>
      </c>
      <c r="AH9" s="2">
        <f t="shared" si="8"/>
        <v>884.89491182628785</v>
      </c>
      <c r="AI9" s="2">
        <f t="shared" si="8"/>
        <v>910.55686426925013</v>
      </c>
      <c r="AJ9" s="2">
        <f t="shared" si="8"/>
        <v>936.96301333305826</v>
      </c>
      <c r="AK9" s="2">
        <f t="shared" si="8"/>
        <v>936.96301333305826</v>
      </c>
    </row>
    <row r="10" spans="2:128" s="2" customFormat="1" x14ac:dyDescent="0.25">
      <c r="B10" s="2" t="s">
        <v>41</v>
      </c>
      <c r="C10" s="2">
        <v>41.8</v>
      </c>
      <c r="D10" s="2">
        <v>59.1</v>
      </c>
      <c r="E10" s="2">
        <v>118.12</v>
      </c>
      <c r="F10" s="2">
        <f t="shared" si="2"/>
        <v>166.28000000000003</v>
      </c>
      <c r="G10" s="2">
        <v>188.48</v>
      </c>
      <c r="H10" s="2">
        <v>275.2</v>
      </c>
      <c r="I10" s="2">
        <v>316.2</v>
      </c>
      <c r="J10" s="2">
        <v>292.7</v>
      </c>
      <c r="S10" s="2">
        <v>947.39</v>
      </c>
      <c r="T10" s="2">
        <v>795.8</v>
      </c>
      <c r="U10" s="2">
        <v>713.67</v>
      </c>
      <c r="V10" s="2">
        <v>681.11</v>
      </c>
      <c r="W10" s="2">
        <v>710.6</v>
      </c>
      <c r="X10" s="2">
        <v>697.96</v>
      </c>
      <c r="Y10" s="2">
        <v>371.01</v>
      </c>
      <c r="Z10" s="2">
        <v>385.3</v>
      </c>
      <c r="AA10" s="2">
        <f t="shared" si="3"/>
        <v>1072.58</v>
      </c>
      <c r="AB10" s="2">
        <f t="shared" si="4"/>
        <v>1178.4132</v>
      </c>
      <c r="AC10" s="2">
        <f>X10*(1+Y65)*(1+Z65)*(1+AA65)*(1+AB65)*(1+AC65)</f>
        <v>1284.2464</v>
      </c>
      <c r="AD10" s="2">
        <f>AC10*(1+AD65)</f>
        <v>1320.2052992000001</v>
      </c>
      <c r="AE10" s="2">
        <f t="shared" ref="AE10:AK10" si="9">AD10*(1+AE65)</f>
        <v>1357.1710475776001</v>
      </c>
      <c r="AF10" s="2">
        <f t="shared" si="9"/>
        <v>1401.9576921476607</v>
      </c>
      <c r="AG10" s="2">
        <f t="shared" si="9"/>
        <v>1448.2222959885335</v>
      </c>
      <c r="AH10" s="2">
        <f t="shared" si="9"/>
        <v>1503.2547432360977</v>
      </c>
      <c r="AI10" s="2">
        <f t="shared" si="9"/>
        <v>1560.3784234790694</v>
      </c>
      <c r="AJ10" s="2">
        <f t="shared" si="9"/>
        <v>1619.672803571274</v>
      </c>
      <c r="AK10" s="2">
        <f t="shared" si="9"/>
        <v>1619.672803571274</v>
      </c>
    </row>
    <row r="11" spans="2:128" s="2" customFormat="1" x14ac:dyDescent="0.25">
      <c r="B11" s="2" t="s">
        <v>42</v>
      </c>
      <c r="C11" s="2">
        <v>129.1</v>
      </c>
      <c r="D11" s="2">
        <v>167.1</v>
      </c>
      <c r="E11" s="2">
        <v>273.14999999999998</v>
      </c>
      <c r="F11" s="2">
        <f t="shared" si="2"/>
        <v>375.85</v>
      </c>
      <c r="G11" s="2">
        <v>321.7</v>
      </c>
      <c r="H11" s="2">
        <v>447.88</v>
      </c>
      <c r="I11" s="2">
        <v>436.44</v>
      </c>
      <c r="J11" s="2">
        <v>441.23</v>
      </c>
      <c r="S11" s="2">
        <v>1077.5999999999999</v>
      </c>
      <c r="T11" s="2">
        <v>1007.9</v>
      </c>
      <c r="U11" s="2">
        <v>1090.06</v>
      </c>
      <c r="V11" s="2">
        <v>1010.8</v>
      </c>
      <c r="W11" s="2">
        <v>1134.5999999999999</v>
      </c>
      <c r="X11" s="2">
        <v>1405.7</v>
      </c>
      <c r="Y11" s="2">
        <v>942.23</v>
      </c>
      <c r="Z11" s="2">
        <v>945.2</v>
      </c>
      <c r="AA11" s="2">
        <f t="shared" si="3"/>
        <v>1647.25</v>
      </c>
      <c r="AB11" s="2">
        <f t="shared" si="4"/>
        <v>1684.764043538388</v>
      </c>
      <c r="AC11" s="2">
        <f>X11*(1+Y67)*(1+Z67)*(1+AA67)*(1+AB67)*(1+AC67)</f>
        <v>1722.278087076776</v>
      </c>
      <c r="AD11" s="2">
        <f>AC11*(1+AD67+AD68)</f>
        <v>1772.2241516020024</v>
      </c>
      <c r="AE11" s="2">
        <f t="shared" ref="AE11:AK11" si="10">AD11*(1+AE67+AE68)</f>
        <v>1825.390876150062</v>
      </c>
      <c r="AF11" s="2">
        <f t="shared" si="10"/>
        <v>1880.1526024345635</v>
      </c>
      <c r="AG11" s="2">
        <f t="shared" si="10"/>
        <v>1936.5571805076002</v>
      </c>
      <c r="AH11" s="2">
        <f t="shared" si="10"/>
        <v>1998.5270102838431</v>
      </c>
      <c r="AI11" s="2">
        <f t="shared" si="10"/>
        <v>2062.4798746129259</v>
      </c>
      <c r="AJ11" s="2">
        <f t="shared" si="10"/>
        <v>2128.4792306005393</v>
      </c>
      <c r="AK11" s="2">
        <f t="shared" si="10"/>
        <v>2128.4792306005393</v>
      </c>
    </row>
    <row r="12" spans="2:128" s="2" customFormat="1" x14ac:dyDescent="0.25">
      <c r="B12" s="2" t="s">
        <v>43</v>
      </c>
      <c r="C12" s="2">
        <f t="shared" ref="C12:Y12" si="11">SUM(C6:C11)</f>
        <v>283.49</v>
      </c>
      <c r="D12" s="2">
        <f t="shared" si="11"/>
        <v>424.79999999999995</v>
      </c>
      <c r="E12" s="2">
        <f t="shared" si="11"/>
        <v>813.67</v>
      </c>
      <c r="F12" s="2">
        <f t="shared" si="11"/>
        <v>1135.5320000000002</v>
      </c>
      <c r="G12" s="2">
        <f t="shared" si="11"/>
        <v>1184.758</v>
      </c>
      <c r="H12" s="2">
        <f t="shared" si="11"/>
        <v>1690.88</v>
      </c>
      <c r="I12" s="2">
        <f t="shared" si="11"/>
        <v>1956.2360000000001</v>
      </c>
      <c r="J12" s="2">
        <f t="shared" si="11"/>
        <v>1782.44</v>
      </c>
      <c r="S12" s="2">
        <f t="shared" si="11"/>
        <v>5306.3099999999995</v>
      </c>
      <c r="T12" s="2">
        <f t="shared" si="11"/>
        <v>5099.37</v>
      </c>
      <c r="U12" s="2">
        <f t="shared" si="11"/>
        <v>5015.5169999999998</v>
      </c>
      <c r="V12" s="2">
        <f t="shared" si="11"/>
        <v>4896.47</v>
      </c>
      <c r="W12" s="2">
        <f t="shared" si="11"/>
        <v>5262.23</v>
      </c>
      <c r="X12" s="2">
        <f t="shared" si="11"/>
        <v>6062.78</v>
      </c>
      <c r="Y12" s="2">
        <f t="shared" si="11"/>
        <v>2765.14</v>
      </c>
      <c r="Z12" s="2">
        <f t="shared" ref="Z12:AK12" si="12">SUM(Z6:Z11)</f>
        <v>2657.4920000000002</v>
      </c>
      <c r="AA12" s="2">
        <f t="shared" si="12"/>
        <v>6614.3140000000003</v>
      </c>
      <c r="AB12" s="2">
        <f t="shared" si="12"/>
        <v>7298.2268897329686</v>
      </c>
      <c r="AC12" s="2">
        <f t="shared" si="12"/>
        <v>7982.139779465937</v>
      </c>
      <c r="AD12" s="2">
        <f t="shared" si="12"/>
        <v>8210.9422110652104</v>
      </c>
      <c r="AE12" s="2">
        <f t="shared" si="12"/>
        <v>8450.9718961887029</v>
      </c>
      <c r="AF12" s="2">
        <f t="shared" si="12"/>
        <v>8704.8111775515845</v>
      </c>
      <c r="AG12" s="2">
        <f t="shared" si="12"/>
        <v>8966.2938662389915</v>
      </c>
      <c r="AH12" s="2">
        <f t="shared" si="12"/>
        <v>9253.0913555762108</v>
      </c>
      <c r="AI12" s="2">
        <f t="shared" si="12"/>
        <v>9549.1472084387242</v>
      </c>
      <c r="AJ12" s="2">
        <f t="shared" si="12"/>
        <v>9854.7631832182524</v>
      </c>
      <c r="AK12" s="2">
        <f t="shared" si="12"/>
        <v>9854.7631832182524</v>
      </c>
    </row>
    <row r="13" spans="2:128" s="4" customFormat="1" x14ac:dyDescent="0.25">
      <c r="B13" s="4" t="s">
        <v>45</v>
      </c>
      <c r="C13" s="4">
        <f t="shared" ref="C13:Y13" si="13">+C5-C12</f>
        <v>-241.476</v>
      </c>
      <c r="D13" s="4">
        <f t="shared" si="13"/>
        <v>-373.9</v>
      </c>
      <c r="E13" s="4">
        <f t="shared" si="13"/>
        <v>-356.71199999999993</v>
      </c>
      <c r="F13" s="4">
        <f t="shared" si="13"/>
        <v>-153.25400000000013</v>
      </c>
      <c r="G13" s="4">
        <f t="shared" si="13"/>
        <v>-125.52999999999997</v>
      </c>
      <c r="H13" s="4">
        <f t="shared" si="13"/>
        <v>493.31999999999971</v>
      </c>
      <c r="I13" s="4">
        <f t="shared" si="13"/>
        <v>1036.8340000000001</v>
      </c>
      <c r="J13" s="4">
        <f t="shared" si="13"/>
        <v>821.55200000000013</v>
      </c>
      <c r="S13" s="4">
        <f t="shared" si="13"/>
        <v>2767.5370000000003</v>
      </c>
      <c r="T13" s="4">
        <f t="shared" si="13"/>
        <v>3199.7</v>
      </c>
      <c r="U13" s="4">
        <f t="shared" si="13"/>
        <v>3480.9030000000002</v>
      </c>
      <c r="V13" s="4">
        <f t="shared" si="13"/>
        <v>3881.3999999999987</v>
      </c>
      <c r="W13" s="4">
        <f t="shared" si="13"/>
        <v>4231.6000000000004</v>
      </c>
      <c r="X13" s="4">
        <f t="shared" si="13"/>
        <v>4887.8769999999995</v>
      </c>
      <c r="Y13" s="4">
        <f t="shared" si="13"/>
        <v>-556.33500000000004</v>
      </c>
      <c r="Z13" s="4">
        <f t="shared" ref="Z13:AK13" si="14">+Z5-Z12</f>
        <v>-1125.3420000000001</v>
      </c>
      <c r="AA13" s="4">
        <f t="shared" si="14"/>
        <v>2226.1759999999995</v>
      </c>
      <c r="AB13" s="4">
        <f t="shared" si="14"/>
        <v>4024.9912949115242</v>
      </c>
      <c r="AC13" s="4">
        <f t="shared" si="14"/>
        <v>5434.7177222726314</v>
      </c>
      <c r="AD13" s="4">
        <f t="shared" si="14"/>
        <v>5595.0041582237754</v>
      </c>
      <c r="AE13" s="4">
        <f t="shared" si="14"/>
        <v>5907.2123278718427</v>
      </c>
      <c r="AF13" s="4">
        <f t="shared" si="14"/>
        <v>6227.7004154713832</v>
      </c>
      <c r="AG13" s="4">
        <f t="shared" si="14"/>
        <v>6414.1930745746649</v>
      </c>
      <c r="AH13" s="4">
        <f t="shared" si="14"/>
        <v>6588.8101934618553</v>
      </c>
      <c r="AI13" s="4">
        <f t="shared" si="14"/>
        <v>6768.0113870704845</v>
      </c>
      <c r="AJ13" s="4">
        <f t="shared" si="14"/>
        <v>6951.9101701562322</v>
      </c>
      <c r="AK13" s="4">
        <f t="shared" si="14"/>
        <v>7456.1103707574657</v>
      </c>
    </row>
    <row r="14" spans="2:128" s="2" customFormat="1" x14ac:dyDescent="0.25">
      <c r="B14" s="2" t="s">
        <v>44</v>
      </c>
      <c r="C14" s="2">
        <v>258</v>
      </c>
      <c r="D14" s="2">
        <v>285.55</v>
      </c>
      <c r="E14" s="2">
        <v>323.42200000000003</v>
      </c>
      <c r="F14" s="2">
        <f>Z14-E14-D14-C14</f>
        <v>503.12799999999993</v>
      </c>
      <c r="G14" s="2">
        <v>394.03</v>
      </c>
      <c r="H14" s="2">
        <v>371.45</v>
      </c>
      <c r="I14" s="2">
        <v>373.11599999999999</v>
      </c>
      <c r="J14" s="2">
        <v>444.358</v>
      </c>
      <c r="S14" s="2">
        <v>1048.95</v>
      </c>
      <c r="T14" s="2">
        <v>1086.5</v>
      </c>
      <c r="U14" s="2">
        <v>1108.74</v>
      </c>
      <c r="V14" s="2">
        <v>1186</v>
      </c>
      <c r="W14" s="2">
        <v>1303.0999999999999</v>
      </c>
      <c r="X14" s="2">
        <v>1559.25</v>
      </c>
      <c r="Y14" s="2">
        <v>1199.5999999999999</v>
      </c>
      <c r="Z14" s="2">
        <v>1370.1</v>
      </c>
      <c r="AA14" s="2">
        <f>G14+H14+I14+J14</f>
        <v>1582.954</v>
      </c>
      <c r="AB14" s="2">
        <f>AB5*AB52</f>
        <v>1698.4827276966739</v>
      </c>
      <c r="AC14" s="2">
        <f t="shared" ref="AC14:AK14" si="15">AC5*AC52</f>
        <v>1878.3600502433997</v>
      </c>
      <c r="AD14" s="2">
        <f t="shared" si="15"/>
        <v>1794.7730280075682</v>
      </c>
      <c r="AE14" s="2">
        <f t="shared" si="15"/>
        <v>1866.563949127871</v>
      </c>
      <c r="AF14" s="2">
        <f t="shared" si="15"/>
        <v>1941.2265070929859</v>
      </c>
      <c r="AG14" s="2">
        <f t="shared" si="15"/>
        <v>1845.6584328976387</v>
      </c>
      <c r="AH14" s="2">
        <f t="shared" si="15"/>
        <v>1901.0281858845678</v>
      </c>
      <c r="AI14" s="2">
        <f t="shared" si="15"/>
        <v>1958.059031461105</v>
      </c>
      <c r="AJ14" s="2">
        <f t="shared" si="15"/>
        <v>2016.8008024049382</v>
      </c>
      <c r="AK14" s="2">
        <f t="shared" si="15"/>
        <v>2077.304826477086</v>
      </c>
    </row>
    <row r="15" spans="2:128" s="2" customFormat="1" x14ac:dyDescent="0.25">
      <c r="B15" s="2" t="s">
        <v>46</v>
      </c>
      <c r="C15" s="2">
        <v>310.166</v>
      </c>
      <c r="D15" s="2">
        <v>323.44</v>
      </c>
      <c r="E15" s="2">
        <v>325.89999999999998</v>
      </c>
      <c r="F15" s="2">
        <f>Z15-E15-D15-C15</f>
        <v>333.39400000000018</v>
      </c>
      <c r="G15" s="2">
        <v>339.5</v>
      </c>
      <c r="H15" s="2">
        <v>351.5</v>
      </c>
      <c r="I15" s="2">
        <v>355.08</v>
      </c>
      <c r="J15" s="2">
        <v>360.6</v>
      </c>
      <c r="S15" s="2">
        <v>772.44500000000005</v>
      </c>
      <c r="T15" s="2">
        <v>827</v>
      </c>
      <c r="U15" s="2">
        <v>894.91499999999996</v>
      </c>
      <c r="V15" s="2">
        <v>951.2</v>
      </c>
      <c r="W15" s="2">
        <v>1033.7</v>
      </c>
      <c r="X15" s="2">
        <v>1245.94</v>
      </c>
      <c r="Y15" s="2">
        <v>1279.25</v>
      </c>
      <c r="Z15" s="2">
        <v>1292.9000000000001</v>
      </c>
      <c r="AA15" s="2">
        <f>G15+H15+I15+J15</f>
        <v>1406.6799999999998</v>
      </c>
      <c r="AB15" s="2">
        <f>AB5*AB54</f>
        <v>1358.786182157339</v>
      </c>
      <c r="AC15" s="2">
        <f t="shared" ref="AC15:AK15" si="16">AC5*AC54</f>
        <v>1341.6857501738568</v>
      </c>
      <c r="AD15" s="2">
        <f t="shared" si="16"/>
        <v>1380.5946369288986</v>
      </c>
      <c r="AE15" s="2">
        <f t="shared" si="16"/>
        <v>1435.8184224060547</v>
      </c>
      <c r="AF15" s="2">
        <f t="shared" si="16"/>
        <v>1493.2511593022969</v>
      </c>
      <c r="AG15" s="2">
        <f t="shared" si="16"/>
        <v>1384.243824673229</v>
      </c>
      <c r="AH15" s="2">
        <f t="shared" si="16"/>
        <v>1425.771139413426</v>
      </c>
      <c r="AI15" s="2">
        <f t="shared" si="16"/>
        <v>1468.5442735958288</v>
      </c>
      <c r="AJ15" s="2">
        <f t="shared" si="16"/>
        <v>1512.6006018037035</v>
      </c>
      <c r="AK15" s="2">
        <f t="shared" si="16"/>
        <v>1557.9786198578145</v>
      </c>
    </row>
    <row r="16" spans="2:128" s="2" customFormat="1" x14ac:dyDescent="0.25">
      <c r="B16" s="2" t="s">
        <v>47</v>
      </c>
      <c r="C16" s="2">
        <v>-0.45</v>
      </c>
      <c r="D16" s="2">
        <v>40.619999999999997</v>
      </c>
      <c r="E16" s="2">
        <v>-0.23</v>
      </c>
      <c r="F16" s="2">
        <f>Z16-E16-D16-C16</f>
        <v>42.060000000000009</v>
      </c>
      <c r="G16" s="2">
        <v>0.17299999999999999</v>
      </c>
      <c r="H16" s="2">
        <v>-10.9</v>
      </c>
      <c r="I16" s="2">
        <v>10.199999999999999</v>
      </c>
      <c r="J16" s="2">
        <v>1.1499999999999999</v>
      </c>
      <c r="S16" s="2">
        <v>4.3179999999999996</v>
      </c>
      <c r="T16" s="2">
        <v>411.267</v>
      </c>
      <c r="Y16" s="2">
        <v>1566.38</v>
      </c>
      <c r="Z16" s="2">
        <v>82</v>
      </c>
      <c r="AA16" s="2">
        <f>G16+H16+I16+J16</f>
        <v>0.62299999999999889</v>
      </c>
    </row>
    <row r="17" spans="2:128" s="4" customFormat="1" x14ac:dyDescent="0.25">
      <c r="B17" s="4" t="s">
        <v>48</v>
      </c>
      <c r="C17" s="4">
        <f t="shared" ref="C17:Y17" si="17">+C13-C16-C15-C14</f>
        <v>-809.19200000000001</v>
      </c>
      <c r="D17" s="4">
        <f t="shared" si="17"/>
        <v>-1023.51</v>
      </c>
      <c r="E17" s="4">
        <f t="shared" si="17"/>
        <v>-1005.8039999999999</v>
      </c>
      <c r="F17" s="4">
        <f t="shared" si="17"/>
        <v>-1031.8360000000002</v>
      </c>
      <c r="G17" s="4">
        <f t="shared" si="17"/>
        <v>-859.23299999999995</v>
      </c>
      <c r="H17" s="4">
        <f t="shared" si="17"/>
        <v>-218.7300000000003</v>
      </c>
      <c r="I17" s="4">
        <f t="shared" si="17"/>
        <v>298.4380000000001</v>
      </c>
      <c r="J17" s="4">
        <f t="shared" si="17"/>
        <v>15.444000000000131</v>
      </c>
      <c r="S17" s="4">
        <f t="shared" si="17"/>
        <v>941.82399999999984</v>
      </c>
      <c r="T17" s="4">
        <f>+T13-T16-T15-T14</f>
        <v>874.93299999999999</v>
      </c>
      <c r="U17" s="4">
        <f t="shared" si="17"/>
        <v>1477.2480000000003</v>
      </c>
      <c r="V17" s="4">
        <f t="shared" si="17"/>
        <v>1744.1999999999989</v>
      </c>
      <c r="W17" s="4">
        <f t="shared" si="17"/>
        <v>1894.8000000000006</v>
      </c>
      <c r="X17" s="4">
        <f t="shared" si="17"/>
        <v>2082.6869999999994</v>
      </c>
      <c r="Y17" s="4">
        <f t="shared" si="17"/>
        <v>-4601.5650000000005</v>
      </c>
      <c r="Z17" s="4">
        <f t="shared" ref="Z17:AK17" si="18">+Z13-Z16-Z15-Z14</f>
        <v>-3870.3420000000001</v>
      </c>
      <c r="AA17" s="4">
        <f t="shared" si="18"/>
        <v>-764.08100000000036</v>
      </c>
      <c r="AB17" s="4">
        <f t="shared" si="18"/>
        <v>967.72238505751147</v>
      </c>
      <c r="AC17" s="4">
        <f t="shared" si="18"/>
        <v>2214.6719218553749</v>
      </c>
      <c r="AD17" s="4">
        <f t="shared" si="18"/>
        <v>2419.6364932873084</v>
      </c>
      <c r="AE17" s="4">
        <f t="shared" si="18"/>
        <v>2604.8299563379169</v>
      </c>
      <c r="AF17" s="4">
        <f t="shared" si="18"/>
        <v>2793.2227490760997</v>
      </c>
      <c r="AG17" s="4">
        <f t="shared" si="18"/>
        <v>3184.2908170037972</v>
      </c>
      <c r="AH17" s="4">
        <f t="shared" si="18"/>
        <v>3262.0108681638617</v>
      </c>
      <c r="AI17" s="4">
        <f t="shared" si="18"/>
        <v>3341.4080820135509</v>
      </c>
      <c r="AJ17" s="4">
        <f t="shared" si="18"/>
        <v>3422.5087659475907</v>
      </c>
      <c r="AK17" s="4">
        <f t="shared" si="18"/>
        <v>3820.8269244225648</v>
      </c>
    </row>
    <row r="18" spans="2:128" s="2" customFormat="1" x14ac:dyDescent="0.25">
      <c r="B18" s="2" t="s">
        <v>49</v>
      </c>
      <c r="C18" s="2">
        <f>4.86-272.51-59.87</f>
        <v>-327.52</v>
      </c>
      <c r="D18" s="2">
        <f>4.7-304.8-48.088</f>
        <v>-348.18800000000005</v>
      </c>
      <c r="E18" s="2">
        <f>3.8-430.66-29.08</f>
        <v>-455.94</v>
      </c>
      <c r="F18" s="2">
        <f>Z18-E18-D18-C18</f>
        <v>-278.83499999999981</v>
      </c>
      <c r="G18" s="2">
        <f>3.3-277.7-31</f>
        <v>-305.39999999999998</v>
      </c>
      <c r="H18" s="2">
        <f>6.5-302.7-13.2</f>
        <v>-309.39999999999998</v>
      </c>
      <c r="I18" s="2">
        <f>12-352.2+74</f>
        <v>-266.2</v>
      </c>
      <c r="J18" s="2">
        <f>14.09-431.61+26.936</f>
        <v>-390.58400000000006</v>
      </c>
      <c r="S18" s="2">
        <f>10.344-258.3</f>
        <v>-247.95600000000002</v>
      </c>
      <c r="T18" s="2">
        <f>12.025-277.725</f>
        <v>-265.70000000000005</v>
      </c>
      <c r="U18" s="2">
        <f>20.856-307.37+128.35</f>
        <v>-158.16400000000002</v>
      </c>
      <c r="V18" s="2">
        <f>30.1-299.98+156.25</f>
        <v>-113.63</v>
      </c>
      <c r="W18" s="2">
        <f>32.8-333.7+210.8</f>
        <v>-90.099999999999966</v>
      </c>
      <c r="X18" s="2">
        <f>26.945-408.513+230.98</f>
        <v>-150.58799999999999</v>
      </c>
      <c r="Y18" s="2">
        <f>21-844.24-213.3</f>
        <v>-1036.54</v>
      </c>
      <c r="Z18" s="2">
        <f>16.77-1291.753-135.5</f>
        <v>-1410.4829999999999</v>
      </c>
      <c r="AA18" s="2">
        <f>G18+H18+I18+J18</f>
        <v>-1271.5840000000001</v>
      </c>
      <c r="AB18" s="2">
        <f>AA33*AB43</f>
        <v>-1353.8380199999997</v>
      </c>
      <c r="AC18" s="2">
        <f t="shared" ref="AC18:AK18" si="19">AB33*AC43</f>
        <v>-1376.7732887155835</v>
      </c>
      <c r="AD18" s="2">
        <f t="shared" si="19"/>
        <v>-1327.00210990708</v>
      </c>
      <c r="AE18" s="2">
        <f t="shared" si="19"/>
        <v>-1157.5256074839624</v>
      </c>
      <c r="AF18" s="2">
        <f t="shared" si="19"/>
        <v>-982.10174588418545</v>
      </c>
      <c r="AG18" s="2">
        <f t="shared" si="19"/>
        <v>-804.83613950643974</v>
      </c>
      <c r="AH18" s="2">
        <f t="shared" si="19"/>
        <v>-700.97294283368012</v>
      </c>
      <c r="AI18" s="2">
        <f t="shared" si="19"/>
        <v>-589.18363739301765</v>
      </c>
      <c r="AJ18" s="2">
        <f t="shared" si="19"/>
        <v>-469.04904038533135</v>
      </c>
      <c r="AK18" s="2">
        <f t="shared" si="19"/>
        <v>-340.13052336453876</v>
      </c>
    </row>
    <row r="19" spans="2:128" s="2" customFormat="1" x14ac:dyDescent="0.25">
      <c r="B19" s="2" t="s">
        <v>50</v>
      </c>
      <c r="C19" s="2">
        <v>5.0330000000000004</v>
      </c>
      <c r="D19" s="2">
        <v>24.5</v>
      </c>
      <c r="E19" s="2">
        <v>37.229999999999997</v>
      </c>
      <c r="F19" s="2">
        <f>Z19-E19-D19-C19</f>
        <v>-46.462999999999994</v>
      </c>
      <c r="G19" s="2">
        <v>-2.5299999999999998</v>
      </c>
      <c r="H19" s="2">
        <v>6.5</v>
      </c>
      <c r="I19" s="2">
        <v>0.78</v>
      </c>
      <c r="J19" s="2">
        <v>-125.075</v>
      </c>
      <c r="S19" s="2">
        <v>70.242000000000004</v>
      </c>
      <c r="T19" s="2">
        <v>56.581000000000003</v>
      </c>
      <c r="U19" s="2">
        <v>-35.65</v>
      </c>
      <c r="V19" s="2">
        <v>-5.3</v>
      </c>
      <c r="W19" s="2">
        <v>11.1</v>
      </c>
      <c r="X19" s="2">
        <v>-24.5</v>
      </c>
      <c r="Y19" s="2">
        <v>-137.08000000000001</v>
      </c>
      <c r="Z19" s="2">
        <v>20.3</v>
      </c>
      <c r="AA19" s="2">
        <f>G19+H19+I19+J19</f>
        <v>-120.325</v>
      </c>
    </row>
    <row r="20" spans="2:128" s="2" customFormat="1" x14ac:dyDescent="0.25">
      <c r="B20" s="2" t="s">
        <v>51</v>
      </c>
      <c r="C20" s="2">
        <f t="shared" ref="C20:Y20" si="20">+C17+C18+C19</f>
        <v>-1131.6790000000001</v>
      </c>
      <c r="D20" s="2">
        <f t="shared" si="20"/>
        <v>-1347.1980000000001</v>
      </c>
      <c r="E20" s="2">
        <f t="shared" si="20"/>
        <v>-1424.5139999999999</v>
      </c>
      <c r="F20" s="2">
        <f t="shared" si="20"/>
        <v>-1357.134</v>
      </c>
      <c r="G20" s="2">
        <f t="shared" si="20"/>
        <v>-1167.1629999999998</v>
      </c>
      <c r="H20" s="2">
        <f t="shared" si="20"/>
        <v>-521.63000000000034</v>
      </c>
      <c r="I20" s="2">
        <f t="shared" si="20"/>
        <v>33.018000000000114</v>
      </c>
      <c r="J20" s="2">
        <f t="shared" si="20"/>
        <v>-500.21499999999992</v>
      </c>
      <c r="S20" s="2">
        <f t="shared" si="20"/>
        <v>764.10999999999979</v>
      </c>
      <c r="T20" s="2">
        <f t="shared" si="20"/>
        <v>665.81399999999996</v>
      </c>
      <c r="U20" s="2">
        <f t="shared" si="20"/>
        <v>1283.4340000000002</v>
      </c>
      <c r="V20" s="2">
        <f t="shared" si="20"/>
        <v>1625.2699999999988</v>
      </c>
      <c r="W20" s="2">
        <f t="shared" si="20"/>
        <v>1815.8000000000006</v>
      </c>
      <c r="X20" s="2">
        <f t="shared" si="20"/>
        <v>1907.5989999999995</v>
      </c>
      <c r="Y20" s="2">
        <f t="shared" si="20"/>
        <v>-5775.1850000000004</v>
      </c>
      <c r="Z20" s="2">
        <f t="shared" ref="Z20:AK20" si="21">+Z17+Z18+Z19</f>
        <v>-5260.5249999999996</v>
      </c>
      <c r="AA20" s="2">
        <f t="shared" si="21"/>
        <v>-2155.9900000000002</v>
      </c>
      <c r="AB20" s="2">
        <f t="shared" si="21"/>
        <v>-386.11563494248821</v>
      </c>
      <c r="AC20" s="2">
        <f t="shared" si="21"/>
        <v>837.8986331397914</v>
      </c>
      <c r="AD20" s="2">
        <f t="shared" si="21"/>
        <v>1092.6343833802284</v>
      </c>
      <c r="AE20" s="2">
        <f t="shared" si="21"/>
        <v>1447.3043488539545</v>
      </c>
      <c r="AF20" s="2">
        <f t="shared" si="21"/>
        <v>1811.1210031919143</v>
      </c>
      <c r="AG20" s="2">
        <f t="shared" si="21"/>
        <v>2379.4546774973574</v>
      </c>
      <c r="AH20" s="2">
        <f t="shared" si="21"/>
        <v>2561.0379253301817</v>
      </c>
      <c r="AI20" s="2">
        <f t="shared" si="21"/>
        <v>2752.2244446205332</v>
      </c>
      <c r="AJ20" s="2">
        <f t="shared" si="21"/>
        <v>2953.4597255622593</v>
      </c>
      <c r="AK20" s="2">
        <f t="shared" si="21"/>
        <v>3480.6964010580259</v>
      </c>
    </row>
    <row r="21" spans="2:128" s="2" customFormat="1" x14ac:dyDescent="0.25">
      <c r="B21" s="2" t="s">
        <v>54</v>
      </c>
      <c r="C21" s="2">
        <f>C25</f>
        <v>-3.556</v>
      </c>
      <c r="D21" s="2">
        <f>D25-C25</f>
        <v>-4.8939999999999992</v>
      </c>
      <c r="E21" s="2">
        <f>E25-D25</f>
        <v>-22.945</v>
      </c>
      <c r="F21" s="2">
        <f>F25-E25</f>
        <v>-11.584</v>
      </c>
      <c r="G21" s="2">
        <f>G25</f>
        <v>-3.1</v>
      </c>
      <c r="H21" s="2">
        <f>H25-G25</f>
        <v>-6.1050000000000004</v>
      </c>
      <c r="I21" s="2">
        <f>I25-H25</f>
        <v>-5.1400000000000006</v>
      </c>
      <c r="J21" s="2">
        <f>J25-I25</f>
        <v>-7.2309999999999999</v>
      </c>
      <c r="S21" s="2">
        <v>-41</v>
      </c>
      <c r="T21" s="2">
        <v>-10</v>
      </c>
      <c r="U21" s="2">
        <v>2.6080000000000001</v>
      </c>
      <c r="V21" s="2">
        <v>1.73</v>
      </c>
      <c r="W21" s="2">
        <v>7.7450000000000001</v>
      </c>
      <c r="X21" s="2">
        <v>7.75</v>
      </c>
      <c r="Y21" s="2">
        <v>-8.8000000000000007</v>
      </c>
      <c r="Z21" s="2">
        <v>-42.978999999999999</v>
      </c>
      <c r="AA21" s="2">
        <f>G21+H21+I21+J21</f>
        <v>-21.576000000000001</v>
      </c>
      <c r="AB21" s="2">
        <f>AB20*AB44</f>
        <v>-3.8611563494248822</v>
      </c>
      <c r="AC21" s="2">
        <f t="shared" ref="AC21:AK21" si="22">AC20*AC44</f>
        <v>8.3789863313979147</v>
      </c>
      <c r="AD21" s="2">
        <f t="shared" si="22"/>
        <v>21.85268766760457</v>
      </c>
      <c r="AE21" s="2">
        <f t="shared" si="22"/>
        <v>43.419130465618636</v>
      </c>
      <c r="AF21" s="2">
        <f t="shared" si="22"/>
        <v>54.333630095757428</v>
      </c>
      <c r="AG21" s="2">
        <f t="shared" si="22"/>
        <v>71.383640324920719</v>
      </c>
      <c r="AH21" s="2">
        <f t="shared" si="22"/>
        <v>76.831137759905445</v>
      </c>
      <c r="AI21" s="2">
        <f t="shared" si="22"/>
        <v>82.56673333861599</v>
      </c>
      <c r="AJ21" s="2">
        <f t="shared" si="22"/>
        <v>88.603791766867772</v>
      </c>
      <c r="AK21" s="2">
        <f t="shared" si="22"/>
        <v>104.42089203174078</v>
      </c>
    </row>
    <row r="22" spans="2:128" s="4" customFormat="1" x14ac:dyDescent="0.25">
      <c r="B22" s="4" t="s">
        <v>52</v>
      </c>
      <c r="C22" s="4">
        <f t="shared" ref="C22:Y22" si="23">+C20-C21</f>
        <v>-1128.123</v>
      </c>
      <c r="D22" s="4">
        <f t="shared" si="23"/>
        <v>-1342.3040000000001</v>
      </c>
      <c r="E22" s="4">
        <f t="shared" si="23"/>
        <v>-1401.569</v>
      </c>
      <c r="F22" s="4">
        <f t="shared" si="23"/>
        <v>-1345.55</v>
      </c>
      <c r="G22" s="4">
        <f t="shared" si="23"/>
        <v>-1164.0629999999999</v>
      </c>
      <c r="H22" s="4">
        <f t="shared" si="23"/>
        <v>-515.52500000000032</v>
      </c>
      <c r="I22" s="4">
        <f t="shared" si="23"/>
        <v>38.158000000000115</v>
      </c>
      <c r="J22" s="4">
        <f t="shared" si="23"/>
        <v>-492.98399999999992</v>
      </c>
      <c r="S22" s="4">
        <f t="shared" si="23"/>
        <v>805.10999999999979</v>
      </c>
      <c r="T22" s="4">
        <f t="shared" si="23"/>
        <v>675.81399999999996</v>
      </c>
      <c r="U22" s="4">
        <f t="shared" si="23"/>
        <v>1280.8260000000002</v>
      </c>
      <c r="V22" s="4">
        <f t="shared" si="23"/>
        <v>1623.5399999999988</v>
      </c>
      <c r="W22" s="4">
        <f t="shared" si="23"/>
        <v>1808.0550000000007</v>
      </c>
      <c r="X22" s="4">
        <f>+X20-X21</f>
        <v>1899.8489999999995</v>
      </c>
      <c r="Y22" s="4">
        <f t="shared" si="23"/>
        <v>-5766.3850000000002</v>
      </c>
      <c r="Z22" s="4">
        <f t="shared" ref="Z22:AK22" si="24">+Z20-Z21</f>
        <v>-5217.5459999999994</v>
      </c>
      <c r="AA22" s="4">
        <f t="shared" si="24"/>
        <v>-2134.4140000000002</v>
      </c>
      <c r="AB22" s="4">
        <f t="shared" si="24"/>
        <v>-382.25447859306331</v>
      </c>
      <c r="AC22" s="4">
        <f t="shared" si="24"/>
        <v>829.51964680839353</v>
      </c>
      <c r="AD22" s="4">
        <f t="shared" si="24"/>
        <v>1070.7816957126238</v>
      </c>
      <c r="AE22" s="4">
        <f t="shared" si="24"/>
        <v>1403.8852183883359</v>
      </c>
      <c r="AF22" s="4">
        <f t="shared" si="24"/>
        <v>1756.7873730961569</v>
      </c>
      <c r="AG22" s="4">
        <f t="shared" si="24"/>
        <v>2308.0710371724367</v>
      </c>
      <c r="AH22" s="4">
        <f t="shared" si="24"/>
        <v>2484.2067875702764</v>
      </c>
      <c r="AI22" s="4">
        <f t="shared" si="24"/>
        <v>2669.6577112819173</v>
      </c>
      <c r="AJ22" s="4">
        <f t="shared" si="24"/>
        <v>2864.8559337953916</v>
      </c>
      <c r="AK22" s="4">
        <f t="shared" si="24"/>
        <v>3376.2755090262854</v>
      </c>
      <c r="AL22" s="4">
        <f>AK22*(1+Dash!$C$2)</f>
        <v>3342.5127539360224</v>
      </c>
      <c r="AM22" s="4">
        <f>AL22*(1+Dash!$C$2)</f>
        <v>3309.087626396662</v>
      </c>
      <c r="AN22" s="4">
        <f>AM22*(1+Dash!$C$2)</f>
        <v>3275.9967501326955</v>
      </c>
      <c r="AO22" s="4">
        <f>AN22*(1+Dash!$C$2)</f>
        <v>3243.2367826313684</v>
      </c>
      <c r="AP22" s="4">
        <f>AO22*(1+Dash!$C$2)</f>
        <v>3210.8044148050549</v>
      </c>
      <c r="AQ22" s="4">
        <f>AP22*(1+Dash!$C$2)</f>
        <v>3178.6963706570041</v>
      </c>
      <c r="AR22" s="4">
        <f>AQ22*(1+Dash!$C$2)</f>
        <v>3146.909406950434</v>
      </c>
      <c r="AS22" s="4">
        <f>AR22*(1+Dash!$C$2)</f>
        <v>3115.4403128809295</v>
      </c>
      <c r="AT22" s="4">
        <f>AS22*(1+Dash!$C$2)</f>
        <v>3084.28590975212</v>
      </c>
      <c r="AU22" s="4">
        <f>AT22*(1+Dash!$C$2)</f>
        <v>3053.4430506545987</v>
      </c>
      <c r="AV22" s="4">
        <f>AU22*(1+Dash!$C$2)</f>
        <v>3022.9086201480527</v>
      </c>
      <c r="AW22" s="4">
        <f>AV22*(1+Dash!$C$2)</f>
        <v>2992.6795339465721</v>
      </c>
      <c r="AX22" s="4">
        <f>AW22*(1+Dash!$C$2)</f>
        <v>2962.7527386071065</v>
      </c>
      <c r="AY22" s="4">
        <f>AX22*(1+Dash!$C$2)</f>
        <v>2933.1252112210354</v>
      </c>
      <c r="AZ22" s="4">
        <f>AY22*(1+Dash!$C$2)</f>
        <v>2903.7939591088252</v>
      </c>
      <c r="BA22" s="4">
        <f>AZ22*(1+Dash!$C$2)</f>
        <v>2874.7560195177371</v>
      </c>
      <c r="BB22" s="4">
        <f>BA22*(1+Dash!$C$2)</f>
        <v>2846.0084593225597</v>
      </c>
      <c r="BC22" s="4">
        <f>BB22*(1+Dash!$C$2)</f>
        <v>2817.5483747293342</v>
      </c>
      <c r="BD22" s="4">
        <f>BC22*(1+Dash!$C$2)</f>
        <v>2789.3728909820406</v>
      </c>
      <c r="BE22" s="4">
        <f>BD22*(1+Dash!$C$2)</f>
        <v>2761.4791620722203</v>
      </c>
      <c r="BF22" s="4">
        <f>BE22*(1+Dash!$C$2)</f>
        <v>2733.864370451498</v>
      </c>
      <c r="BG22" s="4">
        <f>BF22*(1+Dash!$C$2)</f>
        <v>2706.5257267469829</v>
      </c>
      <c r="BH22" s="4">
        <f>BG22*(1+Dash!$C$2)</f>
        <v>2679.460469479513</v>
      </c>
      <c r="BI22" s="4">
        <f>BH22*(1+Dash!$C$2)</f>
        <v>2652.665864784718</v>
      </c>
      <c r="BJ22" s="4">
        <f>BI22*(1+Dash!$C$2)</f>
        <v>2626.1392061368706</v>
      </c>
      <c r="BK22" s="4">
        <f>BJ22*(1+Dash!$C$2)</f>
        <v>2599.8778140755016</v>
      </c>
      <c r="BL22" s="4">
        <f>BK22*(1+Dash!$C$2)</f>
        <v>2573.8790359347468</v>
      </c>
      <c r="BM22" s="4">
        <f>BL22*(1+Dash!$C$2)</f>
        <v>2548.1402455753991</v>
      </c>
      <c r="BN22" s="4">
        <f>BM22*(1+Dash!$C$2)</f>
        <v>2522.6588431196451</v>
      </c>
      <c r="BO22" s="4">
        <f>BN22*(1+Dash!$C$2)</f>
        <v>2497.4322546884487</v>
      </c>
      <c r="BP22" s="4">
        <f>BO22*(1+Dash!$C$2)</f>
        <v>2472.457932141564</v>
      </c>
      <c r="BQ22" s="4">
        <f>BP22*(1+Dash!$C$2)</f>
        <v>2447.7333528201484</v>
      </c>
      <c r="BR22" s="4">
        <f>BQ22*(1+Dash!$C$2)</f>
        <v>2423.2560192919468</v>
      </c>
      <c r="BS22" s="4">
        <f>BR22*(1+Dash!$C$2)</f>
        <v>2399.0234590990271</v>
      </c>
      <c r="BT22" s="4">
        <f>BS22*(1+Dash!$C$2)</f>
        <v>2375.0332245080367</v>
      </c>
      <c r="BU22" s="4">
        <f>BT22*(1+Dash!$C$2)</f>
        <v>2351.2828922629565</v>
      </c>
      <c r="BV22" s="4">
        <f>BU22*(1+Dash!$C$2)</f>
        <v>2327.7700633403269</v>
      </c>
      <c r="BW22" s="4">
        <f>BV22*(1+Dash!$C$2)</f>
        <v>2304.4923627069238</v>
      </c>
      <c r="BX22" s="4">
        <f>BW22*(1+Dash!$C$2)</f>
        <v>2281.4474390798546</v>
      </c>
      <c r="BY22" s="4">
        <f>BX22*(1+Dash!$C$2)</f>
        <v>2258.6329646890558</v>
      </c>
      <c r="BZ22" s="4">
        <f>BY22*(1+Dash!$C$2)</f>
        <v>2236.0466350421652</v>
      </c>
      <c r="CA22" s="4">
        <f>BZ22*(1+Dash!$C$2)</f>
        <v>2213.6861686917437</v>
      </c>
      <c r="CB22" s="4">
        <f>CA22*(1+Dash!$C$2)</f>
        <v>2191.549307004826</v>
      </c>
      <c r="CC22" s="4">
        <f>CB22*(1+Dash!$C$2)</f>
        <v>2169.6338139347777</v>
      </c>
      <c r="CD22" s="4">
        <f>CC22*(1+Dash!$C$2)</f>
        <v>2147.9374757954297</v>
      </c>
      <c r="CE22" s="4">
        <f>CD22*(1+Dash!$C$2)</f>
        <v>2126.4581010374754</v>
      </c>
      <c r="CF22" s="4">
        <f>CE22*(1+Dash!$C$2)</f>
        <v>2105.1935200271005</v>
      </c>
      <c r="CG22" s="4">
        <f>CF22*(1+Dash!$C$2)</f>
        <v>2084.1415848268293</v>
      </c>
      <c r="CH22" s="4">
        <f>CG22*(1+Dash!$C$2)</f>
        <v>2063.300168978561</v>
      </c>
      <c r="CI22" s="4">
        <f>CH22*(1+Dash!$C$2)</f>
        <v>2042.6671672887753</v>
      </c>
      <c r="CJ22" s="4">
        <f>CI22*(1+Dash!$C$2)</f>
        <v>2022.2404956158875</v>
      </c>
      <c r="CK22" s="4">
        <f>CJ22*(1+Dash!$C$2)</f>
        <v>2002.0180906597286</v>
      </c>
      <c r="CL22" s="4">
        <f>CK22*(1+Dash!$C$2)</f>
        <v>1981.9979097531314</v>
      </c>
      <c r="CM22" s="4">
        <f>CL22*(1+Dash!$C$2)</f>
        <v>1962.1779306556</v>
      </c>
      <c r="CN22" s="4">
        <f>CM22*(1+Dash!$C$2)</f>
        <v>1942.5561513490441</v>
      </c>
      <c r="CO22" s="4">
        <f>CN22*(1+Dash!$C$2)</f>
        <v>1923.1305898355536</v>
      </c>
      <c r="CP22" s="4">
        <f>CO22*(1+Dash!$C$2)</f>
        <v>1903.8992839371981</v>
      </c>
      <c r="CQ22" s="4">
        <f>CP22*(1+Dash!$C$2)</f>
        <v>1884.8602910978261</v>
      </c>
      <c r="CR22" s="4">
        <f>CQ22*(1+Dash!$C$2)</f>
        <v>1866.0116881868478</v>
      </c>
      <c r="CS22" s="4">
        <f>CR22*(1+Dash!$C$2)</f>
        <v>1847.3515713049792</v>
      </c>
      <c r="CT22" s="4">
        <f>CS22*(1+Dash!$C$2)</f>
        <v>1828.8780555919293</v>
      </c>
      <c r="CU22" s="4">
        <f>CT22*(1+Dash!$C$2)</f>
        <v>1810.5892750360099</v>
      </c>
      <c r="CV22" s="4">
        <f>CU22*(1+Dash!$C$2)</f>
        <v>1792.4833822856497</v>
      </c>
      <c r="CW22" s="4">
        <f>CV22*(1+Dash!$C$2)</f>
        <v>1774.5585484627932</v>
      </c>
      <c r="CX22" s="4">
        <f>CW22*(1+Dash!$C$2)</f>
        <v>1756.8129629781652</v>
      </c>
      <c r="CY22" s="4">
        <f>CX22*(1+Dash!$C$2)</f>
        <v>1739.2448333483835</v>
      </c>
      <c r="CZ22" s="4">
        <f>CY22*(1+Dash!$C$2)</f>
        <v>1721.8523850148997</v>
      </c>
      <c r="DA22" s="4">
        <f>CZ22*(1+Dash!$C$2)</f>
        <v>1704.6338611647507</v>
      </c>
      <c r="DB22" s="4">
        <f>DA22*(1+Dash!$C$2)</f>
        <v>1687.5875225531031</v>
      </c>
      <c r="DC22" s="4">
        <f>DB22*(1+Dash!$C$2)</f>
        <v>1670.7116473275721</v>
      </c>
      <c r="DD22" s="4">
        <f>DC22*(1+Dash!$C$2)</f>
        <v>1654.0045308542963</v>
      </c>
      <c r="DE22" s="4">
        <f>DD22*(1+Dash!$C$2)</f>
        <v>1637.4644855457532</v>
      </c>
      <c r="DF22" s="4">
        <f>DE22*(1+Dash!$C$2)</f>
        <v>1621.0898406902957</v>
      </c>
      <c r="DG22" s="4">
        <f>DF22*(1+Dash!$C$2)</f>
        <v>1604.8789422833927</v>
      </c>
      <c r="DH22" s="4">
        <f>DG22*(1+Dash!$C$2)</f>
        <v>1588.8301528605587</v>
      </c>
      <c r="DI22" s="4">
        <f>DH22*(1+Dash!$C$2)</f>
        <v>1572.9418513319531</v>
      </c>
      <c r="DJ22" s="4">
        <f>DI22*(1+Dash!$C$2)</f>
        <v>1557.2124328186335</v>
      </c>
      <c r="DK22" s="4">
        <f>DJ22*(1+Dash!$C$2)</f>
        <v>1541.6403084904471</v>
      </c>
      <c r="DL22" s="4">
        <f>DK22*(1+Dash!$C$2)</f>
        <v>1526.2239054055426</v>
      </c>
      <c r="DM22" s="4">
        <f>DL22*(1+Dash!$C$2)</f>
        <v>1510.9616663514871</v>
      </c>
      <c r="DN22" s="4">
        <f>DM22*(1+Dash!$C$2)</f>
        <v>1495.8520496879723</v>
      </c>
      <c r="DO22" s="4">
        <f>DN22*(1+Dash!$C$2)</f>
        <v>1480.8935291910925</v>
      </c>
      <c r="DP22" s="4">
        <f>DO22*(1+Dash!$C$2)</f>
        <v>1466.0845938991815</v>
      </c>
      <c r="DQ22" s="4">
        <f>DP22*(1+Dash!$C$2)</f>
        <v>1451.4237479601898</v>
      </c>
      <c r="DR22" s="4">
        <f>DQ22*(1+Dash!$C$2)</f>
        <v>1436.9095104805879</v>
      </c>
      <c r="DS22" s="4">
        <f>DR22*(1+Dash!$C$2)</f>
        <v>1422.540415375782</v>
      </c>
      <c r="DT22" s="4">
        <f>DS22*(1+Dash!$C$2)</f>
        <v>1408.3150112220242</v>
      </c>
      <c r="DU22" s="4">
        <f>DT22*(1+Dash!$C$2)</f>
        <v>1394.231861109804</v>
      </c>
      <c r="DV22" s="4">
        <f>DU22*(1+Dash!$C$2)</f>
        <v>1380.2895424987059</v>
      </c>
      <c r="DW22" s="4">
        <f>DV22*(1+Dash!$C$2)</f>
        <v>1366.4866470737188</v>
      </c>
      <c r="DX22" s="4">
        <f>DW22*(1+Dash!$C$2)</f>
        <v>1352.8217806029816</v>
      </c>
    </row>
    <row r="23" spans="2:128" s="2" customFormat="1" x14ac:dyDescent="0.25">
      <c r="B23" s="2" t="s">
        <v>1</v>
      </c>
      <c r="C23" s="2">
        <v>243.00399999999999</v>
      </c>
      <c r="D23" s="2">
        <v>254.577</v>
      </c>
      <c r="E23" s="2">
        <f>E22/E24</f>
        <v>250.72790697674418</v>
      </c>
      <c r="F23" s="2">
        <v>251.82024892292961</v>
      </c>
      <c r="G23" s="2">
        <v>254.821</v>
      </c>
      <c r="H23" s="2">
        <f>H22/H24</f>
        <v>251.47560975609773</v>
      </c>
      <c r="I23" s="2">
        <v>255.071</v>
      </c>
      <c r="J23" s="2">
        <v>255.011</v>
      </c>
      <c r="S23" s="2">
        <f t="shared" ref="S23:X23" si="25">S20/S24</f>
        <v>221.48115942028977</v>
      </c>
      <c r="T23" s="2">
        <f t="shared" si="25"/>
        <v>219.74059405940594</v>
      </c>
      <c r="U23" s="2">
        <f t="shared" si="25"/>
        <v>215.34127516778526</v>
      </c>
      <c r="V23" s="2">
        <f t="shared" si="25"/>
        <v>214.69881109643313</v>
      </c>
      <c r="W23" s="2">
        <f t="shared" si="25"/>
        <v>211.13953488372101</v>
      </c>
      <c r="X23" s="2">
        <f t="shared" si="25"/>
        <v>212.66432552954285</v>
      </c>
      <c r="Y23" s="2">
        <f>Y20/Y24</f>
        <v>213.50036968576711</v>
      </c>
      <c r="Z23" s="2">
        <f>Z20/Z24</f>
        <v>251.82024892292961</v>
      </c>
      <c r="AA23" s="2">
        <v>255.011</v>
      </c>
      <c r="AB23" s="2">
        <f t="shared" ref="AB23:AK23" si="26">AA23</f>
        <v>255.011</v>
      </c>
      <c r="AC23" s="2">
        <f t="shared" si="26"/>
        <v>255.011</v>
      </c>
      <c r="AD23" s="2">
        <f t="shared" si="26"/>
        <v>255.011</v>
      </c>
      <c r="AE23" s="2">
        <f t="shared" si="26"/>
        <v>255.011</v>
      </c>
      <c r="AF23" s="2">
        <f t="shared" si="26"/>
        <v>255.011</v>
      </c>
      <c r="AG23" s="2">
        <f t="shared" si="26"/>
        <v>255.011</v>
      </c>
      <c r="AH23" s="2">
        <f t="shared" si="26"/>
        <v>255.011</v>
      </c>
      <c r="AI23" s="2">
        <f t="shared" si="26"/>
        <v>255.011</v>
      </c>
      <c r="AJ23" s="2">
        <f t="shared" si="26"/>
        <v>255.011</v>
      </c>
      <c r="AK23" s="2">
        <f t="shared" si="26"/>
        <v>255.011</v>
      </c>
    </row>
    <row r="24" spans="2:128" s="5" customFormat="1" x14ac:dyDescent="0.25">
      <c r="B24" s="5" t="s">
        <v>53</v>
      </c>
      <c r="C24" s="5">
        <f>+C22/C23</f>
        <v>-4.6424050632911396</v>
      </c>
      <c r="D24" s="5">
        <f>+D22/D23</f>
        <v>-5.2726837066977774</v>
      </c>
      <c r="E24" s="5">
        <v>-5.59</v>
      </c>
      <c r="F24" s="5">
        <f>F22/F23</f>
        <v>-5.3432954885681569</v>
      </c>
      <c r="G24" s="5">
        <f>+G22/G23</f>
        <v>-4.5681596100792312</v>
      </c>
      <c r="H24" s="5">
        <v>-2.0499999999999998</v>
      </c>
      <c r="I24" s="5">
        <f>+I22/I23</f>
        <v>0.14959756303147012</v>
      </c>
      <c r="J24" s="5">
        <f>J22/J23</f>
        <v>-1.9331871958464535</v>
      </c>
      <c r="S24" s="5">
        <v>3.45</v>
      </c>
      <c r="T24" s="5">
        <v>3.03</v>
      </c>
      <c r="U24" s="5">
        <v>5.96</v>
      </c>
      <c r="V24" s="5">
        <v>7.57</v>
      </c>
      <c r="W24" s="5">
        <v>8.6</v>
      </c>
      <c r="X24" s="5">
        <v>8.9700000000000006</v>
      </c>
      <c r="Y24" s="5">
        <v>-27.05</v>
      </c>
      <c r="Z24" s="5">
        <v>-20.89</v>
      </c>
      <c r="AA24" s="5">
        <f>AA22/AA23</f>
        <v>-8.3698899263169046</v>
      </c>
      <c r="AB24" s="5">
        <f>AB22/AB23</f>
        <v>-1.4989725093939608</v>
      </c>
      <c r="AC24" s="5">
        <f t="shared" ref="AC24:AK24" si="27">AC22/AC23</f>
        <v>3.2528779025547663</v>
      </c>
      <c r="AD24" s="5">
        <f t="shared" si="27"/>
        <v>4.1989627730279233</v>
      </c>
      <c r="AE24" s="5">
        <f t="shared" si="27"/>
        <v>5.5051947499846516</v>
      </c>
      <c r="AF24" s="5">
        <f t="shared" si="27"/>
        <v>6.889065072079859</v>
      </c>
      <c r="AG24" s="5">
        <f t="shared" si="27"/>
        <v>9.0508685396803941</v>
      </c>
      <c r="AH24" s="5">
        <f t="shared" si="27"/>
        <v>9.7415671777698858</v>
      </c>
      <c r="AI24" s="5">
        <f t="shared" si="27"/>
        <v>10.468794331546158</v>
      </c>
      <c r="AJ24" s="5">
        <f t="shared" si="27"/>
        <v>11.234244537668538</v>
      </c>
      <c r="AK24" s="5">
        <f t="shared" si="27"/>
        <v>13.239724988436912</v>
      </c>
    </row>
    <row r="25" spans="2:128" s="2" customFormat="1" x14ac:dyDescent="0.25">
      <c r="B25" s="2" t="s">
        <v>60</v>
      </c>
      <c r="C25" s="2">
        <v>-3.556</v>
      </c>
      <c r="D25" s="2">
        <v>-8.4499999999999993</v>
      </c>
      <c r="E25" s="2">
        <v>-31.395</v>
      </c>
      <c r="F25" s="2">
        <v>-42.978999999999999</v>
      </c>
      <c r="G25" s="2">
        <v>-3.1</v>
      </c>
      <c r="H25" s="2">
        <v>-9.2050000000000001</v>
      </c>
      <c r="I25" s="2">
        <v>-14.345000000000001</v>
      </c>
      <c r="J25" s="2">
        <v>-21.576000000000001</v>
      </c>
    </row>
    <row r="26" spans="2:128" s="2" customFormat="1" x14ac:dyDescent="0.25"/>
    <row r="27" spans="2:128" s="2" customFormat="1" x14ac:dyDescent="0.25">
      <c r="B27" s="2" t="s">
        <v>105</v>
      </c>
      <c r="C27" s="2">
        <f>C17+C15</f>
        <v>-499.02600000000001</v>
      </c>
      <c r="D27" s="2">
        <f t="shared" ref="D27:J27" si="28">D17+D15</f>
        <v>-700.06999999999994</v>
      </c>
      <c r="E27" s="2">
        <f t="shared" si="28"/>
        <v>-679.90399999999988</v>
      </c>
      <c r="F27" s="2">
        <f t="shared" si="28"/>
        <v>-698.44200000000001</v>
      </c>
      <c r="G27" s="2">
        <f t="shared" si="28"/>
        <v>-519.73299999999995</v>
      </c>
      <c r="H27" s="2">
        <f t="shared" si="28"/>
        <v>132.7699999999997</v>
      </c>
      <c r="I27" s="2">
        <f t="shared" si="28"/>
        <v>653.51800000000003</v>
      </c>
      <c r="J27" s="2">
        <f t="shared" si="28"/>
        <v>376.04400000000015</v>
      </c>
      <c r="S27" s="2">
        <f t="shared" ref="S27:AA27" si="29">S17+S15</f>
        <v>1714.2689999999998</v>
      </c>
      <c r="T27" s="2">
        <f t="shared" si="29"/>
        <v>1701.933</v>
      </c>
      <c r="U27" s="2">
        <f t="shared" si="29"/>
        <v>2372.1630000000005</v>
      </c>
      <c r="V27" s="2">
        <f t="shared" si="29"/>
        <v>2695.3999999999987</v>
      </c>
      <c r="W27" s="2">
        <f t="shared" si="29"/>
        <v>2928.5000000000009</v>
      </c>
      <c r="X27" s="2">
        <f t="shared" si="29"/>
        <v>3328.6269999999995</v>
      </c>
      <c r="Y27" s="2">
        <f t="shared" si="29"/>
        <v>-3322.3150000000005</v>
      </c>
      <c r="Z27" s="2">
        <f t="shared" si="29"/>
        <v>-2577.442</v>
      </c>
      <c r="AA27" s="2">
        <f t="shared" si="29"/>
        <v>642.59899999999948</v>
      </c>
    </row>
    <row r="28" spans="2:128" s="2" customFormat="1" x14ac:dyDescent="0.25">
      <c r="B28" s="2" t="s">
        <v>106</v>
      </c>
      <c r="C28" s="2">
        <f>+C22+C21-C18</f>
        <v>-804.15900000000011</v>
      </c>
      <c r="D28" s="2">
        <f t="shared" ref="D28:J28" si="30">+D22+D21-D18</f>
        <v>-999.01</v>
      </c>
      <c r="E28" s="2">
        <f t="shared" si="30"/>
        <v>-968.57399999999984</v>
      </c>
      <c r="F28" s="2">
        <f t="shared" si="30"/>
        <v>-1078.2990000000002</v>
      </c>
      <c r="G28" s="2">
        <f t="shared" si="30"/>
        <v>-861.76299999999981</v>
      </c>
      <c r="H28" s="2">
        <f t="shared" si="30"/>
        <v>-212.23000000000036</v>
      </c>
      <c r="I28" s="2">
        <f t="shared" si="30"/>
        <v>299.21800000000007</v>
      </c>
      <c r="J28" s="2">
        <f t="shared" si="30"/>
        <v>-109.63099999999986</v>
      </c>
      <c r="S28" s="2">
        <f t="shared" ref="S28:AA28" si="31">+S22+S21-S18</f>
        <v>1012.0659999999998</v>
      </c>
      <c r="T28" s="2">
        <f t="shared" si="31"/>
        <v>931.51400000000001</v>
      </c>
      <c r="U28" s="2">
        <f t="shared" si="31"/>
        <v>1441.5980000000002</v>
      </c>
      <c r="V28" s="2">
        <f t="shared" si="31"/>
        <v>1738.8999999999987</v>
      </c>
      <c r="W28" s="2">
        <f t="shared" si="31"/>
        <v>1905.9000000000005</v>
      </c>
      <c r="X28" s="2">
        <f t="shared" si="31"/>
        <v>2058.1869999999994</v>
      </c>
      <c r="Y28" s="2">
        <f t="shared" si="31"/>
        <v>-4738.6450000000004</v>
      </c>
      <c r="Z28" s="2">
        <f t="shared" si="31"/>
        <v>-3850.0419999999995</v>
      </c>
      <c r="AA28" s="2">
        <f t="shared" si="31"/>
        <v>-884.40600000000018</v>
      </c>
    </row>
    <row r="30" spans="2:128" s="2" customFormat="1" x14ac:dyDescent="0.25">
      <c r="B30" s="2" t="s">
        <v>3</v>
      </c>
      <c r="I30" s="2">
        <f>1566.2+63.52</f>
        <v>1629.72</v>
      </c>
      <c r="J30" s="2">
        <f>1935+59.08</f>
        <v>1994.08</v>
      </c>
      <c r="S30" s="2">
        <v>189.24100000000001</v>
      </c>
      <c r="T30" s="2">
        <f>121.565+134.6</f>
        <v>256.16499999999996</v>
      </c>
      <c r="U30" s="2">
        <v>132.60300000000001</v>
      </c>
      <c r="V30" s="2">
        <f>120.11+99.32</f>
        <v>219.43</v>
      </c>
      <c r="W30" s="2">
        <f>287.85+19.6</f>
        <v>307.45000000000005</v>
      </c>
      <c r="X30" s="2">
        <f>243.7+21.8</f>
        <v>265.5</v>
      </c>
      <c r="Y30" s="2">
        <f>3684.5+70</f>
        <v>3754.5</v>
      </c>
      <c r="Z30" s="2">
        <f>2701.77+54.184</f>
        <v>2755.9540000000002</v>
      </c>
      <c r="AA30" s="2">
        <f>1935+59.08</f>
        <v>1994.08</v>
      </c>
    </row>
    <row r="31" spans="2:128" s="2" customFormat="1" x14ac:dyDescent="0.25">
      <c r="B31" s="2" t="s">
        <v>55</v>
      </c>
      <c r="I31" s="2">
        <v>27693.24</v>
      </c>
      <c r="J31" s="2">
        <v>27546.445</v>
      </c>
      <c r="S31" s="2">
        <v>18193.599999999999</v>
      </c>
      <c r="T31" s="2">
        <v>18777.776999999998</v>
      </c>
      <c r="U31" s="2">
        <v>20161.400000000001</v>
      </c>
      <c r="V31" s="2">
        <v>19735.18</v>
      </c>
      <c r="W31" s="2">
        <v>23466.16</v>
      </c>
      <c r="X31" s="2">
        <v>25466.808000000001</v>
      </c>
      <c r="Y31" s="2">
        <v>25246.6</v>
      </c>
      <c r="Z31" s="2">
        <v>25907.95</v>
      </c>
      <c r="AA31" s="2">
        <v>27546.445</v>
      </c>
    </row>
    <row r="32" spans="2:128" s="2" customFormat="1" x14ac:dyDescent="0.25">
      <c r="B32" s="2" t="s">
        <v>4</v>
      </c>
      <c r="I32" s="2">
        <f>3945.145+623.6+272+242.65+19384.22</f>
        <v>24467.615000000002</v>
      </c>
      <c r="J32" s="2">
        <f>2087.7+646.727+388.828+131.312+21303.48</f>
        <v>24558.046999999999</v>
      </c>
      <c r="S32" s="2">
        <f>799.63+331.5+49+266.986+7644.318</f>
        <v>9091.4340000000011</v>
      </c>
      <c r="T32" s="2">
        <f>899.677+302+38.3+651.866+7767.378</f>
        <v>9659.2209999999995</v>
      </c>
      <c r="U32" s="2">
        <f>1285.735+305.3+46.1+8101.7</f>
        <v>9738.8349999999991</v>
      </c>
      <c r="V32" s="2">
        <f>1188.5+360.1+47.5+47.46+6350.93</f>
        <v>7994.49</v>
      </c>
      <c r="W32" s="2">
        <f>1646.84+775.5+488.2+74.55+78.5+8355.37</f>
        <v>11418.960000000001</v>
      </c>
      <c r="X32" s="2">
        <f>1186.6+1434.2+563.7+70.1+94.9+8414.11</f>
        <v>11763.61</v>
      </c>
      <c r="Y32" s="2">
        <f>961.8+409.3+353.4+252.7+56.7+17957.956</f>
        <v>19991.856</v>
      </c>
      <c r="Z32" s="2">
        <f>2243.131+545.98+251.97+127.24+18847.2</f>
        <v>22015.521000000001</v>
      </c>
      <c r="AA32" s="2">
        <f>2087.7+646.727+388.828+131.312+21303.48</f>
        <v>24558.046999999999</v>
      </c>
    </row>
    <row r="33" spans="1:37" s="4" customFormat="1" x14ac:dyDescent="0.25">
      <c r="B33" s="4" t="s">
        <v>59</v>
      </c>
      <c r="C33" s="4">
        <f t="shared" ref="C33:J33" si="32">+C30-C32</f>
        <v>0</v>
      </c>
      <c r="D33" s="4">
        <f t="shared" si="32"/>
        <v>0</v>
      </c>
      <c r="E33" s="4">
        <f t="shared" si="32"/>
        <v>0</v>
      </c>
      <c r="F33" s="4">
        <f t="shared" si="32"/>
        <v>0</v>
      </c>
      <c r="G33" s="4">
        <f t="shared" si="32"/>
        <v>0</v>
      </c>
      <c r="H33" s="4">
        <f t="shared" si="32"/>
        <v>0</v>
      </c>
      <c r="I33" s="4">
        <f t="shared" si="32"/>
        <v>-22837.895</v>
      </c>
      <c r="J33" s="4">
        <f t="shared" si="32"/>
        <v>-22563.966999999997</v>
      </c>
      <c r="S33" s="4">
        <f t="shared" ref="S33:AA33" si="33">+S30-S32</f>
        <v>-8902.1930000000011</v>
      </c>
      <c r="T33" s="4">
        <f t="shared" si="33"/>
        <v>-9403.0560000000005</v>
      </c>
      <c r="U33" s="4">
        <f t="shared" si="33"/>
        <v>-9606.232</v>
      </c>
      <c r="V33" s="4">
        <f t="shared" si="33"/>
        <v>-7775.0599999999995</v>
      </c>
      <c r="W33" s="4">
        <f t="shared" si="33"/>
        <v>-11111.51</v>
      </c>
      <c r="X33" s="4">
        <f t="shared" si="33"/>
        <v>-11498.11</v>
      </c>
      <c r="Y33" s="4">
        <f t="shared" si="33"/>
        <v>-16237.356</v>
      </c>
      <c r="Z33" s="4">
        <f t="shared" si="33"/>
        <v>-19259.566999999999</v>
      </c>
      <c r="AA33" s="4">
        <f t="shared" si="33"/>
        <v>-22563.966999999997</v>
      </c>
      <c r="AB33" s="4">
        <f>AA33+AB22</f>
        <v>-22946.221478593059</v>
      </c>
      <c r="AC33" s="4">
        <f t="shared" ref="AC33:AK33" si="34">AB33+AC22</f>
        <v>-22116.701831784667</v>
      </c>
      <c r="AD33" s="4">
        <f t="shared" si="34"/>
        <v>-21045.920136072044</v>
      </c>
      <c r="AE33" s="4">
        <f t="shared" si="34"/>
        <v>-19642.034917683708</v>
      </c>
      <c r="AF33" s="4">
        <f t="shared" si="34"/>
        <v>-17885.24754458755</v>
      </c>
      <c r="AG33" s="4">
        <f t="shared" si="34"/>
        <v>-15577.176507415114</v>
      </c>
      <c r="AH33" s="4">
        <f t="shared" si="34"/>
        <v>-13092.969719844838</v>
      </c>
      <c r="AI33" s="4">
        <f t="shared" si="34"/>
        <v>-10423.31200856292</v>
      </c>
      <c r="AJ33" s="4">
        <f t="shared" si="34"/>
        <v>-7558.4560747675278</v>
      </c>
      <c r="AK33" s="4">
        <f t="shared" si="34"/>
        <v>-4182.1805657412424</v>
      </c>
    </row>
    <row r="35" spans="1:37" s="2" customFormat="1" x14ac:dyDescent="0.25">
      <c r="B35" s="2" t="s">
        <v>56</v>
      </c>
      <c r="S35" s="2">
        <f>72.97+3724.218</f>
        <v>3797.1879999999996</v>
      </c>
      <c r="T35" s="2">
        <f>68+4118.55</f>
        <v>4186.55</v>
      </c>
      <c r="U35" s="2">
        <f>88.24+6365.57</f>
        <v>6453.8099999999995</v>
      </c>
      <c r="V35" s="2">
        <f>51.6+7835</f>
        <v>7886.6</v>
      </c>
      <c r="W35" s="2">
        <f>81.959+6963.5+3965.45</f>
        <v>11010.909</v>
      </c>
      <c r="X35" s="2">
        <f>50.3+4060.24+25613.111</f>
        <v>29723.651000000002</v>
      </c>
      <c r="Y35" s="2">
        <f>374.715+3845.133+7837.635</f>
        <v>12057.483</v>
      </c>
      <c r="Z35" s="2">
        <f>201.7+2296.99+135.4+414.57</f>
        <v>3048.66</v>
      </c>
      <c r="AA35" s="2">
        <f>251.888+7728.568+49.4</f>
        <v>8029.8559999999998</v>
      </c>
    </row>
    <row r="36" spans="1:37" s="2" customFormat="1" x14ac:dyDescent="0.25">
      <c r="B36" s="2" t="s">
        <v>57</v>
      </c>
      <c r="S36" s="2">
        <v>0</v>
      </c>
      <c r="T36" s="2">
        <v>0</v>
      </c>
      <c r="U36" s="2">
        <v>0</v>
      </c>
      <c r="V36" s="2">
        <v>0</v>
      </c>
      <c r="W36" s="2">
        <v>4730.3</v>
      </c>
      <c r="X36" s="2">
        <v>26240.5</v>
      </c>
      <c r="Y36" s="2">
        <v>6765.8</v>
      </c>
      <c r="Z36" s="2">
        <v>0</v>
      </c>
      <c r="AA36" s="2">
        <v>0</v>
      </c>
    </row>
    <row r="37" spans="1:37" x14ac:dyDescent="0.25">
      <c r="B37" s="2" t="s">
        <v>58</v>
      </c>
      <c r="C37" s="2">
        <f t="shared" ref="C37:Y37" si="35">+C35-C36</f>
        <v>0</v>
      </c>
      <c r="D37" s="2">
        <f t="shared" si="35"/>
        <v>0</v>
      </c>
      <c r="E37" s="2">
        <f t="shared" si="35"/>
        <v>0</v>
      </c>
      <c r="F37" s="2">
        <f t="shared" si="35"/>
        <v>0</v>
      </c>
      <c r="G37" s="2">
        <f t="shared" si="35"/>
        <v>0</v>
      </c>
      <c r="H37" s="2">
        <f t="shared" si="35"/>
        <v>0</v>
      </c>
      <c r="I37" s="2">
        <f t="shared" si="35"/>
        <v>0</v>
      </c>
      <c r="J37" s="2">
        <f t="shared" si="35"/>
        <v>0</v>
      </c>
      <c r="K37" s="2"/>
      <c r="L37" s="2"/>
      <c r="M37" s="2"/>
      <c r="N37" s="2"/>
      <c r="O37" s="2"/>
      <c r="P37" s="2"/>
      <c r="Q37" s="2"/>
      <c r="R37" s="2"/>
      <c r="S37" s="2">
        <f t="shared" si="35"/>
        <v>3797.1879999999996</v>
      </c>
      <c r="T37" s="2">
        <f t="shared" si="35"/>
        <v>4186.55</v>
      </c>
      <c r="U37" s="2">
        <f t="shared" si="35"/>
        <v>6453.8099999999995</v>
      </c>
      <c r="V37" s="2">
        <f t="shared" si="35"/>
        <v>7886.6</v>
      </c>
      <c r="W37" s="2">
        <f t="shared" si="35"/>
        <v>6280.6089999999995</v>
      </c>
      <c r="X37" s="2">
        <f t="shared" si="35"/>
        <v>3483.1510000000017</v>
      </c>
      <c r="Y37" s="2">
        <f t="shared" si="35"/>
        <v>5291.683</v>
      </c>
      <c r="Z37" s="2">
        <f>+Z35-Z36</f>
        <v>3048.66</v>
      </c>
      <c r="AA37" s="2">
        <f>+AA35-AA36</f>
        <v>8029.8559999999998</v>
      </c>
    </row>
    <row r="39" spans="1:37" x14ac:dyDescent="0.25">
      <c r="Z39" s="16"/>
    </row>
    <row r="40" spans="1:37" x14ac:dyDescent="0.25">
      <c r="Z40" s="16"/>
    </row>
    <row r="41" spans="1:37" s="16" customFormat="1" x14ac:dyDescent="0.25">
      <c r="A41" s="16" t="s">
        <v>82</v>
      </c>
      <c r="B41" s="16" t="s">
        <v>17</v>
      </c>
      <c r="P41" s="16">
        <f t="shared" ref="P41:S41" si="36">P5/O5-1</f>
        <v>0.11621688783894091</v>
      </c>
      <c r="Q41" s="16">
        <f t="shared" si="36"/>
        <v>1.9999445421737594E-2</v>
      </c>
      <c r="R41" s="16">
        <f t="shared" si="36"/>
        <v>3.53668054110301E-2</v>
      </c>
      <c r="S41" s="16">
        <f t="shared" si="36"/>
        <v>1.4315129587055164E-2</v>
      </c>
      <c r="T41" s="16">
        <f>T5/S5-1</f>
        <v>2.7895376268586736E-2</v>
      </c>
      <c r="U41" s="16">
        <f t="shared" ref="U41:AD41" si="37">U5/T5-1</f>
        <v>2.3779772914314545E-2</v>
      </c>
      <c r="V41" s="16">
        <f t="shared" si="37"/>
        <v>3.3125716478234146E-2</v>
      </c>
      <c r="W41" s="16">
        <f t="shared" si="37"/>
        <v>8.1564206350743573E-2</v>
      </c>
      <c r="X41" s="16">
        <f t="shared" si="37"/>
        <v>0.15344987218014228</v>
      </c>
      <c r="Y41" s="16">
        <f t="shared" si="37"/>
        <v>-0.79829475071678346</v>
      </c>
      <c r="Z41" s="16">
        <f t="shared" si="37"/>
        <v>-0.30634438078508508</v>
      </c>
      <c r="AA41" s="16">
        <f t="shared" si="37"/>
        <v>4.769989883497046</v>
      </c>
      <c r="AB41" s="16">
        <f t="shared" si="37"/>
        <v>0.28083603789433531</v>
      </c>
      <c r="AC41" s="16">
        <f t="shared" si="37"/>
        <v>0.18489790472582057</v>
      </c>
      <c r="AD41" s="16">
        <f t="shared" si="37"/>
        <v>2.8999999999999915E-2</v>
      </c>
      <c r="AE41" s="16">
        <v>0.04</v>
      </c>
      <c r="AF41" s="16">
        <v>0.04</v>
      </c>
      <c r="AG41" s="16">
        <v>0.03</v>
      </c>
      <c r="AH41" s="16">
        <v>0.03</v>
      </c>
      <c r="AI41" s="16">
        <v>0.03</v>
      </c>
      <c r="AJ41" s="16">
        <v>0.03</v>
      </c>
      <c r="AK41" s="16">
        <v>0.03</v>
      </c>
    </row>
    <row r="42" spans="1:37" s="16" customFormat="1" x14ac:dyDescent="0.25"/>
    <row r="43" spans="1:37" s="16" customFormat="1" x14ac:dyDescent="0.25">
      <c r="A43" s="16" t="s">
        <v>82</v>
      </c>
      <c r="B43" s="16" t="s">
        <v>95</v>
      </c>
      <c r="T43" s="16">
        <f>T18/S33</f>
        <v>2.9846578253246141E-2</v>
      </c>
      <c r="U43" s="16">
        <f t="shared" ref="U43:Z43" si="38">U18/T33</f>
        <v>1.6820488998470284E-2</v>
      </c>
      <c r="V43" s="16">
        <f t="shared" si="38"/>
        <v>1.182877948398498E-2</v>
      </c>
      <c r="W43" s="16">
        <f t="shared" si="38"/>
        <v>1.1588335009633362E-2</v>
      </c>
      <c r="X43" s="16">
        <f t="shared" si="38"/>
        <v>1.355243346763851E-2</v>
      </c>
      <c r="Y43" s="16">
        <f t="shared" si="38"/>
        <v>9.0148728791079574E-2</v>
      </c>
      <c r="Z43" s="16">
        <f t="shared" si="38"/>
        <v>8.6866544035863968E-2</v>
      </c>
      <c r="AA43" s="16">
        <f>AA18/Z33</f>
        <v>6.6023498866822919E-2</v>
      </c>
      <c r="AB43" s="16">
        <v>0.06</v>
      </c>
      <c r="AC43" s="16">
        <v>0.06</v>
      </c>
      <c r="AD43" s="16">
        <v>0.06</v>
      </c>
      <c r="AE43" s="16">
        <v>5.5E-2</v>
      </c>
      <c r="AF43" s="16">
        <v>0.05</v>
      </c>
      <c r="AG43" s="16">
        <v>4.4999999999999998E-2</v>
      </c>
      <c r="AH43" s="16">
        <v>4.4999999999999998E-2</v>
      </c>
      <c r="AI43" s="16">
        <v>4.4999999999999998E-2</v>
      </c>
      <c r="AJ43" s="16">
        <v>4.4999999999999998E-2</v>
      </c>
      <c r="AK43" s="16">
        <v>4.4999999999999998E-2</v>
      </c>
    </row>
    <row r="44" spans="1:37" s="16" customFormat="1" x14ac:dyDescent="0.25">
      <c r="A44" s="16" t="s">
        <v>82</v>
      </c>
      <c r="B44" s="16" t="s">
        <v>96</v>
      </c>
      <c r="S44" s="16">
        <f>S21/S20</f>
        <v>-5.365719595346221E-2</v>
      </c>
      <c r="T44" s="16">
        <f t="shared" ref="T44:Z44" si="39">T21/T20</f>
        <v>-1.5019209569038801E-2</v>
      </c>
      <c r="U44" s="16">
        <f t="shared" si="39"/>
        <v>2.0320483951648464E-3</v>
      </c>
      <c r="V44" s="16">
        <f t="shared" si="39"/>
        <v>1.0644385240606183E-3</v>
      </c>
      <c r="W44" s="16">
        <f t="shared" si="39"/>
        <v>4.265337592245841E-3</v>
      </c>
      <c r="X44" s="16">
        <f t="shared" si="39"/>
        <v>4.062698711836189E-3</v>
      </c>
      <c r="Y44" s="16">
        <f t="shared" si="39"/>
        <v>1.523760710695848E-3</v>
      </c>
      <c r="Z44" s="16">
        <f t="shared" si="39"/>
        <v>8.1700970910698074E-3</v>
      </c>
      <c r="AA44" s="16">
        <f>AA21/AA20</f>
        <v>1.0007467567103743E-2</v>
      </c>
      <c r="AB44" s="16">
        <v>0.01</v>
      </c>
      <c r="AC44" s="16">
        <v>0.01</v>
      </c>
      <c r="AD44" s="16">
        <v>0.02</v>
      </c>
      <c r="AE44" s="16">
        <v>0.03</v>
      </c>
      <c r="AF44" s="16">
        <v>0.03</v>
      </c>
      <c r="AG44" s="16">
        <v>0.03</v>
      </c>
      <c r="AH44" s="16">
        <v>0.03</v>
      </c>
      <c r="AI44" s="16">
        <v>0.03</v>
      </c>
      <c r="AJ44" s="16">
        <v>0.03</v>
      </c>
      <c r="AK44" s="16">
        <v>0.03</v>
      </c>
    </row>
    <row r="45" spans="1:37" s="14" customFormat="1" x14ac:dyDescent="0.25"/>
    <row r="46" spans="1:37" s="14" customFormat="1" x14ac:dyDescent="0.25">
      <c r="B46" s="14" t="s">
        <v>79</v>
      </c>
      <c r="C46" s="14">
        <f>C13/C5</f>
        <v>-5.7475127338506207</v>
      </c>
      <c r="D46" s="14">
        <f t="shared" ref="D46:AK46" si="40">D13/D5</f>
        <v>-7.3457760314341831</v>
      </c>
      <c r="E46" s="14">
        <f t="shared" si="40"/>
        <v>-0.78062316449214131</v>
      </c>
      <c r="F46" s="14">
        <f t="shared" si="40"/>
        <v>-0.15601896815361857</v>
      </c>
      <c r="G46" s="14">
        <f t="shared" si="40"/>
        <v>-0.11851083997024245</v>
      </c>
      <c r="H46" s="14">
        <f t="shared" si="40"/>
        <v>0.22585843787198964</v>
      </c>
      <c r="I46" s="14">
        <f t="shared" si="40"/>
        <v>0.34641154399997326</v>
      </c>
      <c r="J46" s="14">
        <f t="shared" si="40"/>
        <v>0.31549712902343791</v>
      </c>
      <c r="S46" s="14">
        <f t="shared" si="40"/>
        <v>0.34277798427441097</v>
      </c>
      <c r="T46" s="14">
        <f t="shared" si="40"/>
        <v>0.38554922419018034</v>
      </c>
      <c r="U46" s="14">
        <f t="shared" si="40"/>
        <v>0.40969055202073346</v>
      </c>
      <c r="V46" s="14">
        <f t="shared" si="40"/>
        <v>0.44218016443624697</v>
      </c>
      <c r="W46" s="14">
        <f t="shared" si="40"/>
        <v>0.44572106304831671</v>
      </c>
      <c r="X46" s="14">
        <f t="shared" si="40"/>
        <v>0.44635467990642019</v>
      </c>
      <c r="Y46" s="14">
        <f t="shared" si="40"/>
        <v>-0.25187148707106333</v>
      </c>
      <c r="Z46" s="14">
        <f t="shared" si="40"/>
        <v>-0.73448552687400059</v>
      </c>
      <c r="AA46" s="14">
        <f t="shared" si="40"/>
        <v>0.25181590613189986</v>
      </c>
      <c r="AB46" s="14">
        <f t="shared" si="40"/>
        <v>0.35546354660637441</v>
      </c>
      <c r="AC46" s="14">
        <f t="shared" si="40"/>
        <v>0.40506636681267544</v>
      </c>
      <c r="AD46" s="14">
        <f t="shared" si="40"/>
        <v>0.40526045868682609</v>
      </c>
      <c r="AE46" s="14">
        <f t="shared" si="40"/>
        <v>0.41141778345293178</v>
      </c>
      <c r="AF46" s="14">
        <f t="shared" si="40"/>
        <v>0.41705645943587949</v>
      </c>
      <c r="AG46" s="14">
        <f t="shared" si="40"/>
        <v>0.41703446056405169</v>
      </c>
      <c r="AH46" s="14">
        <f t="shared" si="40"/>
        <v>0.41591031058149286</v>
      </c>
      <c r="AI46" s="14">
        <f t="shared" si="40"/>
        <v>0.41477879542907486</v>
      </c>
      <c r="AJ46" s="14">
        <f t="shared" si="40"/>
        <v>0.41363986935346791</v>
      </c>
      <c r="AK46" s="14">
        <f t="shared" si="40"/>
        <v>0.43071831976064845</v>
      </c>
    </row>
    <row r="47" spans="1:37" s="14" customFormat="1" x14ac:dyDescent="0.25">
      <c r="B47" s="14" t="s">
        <v>80</v>
      </c>
      <c r="C47" s="14">
        <f>C17/C5</f>
        <v>-19.260056171752272</v>
      </c>
      <c r="D47" s="14">
        <f t="shared" ref="D47:AK47" si="41">D17/D5</f>
        <v>-20.108251473477406</v>
      </c>
      <c r="E47" s="14">
        <f t="shared" si="41"/>
        <v>-2.2010863142783359</v>
      </c>
      <c r="F47" s="14">
        <f t="shared" si="41"/>
        <v>-1.0504521123347974</v>
      </c>
      <c r="G47" s="14">
        <f t="shared" si="41"/>
        <v>-0.81118795953279166</v>
      </c>
      <c r="H47" s="14">
        <f t="shared" si="41"/>
        <v>-0.10014192839483578</v>
      </c>
      <c r="I47" s="14">
        <f t="shared" si="41"/>
        <v>9.9709662654064252E-2</v>
      </c>
      <c r="J47" s="14">
        <f t="shared" si="41"/>
        <v>5.9308937969087963E-3</v>
      </c>
      <c r="S47" s="14">
        <f t="shared" si="41"/>
        <v>0.11665120728693519</v>
      </c>
      <c r="T47" s="14">
        <f t="shared" si="41"/>
        <v>0.10542542718641969</v>
      </c>
      <c r="U47" s="14">
        <f t="shared" si="41"/>
        <v>0.1738671110891411</v>
      </c>
      <c r="V47" s="14">
        <f t="shared" si="41"/>
        <v>0.19870424146176682</v>
      </c>
      <c r="W47" s="14">
        <f t="shared" si="41"/>
        <v>0.19958225500140625</v>
      </c>
      <c r="X47" s="14">
        <f t="shared" si="41"/>
        <v>0.19018831472851352</v>
      </c>
      <c r="Y47" s="14">
        <f t="shared" si="41"/>
        <v>-2.0832825894544791</v>
      </c>
      <c r="Z47" s="14">
        <f t="shared" si="41"/>
        <v>-2.5260855660346571</v>
      </c>
      <c r="AA47" s="14">
        <f t="shared" si="41"/>
        <v>-8.6429711475268942E-2</v>
      </c>
      <c r="AB47" s="14">
        <f t="shared" si="41"/>
        <v>8.5463546606374466E-2</v>
      </c>
      <c r="AC47" s="14">
        <f t="shared" si="41"/>
        <v>0.16506636681267545</v>
      </c>
      <c r="AD47" s="14">
        <f t="shared" si="41"/>
        <v>0.17526045868682605</v>
      </c>
      <c r="AE47" s="14">
        <f t="shared" si="41"/>
        <v>0.18141778345293175</v>
      </c>
      <c r="AF47" s="14">
        <f t="shared" si="41"/>
        <v>0.1870564594358794</v>
      </c>
      <c r="AG47" s="14">
        <f t="shared" si="41"/>
        <v>0.2070344605640517</v>
      </c>
      <c r="AH47" s="14">
        <f t="shared" si="41"/>
        <v>0.20591031058149289</v>
      </c>
      <c r="AI47" s="14">
        <f t="shared" si="41"/>
        <v>0.20477879542907487</v>
      </c>
      <c r="AJ47" s="14">
        <f t="shared" si="41"/>
        <v>0.20363986935346792</v>
      </c>
      <c r="AK47" s="14">
        <f t="shared" si="41"/>
        <v>0.22071831976064843</v>
      </c>
    </row>
    <row r="48" spans="1:37" s="14" customFormat="1" x14ac:dyDescent="0.25"/>
    <row r="49" spans="1:37" s="14" customFormat="1" x14ac:dyDescent="0.25">
      <c r="B49" s="14" t="s">
        <v>92</v>
      </c>
      <c r="C49" s="14">
        <f>C8/C$5</f>
        <v>2.3001856524015802</v>
      </c>
      <c r="D49" s="14">
        <f t="shared" ref="D49:J49" si="42">D8/D$5</f>
        <v>3.2927308447937125</v>
      </c>
      <c r="E49" s="14">
        <f t="shared" si="42"/>
        <v>0.58204473934147127</v>
      </c>
      <c r="F49" s="14">
        <f t="shared" si="42"/>
        <v>0.31342450915117714</v>
      </c>
      <c r="G49" s="14">
        <f t="shared" si="42"/>
        <v>0.33006869153761037</v>
      </c>
      <c r="H49" s="14">
        <f t="shared" si="42"/>
        <v>0.14975734822818426</v>
      </c>
      <c r="I49" s="14">
        <f t="shared" si="42"/>
        <v>0.10169157420307577</v>
      </c>
      <c r="J49" s="14">
        <f t="shared" si="42"/>
        <v>0.11776917901437485</v>
      </c>
      <c r="S49" s="14">
        <f t="shared" ref="S49:AK49" si="43">S8/S$5</f>
        <v>0.10498588838753076</v>
      </c>
      <c r="T49" s="14">
        <f t="shared" si="43"/>
        <v>0.10383934585441501</v>
      </c>
      <c r="U49" s="14">
        <f t="shared" si="43"/>
        <v>0.10391317755007402</v>
      </c>
      <c r="V49" s="14">
        <f t="shared" si="43"/>
        <v>9.7175054996257643E-2</v>
      </c>
      <c r="W49" s="14">
        <f t="shared" si="43"/>
        <v>9.7430647062355241E-2</v>
      </c>
      <c r="X49" s="14">
        <f t="shared" si="43"/>
        <v>9.8543859057954236E-2</v>
      </c>
      <c r="Y49" s="14">
        <f t="shared" si="43"/>
        <v>0.3568898114591374</v>
      </c>
      <c r="Z49" s="14">
        <f t="shared" si="43"/>
        <v>0.54699605130046014</v>
      </c>
      <c r="AA49" s="14">
        <f t="shared" si="43"/>
        <v>0.14566590765896462</v>
      </c>
      <c r="AB49" s="14">
        <f t="shared" si="43"/>
        <v>0.11847928572452378</v>
      </c>
      <c r="AC49" s="14">
        <f t="shared" si="43"/>
        <v>0.10400167140915245</v>
      </c>
      <c r="AD49" s="14">
        <f t="shared" si="43"/>
        <v>0.10390060078581996</v>
      </c>
      <c r="AE49" s="14">
        <f t="shared" si="43"/>
        <v>0.10270174769982973</v>
      </c>
      <c r="AF49" s="14">
        <f t="shared" si="43"/>
        <v>0.10151672753406246</v>
      </c>
      <c r="AG49" s="14">
        <f t="shared" si="43"/>
        <v>0.10131960767477302</v>
      </c>
      <c r="AH49" s="14">
        <f t="shared" si="43"/>
        <v>0.10112287057249192</v>
      </c>
      <c r="AI49" s="14">
        <f t="shared" si="43"/>
        <v>0.10092651548400165</v>
      </c>
      <c r="AJ49" s="14">
        <f t="shared" si="43"/>
        <v>0.10073054166752786</v>
      </c>
      <c r="AK49" s="14">
        <f t="shared" si="43"/>
        <v>9.779664239565812E-2</v>
      </c>
    </row>
    <row r="50" spans="1:37" s="14" customFormat="1" x14ac:dyDescent="0.25">
      <c r="B50" s="14" t="s">
        <v>93</v>
      </c>
      <c r="C50" s="14">
        <f>C9/C$5</f>
        <v>0.20231351454277144</v>
      </c>
      <c r="D50" s="14">
        <f t="shared" ref="D50:J50" si="44">D9/D$5</f>
        <v>0.33791748526522586</v>
      </c>
      <c r="E50" s="14">
        <f t="shared" si="44"/>
        <v>0.10712144223320305</v>
      </c>
      <c r="F50" s="14">
        <f t="shared" si="44"/>
        <v>9.1369245773599728E-2</v>
      </c>
      <c r="G50" s="14">
        <f t="shared" si="44"/>
        <v>9.4578315527912779E-2</v>
      </c>
      <c r="H50" s="14">
        <f t="shared" si="44"/>
        <v>7.105576412416445E-2</v>
      </c>
      <c r="I50" s="14">
        <f t="shared" si="44"/>
        <v>6.5137133444924444E-2</v>
      </c>
      <c r="J50" s="14">
        <f t="shared" si="44"/>
        <v>7.7865062565476387E-2</v>
      </c>
      <c r="S50" s="14">
        <f t="shared" ref="S50:AK50" si="45">S9/S$5</f>
        <v>5.9219601263189654E-2</v>
      </c>
      <c r="T50" s="14">
        <f t="shared" si="45"/>
        <v>5.7837805922832317E-2</v>
      </c>
      <c r="U50" s="14">
        <f t="shared" si="45"/>
        <v>5.7161722231245632E-2</v>
      </c>
      <c r="V50" s="14">
        <f t="shared" si="45"/>
        <v>5.61468784568466E-2</v>
      </c>
      <c r="W50" s="14">
        <f t="shared" si="45"/>
        <v>5.4867213758830732E-2</v>
      </c>
      <c r="X50" s="14">
        <f t="shared" si="45"/>
        <v>5.3321001653142824E-2</v>
      </c>
      <c r="Y50" s="14">
        <f t="shared" si="45"/>
        <v>7.3252278947213548E-2</v>
      </c>
      <c r="Z50" s="14">
        <f t="shared" si="45"/>
        <v>0.10730019906667101</v>
      </c>
      <c r="AA50" s="14">
        <f t="shared" si="45"/>
        <v>7.3875995561332009E-2</v>
      </c>
      <c r="AB50" s="14">
        <f t="shared" si="45"/>
        <v>6.2708955432659377E-2</v>
      </c>
      <c r="AC50" s="14">
        <f t="shared" si="45"/>
        <v>5.7169450364282871E-2</v>
      </c>
      <c r="AD50" s="14">
        <f t="shared" si="45"/>
        <v>5.7169450364282878E-2</v>
      </c>
      <c r="AE50" s="14">
        <f t="shared" si="45"/>
        <v>5.6564773485429876E-2</v>
      </c>
      <c r="AF50" s="14">
        <f t="shared" si="45"/>
        <v>5.5966492227410902E-2</v>
      </c>
      <c r="AG50" s="14">
        <f t="shared" si="45"/>
        <v>5.5912155827190113E-2</v>
      </c>
      <c r="AH50" s="14">
        <f t="shared" si="45"/>
        <v>5.5857872180755941E-2</v>
      </c>
      <c r="AI50" s="14">
        <f t="shared" si="45"/>
        <v>5.5803641236891126E-2</v>
      </c>
      <c r="AJ50" s="14">
        <f t="shared" si="45"/>
        <v>5.5749462944428119E-2</v>
      </c>
      <c r="AK50" s="14">
        <f t="shared" si="45"/>
        <v>5.4125692179056425E-2</v>
      </c>
    </row>
    <row r="51" spans="1:37" s="14" customFormat="1" x14ac:dyDescent="0.25">
      <c r="B51" s="14" t="s">
        <v>94</v>
      </c>
      <c r="C51" s="14">
        <f>C10/C$5</f>
        <v>0.99490645975151126</v>
      </c>
      <c r="D51" s="14">
        <f t="shared" ref="D51:J51" si="46">D10/D$5</f>
        <v>1.161100196463654</v>
      </c>
      <c r="E51" s="14">
        <f t="shared" si="46"/>
        <v>0.25849202771370672</v>
      </c>
      <c r="F51" s="14">
        <f t="shared" si="46"/>
        <v>0.16927997980205201</v>
      </c>
      <c r="G51" s="14">
        <f t="shared" si="46"/>
        <v>0.17794091545918345</v>
      </c>
      <c r="H51" s="14">
        <f t="shared" si="46"/>
        <v>0.12599578793150812</v>
      </c>
      <c r="I51" s="14">
        <f t="shared" si="46"/>
        <v>0.10564403772714971</v>
      </c>
      <c r="J51" s="14">
        <f t="shared" si="46"/>
        <v>0.11240433918383773</v>
      </c>
      <c r="S51" s="14">
        <f t="shared" ref="S51:AK51" si="47">S10/S$5</f>
        <v>0.1173405936476131</v>
      </c>
      <c r="T51" s="14">
        <f t="shared" si="47"/>
        <v>9.5890262402895748E-2</v>
      </c>
      <c r="U51" s="14">
        <f t="shared" si="47"/>
        <v>8.3996553842677263E-2</v>
      </c>
      <c r="V51" s="14">
        <f t="shared" si="47"/>
        <v>7.7593994898534621E-2</v>
      </c>
      <c r="W51" s="14">
        <f t="shared" si="47"/>
        <v>7.4848612203926135E-2</v>
      </c>
      <c r="X51" s="14">
        <f t="shared" si="47"/>
        <v>6.3736815060502772E-2</v>
      </c>
      <c r="Y51" s="14">
        <f t="shared" si="47"/>
        <v>0.1679686527330389</v>
      </c>
      <c r="Z51" s="14">
        <f t="shared" si="47"/>
        <v>0.25147668309238652</v>
      </c>
      <c r="AA51" s="14">
        <f t="shared" si="47"/>
        <v>0.12132585410989662</v>
      </c>
      <c r="AB51" s="14">
        <f t="shared" si="47"/>
        <v>0.10407051959822301</v>
      </c>
      <c r="AC51" s="14">
        <f t="shared" si="47"/>
        <v>9.5718867091909285E-2</v>
      </c>
      <c r="AD51" s="14">
        <f t="shared" si="47"/>
        <v>9.5625845841091114E-2</v>
      </c>
      <c r="AE51" s="14">
        <f t="shared" si="47"/>
        <v>9.4522470696770833E-2</v>
      </c>
      <c r="AF51" s="14">
        <f t="shared" si="47"/>
        <v>9.3886261759388703E-2</v>
      </c>
      <c r="AG51" s="14">
        <f t="shared" si="47"/>
        <v>9.4159716890726719E-2</v>
      </c>
      <c r="AH51" s="14">
        <f t="shared" si="47"/>
        <v>9.4891054497644997E-2</v>
      </c>
      <c r="AI51" s="14">
        <f t="shared" si="47"/>
        <v>9.5628072396655814E-2</v>
      </c>
      <c r="AJ51" s="14">
        <f t="shared" si="47"/>
        <v>9.6370814706532762E-2</v>
      </c>
      <c r="AK51" s="14">
        <f t="shared" si="47"/>
        <v>9.356389777333278E-2</v>
      </c>
    </row>
    <row r="52" spans="1:37" s="14" customFormat="1" x14ac:dyDescent="0.25">
      <c r="A52" s="14" t="s">
        <v>82</v>
      </c>
      <c r="B52" s="14" t="s">
        <v>89</v>
      </c>
      <c r="C52" s="14">
        <f>C14/C$5</f>
        <v>6.1408102061217686</v>
      </c>
      <c r="D52" s="14">
        <f t="shared" ref="D52:J52" si="48">D14/D$5</f>
        <v>5.6100196463654219</v>
      </c>
      <c r="E52" s="14">
        <f t="shared" si="48"/>
        <v>0.70777183023385082</v>
      </c>
      <c r="F52" s="14">
        <f t="shared" si="48"/>
        <v>0.51220530236857587</v>
      </c>
      <c r="G52" s="14">
        <f t="shared" si="48"/>
        <v>0.37199734146000668</v>
      </c>
      <c r="H52" s="14">
        <f t="shared" si="48"/>
        <v>0.17006226536031499</v>
      </c>
      <c r="I52" s="14">
        <f t="shared" si="48"/>
        <v>0.12465996451803665</v>
      </c>
      <c r="J52" s="14">
        <f t="shared" si="48"/>
        <v>0.17064491749590627</v>
      </c>
      <c r="S52" s="14">
        <f t="shared" ref="S52:AA52" si="49">S14/S$5</f>
        <v>0.1299194795244448</v>
      </c>
      <c r="T52" s="14">
        <f t="shared" si="49"/>
        <v>0.13091828361491106</v>
      </c>
      <c r="U52" s="14">
        <f t="shared" si="49"/>
        <v>0.13049496140727507</v>
      </c>
      <c r="V52" s="14">
        <f t="shared" si="49"/>
        <v>0.1351125045141931</v>
      </c>
      <c r="W52" s="14">
        <f t="shared" si="49"/>
        <v>0.13725756622985666</v>
      </c>
      <c r="X52" s="14">
        <f t="shared" si="49"/>
        <v>0.14238871695095556</v>
      </c>
      <c r="Y52" s="14">
        <f t="shared" si="49"/>
        <v>0.54309909657031741</v>
      </c>
      <c r="Z52" s="14">
        <f t="shared" si="49"/>
        <v>0.89423359331658114</v>
      </c>
      <c r="AA52" s="14">
        <f t="shared" si="49"/>
        <v>0.17905726944999656</v>
      </c>
      <c r="AB52" s="14">
        <v>0.15</v>
      </c>
      <c r="AC52" s="14">
        <v>0.14000000000000001</v>
      </c>
      <c r="AD52" s="14">
        <v>0.13</v>
      </c>
      <c r="AE52" s="14">
        <v>0.13</v>
      </c>
      <c r="AF52" s="14">
        <v>0.13</v>
      </c>
      <c r="AG52" s="14">
        <v>0.12</v>
      </c>
      <c r="AH52" s="14">
        <v>0.12</v>
      </c>
      <c r="AI52" s="14">
        <v>0.12</v>
      </c>
      <c r="AJ52" s="14">
        <v>0.12</v>
      </c>
      <c r="AK52" s="14">
        <v>0.12</v>
      </c>
    </row>
    <row r="53" spans="1:37" s="14" customFormat="1" x14ac:dyDescent="0.25"/>
    <row r="54" spans="1:37" s="14" customFormat="1" x14ac:dyDescent="0.25">
      <c r="A54" s="14" t="s">
        <v>82</v>
      </c>
      <c r="B54" s="14" t="s">
        <v>90</v>
      </c>
      <c r="C54" s="14">
        <f>C15/C$5</f>
        <v>7.382443947255676</v>
      </c>
      <c r="D54" s="14">
        <f t="shared" ref="D54:J54" si="50">D15/D$5</f>
        <v>6.3544204322200386</v>
      </c>
      <c r="E54" s="14">
        <f t="shared" si="50"/>
        <v>0.71319464808581956</v>
      </c>
      <c r="F54" s="14">
        <f t="shared" si="50"/>
        <v>0.33940900641162702</v>
      </c>
      <c r="G54" s="14">
        <f t="shared" si="50"/>
        <v>0.32051645160437597</v>
      </c>
      <c r="H54" s="14">
        <f t="shared" si="50"/>
        <v>0.16092848640234411</v>
      </c>
      <c r="I54" s="14">
        <f t="shared" si="50"/>
        <v>0.1186340446431256</v>
      </c>
      <c r="J54" s="14">
        <f t="shared" si="50"/>
        <v>0.1384796881096409</v>
      </c>
      <c r="S54" s="14">
        <f t="shared" ref="S54:AA54" si="51">S15/S$5</f>
        <v>9.5672484256885237E-2</v>
      </c>
      <c r="T54" s="14">
        <f t="shared" si="51"/>
        <v>9.9649719787879856E-2</v>
      </c>
      <c r="U54" s="14">
        <f t="shared" si="51"/>
        <v>0.1053284795243173</v>
      </c>
      <c r="V54" s="14">
        <f t="shared" si="51"/>
        <v>0.10836341846028708</v>
      </c>
      <c r="W54" s="14">
        <f t="shared" si="51"/>
        <v>0.10888124181705382</v>
      </c>
      <c r="X54" s="14">
        <f t="shared" si="51"/>
        <v>0.11377764822695115</v>
      </c>
      <c r="Y54" s="14">
        <f t="shared" si="51"/>
        <v>0.57915931917937535</v>
      </c>
      <c r="Z54" s="14">
        <f t="shared" si="51"/>
        <v>0.84384688183271872</v>
      </c>
      <c r="AA54" s="14">
        <f t="shared" si="51"/>
        <v>0.15911787695025953</v>
      </c>
      <c r="AB54" s="14">
        <v>0.12</v>
      </c>
      <c r="AC54" s="14">
        <v>0.1</v>
      </c>
      <c r="AD54" s="14">
        <v>0.1</v>
      </c>
      <c r="AE54" s="14">
        <v>0.1</v>
      </c>
      <c r="AF54" s="14">
        <v>0.1</v>
      </c>
      <c r="AG54" s="14">
        <v>0.09</v>
      </c>
      <c r="AH54" s="14">
        <v>0.09</v>
      </c>
      <c r="AI54" s="14">
        <v>0.09</v>
      </c>
      <c r="AJ54" s="14">
        <v>0.09</v>
      </c>
      <c r="AK54" s="14">
        <v>0.09</v>
      </c>
    </row>
    <row r="55" spans="1:37" s="16" customFormat="1" x14ac:dyDescent="0.25">
      <c r="B55" s="16" t="s">
        <v>91</v>
      </c>
      <c r="C55" s="16" t="e">
        <f>C15/C31</f>
        <v>#DIV/0!</v>
      </c>
      <c r="D55" s="16" t="e">
        <f t="shared" ref="D55:J55" si="52">D15/D31</f>
        <v>#DIV/0!</v>
      </c>
      <c r="E55" s="16" t="e">
        <f t="shared" si="52"/>
        <v>#DIV/0!</v>
      </c>
      <c r="F55" s="16" t="e">
        <f t="shared" si="52"/>
        <v>#DIV/0!</v>
      </c>
      <c r="G55" s="16" t="e">
        <f t="shared" si="52"/>
        <v>#DIV/0!</v>
      </c>
      <c r="H55" s="16" t="e">
        <f t="shared" si="52"/>
        <v>#DIV/0!</v>
      </c>
      <c r="I55" s="16">
        <f t="shared" si="52"/>
        <v>1.2821901662644023E-2</v>
      </c>
      <c r="J55" s="16">
        <f t="shared" si="52"/>
        <v>1.3090618408291888E-2</v>
      </c>
      <c r="S55" s="16">
        <f t="shared" ref="S55:AK55" si="53">S15/S31</f>
        <v>4.2456962888048552E-2</v>
      </c>
      <c r="T55" s="16">
        <f t="shared" si="53"/>
        <v>4.4041421942544109E-2</v>
      </c>
      <c r="U55" s="16">
        <f t="shared" si="53"/>
        <v>4.4387542531768624E-2</v>
      </c>
      <c r="V55" s="16">
        <f t="shared" si="53"/>
        <v>4.8198192263764504E-2</v>
      </c>
      <c r="W55" s="16">
        <f t="shared" si="53"/>
        <v>4.4050667003037565E-2</v>
      </c>
      <c r="X55" s="16">
        <f t="shared" si="53"/>
        <v>4.8924074033934679E-2</v>
      </c>
      <c r="Y55" s="16">
        <f t="shared" si="53"/>
        <v>5.0670189253206377E-2</v>
      </c>
      <c r="Z55" s="16">
        <f t="shared" si="53"/>
        <v>4.9903601018220278E-2</v>
      </c>
      <c r="AA55" s="16">
        <f t="shared" si="53"/>
        <v>5.1065754582850884E-2</v>
      </c>
      <c r="AB55" s="16" t="e">
        <f t="shared" si="53"/>
        <v>#DIV/0!</v>
      </c>
      <c r="AC55" s="16" t="e">
        <f t="shared" si="53"/>
        <v>#DIV/0!</v>
      </c>
      <c r="AD55" s="16" t="e">
        <f t="shared" si="53"/>
        <v>#DIV/0!</v>
      </c>
      <c r="AE55" s="16" t="e">
        <f t="shared" si="53"/>
        <v>#DIV/0!</v>
      </c>
      <c r="AF55" s="16" t="e">
        <f t="shared" si="53"/>
        <v>#DIV/0!</v>
      </c>
      <c r="AG55" s="16" t="e">
        <f t="shared" si="53"/>
        <v>#DIV/0!</v>
      </c>
      <c r="AH55" s="16" t="e">
        <f t="shared" si="53"/>
        <v>#DIV/0!</v>
      </c>
      <c r="AI55" s="16" t="e">
        <f t="shared" si="53"/>
        <v>#DIV/0!</v>
      </c>
      <c r="AJ55" s="16" t="e">
        <f t="shared" si="53"/>
        <v>#DIV/0!</v>
      </c>
      <c r="AK55" s="16" t="e">
        <f t="shared" si="53"/>
        <v>#DIV/0!</v>
      </c>
    </row>
    <row r="56" spans="1:37" s="14" customFormat="1" x14ac:dyDescent="0.25"/>
    <row r="57" spans="1:37" s="14" customFormat="1" x14ac:dyDescent="0.25"/>
    <row r="59" spans="1:37" x14ac:dyDescent="0.25">
      <c r="B59" t="s">
        <v>81</v>
      </c>
      <c r="U59">
        <v>130.9</v>
      </c>
      <c r="V59">
        <v>135.6</v>
      </c>
      <c r="W59">
        <v>140.6</v>
      </c>
      <c r="X59">
        <v>145.6</v>
      </c>
      <c r="Y59">
        <v>155.9</v>
      </c>
      <c r="Z59">
        <v>166.6</v>
      </c>
    </row>
    <row r="60" spans="1:37" s="3" customFormat="1" x14ac:dyDescent="0.25">
      <c r="A60" s="3" t="s">
        <v>82</v>
      </c>
      <c r="B60" s="3" t="s">
        <v>83</v>
      </c>
      <c r="V60" s="15">
        <f>V59/U59-1</f>
        <v>3.59052711993888E-2</v>
      </c>
      <c r="W60" s="15">
        <f>W59/V59-1</f>
        <v>3.6873156342182911E-2</v>
      </c>
      <c r="X60" s="15">
        <f>X59/W59-1</f>
        <v>3.5561877667140918E-2</v>
      </c>
      <c r="Y60" s="15">
        <f>Y59/X59-1</f>
        <v>7.0741758241758212E-2</v>
      </c>
      <c r="Z60" s="15">
        <f>Z59/Y59-1</f>
        <v>6.8633739576651642E-2</v>
      </c>
      <c r="AA60" s="15">
        <v>5.6000000000000001E-2</v>
      </c>
      <c r="AB60" s="15">
        <v>4.1000000000000002E-2</v>
      </c>
      <c r="AC60" s="15">
        <v>2.8000000000000001E-2</v>
      </c>
      <c r="AD60" s="15">
        <v>2.8000000000000001E-2</v>
      </c>
      <c r="AE60" s="15">
        <v>2.8000000000000001E-2</v>
      </c>
      <c r="AF60" s="15">
        <v>2.8000000000000001E-2</v>
      </c>
      <c r="AG60" s="15">
        <v>2.8000000000000001E-2</v>
      </c>
      <c r="AH60" s="15">
        <v>2.8000000000000001E-2</v>
      </c>
      <c r="AI60" s="15">
        <v>2.8000000000000001E-2</v>
      </c>
      <c r="AJ60" s="15">
        <v>2.8000000000000001E-2</v>
      </c>
    </row>
    <row r="62" spans="1:37" s="15" customFormat="1" x14ac:dyDescent="0.25">
      <c r="A62" s="15" t="s">
        <v>82</v>
      </c>
      <c r="B62" s="15" t="s">
        <v>86</v>
      </c>
      <c r="U62" s="15">
        <v>1.6E-2</v>
      </c>
      <c r="V62" s="15">
        <v>1.6E-2</v>
      </c>
      <c r="W62" s="15">
        <v>1.7999999999999999E-2</v>
      </c>
      <c r="X62" s="15">
        <v>3.9E-2</v>
      </c>
      <c r="Y62" s="15">
        <v>6.3E-2</v>
      </c>
      <c r="Z62" s="15">
        <v>0.104</v>
      </c>
      <c r="AA62" s="15">
        <v>4.8000000000000001E-2</v>
      </c>
      <c r="AB62" s="15">
        <v>3.7999999999999999E-2</v>
      </c>
      <c r="AC62" s="15">
        <v>2.9000000000000001E-2</v>
      </c>
      <c r="AD62" s="15">
        <v>2.9000000000000001E-2</v>
      </c>
      <c r="AE62" s="15">
        <v>2.9000000000000001E-2</v>
      </c>
      <c r="AF62" s="15">
        <v>2.9000000000000001E-2</v>
      </c>
      <c r="AG62" s="15">
        <v>2.9000000000000001E-2</v>
      </c>
      <c r="AH62" s="15">
        <v>2.9000000000000001E-2</v>
      </c>
      <c r="AI62" s="15">
        <v>2.9000000000000001E-2</v>
      </c>
      <c r="AJ62" s="15">
        <v>2.9000000000000001E-2</v>
      </c>
    </row>
    <row r="63" spans="1:37" s="15" customFormat="1" x14ac:dyDescent="0.25"/>
    <row r="64" spans="1:37" s="5" customFormat="1" x14ac:dyDescent="0.25">
      <c r="B64" s="5" t="s">
        <v>84</v>
      </c>
      <c r="U64" s="5">
        <v>1.7</v>
      </c>
      <c r="V64" s="5">
        <v>1.75</v>
      </c>
      <c r="W64" s="5">
        <v>1.7</v>
      </c>
      <c r="X64" s="5">
        <v>1.25</v>
      </c>
      <c r="Y64" s="5">
        <v>2</v>
      </c>
      <c r="Z64" s="5">
        <v>2.85</v>
      </c>
      <c r="AA64" s="5">
        <v>2.5</v>
      </c>
      <c r="AB64" s="5">
        <v>2.2999999999999998</v>
      </c>
      <c r="AC64" s="5">
        <v>2.2999999999999998</v>
      </c>
      <c r="AD64" s="5">
        <f>AC64*(1+AD65)</f>
        <v>2.3643999999999998</v>
      </c>
      <c r="AE64" s="5">
        <f t="shared" ref="AE64:AJ64" si="54">AD64*(1+AE65)</f>
        <v>2.4306031999999997</v>
      </c>
      <c r="AF64" s="5">
        <f t="shared" si="54"/>
        <v>2.5108131055999996</v>
      </c>
      <c r="AG64" s="5">
        <f t="shared" si="54"/>
        <v>2.5936699380847994</v>
      </c>
      <c r="AH64" s="5">
        <f t="shared" si="54"/>
        <v>2.692229395732022</v>
      </c>
      <c r="AI64" s="5">
        <f t="shared" si="54"/>
        <v>2.7945341127698389</v>
      </c>
      <c r="AJ64" s="5">
        <f t="shared" si="54"/>
        <v>2.900726409055093</v>
      </c>
    </row>
    <row r="65" spans="1:36" s="15" customFormat="1" x14ac:dyDescent="0.25">
      <c r="A65" s="15" t="s">
        <v>82</v>
      </c>
      <c r="B65" s="15" t="s">
        <v>85</v>
      </c>
      <c r="V65" s="15">
        <f>V64/U64-1</f>
        <v>2.941176470588247E-2</v>
      </c>
      <c r="W65" s="15">
        <f t="shared" ref="W65:AC65" si="55">W64/V64-1</f>
        <v>-2.8571428571428581E-2</v>
      </c>
      <c r="X65" s="15">
        <f t="shared" si="55"/>
        <v>-0.26470588235294112</v>
      </c>
      <c r="Y65" s="15">
        <f t="shared" si="55"/>
        <v>0.60000000000000009</v>
      </c>
      <c r="Z65" s="15">
        <f t="shared" si="55"/>
        <v>0.42500000000000004</v>
      </c>
      <c r="AA65" s="15">
        <f t="shared" si="55"/>
        <v>-0.1228070175438597</v>
      </c>
      <c r="AB65" s="15">
        <f t="shared" si="55"/>
        <v>-8.0000000000000071E-2</v>
      </c>
      <c r="AC65" s="15">
        <f t="shared" si="55"/>
        <v>0</v>
      </c>
      <c r="AD65" s="15">
        <v>2.8000000000000001E-2</v>
      </c>
      <c r="AE65" s="15">
        <v>2.8000000000000001E-2</v>
      </c>
      <c r="AF65" s="15">
        <v>3.3000000000000002E-2</v>
      </c>
      <c r="AG65" s="15">
        <v>3.3000000000000002E-2</v>
      </c>
      <c r="AH65" s="15">
        <v>3.7999999999999999E-2</v>
      </c>
      <c r="AI65" s="15">
        <v>3.7999999999999999E-2</v>
      </c>
      <c r="AJ65" s="15">
        <v>3.7999999999999999E-2</v>
      </c>
    </row>
    <row r="67" spans="1:36" s="15" customFormat="1" x14ac:dyDescent="0.25">
      <c r="A67" s="15" t="s">
        <v>82</v>
      </c>
      <c r="B67" s="15" t="s">
        <v>87</v>
      </c>
      <c r="U67" s="15">
        <v>2.1254700000000001E-2</v>
      </c>
      <c r="V67" s="15">
        <v>2.37834E-2</v>
      </c>
      <c r="W67" s="15">
        <v>2.7244999999999998E-2</v>
      </c>
      <c r="X67" s="15">
        <v>1.6944500000000001E-2</v>
      </c>
      <c r="Y67" s="15">
        <v>3.4670100000000002E-2</v>
      </c>
      <c r="Z67" s="15">
        <v>6.6059999999999994E-2</v>
      </c>
      <c r="AA67" s="15">
        <v>4.4999999999999998E-2</v>
      </c>
      <c r="AB67" s="15">
        <v>3.5000000000000003E-2</v>
      </c>
      <c r="AC67" s="15">
        <v>2.7E-2</v>
      </c>
      <c r="AD67" s="15">
        <v>2.7E-2</v>
      </c>
      <c r="AE67" s="15">
        <v>2.7E-2</v>
      </c>
      <c r="AF67" s="15">
        <v>2.7E-2</v>
      </c>
      <c r="AG67" s="15">
        <v>2.7E-2</v>
      </c>
      <c r="AH67" s="15">
        <v>2.7E-2</v>
      </c>
      <c r="AI67" s="15">
        <v>2.7E-2</v>
      </c>
      <c r="AJ67" s="15">
        <v>2.7E-2</v>
      </c>
    </row>
    <row r="68" spans="1:36" s="15" customFormat="1" x14ac:dyDescent="0.25">
      <c r="A68" s="15" t="s">
        <v>82</v>
      </c>
      <c r="B68" s="15" t="s">
        <v>88</v>
      </c>
      <c r="AC68" s="15">
        <v>2E-3</v>
      </c>
      <c r="AD68" s="15">
        <v>2E-3</v>
      </c>
      <c r="AE68" s="15">
        <v>3.0000000000000001E-3</v>
      </c>
      <c r="AF68" s="15">
        <v>3.0000000000000001E-3</v>
      </c>
      <c r="AG68" s="15">
        <v>3.0000000000000001E-3</v>
      </c>
      <c r="AH68" s="15">
        <v>5.0000000000000001E-3</v>
      </c>
      <c r="AI68" s="15">
        <v>5.0000000000000001E-3</v>
      </c>
      <c r="AJ68" s="15">
        <v>5.0000000000000001E-3</v>
      </c>
    </row>
    <row r="71" spans="1:36" s="17" customFormat="1" x14ac:dyDescent="0.25">
      <c r="B71" s="17" t="s">
        <v>101</v>
      </c>
      <c r="C71" s="17">
        <v>0.1449</v>
      </c>
      <c r="D71" s="17">
        <v>0.12956200000000001</v>
      </c>
      <c r="E71" s="17">
        <v>1.496</v>
      </c>
      <c r="F71" s="17">
        <v>4.0315000000000003</v>
      </c>
      <c r="G71" s="17">
        <v>4.4188989999999997</v>
      </c>
      <c r="H71" s="17">
        <v>8.4436999999999998</v>
      </c>
      <c r="I71" s="17">
        <v>11.135999999999999</v>
      </c>
      <c r="J71" s="17">
        <v>11.052960000000001</v>
      </c>
      <c r="O71" s="17">
        <v>32.250999999999998</v>
      </c>
      <c r="P71" s="17">
        <v>34.818300000000001</v>
      </c>
      <c r="Q71" s="17">
        <v>35.197800000000001</v>
      </c>
      <c r="R71" s="17">
        <v>35.561700000000002</v>
      </c>
      <c r="S71" s="17">
        <v>36.71</v>
      </c>
      <c r="T71" s="17">
        <v>38.523000000000003</v>
      </c>
      <c r="U71" s="17">
        <v>40.25</v>
      </c>
      <c r="V71" s="17">
        <v>40.033000000000001</v>
      </c>
      <c r="W71" s="17">
        <v>41.853000000000002</v>
      </c>
      <c r="X71" s="17">
        <v>44.803953</v>
      </c>
      <c r="Y71" s="17">
        <v>8.6978930000000005</v>
      </c>
      <c r="Z71" s="17">
        <v>5.8025820000000001</v>
      </c>
      <c r="AA71" s="17">
        <v>35.051900000000003</v>
      </c>
    </row>
    <row r="72" spans="1:36" s="17" customFormat="1" x14ac:dyDescent="0.25">
      <c r="B72" s="17" t="s">
        <v>99</v>
      </c>
      <c r="C72" s="17">
        <v>0.38419999999999999</v>
      </c>
      <c r="D72" s="17">
        <v>0.47060000000000002</v>
      </c>
      <c r="E72" s="17">
        <v>4.1120000000000001</v>
      </c>
      <c r="F72" s="17">
        <v>6.8003629999999999</v>
      </c>
      <c r="G72" s="17">
        <v>7.6928999999999998</v>
      </c>
      <c r="H72" s="17">
        <v>10.2959</v>
      </c>
      <c r="I72" s="17">
        <v>11.564</v>
      </c>
      <c r="J72" s="17">
        <v>11.644086</v>
      </c>
      <c r="O72" s="17">
        <v>30.911069999999999</v>
      </c>
      <c r="P72" s="17">
        <v>33.235500000000002</v>
      </c>
      <c r="Q72" s="17">
        <v>33.705599999999997</v>
      </c>
      <c r="R72" s="17">
        <v>33.974800000000002</v>
      </c>
      <c r="S72" s="17">
        <v>34.773915000000002</v>
      </c>
      <c r="T72" s="17">
        <v>36.646639</v>
      </c>
      <c r="U72" s="17">
        <v>37.844644000000002</v>
      </c>
      <c r="V72" s="17">
        <v>36.930939000000002</v>
      </c>
      <c r="W72" s="17">
        <v>38.425303999999997</v>
      </c>
      <c r="X72" s="17">
        <v>41.432451</v>
      </c>
      <c r="Y72" s="17">
        <v>8.5399030000000007</v>
      </c>
      <c r="Z72" s="17">
        <v>11.767441</v>
      </c>
      <c r="AA72" s="17">
        <v>41.197650000000003</v>
      </c>
      <c r="AB72" s="17">
        <v>47</v>
      </c>
    </row>
    <row r="73" spans="1:36" s="17" customFormat="1" x14ac:dyDescent="0.25"/>
    <row r="74" spans="1:36" s="16" customFormat="1" x14ac:dyDescent="0.25">
      <c r="B74" s="16" t="s">
        <v>102</v>
      </c>
      <c r="C74" s="16">
        <f t="shared" ref="C74:H74" si="56">C71/C72</f>
        <v>0.37714731910463301</v>
      </c>
      <c r="D74" s="16">
        <f t="shared" si="56"/>
        <v>0.27531236719082025</v>
      </c>
      <c r="E74" s="16">
        <f t="shared" si="56"/>
        <v>0.36381322957198442</v>
      </c>
      <c r="F74" s="16">
        <f t="shared" si="56"/>
        <v>0.59283600007823112</v>
      </c>
      <c r="G74" s="16">
        <f t="shared" si="56"/>
        <v>0.57441264022670246</v>
      </c>
      <c r="H74" s="16">
        <f t="shared" si="56"/>
        <v>0.8201031478549714</v>
      </c>
      <c r="I74" s="16">
        <f>I71/I72</f>
        <v>0.96298858526461428</v>
      </c>
      <c r="J74" s="16">
        <f>J71/J72</f>
        <v>0.94923379988777146</v>
      </c>
      <c r="O74" s="16">
        <f>O71/O72</f>
        <v>1.0433479009299904</v>
      </c>
      <c r="P74" s="16">
        <f>P71/P72</f>
        <v>1.04762377578192</v>
      </c>
      <c r="Q74" s="16">
        <f>Q71/Q72</f>
        <v>1.0442715750498435</v>
      </c>
      <c r="R74" s="16">
        <f>R71/R72</f>
        <v>1.0467081483923379</v>
      </c>
      <c r="S74" s="16">
        <f t="shared" ref="S74:AA74" si="57">S71/S72</f>
        <v>1.0556763597081318</v>
      </c>
      <c r="T74" s="16">
        <f t="shared" si="57"/>
        <v>1.0512014485148284</v>
      </c>
      <c r="U74" s="16">
        <f t="shared" si="57"/>
        <v>1.0635586901015637</v>
      </c>
      <c r="V74" s="16">
        <f t="shared" si="57"/>
        <v>1.0839962666532794</v>
      </c>
      <c r="W74" s="16">
        <f t="shared" si="57"/>
        <v>1.0892041348586339</v>
      </c>
      <c r="X74" s="16">
        <f t="shared" si="57"/>
        <v>1.0813734625547498</v>
      </c>
      <c r="Y74" s="16">
        <f t="shared" si="57"/>
        <v>1.0185002101311924</v>
      </c>
      <c r="Z74" s="16">
        <f t="shared" si="57"/>
        <v>0.49310483052347576</v>
      </c>
      <c r="AA74" s="16">
        <f t="shared" si="57"/>
        <v>0.85082280178602421</v>
      </c>
    </row>
    <row r="75" spans="1:36" s="17" customFormat="1" x14ac:dyDescent="0.25">
      <c r="B75" s="17" t="s">
        <v>103</v>
      </c>
      <c r="C75" s="17">
        <f>C5/C71</f>
        <v>289.95169082125608</v>
      </c>
      <c r="D75" s="17">
        <f t="shared" ref="D75:J75" si="58">D5/D71</f>
        <v>392.86210462944382</v>
      </c>
      <c r="E75" s="17">
        <f t="shared" si="58"/>
        <v>305.45320855614978</v>
      </c>
      <c r="F75" s="17">
        <f t="shared" si="58"/>
        <v>243.65075034106411</v>
      </c>
      <c r="G75" s="17">
        <f t="shared" si="58"/>
        <v>239.70405297790245</v>
      </c>
      <c r="H75" s="17">
        <f t="shared" si="58"/>
        <v>258.67806767175529</v>
      </c>
      <c r="I75" s="17">
        <f t="shared" si="58"/>
        <v>268.77424568965523</v>
      </c>
      <c r="J75" s="17">
        <f t="shared" si="58"/>
        <v>235.59227573428294</v>
      </c>
      <c r="O75" s="17">
        <f>O5/O71</f>
        <v>209.37347679141735</v>
      </c>
      <c r="P75" s="17">
        <f>P5/P71</f>
        <v>216.47406679820668</v>
      </c>
      <c r="Q75" s="17">
        <f>Q5/Q71</f>
        <v>218.42274233048656</v>
      </c>
      <c r="R75" s="17">
        <f>R5/R71</f>
        <v>223.83350627219733</v>
      </c>
      <c r="S75" s="17">
        <f>S5/S71</f>
        <v>219.93590302369924</v>
      </c>
      <c r="T75" s="17">
        <f t="shared" ref="T75:AA75" si="59">T5/T71</f>
        <v>215.43156036653426</v>
      </c>
      <c r="U75" s="17">
        <f t="shared" si="59"/>
        <v>211.0911801242236</v>
      </c>
      <c r="V75" s="17">
        <f t="shared" si="59"/>
        <v>219.26585566907298</v>
      </c>
      <c r="W75" s="17">
        <f t="shared" si="59"/>
        <v>226.83750268797934</v>
      </c>
      <c r="X75" s="17">
        <f t="shared" si="59"/>
        <v>244.41274188462788</v>
      </c>
      <c r="Y75" s="17">
        <f t="shared" si="59"/>
        <v>253.9471340932798</v>
      </c>
      <c r="Z75" s="17">
        <f t="shared" si="59"/>
        <v>264.04624699831902</v>
      </c>
      <c r="AA75" s="17">
        <f t="shared" si="59"/>
        <v>252.21143504346409</v>
      </c>
    </row>
    <row r="76" spans="1:36" s="17" customFormat="1" x14ac:dyDescent="0.25">
      <c r="B76" s="17" t="s">
        <v>100</v>
      </c>
      <c r="C76" s="17">
        <f t="shared" ref="C76:J76" si="60">C5/C72</f>
        <v>109.35450286309215</v>
      </c>
      <c r="D76" s="17">
        <f t="shared" si="60"/>
        <v>108.15979600509988</v>
      </c>
      <c r="E76" s="17">
        <f t="shared" si="60"/>
        <v>111.12791828793775</v>
      </c>
      <c r="F76" s="17">
        <f t="shared" si="60"/>
        <v>144.44493624825617</v>
      </c>
      <c r="G76" s="17">
        <f t="shared" si="60"/>
        <v>137.68903794407831</v>
      </c>
      <c r="H76" s="17">
        <f t="shared" si="60"/>
        <v>212.14269757864781</v>
      </c>
      <c r="I76" s="17">
        <f t="shared" si="60"/>
        <v>258.82653061224494</v>
      </c>
      <c r="J76" s="17">
        <f t="shared" si="60"/>
        <v>223.63215111946101</v>
      </c>
      <c r="O76" s="17">
        <f>O5/O72</f>
        <v>218.44937752073935</v>
      </c>
      <c r="P76" s="17">
        <f>P5/P72</f>
        <v>226.78337921800482</v>
      </c>
      <c r="Q76" s="17">
        <f>Q5/Q72</f>
        <v>228.09266116016332</v>
      </c>
      <c r="R76" s="17">
        <f>R5/R72</f>
        <v>234.28835489833639</v>
      </c>
      <c r="S76" s="17">
        <f t="shared" ref="S76:Z76" si="61">S5/S72</f>
        <v>232.1811334731795</v>
      </c>
      <c r="T76" s="17">
        <f t="shared" si="61"/>
        <v>226.4619683131105</v>
      </c>
      <c r="U76" s="17">
        <f t="shared" si="61"/>
        <v>224.50785902491248</v>
      </c>
      <c r="V76" s="17">
        <f t="shared" si="61"/>
        <v>237.68336894981192</v>
      </c>
      <c r="W76" s="17">
        <f t="shared" si="61"/>
        <v>247.07234586875359</v>
      </c>
      <c r="X76" s="17">
        <f t="shared" si="61"/>
        <v>264.30145298428033</v>
      </c>
      <c r="Y76" s="17">
        <f t="shared" si="61"/>
        <v>258.64520943621955</v>
      </c>
      <c r="Z76" s="17">
        <f t="shared" si="61"/>
        <v>130.20247987646593</v>
      </c>
      <c r="AA76" s="17">
        <f>AA5/AA72</f>
        <v>214.58723980615397</v>
      </c>
    </row>
    <row r="78" spans="1:36" s="17" customFormat="1" x14ac:dyDescent="0.25">
      <c r="B78" s="17" t="s">
        <v>104</v>
      </c>
      <c r="C78" s="17">
        <f t="shared" ref="C78:J78" si="62">C3/C71</f>
        <v>143.85093167701865</v>
      </c>
      <c r="D78" s="17">
        <f t="shared" si="62"/>
        <v>175.9775242740927</v>
      </c>
      <c r="E78" s="17">
        <f t="shared" si="62"/>
        <v>187.26804812834226</v>
      </c>
      <c r="F78" s="17">
        <f t="shared" si="62"/>
        <v>153.14473521021952</v>
      </c>
      <c r="G78" s="17">
        <f t="shared" si="62"/>
        <v>147.51593100453303</v>
      </c>
      <c r="H78" s="17">
        <f t="shared" si="62"/>
        <v>167.9595438018878</v>
      </c>
      <c r="I78" s="17">
        <f t="shared" si="62"/>
        <v>181.48078304597703</v>
      </c>
      <c r="J78" s="17">
        <f t="shared" si="62"/>
        <v>154.02724699989867</v>
      </c>
      <c r="O78" s="17">
        <f t="shared" ref="O78:T78" si="63">O3/O71</f>
        <v>152.20129608384238</v>
      </c>
      <c r="P78" s="17">
        <f t="shared" si="63"/>
        <v>158.70677201356756</v>
      </c>
      <c r="Q78" s="17">
        <f t="shared" si="63"/>
        <v>158.94743421463843</v>
      </c>
      <c r="R78" s="17">
        <f t="shared" si="63"/>
        <v>160.92312797194734</v>
      </c>
      <c r="S78" s="17">
        <f t="shared" si="63"/>
        <v>160.55153909016616</v>
      </c>
      <c r="T78" s="17">
        <f t="shared" si="63"/>
        <v>157.27798977234377</v>
      </c>
      <c r="U78" s="17">
        <f t="shared" ref="U78:AA78" si="64">U3/U71</f>
        <v>152.77813664596272</v>
      </c>
      <c r="V78" s="17">
        <f t="shared" si="64"/>
        <v>157.69914820273274</v>
      </c>
      <c r="W78" s="17">
        <f t="shared" si="64"/>
        <v>162.29899887702194</v>
      </c>
      <c r="X78" s="17">
        <f t="shared" si="64"/>
        <v>175.36526297132755</v>
      </c>
      <c r="Y78" s="17">
        <f t="shared" si="64"/>
        <v>172.98085869761789</v>
      </c>
      <c r="Z78" s="17">
        <f t="shared" si="64"/>
        <v>162.20365347702111</v>
      </c>
      <c r="AA78" s="17">
        <f t="shared" si="64"/>
        <v>165.28305170333135</v>
      </c>
    </row>
    <row r="79" spans="1:36" s="17" customFormat="1" x14ac:dyDescent="0.25">
      <c r="B79" s="17" t="s">
        <v>107</v>
      </c>
      <c r="C79" s="17">
        <f>C4/C71</f>
        <v>146.10075914423743</v>
      </c>
      <c r="D79" s="17">
        <f t="shared" ref="D79:J79" si="65">D4/D71</f>
        <v>216.88458035535109</v>
      </c>
      <c r="E79" s="17">
        <f t="shared" si="65"/>
        <v>118.18516042780749</v>
      </c>
      <c r="F79" s="17">
        <f t="shared" si="65"/>
        <v>90.506015130844588</v>
      </c>
      <c r="G79" s="17">
        <f t="shared" si="65"/>
        <v>92.188121973369391</v>
      </c>
      <c r="H79" s="17">
        <f t="shared" si="65"/>
        <v>90.718523869867482</v>
      </c>
      <c r="I79" s="17">
        <f t="shared" si="65"/>
        <v>87.293462643678168</v>
      </c>
      <c r="J79" s="17">
        <f t="shared" si="65"/>
        <v>81.565028734384271</v>
      </c>
      <c r="O79" s="17">
        <f t="shared" ref="O79:AA79" si="66">O4/O71</f>
        <v>57.17218070757496</v>
      </c>
      <c r="P79" s="17">
        <f t="shared" si="66"/>
        <v>57.767294784639105</v>
      </c>
      <c r="Q79" s="17">
        <f t="shared" si="66"/>
        <v>59.475308115848151</v>
      </c>
      <c r="R79" s="17">
        <f t="shared" si="66"/>
        <v>62.910378300249981</v>
      </c>
      <c r="S79" s="17">
        <f t="shared" si="66"/>
        <v>59.384363933533095</v>
      </c>
      <c r="T79" s="17">
        <f t="shared" si="66"/>
        <v>58.153570594190477</v>
      </c>
      <c r="U79" s="17">
        <f t="shared" si="66"/>
        <v>58.313043478260866</v>
      </c>
      <c r="V79" s="17">
        <f t="shared" si="66"/>
        <v>61.566707466340262</v>
      </c>
      <c r="W79" s="17">
        <f t="shared" si="66"/>
        <v>64.538503810957394</v>
      </c>
      <c r="X79" s="17">
        <f t="shared" si="66"/>
        <v>69.047478913300353</v>
      </c>
      <c r="Y79" s="17">
        <f t="shared" si="66"/>
        <v>80.96627539566191</v>
      </c>
      <c r="Z79" s="17">
        <f t="shared" si="66"/>
        <v>101.84259352129794</v>
      </c>
      <c r="AA79" s="17">
        <f t="shared" si="66"/>
        <v>86.928383340132754</v>
      </c>
    </row>
    <row r="80" spans="1:36" x14ac:dyDescent="0.25">
      <c r="C80" s="17"/>
      <c r="D80" s="17"/>
      <c r="E80" s="17"/>
      <c r="F80" s="17"/>
      <c r="G80" s="17"/>
      <c r="H80" s="17"/>
      <c r="I80" s="17"/>
      <c r="J80" s="17"/>
      <c r="O80" s="17"/>
      <c r="P80" s="17"/>
      <c r="Q80" s="17"/>
      <c r="R80" s="17"/>
    </row>
    <row r="81" spans="2:27" s="17" customFormat="1" x14ac:dyDescent="0.25">
      <c r="B81" s="17" t="s">
        <v>108</v>
      </c>
      <c r="C81" s="17">
        <f>+C3/C$72</f>
        <v>54.25299323269131</v>
      </c>
      <c r="D81" s="17">
        <f t="shared" ref="D81:J81" si="67">+D3/D$72</f>
        <v>48.448788780280495</v>
      </c>
      <c r="E81" s="17">
        <f t="shared" si="67"/>
        <v>68.130593385214013</v>
      </c>
      <c r="F81" s="17">
        <f t="shared" si="67"/>
        <v>90.789712255066391</v>
      </c>
      <c r="G81" s="17">
        <f t="shared" si="67"/>
        <v>84.735015403813904</v>
      </c>
      <c r="H81" s="17">
        <f t="shared" si="67"/>
        <v>137.74415058421314</v>
      </c>
      <c r="I81" s="17">
        <f t="shared" si="67"/>
        <v>174.7639225181598</v>
      </c>
      <c r="J81" s="17">
        <f t="shared" si="67"/>
        <v>146.20786895596615</v>
      </c>
      <c r="O81" s="17">
        <f t="shared" ref="O81:AA81" si="68">+O3/O$72</f>
        <v>158.79890278790091</v>
      </c>
      <c r="P81" s="17">
        <f t="shared" si="68"/>
        <v>166.26498773901397</v>
      </c>
      <c r="Q81" s="17">
        <f t="shared" si="68"/>
        <v>165.98428747745186</v>
      </c>
      <c r="R81" s="17">
        <f t="shared" si="68"/>
        <v>168.43954931302022</v>
      </c>
      <c r="S81" s="17">
        <f t="shared" si="68"/>
        <v>169.49046433224441</v>
      </c>
      <c r="T81" s="17">
        <f t="shared" si="68"/>
        <v>165.33085066818813</v>
      </c>
      <c r="U81" s="17">
        <f t="shared" si="68"/>
        <v>162.4885148873378</v>
      </c>
      <c r="V81" s="17">
        <f t="shared" si="68"/>
        <v>170.94528790616451</v>
      </c>
      <c r="W81" s="17">
        <f t="shared" si="68"/>
        <v>176.7767406602691</v>
      </c>
      <c r="X81" s="17">
        <f t="shared" si="68"/>
        <v>189.63534163112868</v>
      </c>
      <c r="Y81" s="17">
        <f t="shared" si="68"/>
        <v>176.18104093219793</v>
      </c>
      <c r="Z81" s="17">
        <f t="shared" si="68"/>
        <v>79.983405058075078</v>
      </c>
      <c r="AA81" s="17">
        <f t="shared" si="68"/>
        <v>140.62658913797267</v>
      </c>
    </row>
    <row r="82" spans="2:27" s="17" customFormat="1" x14ac:dyDescent="0.25">
      <c r="B82" s="17" t="s">
        <v>109</v>
      </c>
      <c r="C82" s="17">
        <f t="shared" ref="C82:J82" si="69">+C4/C$72</f>
        <v>55.101509630400841</v>
      </c>
      <c r="D82" s="17">
        <f t="shared" si="69"/>
        <v>59.711007224819383</v>
      </c>
      <c r="E82" s="17">
        <f t="shared" si="69"/>
        <v>42.997324902723733</v>
      </c>
      <c r="F82" s="17">
        <f t="shared" si="69"/>
        <v>53.655223993189779</v>
      </c>
      <c r="G82" s="17">
        <f t="shared" si="69"/>
        <v>52.954022540264404</v>
      </c>
      <c r="H82" s="17">
        <f t="shared" si="69"/>
        <v>74.398546994434682</v>
      </c>
      <c r="I82" s="17">
        <f t="shared" si="69"/>
        <v>84.062608094085093</v>
      </c>
      <c r="J82" s="17">
        <f t="shared" si="69"/>
        <v>77.424282163494837</v>
      </c>
      <c r="O82" s="17">
        <f t="shared" ref="O82:AA82" si="70">+O4/O$72</f>
        <v>59.650474732838425</v>
      </c>
      <c r="P82" s="17">
        <f t="shared" si="70"/>
        <v>60.518391478990836</v>
      </c>
      <c r="Q82" s="17">
        <f t="shared" si="70"/>
        <v>62.108373682711488</v>
      </c>
      <c r="R82" s="17">
        <f t="shared" si="70"/>
        <v>65.848805585316171</v>
      </c>
      <c r="S82" s="17">
        <f t="shared" si="70"/>
        <v>62.690669140935093</v>
      </c>
      <c r="T82" s="17">
        <f t="shared" si="70"/>
        <v>61.131117644922362</v>
      </c>
      <c r="U82" s="17">
        <f t="shared" si="70"/>
        <v>62.019344137574656</v>
      </c>
      <c r="V82" s="17">
        <f t="shared" si="70"/>
        <v>66.738081043647426</v>
      </c>
      <c r="W82" s="17">
        <f t="shared" si="70"/>
        <v>70.295605208484503</v>
      </c>
      <c r="X82" s="17">
        <f t="shared" si="70"/>
        <v>74.666111353151663</v>
      </c>
      <c r="Y82" s="17">
        <f t="shared" si="70"/>
        <v>82.464168504021643</v>
      </c>
      <c r="Z82" s="17">
        <f t="shared" si="70"/>
        <v>50.219074818390851</v>
      </c>
      <c r="AA82" s="17">
        <f t="shared" si="70"/>
        <v>73.960650668181302</v>
      </c>
    </row>
    <row r="83" spans="2:27" x14ac:dyDescent="0.25">
      <c r="O83" s="17"/>
    </row>
  </sheetData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8063-0DF5-4A99-9A0D-AA815BF05A21}">
  <dimension ref="B2:C4"/>
  <sheetViews>
    <sheetView workbookViewId="0">
      <selection activeCell="E14" sqref="E14"/>
    </sheetView>
  </sheetViews>
  <sheetFormatPr defaultRowHeight="15" x14ac:dyDescent="0.25"/>
  <cols>
    <col min="2" max="2" width="18.85546875" bestFit="1" customWidth="1"/>
    <col min="3" max="6" width="10" customWidth="1"/>
  </cols>
  <sheetData>
    <row r="2" spans="2:3" x14ac:dyDescent="0.25">
      <c r="B2" t="s">
        <v>19</v>
      </c>
      <c r="C2" s="16">
        <v>-0.01</v>
      </c>
    </row>
    <row r="3" spans="2:3" x14ac:dyDescent="0.25">
      <c r="B3" t="s">
        <v>20</v>
      </c>
      <c r="C3" s="16">
        <v>0.115</v>
      </c>
    </row>
    <row r="4" spans="2:3" x14ac:dyDescent="0.25">
      <c r="B4" t="s">
        <v>8</v>
      </c>
      <c r="C4" s="2">
        <f>NPV(C3,Model!AB22:DX22)</f>
        <v>17718.474111348907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2023-02-12T18:42:19Z</dcterms:created>
  <dcterms:modified xsi:type="dcterms:W3CDTF">2023-02-17T23:24:05Z</dcterms:modified>
</cp:coreProperties>
</file>