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BFB4E7CF-FC9D-44AE-B223-4DF789A563CF}" xr6:coauthVersionLast="47" xr6:coauthVersionMax="47" xr10:uidLastSave="{00000000-0000-0000-0000-000000000000}"/>
  <bookViews>
    <workbookView xWindow="7635" yWindow="1440" windowWidth="26730" windowHeight="15045" activeTab="1" xr2:uid="{2EC0F4CB-CC56-4207-8108-7C832533A8D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2" l="1"/>
  <c r="W17" i="2" s="1"/>
  <c r="X17" i="2" s="1"/>
  <c r="K42" i="2"/>
  <c r="J42" i="2"/>
  <c r="I42" i="2"/>
  <c r="H42" i="2"/>
  <c r="G42" i="2"/>
  <c r="L42" i="2"/>
  <c r="V14" i="2"/>
  <c r="W14" i="2" s="1"/>
  <c r="W23" i="2" s="1"/>
  <c r="V39" i="2"/>
  <c r="V16" i="2"/>
  <c r="L50" i="2"/>
  <c r="L49" i="2"/>
  <c r="L48" i="2"/>
  <c r="L46" i="2"/>
  <c r="L45" i="2"/>
  <c r="L44" i="2"/>
  <c r="L40" i="2"/>
  <c r="L39" i="2"/>
  <c r="L38" i="2"/>
  <c r="L37" i="2"/>
  <c r="L36" i="2"/>
  <c r="L34" i="2"/>
  <c r="L33" i="2"/>
  <c r="L32" i="2"/>
  <c r="L31" i="2"/>
  <c r="L29" i="2"/>
  <c r="L27" i="2"/>
  <c r="X14" i="2" l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J16" i="2" s="1"/>
  <c r="W16" i="2"/>
  <c r="W21" i="2" s="1"/>
  <c r="V34" i="2"/>
  <c r="Y17" i="2"/>
  <c r="W34" i="2"/>
  <c r="L24" i="2"/>
  <c r="L21" i="2"/>
  <c r="L20" i="2"/>
  <c r="K20" i="2"/>
  <c r="L16" i="2"/>
  <c r="L14" i="2"/>
  <c r="AA23" i="2" l="1"/>
  <c r="Z23" i="2"/>
  <c r="Y23" i="2"/>
  <c r="AA16" i="2"/>
  <c r="Z16" i="2"/>
  <c r="X34" i="2"/>
  <c r="Y16" i="2"/>
  <c r="AC23" i="2"/>
  <c r="AD16" i="2"/>
  <c r="AD23" i="2"/>
  <c r="AB16" i="2"/>
  <c r="AB23" i="2"/>
  <c r="AH23" i="2"/>
  <c r="AG23" i="2"/>
  <c r="AE23" i="2"/>
  <c r="AF23" i="2"/>
  <c r="AH16" i="2"/>
  <c r="AF16" i="2"/>
  <c r="AJ23" i="2"/>
  <c r="X23" i="2"/>
  <c r="X24" i="2" s="1"/>
  <c r="X40" i="2" s="1"/>
  <c r="AI16" i="2"/>
  <c r="AG16" i="2"/>
  <c r="AE16" i="2"/>
  <c r="AI23" i="2"/>
  <c r="X16" i="2"/>
  <c r="X21" i="2" s="1"/>
  <c r="AC16" i="2"/>
  <c r="Y34" i="2"/>
  <c r="Z17" i="2"/>
  <c r="W32" i="2"/>
  <c r="W24" i="2"/>
  <c r="X32" i="2"/>
  <c r="Y21" i="2"/>
  <c r="U42" i="2"/>
  <c r="T42" i="2"/>
  <c r="S42" i="2"/>
  <c r="R42" i="2"/>
  <c r="AA17" i="2" l="1"/>
  <c r="Z34" i="2"/>
  <c r="Z21" i="2"/>
  <c r="Y24" i="2"/>
  <c r="Y40" i="2" s="1"/>
  <c r="Y32" i="2"/>
  <c r="U38" i="2"/>
  <c r="U37" i="2"/>
  <c r="U36" i="2"/>
  <c r="S39" i="2"/>
  <c r="R39" i="2"/>
  <c r="S40" i="2"/>
  <c r="R40" i="2"/>
  <c r="AA34" i="2" l="1"/>
  <c r="AB17" i="2"/>
  <c r="AA21" i="2"/>
  <c r="Z24" i="2"/>
  <c r="Z40" i="2" s="1"/>
  <c r="Z32" i="2"/>
  <c r="U14" i="2"/>
  <c r="K48" i="2"/>
  <c r="K49" i="2"/>
  <c r="K50" i="2"/>
  <c r="I50" i="2"/>
  <c r="H50" i="2"/>
  <c r="G50" i="2"/>
  <c r="I49" i="2"/>
  <c r="H49" i="2"/>
  <c r="G49" i="2"/>
  <c r="I48" i="2"/>
  <c r="H48" i="2"/>
  <c r="G48" i="2"/>
  <c r="K46" i="2"/>
  <c r="I46" i="2"/>
  <c r="H46" i="2"/>
  <c r="G46" i="2"/>
  <c r="I45" i="2"/>
  <c r="H45" i="2"/>
  <c r="G45" i="2"/>
  <c r="K45" i="2"/>
  <c r="I44" i="2"/>
  <c r="H44" i="2"/>
  <c r="G44" i="2"/>
  <c r="K44" i="2"/>
  <c r="H38" i="2"/>
  <c r="G38" i="2"/>
  <c r="H37" i="2"/>
  <c r="G37" i="2"/>
  <c r="H36" i="2"/>
  <c r="G36" i="2"/>
  <c r="I38" i="2"/>
  <c r="I37" i="2"/>
  <c r="I36" i="2"/>
  <c r="K38" i="2"/>
  <c r="K37" i="2"/>
  <c r="K36" i="2"/>
  <c r="AC17" i="2" l="1"/>
  <c r="AB34" i="2"/>
  <c r="AB21" i="2"/>
  <c r="AA24" i="2"/>
  <c r="AA40" i="2" s="1"/>
  <c r="AA32" i="2"/>
  <c r="U33" i="2"/>
  <c r="U34" i="2"/>
  <c r="F26" i="2"/>
  <c r="F25" i="2"/>
  <c r="F23" i="2"/>
  <c r="F22" i="2"/>
  <c r="F19" i="2"/>
  <c r="F18" i="2"/>
  <c r="F17" i="2"/>
  <c r="F15" i="2"/>
  <c r="J26" i="2"/>
  <c r="J25" i="2"/>
  <c r="J13" i="2"/>
  <c r="J38" i="2" s="1"/>
  <c r="J12" i="2"/>
  <c r="J37" i="2" s="1"/>
  <c r="J11" i="2"/>
  <c r="J9" i="2"/>
  <c r="J8" i="2"/>
  <c r="J7" i="2"/>
  <c r="J5" i="2"/>
  <c r="J4" i="2"/>
  <c r="J3" i="2"/>
  <c r="F13" i="2"/>
  <c r="F12" i="2"/>
  <c r="F11" i="2"/>
  <c r="F9" i="2"/>
  <c r="F8" i="2"/>
  <c r="F7" i="2"/>
  <c r="F5" i="2"/>
  <c r="F4" i="2"/>
  <c r="F3" i="2"/>
  <c r="C20" i="2"/>
  <c r="C14" i="2"/>
  <c r="C16" i="2" s="1"/>
  <c r="C31" i="2" s="1"/>
  <c r="D20" i="2"/>
  <c r="D14" i="2"/>
  <c r="D16" i="2" s="1"/>
  <c r="D31" i="2" s="1"/>
  <c r="H20" i="2"/>
  <c r="H14" i="2"/>
  <c r="H16" i="2" s="1"/>
  <c r="H31" i="2" s="1"/>
  <c r="E20" i="2"/>
  <c r="E14" i="2"/>
  <c r="E16" i="2" s="1"/>
  <c r="E31" i="2" s="1"/>
  <c r="I20" i="2"/>
  <c r="I14" i="2"/>
  <c r="I33" i="2" s="1"/>
  <c r="T20" i="2"/>
  <c r="T14" i="2"/>
  <c r="U20" i="2"/>
  <c r="U16" i="2"/>
  <c r="U31" i="2" s="1"/>
  <c r="J20" i="2"/>
  <c r="G20" i="2"/>
  <c r="K14" i="2"/>
  <c r="G14" i="2"/>
  <c r="G16" i="2" s="1"/>
  <c r="G31" i="2" s="1"/>
  <c r="N8" i="1"/>
  <c r="N5" i="1"/>
  <c r="AC34" i="2" l="1"/>
  <c r="AD17" i="2"/>
  <c r="AC21" i="2"/>
  <c r="AB24" i="2"/>
  <c r="AB40" i="2" s="1"/>
  <c r="AB32" i="2"/>
  <c r="J48" i="2"/>
  <c r="J49" i="2"/>
  <c r="T16" i="2"/>
  <c r="T31" i="2" s="1"/>
  <c r="T39" i="2"/>
  <c r="T34" i="2"/>
  <c r="T33" i="2"/>
  <c r="J50" i="2"/>
  <c r="U39" i="2"/>
  <c r="J36" i="2"/>
  <c r="J44" i="2"/>
  <c r="J45" i="2"/>
  <c r="J46" i="2"/>
  <c r="F14" i="2"/>
  <c r="F16" i="2" s="1"/>
  <c r="F31" i="2" s="1"/>
  <c r="F20" i="2"/>
  <c r="J14" i="2"/>
  <c r="J21" i="2" s="1"/>
  <c r="J32" i="2" s="1"/>
  <c r="F33" i="2"/>
  <c r="I34" i="2"/>
  <c r="K21" i="2"/>
  <c r="K24" i="2" s="1"/>
  <c r="K27" i="2" s="1"/>
  <c r="K29" i="2" s="1"/>
  <c r="K39" i="2"/>
  <c r="E34" i="2"/>
  <c r="G34" i="2"/>
  <c r="H34" i="2"/>
  <c r="C33" i="2"/>
  <c r="E33" i="2"/>
  <c r="G39" i="2"/>
  <c r="D33" i="2"/>
  <c r="H39" i="2"/>
  <c r="G33" i="2"/>
  <c r="I39" i="2"/>
  <c r="H33" i="2"/>
  <c r="K32" i="2"/>
  <c r="K34" i="2"/>
  <c r="C34" i="2"/>
  <c r="K33" i="2"/>
  <c r="D34" i="2"/>
  <c r="C21" i="2"/>
  <c r="D21" i="2"/>
  <c r="H21" i="2"/>
  <c r="E21" i="2"/>
  <c r="I21" i="2"/>
  <c r="I16" i="2"/>
  <c r="I31" i="2" s="1"/>
  <c r="U21" i="2"/>
  <c r="T21" i="2"/>
  <c r="G21" i="2"/>
  <c r="K16" i="2"/>
  <c r="K31" i="2" s="1"/>
  <c r="AE17" i="2" l="1"/>
  <c r="AD34" i="2"/>
  <c r="AD21" i="2"/>
  <c r="AC24" i="2"/>
  <c r="AC40" i="2" s="1"/>
  <c r="AC32" i="2"/>
  <c r="T24" i="2"/>
  <c r="T32" i="2"/>
  <c r="U24" i="2"/>
  <c r="U32" i="2"/>
  <c r="J39" i="2"/>
  <c r="J33" i="2"/>
  <c r="J16" i="2"/>
  <c r="J31" i="2" s="1"/>
  <c r="F21" i="2"/>
  <c r="F32" i="2" s="1"/>
  <c r="J34" i="2"/>
  <c r="F34" i="2"/>
  <c r="I24" i="2"/>
  <c r="I32" i="2"/>
  <c r="C24" i="2"/>
  <c r="C27" i="2" s="1"/>
  <c r="C29" i="2" s="1"/>
  <c r="C32" i="2"/>
  <c r="H24" i="2"/>
  <c r="H32" i="2"/>
  <c r="D24" i="2"/>
  <c r="D27" i="2" s="1"/>
  <c r="D29" i="2" s="1"/>
  <c r="D32" i="2"/>
  <c r="E24" i="2"/>
  <c r="E27" i="2" s="1"/>
  <c r="E29" i="2" s="1"/>
  <c r="E32" i="2"/>
  <c r="J24" i="2"/>
  <c r="G24" i="2"/>
  <c r="G32" i="2"/>
  <c r="AE34" i="2" l="1"/>
  <c r="AF17" i="2"/>
  <c r="AD24" i="2"/>
  <c r="AD40" i="2" s="1"/>
  <c r="AD32" i="2"/>
  <c r="AE21" i="2"/>
  <c r="F24" i="2"/>
  <c r="F27" i="2" s="1"/>
  <c r="F29" i="2" s="1"/>
  <c r="U27" i="2"/>
  <c r="U29" i="2" s="1"/>
  <c r="U40" i="2"/>
  <c r="T27" i="2"/>
  <c r="T29" i="2" s="1"/>
  <c r="T40" i="2"/>
  <c r="J27" i="2"/>
  <c r="J29" i="2" s="1"/>
  <c r="J40" i="2"/>
  <c r="H27" i="2"/>
  <c r="H29" i="2" s="1"/>
  <c r="H40" i="2"/>
  <c r="G27" i="2"/>
  <c r="G29" i="2" s="1"/>
  <c r="G40" i="2"/>
  <c r="K40" i="2"/>
  <c r="I40" i="2"/>
  <c r="I27" i="2"/>
  <c r="I29" i="2" s="1"/>
  <c r="V23" i="2"/>
  <c r="AF34" i="2" l="1"/>
  <c r="AG17" i="2"/>
  <c r="AF21" i="2"/>
  <c r="AE32" i="2"/>
  <c r="AE24" i="2"/>
  <c r="AE40" i="2" s="1"/>
  <c r="V21" i="2"/>
  <c r="AG34" i="2" l="1"/>
  <c r="AH17" i="2"/>
  <c r="AF32" i="2"/>
  <c r="AF24" i="2"/>
  <c r="AF40" i="2" s="1"/>
  <c r="AG21" i="2"/>
  <c r="V24" i="2"/>
  <c r="V32" i="2"/>
  <c r="AH34" i="2" l="1"/>
  <c r="AI17" i="2"/>
  <c r="AG32" i="2"/>
  <c r="AG24" i="2"/>
  <c r="AG40" i="2" s="1"/>
  <c r="AH21" i="2"/>
  <c r="W40" i="2"/>
  <c r="V40" i="2"/>
  <c r="AJ17" i="2" l="1"/>
  <c r="AJ34" i="2" s="1"/>
  <c r="AI34" i="2"/>
  <c r="AI21" i="2"/>
  <c r="AH24" i="2"/>
  <c r="AH40" i="2" s="1"/>
  <c r="AH32" i="2"/>
  <c r="AJ21" i="2" l="1"/>
  <c r="AI24" i="2"/>
  <c r="AI40" i="2" s="1"/>
  <c r="AI32" i="2"/>
  <c r="AJ24" i="2" l="1"/>
  <c r="AJ32" i="2"/>
  <c r="AJ40" i="2" l="1"/>
  <c r="AK24" i="2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AO54" i="2" l="1"/>
  <c r="N15" i="1" l="1"/>
  <c r="N16" i="1" s="1"/>
  <c r="AO55" i="2"/>
</calcChain>
</file>

<file path=xl/sharedStrings.xml><?xml version="1.0" encoding="utf-8"?>
<sst xmlns="http://schemas.openxmlformats.org/spreadsheetml/2006/main" count="67" uniqueCount="62">
  <si>
    <t>Price</t>
  </si>
  <si>
    <t>Shares</t>
  </si>
  <si>
    <t>MkCap</t>
  </si>
  <si>
    <t>Cash</t>
  </si>
  <si>
    <t>Debt</t>
  </si>
  <si>
    <t>EV</t>
  </si>
  <si>
    <t>22Q1</t>
  </si>
  <si>
    <t>21Q4</t>
  </si>
  <si>
    <t>21Q3</t>
  </si>
  <si>
    <t>21Q2</t>
  </si>
  <si>
    <t>22Q2</t>
  </si>
  <si>
    <t>21Q1</t>
  </si>
  <si>
    <t>20Q4</t>
  </si>
  <si>
    <t>20Q3</t>
  </si>
  <si>
    <t>20Q2</t>
  </si>
  <si>
    <t>Revenue</t>
  </si>
  <si>
    <t>COGS</t>
  </si>
  <si>
    <t>SG&amp;A</t>
  </si>
  <si>
    <t>Taxes</t>
  </si>
  <si>
    <t>Net income</t>
  </si>
  <si>
    <t>Total Operating Expenses</t>
  </si>
  <si>
    <t>Operating Income</t>
  </si>
  <si>
    <t>EPS</t>
  </si>
  <si>
    <t>Revenue y/y</t>
  </si>
  <si>
    <t>Gross margin</t>
  </si>
  <si>
    <t>22Q3</t>
  </si>
  <si>
    <t>22Q4</t>
  </si>
  <si>
    <t>Net income y/y</t>
  </si>
  <si>
    <t>Tax on revenue rate</t>
  </si>
  <si>
    <t>Operating margin</t>
  </si>
  <si>
    <t>Revenue on SG&amp;A</t>
  </si>
  <si>
    <t>LULU</t>
  </si>
  <si>
    <t>Lululemon Athletica Inc</t>
  </si>
  <si>
    <t xml:space="preserve">Gross </t>
  </si>
  <si>
    <t>Amortization</t>
  </si>
  <si>
    <t>Acquisition</t>
  </si>
  <si>
    <t>Other</t>
  </si>
  <si>
    <t>Investment gains</t>
  </si>
  <si>
    <t>Comprehensive income</t>
  </si>
  <si>
    <t>Currency translation</t>
  </si>
  <si>
    <t>Womens</t>
  </si>
  <si>
    <t>Mens</t>
  </si>
  <si>
    <t>Other products</t>
  </si>
  <si>
    <t>USA</t>
  </si>
  <si>
    <t>CANADA</t>
  </si>
  <si>
    <t>Direct to consumer</t>
  </si>
  <si>
    <t>Company-operated stores</t>
  </si>
  <si>
    <t>20Q1</t>
  </si>
  <si>
    <t xml:space="preserve">  USA y/y</t>
  </si>
  <si>
    <t xml:space="preserve">  CANADA y/y</t>
  </si>
  <si>
    <t xml:space="preserve">  Other y/y</t>
  </si>
  <si>
    <t>Google seeing more search for womens clothing</t>
  </si>
  <si>
    <t>Growth Women y/y</t>
  </si>
  <si>
    <t>Growth Men y/y</t>
  </si>
  <si>
    <t>Growth Other y/y</t>
  </si>
  <si>
    <t xml:space="preserve">  Company-operated stores y/y</t>
  </si>
  <si>
    <t xml:space="preserve">  Direct to consumer y/y</t>
  </si>
  <si>
    <t>SG&amp;A y/y</t>
  </si>
  <si>
    <t>Terminal</t>
  </si>
  <si>
    <t>Discount</t>
  </si>
  <si>
    <t>NPV</t>
  </si>
  <si>
    <t>NPV/Sh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</si>
</sst>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44" fontId="0" fillId="0" borderId="0" xfId="0" applyNumberFormat="1"/>
    <xf numFmtId="0" fontId="1" fillId="0" borderId="0" xfId="0" applyFont="1"/>
    <xf numFmtId="3" fontId="1" fillId="0" borderId="0" xfId="0" applyNumberFormat="1" applyFont="1"/>
    <xf numFmtId="4" fontId="0" fillId="0" borderId="0" xfId="0" applyNumberFormat="1"/>
    <xf numFmtId="14" fontId="0" fillId="0" borderId="0" xfId="0" applyNumberFormat="1"/>
    <xf numFmtId="9" fontId="0" fillId="0" borderId="0" xfId="0" applyNumberFormat="1"/>
    <xf numFmtId="0" fontId="0" fillId="2" borderId="0" xfId="0" applyFill="1"/>
    <xf numFmtId="0" fontId="1" fillId="2" borderId="0" xfId="0" applyFont="1" applyFill="1"/>
    <xf numFmtId="4" fontId="0" fillId="2" borderId="0" xfId="0" applyNumberFormat="1" applyFill="1"/>
    <xf numFmtId="9" fontId="0" fillId="2" borderId="0" xfId="0" applyNumberFormat="1" applyFill="1"/>
    <xf numFmtId="2" fontId="1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9" fontId="1" fillId="0" borderId="0" xfId="0" applyNumberFormat="1" applyFont="1"/>
    <xf numFmtId="9" fontId="1" fillId="2" borderId="0" xfId="0" applyNumberFormat="1" applyFont="1" applyFill="1"/>
    <xf numFmtId="164" fontId="0" fillId="0" borderId="0" xfId="0" applyNumberFormat="1"/>
    <xf numFmtId="164" fontId="0" fillId="2" borderId="0" xfId="0" applyNumberFormat="1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27842</xdr:colOff>
      <xdr:row>0</xdr:row>
      <xdr:rowOff>46894</xdr:rowOff>
    </xdr:from>
    <xdr:to>
      <xdr:col>12</xdr:col>
      <xdr:colOff>27842</xdr:colOff>
      <xdr:row>59</xdr:row>
      <xdr:rowOff>24913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B42924-0332-F737-74D4-5E53970249B3}"/>
            </a:ext>
          </a:extLst>
        </xdr:cNvPr>
        <xdr:cNvCxnSpPr/>
      </xdr:nvCxnSpPr>
      <xdr:spPr>
        <a:xfrm>
          <a:off x="8400317" y="46894"/>
          <a:ext cx="0" cy="112175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29308</xdr:colOff>
      <xdr:row>0</xdr:row>
      <xdr:rowOff>0</xdr:rowOff>
    </xdr:from>
    <xdr:to>
      <xdr:col>21</xdr:col>
      <xdr:colOff>29308</xdr:colOff>
      <xdr:row>58</xdr:row>
      <xdr:rowOff>168519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B77432D-2F23-4B1E-8A07-F7E3036CCE5B}"/>
            </a:ext>
          </a:extLst>
        </xdr:cNvPr>
        <xdr:cNvCxnSpPr/>
      </xdr:nvCxnSpPr>
      <xdr:spPr>
        <a:xfrm>
          <a:off x="13547481" y="0"/>
          <a:ext cx="0" cy="112175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D50C-C6AD-42B7-B8F2-B9DA58381265}">
  <dimension ref="B1:N16"/>
  <sheetViews>
    <sheetView workbookViewId="0">
      <selection activeCell="C33" sqref="C33"/>
    </sheetView>
  </sheetViews>
  <sheetFormatPr defaultRowHeight="15" x14ac:dyDescent="0.25"/>
  <cols>
    <col min="13" max="13" width="9.7109375" bestFit="1" customWidth="1"/>
    <col min="14" max="14" width="10.85546875" bestFit="1" customWidth="1"/>
  </cols>
  <sheetData>
    <row r="1" spans="2:14" x14ac:dyDescent="0.25">
      <c r="M1" t="s">
        <v>32</v>
      </c>
    </row>
    <row r="2" spans="2:14" x14ac:dyDescent="0.25">
      <c r="B2" t="s">
        <v>51</v>
      </c>
      <c r="M2" t="s">
        <v>31</v>
      </c>
    </row>
    <row r="3" spans="2:14" x14ac:dyDescent="0.25">
      <c r="M3" t="s">
        <v>0</v>
      </c>
      <c r="N3" s="2">
        <v>289.88</v>
      </c>
    </row>
    <row r="4" spans="2:14" x14ac:dyDescent="0.25">
      <c r="M4" t="s">
        <v>1</v>
      </c>
      <c r="N4" s="1">
        <v>128.077</v>
      </c>
    </row>
    <row r="5" spans="2:14" x14ac:dyDescent="0.25">
      <c r="M5" t="s">
        <v>2</v>
      </c>
      <c r="N5" s="1">
        <f>N3*N4</f>
        <v>37126.960760000002</v>
      </c>
    </row>
    <row r="6" spans="2:14" x14ac:dyDescent="0.25">
      <c r="M6" t="s">
        <v>3</v>
      </c>
      <c r="N6" s="1">
        <v>649</v>
      </c>
    </row>
    <row r="7" spans="2:14" x14ac:dyDescent="0.25">
      <c r="M7" t="s">
        <v>4</v>
      </c>
      <c r="N7" s="1">
        <v>0</v>
      </c>
    </row>
    <row r="8" spans="2:14" x14ac:dyDescent="0.25">
      <c r="M8" t="s">
        <v>5</v>
      </c>
      <c r="N8" s="1">
        <f>N5-N6</f>
        <v>36477.960760000002</v>
      </c>
    </row>
    <row r="11" spans="2:14" x14ac:dyDescent="0.25">
      <c r="M11" s="6">
        <v>44902</v>
      </c>
    </row>
    <row r="15" spans="2:14" x14ac:dyDescent="0.25">
      <c r="M15" t="s">
        <v>60</v>
      </c>
      <c r="N15" s="1">
        <f>Model!AO54</f>
        <v>41854.590460794963</v>
      </c>
    </row>
    <row r="16" spans="2:14" x14ac:dyDescent="0.25">
      <c r="M16" t="s">
        <v>61</v>
      </c>
      <c r="N16" s="19">
        <f>N15/N4</f>
        <v>326.79240192068022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4823-B1D5-4075-A061-9C811CDAD08D}">
  <dimension ref="B1:HH55"/>
  <sheetViews>
    <sheetView tabSelected="1" zoomScaleNormal="100" workbookViewId="0">
      <pane xSplit="2" ySplit="2" topLeftCell="AB33" activePane="bottomRight" state="frozen"/>
      <selection pane="topRight" activeCell="C1" sqref="C1"/>
      <selection pane="bottomLeft" activeCell="A3" sqref="A3"/>
      <selection pane="bottomRight" activeCell="AQ51" sqref="AQ51"/>
    </sheetView>
  </sheetViews>
  <sheetFormatPr defaultRowHeight="15" x14ac:dyDescent="0.25"/>
  <cols>
    <col min="2" max="2" width="23.85546875" bestFit="1" customWidth="1"/>
    <col min="3" max="11" width="9.140625" style="1"/>
    <col min="12" max="12" width="10.28515625" style="1" bestFit="1" customWidth="1"/>
    <col min="13" max="13" width="9.140625" style="1"/>
    <col min="16" max="16" width="4.42578125" style="8" customWidth="1"/>
    <col min="23" max="23" width="12.7109375" bestFit="1" customWidth="1"/>
    <col min="41" max="41" width="10.85546875" bestFit="1" customWidth="1"/>
  </cols>
  <sheetData>
    <row r="1" spans="2:79" x14ac:dyDescent="0.25">
      <c r="L1" s="6"/>
    </row>
    <row r="2" spans="2:79" x14ac:dyDescent="0.25">
      <c r="C2" s="1" t="s">
        <v>47</v>
      </c>
      <c r="D2" s="1" t="s">
        <v>14</v>
      </c>
      <c r="E2" s="1" t="s">
        <v>13</v>
      </c>
      <c r="F2" s="1" t="s">
        <v>12</v>
      </c>
      <c r="G2" s="1" t="s">
        <v>11</v>
      </c>
      <c r="H2" s="1" t="s">
        <v>9</v>
      </c>
      <c r="I2" s="1" t="s">
        <v>8</v>
      </c>
      <c r="J2" s="1" t="s">
        <v>7</v>
      </c>
      <c r="K2" s="1" t="s">
        <v>6</v>
      </c>
      <c r="L2" s="1" t="s">
        <v>10</v>
      </c>
      <c r="M2" s="1" t="s">
        <v>25</v>
      </c>
      <c r="N2" s="1" t="s">
        <v>26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</row>
    <row r="3" spans="2:79" x14ac:dyDescent="0.25">
      <c r="B3" t="s">
        <v>43</v>
      </c>
      <c r="C3" s="1">
        <v>459.35199999999998</v>
      </c>
      <c r="D3" s="1">
        <v>595.91800000000001</v>
      </c>
      <c r="E3" s="1">
        <v>775.57600000000002</v>
      </c>
      <c r="F3" s="1">
        <f>T3-E3-D3-C3</f>
        <v>1274.2869999999998</v>
      </c>
      <c r="G3" s="1">
        <v>849.61400000000003</v>
      </c>
      <c r="H3" s="1">
        <v>996.29200000000003</v>
      </c>
      <c r="I3" s="1">
        <v>982.23800000000006</v>
      </c>
      <c r="J3" s="1">
        <f>U3-I3-H3-G3</f>
        <v>1517.5429999999997</v>
      </c>
      <c r="K3" s="1">
        <v>1098.329</v>
      </c>
      <c r="L3" s="1">
        <v>1278.4000000000001</v>
      </c>
      <c r="N3" s="1"/>
      <c r="Q3" s="1"/>
      <c r="R3" s="1"/>
      <c r="S3" s="1"/>
      <c r="T3" s="1">
        <v>3105.1329999999998</v>
      </c>
      <c r="U3" s="1">
        <v>4345.6869999999999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2:79" x14ac:dyDescent="0.25">
      <c r="B4" t="s">
        <v>44</v>
      </c>
      <c r="C4" s="1">
        <v>99.497</v>
      </c>
      <c r="D4" s="1">
        <v>147.65799999999999</v>
      </c>
      <c r="E4" s="1">
        <v>181.387</v>
      </c>
      <c r="F4" s="1">
        <f>T4-E4-D4-C4</f>
        <v>244.065</v>
      </c>
      <c r="G4" s="1">
        <v>167.72900000000001</v>
      </c>
      <c r="H4" s="1">
        <v>216.5</v>
      </c>
      <c r="I4" s="1">
        <v>244.06100000000001</v>
      </c>
      <c r="J4" s="1">
        <f>U4-I4-H4-G4</f>
        <v>325.92899999999997</v>
      </c>
      <c r="K4" s="1">
        <v>244.94399999999999</v>
      </c>
      <c r="L4" s="1">
        <v>268.60000000000002</v>
      </c>
      <c r="N4" s="1"/>
      <c r="Q4" s="1"/>
      <c r="R4" s="1"/>
      <c r="S4" s="1"/>
      <c r="T4" s="1">
        <v>672.60699999999997</v>
      </c>
      <c r="U4" s="1">
        <v>954.21900000000005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2:79" x14ac:dyDescent="0.25">
      <c r="B5" t="s">
        <v>36</v>
      </c>
      <c r="C5" s="1">
        <v>93.113</v>
      </c>
      <c r="D5" s="1">
        <v>159.36600000000001</v>
      </c>
      <c r="E5" s="1">
        <v>160.47399999999999</v>
      </c>
      <c r="F5" s="1">
        <f>T5-E5-D5-C5</f>
        <v>211.18599999999998</v>
      </c>
      <c r="G5" s="1">
        <v>209.12200000000001</v>
      </c>
      <c r="H5" s="1">
        <v>237.82</v>
      </c>
      <c r="I5" s="1">
        <v>224.12200000000001</v>
      </c>
      <c r="J5" s="1">
        <f>U5-I5-H5-G5</f>
        <v>285.64699999999993</v>
      </c>
      <c r="K5" s="1">
        <v>270.19</v>
      </c>
      <c r="L5" s="1">
        <v>321.35000000000002</v>
      </c>
      <c r="N5" s="1"/>
      <c r="Q5" s="1"/>
      <c r="R5" s="1"/>
      <c r="S5" s="1"/>
      <c r="T5" s="1">
        <v>624.13900000000001</v>
      </c>
      <c r="U5" s="1">
        <v>956.71100000000001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2:79" x14ac:dyDescent="0.25">
      <c r="N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2:79" x14ac:dyDescent="0.25">
      <c r="B7" t="s">
        <v>46</v>
      </c>
      <c r="C7" s="1">
        <v>259.97000000000003</v>
      </c>
      <c r="D7" s="1">
        <v>287.2</v>
      </c>
      <c r="E7" s="1">
        <v>511.75</v>
      </c>
      <c r="F7" s="1">
        <f>T7-E7-D7-C7</f>
        <v>599.88699999999994</v>
      </c>
      <c r="G7" s="1">
        <v>536.58399999999995</v>
      </c>
      <c r="H7" s="1">
        <v>695.12</v>
      </c>
      <c r="I7" s="1">
        <v>707.16</v>
      </c>
      <c r="J7" s="1">
        <f>U7-I7-H7-G7</f>
        <v>882.63300000000015</v>
      </c>
      <c r="K7" s="1">
        <v>721.6</v>
      </c>
      <c r="L7" s="1">
        <v>903.07</v>
      </c>
      <c r="N7" s="1"/>
      <c r="Q7" s="1"/>
      <c r="R7" s="1"/>
      <c r="S7" s="1"/>
      <c r="T7" s="1">
        <v>1658.807</v>
      </c>
      <c r="U7" s="1">
        <v>2821.4969999999998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2:79" x14ac:dyDescent="0.25">
      <c r="B8" t="s">
        <v>45</v>
      </c>
      <c r="C8" s="1">
        <v>352.03899999999999</v>
      </c>
      <c r="D8" s="1">
        <v>554.29999999999995</v>
      </c>
      <c r="E8" s="1">
        <v>478.26</v>
      </c>
      <c r="F8" s="1">
        <f>T8-E8-D8-C8</f>
        <v>899.46900000000028</v>
      </c>
      <c r="G8" s="1">
        <v>545.1</v>
      </c>
      <c r="H8" s="1">
        <v>597.41999999999996</v>
      </c>
      <c r="I8" s="1">
        <v>586.5</v>
      </c>
      <c r="J8" s="1">
        <f>U8-I8-H8-G8</f>
        <v>1048.924</v>
      </c>
      <c r="K8" s="1">
        <v>721.25</v>
      </c>
      <c r="L8" s="1">
        <v>775.42499999999995</v>
      </c>
      <c r="N8" s="1"/>
      <c r="Q8" s="1"/>
      <c r="R8" s="1"/>
      <c r="S8" s="1"/>
      <c r="T8" s="1">
        <v>2284.0680000000002</v>
      </c>
      <c r="U8" s="1">
        <v>2777.944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2:79" x14ac:dyDescent="0.25">
      <c r="B9" t="s">
        <v>36</v>
      </c>
      <c r="C9" s="1">
        <v>39.953000000000003</v>
      </c>
      <c r="D9" s="1">
        <v>61.43</v>
      </c>
      <c r="E9" s="1">
        <v>127.4</v>
      </c>
      <c r="F9" s="1">
        <f>T9-E9-D9-C9</f>
        <v>230.22100000000003</v>
      </c>
      <c r="G9" s="1">
        <v>144.792</v>
      </c>
      <c r="H9" s="1">
        <v>158.07</v>
      </c>
      <c r="I9" s="1">
        <v>156.69999999999999</v>
      </c>
      <c r="J9" s="1">
        <f>U9-I9-H9-G9</f>
        <v>197.61400000000006</v>
      </c>
      <c r="K9" s="1">
        <v>160.6</v>
      </c>
      <c r="L9" s="1">
        <v>189.82</v>
      </c>
      <c r="N9" s="1"/>
      <c r="Q9" s="1"/>
      <c r="R9" s="1"/>
      <c r="S9" s="1"/>
      <c r="T9" s="1">
        <v>459.00400000000002</v>
      </c>
      <c r="U9" s="1">
        <v>657.17600000000004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2:79" x14ac:dyDescent="0.25">
      <c r="N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2:79" x14ac:dyDescent="0.25">
      <c r="B11" t="s">
        <v>40</v>
      </c>
      <c r="C11" s="1">
        <v>477.62</v>
      </c>
      <c r="D11" s="1">
        <v>647.19799999999998</v>
      </c>
      <c r="E11" s="1">
        <v>787.4</v>
      </c>
      <c r="F11" s="1">
        <f>T11-E11-D11-C11</f>
        <v>1137.6820000000002</v>
      </c>
      <c r="G11" s="1">
        <v>849.64499999999998</v>
      </c>
      <c r="H11" s="1">
        <v>968.95100000000002</v>
      </c>
      <c r="I11" s="1">
        <v>984.95</v>
      </c>
      <c r="J11" s="1">
        <f>U11-I11-H11-G11</f>
        <v>1368.2140000000004</v>
      </c>
      <c r="K11" s="1">
        <v>1073.924</v>
      </c>
      <c r="L11" s="1">
        <v>1205.5999999999999</v>
      </c>
      <c r="N11" s="1"/>
      <c r="Q11" s="1"/>
      <c r="R11" s="1"/>
      <c r="S11" s="1"/>
      <c r="T11" s="1">
        <v>3049.9</v>
      </c>
      <c r="U11" s="1">
        <v>4171.76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2:79" x14ac:dyDescent="0.25">
      <c r="B12" t="s">
        <v>41</v>
      </c>
      <c r="C12" s="1">
        <v>128.38999999999999</v>
      </c>
      <c r="D12" s="1">
        <v>190.4</v>
      </c>
      <c r="E12" s="1">
        <v>238.05</v>
      </c>
      <c r="F12" s="1">
        <f>T12-E12-D12-C12</f>
        <v>396.34300000000007</v>
      </c>
      <c r="G12" s="1">
        <v>274.30700000000002</v>
      </c>
      <c r="H12" s="1">
        <v>363.06</v>
      </c>
      <c r="I12" s="1">
        <v>343.26</v>
      </c>
      <c r="J12" s="1">
        <f>U12-I12-H12-G12</f>
        <v>555.22299999999996</v>
      </c>
      <c r="K12" s="1">
        <v>374.99799999999999</v>
      </c>
      <c r="L12" s="1">
        <v>461.3</v>
      </c>
      <c r="N12" s="1"/>
      <c r="Q12" s="1"/>
      <c r="R12" s="1"/>
      <c r="S12" s="1"/>
      <c r="T12" s="1">
        <v>953.18299999999999</v>
      </c>
      <c r="U12" s="1">
        <v>1535.85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2:79" x14ac:dyDescent="0.25">
      <c r="B13" t="s">
        <v>42</v>
      </c>
      <c r="C13" s="1">
        <v>45.944000000000003</v>
      </c>
      <c r="D13" s="1">
        <v>65.36</v>
      </c>
      <c r="E13" s="1">
        <v>91.97</v>
      </c>
      <c r="F13" s="1">
        <f>T13-E13-D13-C13</f>
        <v>195.51600000000002</v>
      </c>
      <c r="G13" s="1">
        <v>102.51</v>
      </c>
      <c r="H13" s="1">
        <v>118.6</v>
      </c>
      <c r="I13" s="1">
        <v>122.2</v>
      </c>
      <c r="J13" s="1">
        <f>U13-I13-H13-G13</f>
        <v>205.69000000000005</v>
      </c>
      <c r="K13" s="1">
        <v>164.54</v>
      </c>
      <c r="L13" s="1">
        <v>201.4</v>
      </c>
      <c r="N13" s="1"/>
      <c r="Q13" s="1"/>
      <c r="R13" s="1"/>
      <c r="S13" s="1"/>
      <c r="T13" s="1">
        <v>398.79</v>
      </c>
      <c r="U13" s="1">
        <v>549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2:79" s="3" customFormat="1" x14ac:dyDescent="0.25">
      <c r="B14" s="3" t="s">
        <v>15</v>
      </c>
      <c r="C14" s="4">
        <f t="shared" ref="C14:L14" si="0">SUM(C11:C13)</f>
        <v>651.95399999999995</v>
      </c>
      <c r="D14" s="4">
        <f t="shared" si="0"/>
        <v>902.95799999999997</v>
      </c>
      <c r="E14" s="4">
        <f t="shared" si="0"/>
        <v>1117.42</v>
      </c>
      <c r="F14" s="4">
        <f t="shared" si="0"/>
        <v>1729.5410000000004</v>
      </c>
      <c r="G14" s="4">
        <f t="shared" si="0"/>
        <v>1226.462</v>
      </c>
      <c r="H14" s="4">
        <f t="shared" si="0"/>
        <v>1450.6109999999999</v>
      </c>
      <c r="I14" s="4">
        <f t="shared" si="0"/>
        <v>1450.41</v>
      </c>
      <c r="J14" s="4">
        <f t="shared" si="0"/>
        <v>2129.1270000000004</v>
      </c>
      <c r="K14" s="4">
        <f t="shared" si="0"/>
        <v>1613.462</v>
      </c>
      <c r="L14" s="4">
        <f t="shared" si="0"/>
        <v>1868.3</v>
      </c>
      <c r="M14" s="4"/>
      <c r="N14" s="4"/>
      <c r="P14" s="9"/>
      <c r="Q14" s="4">
        <v>2649</v>
      </c>
      <c r="R14" s="4">
        <v>3288</v>
      </c>
      <c r="S14" s="4">
        <v>3979</v>
      </c>
      <c r="T14" s="4">
        <f>T13+T12+T11</f>
        <v>4401.8729999999996</v>
      </c>
      <c r="U14" s="4">
        <f>U13+U12+U11</f>
        <v>6256.6100000000006</v>
      </c>
      <c r="V14" s="4">
        <f>SUM(I14:L14)*1.03</f>
        <v>7273.1379699999998</v>
      </c>
      <c r="W14" s="4">
        <f>V14*(1+W39)</f>
        <v>8364.1086654999999</v>
      </c>
      <c r="X14" s="4">
        <f t="shared" ref="X14:AJ14" si="1">W14*(1+X39)</f>
        <v>9618.7249653249983</v>
      </c>
      <c r="Y14" s="4">
        <f t="shared" si="1"/>
        <v>11061.533710123747</v>
      </c>
      <c r="Z14" s="4">
        <f t="shared" si="1"/>
        <v>12831.379103743546</v>
      </c>
      <c r="AA14" s="4">
        <f t="shared" si="1"/>
        <v>14371.144596192773</v>
      </c>
      <c r="AB14" s="4">
        <f t="shared" si="1"/>
        <v>15808.259055812052</v>
      </c>
      <c r="AC14" s="4">
        <f t="shared" si="1"/>
        <v>17389.084961393259</v>
      </c>
      <c r="AD14" s="4">
        <f t="shared" si="1"/>
        <v>19127.993457532586</v>
      </c>
      <c r="AE14" s="4">
        <f t="shared" si="1"/>
        <v>21040.792803285847</v>
      </c>
      <c r="AF14" s="4">
        <f t="shared" si="1"/>
        <v>23144.872083614435</v>
      </c>
      <c r="AG14" s="4">
        <f t="shared" si="1"/>
        <v>24533.5644086313</v>
      </c>
      <c r="AH14" s="4">
        <f t="shared" si="1"/>
        <v>26005.578273149178</v>
      </c>
      <c r="AI14" s="4">
        <f t="shared" si="1"/>
        <v>27565.912969538131</v>
      </c>
      <c r="AJ14" s="4">
        <f t="shared" si="1"/>
        <v>29219.867747710421</v>
      </c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</row>
    <row r="15" spans="2:79" x14ac:dyDescent="0.25">
      <c r="B15" t="s">
        <v>16</v>
      </c>
      <c r="C15" s="1">
        <v>317.56</v>
      </c>
      <c r="D15" s="1">
        <v>413.44</v>
      </c>
      <c r="E15" s="1">
        <v>490.07</v>
      </c>
      <c r="F15" s="4">
        <f>T15-E15-D15-C15</f>
        <v>716.81799999999998</v>
      </c>
      <c r="G15" s="1">
        <v>526.15</v>
      </c>
      <c r="H15" s="1">
        <v>607.92999999999995</v>
      </c>
      <c r="I15" s="1">
        <v>621</v>
      </c>
      <c r="J15" s="1">
        <v>892.94</v>
      </c>
      <c r="K15" s="1">
        <v>743.07</v>
      </c>
      <c r="L15" s="1">
        <v>812.85</v>
      </c>
      <c r="N15" s="1"/>
      <c r="Q15" s="1"/>
      <c r="R15" s="1"/>
      <c r="S15" s="1"/>
      <c r="T15" s="1">
        <v>1937.8879999999999</v>
      </c>
      <c r="U15" s="1">
        <v>2648.0520000000001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</row>
    <row r="16" spans="2:79" s="3" customFormat="1" x14ac:dyDescent="0.25">
      <c r="B16" s="3" t="s">
        <v>33</v>
      </c>
      <c r="C16" s="4">
        <f t="shared" ref="C16:K16" si="2">C14-C15</f>
        <v>334.39399999999995</v>
      </c>
      <c r="D16" s="4">
        <f t="shared" si="2"/>
        <v>489.51799999999997</v>
      </c>
      <c r="E16" s="4">
        <f t="shared" si="2"/>
        <v>627.35000000000014</v>
      </c>
      <c r="F16" s="4">
        <f t="shared" si="2"/>
        <v>1012.7230000000004</v>
      </c>
      <c r="G16" s="4">
        <f t="shared" si="2"/>
        <v>700.31200000000001</v>
      </c>
      <c r="H16" s="4">
        <f t="shared" si="2"/>
        <v>842.68099999999993</v>
      </c>
      <c r="I16" s="4">
        <f t="shared" si="2"/>
        <v>829.41000000000008</v>
      </c>
      <c r="J16" s="4">
        <f t="shared" si="2"/>
        <v>1236.1870000000004</v>
      </c>
      <c r="K16" s="4">
        <f t="shared" si="2"/>
        <v>870.39199999999994</v>
      </c>
      <c r="L16" s="4">
        <f>+L14-L15</f>
        <v>1055.4499999999998</v>
      </c>
      <c r="M16" s="4"/>
      <c r="N16" s="4"/>
      <c r="P16" s="9"/>
      <c r="Q16" s="4"/>
      <c r="R16" s="4"/>
      <c r="S16" s="4"/>
      <c r="T16" s="4">
        <f>T14-T15</f>
        <v>2463.9849999999997</v>
      </c>
      <c r="U16" s="4">
        <f>U14-U15</f>
        <v>3608.5580000000004</v>
      </c>
      <c r="V16" s="4">
        <f>V14*V31</f>
        <v>4000.2258835000002</v>
      </c>
      <c r="W16" s="4">
        <f t="shared" ref="W16:AJ16" si="3">W14*W31</f>
        <v>4683.9008526800008</v>
      </c>
      <c r="X16" s="4">
        <f t="shared" si="3"/>
        <v>5386.4859805819997</v>
      </c>
      <c r="Y16" s="4">
        <f t="shared" si="3"/>
        <v>6194.458877669299</v>
      </c>
      <c r="Z16" s="4">
        <f t="shared" si="3"/>
        <v>7185.5722980963865</v>
      </c>
      <c r="AA16" s="4">
        <f t="shared" si="3"/>
        <v>8047.8409738679538</v>
      </c>
      <c r="AB16" s="4">
        <f t="shared" si="3"/>
        <v>8852.6250712547499</v>
      </c>
      <c r="AC16" s="4">
        <f t="shared" si="3"/>
        <v>9737.887578380225</v>
      </c>
      <c r="AD16" s="4">
        <f t="shared" si="3"/>
        <v>10711.67633621825</v>
      </c>
      <c r="AE16" s="4">
        <f t="shared" si="3"/>
        <v>11782.843969840076</v>
      </c>
      <c r="AF16" s="4">
        <f t="shared" si="3"/>
        <v>12961.128366824085</v>
      </c>
      <c r="AG16" s="4">
        <f t="shared" si="3"/>
        <v>13738.79606883353</v>
      </c>
      <c r="AH16" s="4">
        <f t="shared" si="3"/>
        <v>14563.123832963542</v>
      </c>
      <c r="AI16" s="4">
        <f t="shared" si="3"/>
        <v>15436.911262941354</v>
      </c>
      <c r="AJ16" s="4">
        <f t="shared" si="3"/>
        <v>16363.125938717838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</row>
    <row r="17" spans="2:216" x14ac:dyDescent="0.25">
      <c r="B17" t="s">
        <v>17</v>
      </c>
      <c r="C17" s="1">
        <v>299.58300000000003</v>
      </c>
      <c r="D17" s="1">
        <v>352.88</v>
      </c>
      <c r="E17" s="1">
        <v>411.70800000000003</v>
      </c>
      <c r="F17" s="4">
        <f>T17-E17-D17-C17</f>
        <v>544.83199999999988</v>
      </c>
      <c r="G17" s="1">
        <v>496.63</v>
      </c>
      <c r="H17" s="1">
        <v>541.31700000000001</v>
      </c>
      <c r="I17" s="1">
        <v>545.12</v>
      </c>
      <c r="J17" s="1">
        <v>641.95899999999995</v>
      </c>
      <c r="K17" s="1">
        <v>607.85</v>
      </c>
      <c r="L17" s="1">
        <v>662.25300000000004</v>
      </c>
      <c r="N17" s="1"/>
      <c r="Q17" s="1">
        <v>912</v>
      </c>
      <c r="R17" s="1">
        <v>1112</v>
      </c>
      <c r="S17" s="1">
        <v>1333</v>
      </c>
      <c r="T17" s="1">
        <v>1609.0029999999999</v>
      </c>
      <c r="U17" s="1">
        <v>2225</v>
      </c>
      <c r="V17" s="1">
        <f>U17*(1+V42)</f>
        <v>2492.0000000000005</v>
      </c>
      <c r="W17" s="1">
        <f t="shared" ref="W17:AJ17" si="4">V17*(1+W42)</f>
        <v>2840.880000000001</v>
      </c>
      <c r="X17" s="1">
        <f t="shared" si="4"/>
        <v>3693.1440000000016</v>
      </c>
      <c r="Y17" s="1">
        <f t="shared" si="4"/>
        <v>4431.7728000000016</v>
      </c>
      <c r="Z17" s="1">
        <f t="shared" si="4"/>
        <v>4963.5855360000023</v>
      </c>
      <c r="AA17" s="1">
        <f t="shared" si="4"/>
        <v>5559.2158003200029</v>
      </c>
      <c r="AB17" s="1">
        <f t="shared" si="4"/>
        <v>6226.3216963584036</v>
      </c>
      <c r="AC17" s="1">
        <f t="shared" si="4"/>
        <v>6786.6906490306601</v>
      </c>
      <c r="AD17" s="1">
        <f t="shared" si="4"/>
        <v>7193.8920879725001</v>
      </c>
      <c r="AE17" s="1">
        <f t="shared" si="4"/>
        <v>7625.5256132508503</v>
      </c>
      <c r="AF17" s="1">
        <f t="shared" si="4"/>
        <v>8083.0571500459018</v>
      </c>
      <c r="AG17" s="1">
        <f t="shared" si="4"/>
        <v>8568.0405790486566</v>
      </c>
      <c r="AH17" s="1">
        <f t="shared" si="4"/>
        <v>9082.1230137915773</v>
      </c>
      <c r="AI17" s="1">
        <f t="shared" si="4"/>
        <v>9627.0503946190729</v>
      </c>
      <c r="AJ17" s="1">
        <f t="shared" si="4"/>
        <v>10204.673418296217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</row>
    <row r="18" spans="2:216" x14ac:dyDescent="0.25">
      <c r="B18" t="s">
        <v>34</v>
      </c>
      <c r="C18" s="1">
        <v>2.3E-2</v>
      </c>
      <c r="D18" s="1">
        <v>0.747</v>
      </c>
      <c r="E18" s="1">
        <v>2.1949999999999998</v>
      </c>
      <c r="F18" s="4">
        <f>T18-E18-D18-C18</f>
        <v>2.1950000000000003</v>
      </c>
      <c r="G18" s="1">
        <v>2.1949999999999998</v>
      </c>
      <c r="H18" s="1">
        <v>2.1949999999999998</v>
      </c>
      <c r="I18" s="1">
        <v>2.1949999999999998</v>
      </c>
      <c r="J18" s="1">
        <v>2.1970000000000001</v>
      </c>
      <c r="K18" s="1">
        <v>2.1949999999999998</v>
      </c>
      <c r="L18" s="1">
        <v>2.2000000000000002</v>
      </c>
      <c r="N18" s="1"/>
      <c r="Q18" s="1"/>
      <c r="R18" s="1"/>
      <c r="S18" s="1"/>
      <c r="T18" s="1">
        <v>5.16</v>
      </c>
      <c r="U18" s="1">
        <v>8.7799999999999994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</row>
    <row r="19" spans="2:216" x14ac:dyDescent="0.25">
      <c r="B19" t="s">
        <v>35</v>
      </c>
      <c r="C19" s="1">
        <v>2.0449999999999999</v>
      </c>
      <c r="D19" s="1">
        <v>11.464</v>
      </c>
      <c r="E19" s="1">
        <v>8.5310000000000006</v>
      </c>
      <c r="F19" s="4">
        <f>T19-E19-D19-C19</f>
        <v>7.8019999999999996</v>
      </c>
      <c r="G19" s="1">
        <v>7.66</v>
      </c>
      <c r="H19" s="1">
        <v>8.14</v>
      </c>
      <c r="I19" s="1">
        <v>24.126999999999999</v>
      </c>
      <c r="J19" s="1">
        <v>1.46</v>
      </c>
      <c r="K19" s="1">
        <v>0</v>
      </c>
      <c r="L19" s="1">
        <v>-10.199999999999999</v>
      </c>
      <c r="N19" s="1"/>
      <c r="Q19" s="1"/>
      <c r="R19" s="1"/>
      <c r="S19" s="1"/>
      <c r="T19" s="1">
        <v>29.841999999999999</v>
      </c>
      <c r="U19" s="1">
        <v>41.39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</row>
    <row r="20" spans="2:216" x14ac:dyDescent="0.25">
      <c r="B20" t="s">
        <v>20</v>
      </c>
      <c r="C20" s="1">
        <f t="shared" ref="C20:J20" si="5">+C19+C18+C17+C15</f>
        <v>619.21100000000001</v>
      </c>
      <c r="D20" s="1">
        <f t="shared" si="5"/>
        <v>778.53099999999995</v>
      </c>
      <c r="E20" s="1">
        <f t="shared" si="5"/>
        <v>912.50400000000002</v>
      </c>
      <c r="F20" s="1">
        <f t="shared" si="5"/>
        <v>1271.6469999999999</v>
      </c>
      <c r="G20" s="1">
        <f t="shared" si="5"/>
        <v>1032.635</v>
      </c>
      <c r="H20" s="1">
        <f t="shared" si="5"/>
        <v>1159.5819999999999</v>
      </c>
      <c r="I20" s="1">
        <f t="shared" si="5"/>
        <v>1192.442</v>
      </c>
      <c r="J20" s="1">
        <f t="shared" si="5"/>
        <v>1538.556</v>
      </c>
      <c r="K20" s="1">
        <f>+K19+K18+K17+K15</f>
        <v>1353.1150000000002</v>
      </c>
      <c r="L20" s="1">
        <f>+L15+L17+L18+L19</f>
        <v>1467.1030000000001</v>
      </c>
      <c r="N20" s="1"/>
      <c r="Q20" s="1"/>
      <c r="R20" s="1"/>
      <c r="S20" s="1"/>
      <c r="T20" s="1">
        <f>+T19+T18+T17+T15</f>
        <v>3581.893</v>
      </c>
      <c r="U20" s="1">
        <f>+U19+U18+U17+U15</f>
        <v>4923.2219999999998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</row>
    <row r="21" spans="2:216" s="3" customFormat="1" x14ac:dyDescent="0.25">
      <c r="B21" s="3" t="s">
        <v>21</v>
      </c>
      <c r="C21" s="4">
        <f t="shared" ref="C21:K21" si="6">C14-C20</f>
        <v>32.742999999999938</v>
      </c>
      <c r="D21" s="4">
        <f t="shared" si="6"/>
        <v>124.42700000000002</v>
      </c>
      <c r="E21" s="4">
        <f t="shared" si="6"/>
        <v>204.91600000000005</v>
      </c>
      <c r="F21" s="4">
        <f t="shared" si="6"/>
        <v>457.89400000000046</v>
      </c>
      <c r="G21" s="4">
        <f t="shared" si="6"/>
        <v>193.827</v>
      </c>
      <c r="H21" s="4">
        <f t="shared" si="6"/>
        <v>291.029</v>
      </c>
      <c r="I21" s="4">
        <f t="shared" si="6"/>
        <v>257.96800000000007</v>
      </c>
      <c r="J21" s="4">
        <f t="shared" si="6"/>
        <v>590.57100000000037</v>
      </c>
      <c r="K21" s="4">
        <f t="shared" si="6"/>
        <v>260.34699999999975</v>
      </c>
      <c r="L21" s="4">
        <f>+L14-L20</f>
        <v>401.19699999999989</v>
      </c>
      <c r="M21" s="4"/>
      <c r="N21" s="4"/>
      <c r="P21" s="9"/>
      <c r="Q21" s="4"/>
      <c r="R21" s="4"/>
      <c r="S21" s="4"/>
      <c r="T21" s="4">
        <f>T14-T20</f>
        <v>819.97999999999956</v>
      </c>
      <c r="U21" s="4">
        <f>U14-U20</f>
        <v>1333.3880000000008</v>
      </c>
      <c r="V21" s="4">
        <f>+V16-V17</f>
        <v>1508.2258834999998</v>
      </c>
      <c r="W21" s="4">
        <f t="shared" ref="W21:AJ21" si="7">+W16-W17</f>
        <v>1843.0208526799997</v>
      </c>
      <c r="X21" s="4">
        <f t="shared" si="7"/>
        <v>1693.3419805819981</v>
      </c>
      <c r="Y21" s="4">
        <f t="shared" si="7"/>
        <v>1762.6860776692974</v>
      </c>
      <c r="Z21" s="4">
        <f t="shared" si="7"/>
        <v>2221.9867620963842</v>
      </c>
      <c r="AA21" s="4">
        <f t="shared" si="7"/>
        <v>2488.6251735479509</v>
      </c>
      <c r="AB21" s="4">
        <f t="shared" si="7"/>
        <v>2626.3033748963462</v>
      </c>
      <c r="AC21" s="4">
        <f t="shared" si="7"/>
        <v>2951.1969293495649</v>
      </c>
      <c r="AD21" s="4">
        <f t="shared" si="7"/>
        <v>3517.78424824575</v>
      </c>
      <c r="AE21" s="4">
        <f t="shared" si="7"/>
        <v>4157.3183565892259</v>
      </c>
      <c r="AF21" s="4">
        <f t="shared" si="7"/>
        <v>4878.071216778183</v>
      </c>
      <c r="AG21" s="4">
        <f t="shared" si="7"/>
        <v>5170.7554897848731</v>
      </c>
      <c r="AH21" s="4">
        <f t="shared" si="7"/>
        <v>5481.0008191719644</v>
      </c>
      <c r="AI21" s="4">
        <f t="shared" si="7"/>
        <v>5809.860868322281</v>
      </c>
      <c r="AJ21" s="4">
        <f t="shared" si="7"/>
        <v>6158.4525204216206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</row>
    <row r="22" spans="2:216" x14ac:dyDescent="0.25">
      <c r="B22" t="s">
        <v>36</v>
      </c>
      <c r="C22" s="1">
        <v>1.1739999999999999</v>
      </c>
      <c r="D22" s="1">
        <v>-0.34399999999999997</v>
      </c>
      <c r="E22" s="1">
        <v>-0.57999999999999996</v>
      </c>
      <c r="F22" s="4">
        <f>T22-E22-D22-C22</f>
        <v>-0.88600000000000001</v>
      </c>
      <c r="G22" s="1">
        <v>0.27700000000000002</v>
      </c>
      <c r="H22" s="1">
        <v>9.6000000000000002E-2</v>
      </c>
      <c r="I22" s="1">
        <v>1.2E-2</v>
      </c>
      <c r="J22" s="1">
        <v>0.17599999999999999</v>
      </c>
      <c r="K22" s="1">
        <v>-2.1999999999999999E-2</v>
      </c>
      <c r="L22" s="1">
        <v>0.14499999999999999</v>
      </c>
      <c r="N22" s="1"/>
      <c r="Q22" s="1"/>
      <c r="R22" s="1"/>
      <c r="S22" s="1"/>
      <c r="T22" s="1">
        <v>-0.63600000000000001</v>
      </c>
      <c r="U22" s="1">
        <v>0.51400000000000001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</row>
    <row r="23" spans="2:216" s="3" customFormat="1" x14ac:dyDescent="0.25">
      <c r="B23" t="s">
        <v>18</v>
      </c>
      <c r="C23" s="1">
        <v>5.2930000000000001</v>
      </c>
      <c r="D23" s="1">
        <v>37.26</v>
      </c>
      <c r="E23" s="1">
        <v>60.697000000000003</v>
      </c>
      <c r="F23" s="4">
        <f>T23-E23-D23-C23</f>
        <v>127.18700000000001</v>
      </c>
      <c r="G23" s="1">
        <v>49.09</v>
      </c>
      <c r="H23" s="1">
        <v>83.05</v>
      </c>
      <c r="I23" s="1">
        <v>70.174000000000007</v>
      </c>
      <c r="J23" s="1">
        <v>156.22800000000001</v>
      </c>
      <c r="K23" s="1">
        <v>70.326999999999998</v>
      </c>
      <c r="L23" s="1">
        <v>111.83</v>
      </c>
      <c r="M23" s="4"/>
      <c r="N23" s="4"/>
      <c r="P23" s="9"/>
      <c r="Q23" s="4"/>
      <c r="R23" s="4"/>
      <c r="S23" s="4"/>
      <c r="T23" s="1">
        <v>230.43700000000001</v>
      </c>
      <c r="U23" s="1">
        <v>358.54700000000003</v>
      </c>
      <c r="V23" s="1">
        <f>V14*V33</f>
        <v>400.02258834999998</v>
      </c>
      <c r="W23" s="1">
        <f t="shared" ref="W23:AJ23" si="8">W14*W33</f>
        <v>460.02597660250001</v>
      </c>
      <c r="X23" s="1">
        <f t="shared" si="8"/>
        <v>529.02987309287494</v>
      </c>
      <c r="Y23" s="1">
        <f t="shared" si="8"/>
        <v>608.38435405680616</v>
      </c>
      <c r="Z23" s="1">
        <f t="shared" si="8"/>
        <v>705.72585070589503</v>
      </c>
      <c r="AA23" s="1">
        <f t="shared" si="8"/>
        <v>790.4129527906025</v>
      </c>
      <c r="AB23" s="1">
        <f t="shared" si="8"/>
        <v>869.45424806966287</v>
      </c>
      <c r="AC23" s="1">
        <f t="shared" si="8"/>
        <v>956.39967287662921</v>
      </c>
      <c r="AD23" s="1">
        <f t="shared" si="8"/>
        <v>1052.0396401642922</v>
      </c>
      <c r="AE23" s="1">
        <f t="shared" si="8"/>
        <v>1157.2436041807216</v>
      </c>
      <c r="AF23" s="1">
        <f t="shared" si="8"/>
        <v>1272.967964598794</v>
      </c>
      <c r="AG23" s="1">
        <f t="shared" si="8"/>
        <v>1349.3460424747216</v>
      </c>
      <c r="AH23" s="1">
        <f t="shared" si="8"/>
        <v>1430.3068050232048</v>
      </c>
      <c r="AI23" s="1">
        <f t="shared" si="8"/>
        <v>1516.1252133245971</v>
      </c>
      <c r="AJ23" s="1">
        <f t="shared" si="8"/>
        <v>1607.0927261240731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</row>
    <row r="24" spans="2:216" s="3" customFormat="1" x14ac:dyDescent="0.25">
      <c r="B24" s="3" t="s">
        <v>19</v>
      </c>
      <c r="C24" s="4">
        <f t="shared" ref="C24:K24" si="9">C21+C22-C23</f>
        <v>28.623999999999938</v>
      </c>
      <c r="D24" s="4">
        <f t="shared" si="9"/>
        <v>86.823000000000036</v>
      </c>
      <c r="E24" s="4">
        <f t="shared" si="9"/>
        <v>143.63900000000004</v>
      </c>
      <c r="F24" s="4">
        <f t="shared" si="9"/>
        <v>329.82100000000042</v>
      </c>
      <c r="G24" s="4">
        <f t="shared" si="9"/>
        <v>145.01399999999998</v>
      </c>
      <c r="H24" s="4">
        <f t="shared" si="9"/>
        <v>208.07499999999999</v>
      </c>
      <c r="I24" s="4">
        <f t="shared" si="9"/>
        <v>187.80600000000007</v>
      </c>
      <c r="J24" s="4">
        <f t="shared" si="9"/>
        <v>434.5190000000004</v>
      </c>
      <c r="K24" s="4">
        <f t="shared" si="9"/>
        <v>189.99799999999976</v>
      </c>
      <c r="L24" s="4">
        <f>+L21+L22-L23</f>
        <v>289.51199999999989</v>
      </c>
      <c r="M24" s="4"/>
      <c r="N24" s="4"/>
      <c r="P24" s="9"/>
      <c r="Q24" s="4">
        <v>259</v>
      </c>
      <c r="R24" s="4">
        <v>484</v>
      </c>
      <c r="S24" s="4">
        <v>646</v>
      </c>
      <c r="T24" s="4">
        <f t="shared" ref="T24:U24" si="10">T21+T22-T23</f>
        <v>588.90699999999958</v>
      </c>
      <c r="U24" s="4">
        <f t="shared" si="10"/>
        <v>975.3550000000007</v>
      </c>
      <c r="V24" s="4">
        <f>+V21-V23</f>
        <v>1108.2032951499998</v>
      </c>
      <c r="W24" s="4">
        <f t="shared" ref="W24:AJ24" si="11">+W21-W23</f>
        <v>1382.9948760774996</v>
      </c>
      <c r="X24" s="4">
        <f t="shared" si="11"/>
        <v>1164.3121074891233</v>
      </c>
      <c r="Y24" s="4">
        <f t="shared" si="11"/>
        <v>1154.3017236124913</v>
      </c>
      <c r="Z24" s="4">
        <f t="shared" si="11"/>
        <v>1516.2609113904891</v>
      </c>
      <c r="AA24" s="4">
        <f t="shared" si="11"/>
        <v>1698.2122207573484</v>
      </c>
      <c r="AB24" s="4">
        <f t="shared" si="11"/>
        <v>1756.8491268266835</v>
      </c>
      <c r="AC24" s="4">
        <f t="shared" si="11"/>
        <v>1994.7972564729357</v>
      </c>
      <c r="AD24" s="4">
        <f t="shared" si="11"/>
        <v>2465.744608081458</v>
      </c>
      <c r="AE24" s="4">
        <f t="shared" si="11"/>
        <v>3000.0747524085045</v>
      </c>
      <c r="AF24" s="4">
        <f t="shared" si="11"/>
        <v>3605.1032521793891</v>
      </c>
      <c r="AG24" s="4">
        <f t="shared" si="11"/>
        <v>3821.4094473101513</v>
      </c>
      <c r="AH24" s="4">
        <f t="shared" si="11"/>
        <v>4050.6940141487594</v>
      </c>
      <c r="AI24" s="4">
        <f t="shared" si="11"/>
        <v>4293.7356549976839</v>
      </c>
      <c r="AJ24" s="4">
        <f t="shared" si="11"/>
        <v>4551.3597942975475</v>
      </c>
      <c r="AK24" s="4">
        <f>AJ24*(1+$AO$52)</f>
        <v>4505.8461963545724</v>
      </c>
      <c r="AL24" s="4">
        <f t="shared" ref="AL24:CW24" si="12">AK24*(1+$AO$52)</f>
        <v>4460.7877343910268</v>
      </c>
      <c r="AM24" s="4">
        <f t="shared" si="12"/>
        <v>4416.1798570471165</v>
      </c>
      <c r="AN24" s="4">
        <f t="shared" si="12"/>
        <v>4372.0180584766449</v>
      </c>
      <c r="AO24" s="4">
        <f t="shared" si="12"/>
        <v>4328.2978778918787</v>
      </c>
      <c r="AP24" s="4">
        <f t="shared" si="12"/>
        <v>4285.0148991129599</v>
      </c>
      <c r="AQ24" s="4">
        <f t="shared" si="12"/>
        <v>4242.1647501218304</v>
      </c>
      <c r="AR24" s="4">
        <f t="shared" si="12"/>
        <v>4199.7431026206123</v>
      </c>
      <c r="AS24" s="4">
        <f t="shared" si="12"/>
        <v>4157.7456715944063</v>
      </c>
      <c r="AT24" s="4">
        <f t="shared" si="12"/>
        <v>4116.1682148784621</v>
      </c>
      <c r="AU24" s="4">
        <f t="shared" si="12"/>
        <v>4075.0065327296775</v>
      </c>
      <c r="AV24" s="4">
        <f t="shared" si="12"/>
        <v>4034.2564674023806</v>
      </c>
      <c r="AW24" s="4">
        <f t="shared" si="12"/>
        <v>3993.9139027283568</v>
      </c>
      <c r="AX24" s="4">
        <f t="shared" si="12"/>
        <v>3953.9747637010732</v>
      </c>
      <c r="AY24" s="4">
        <f t="shared" si="12"/>
        <v>3914.4350160640624</v>
      </c>
      <c r="AZ24" s="4">
        <f t="shared" si="12"/>
        <v>3875.290665903422</v>
      </c>
      <c r="BA24" s="4">
        <f t="shared" si="12"/>
        <v>3836.5377592443879</v>
      </c>
      <c r="BB24" s="4">
        <f t="shared" si="12"/>
        <v>3798.1723816519439</v>
      </c>
      <c r="BC24" s="4">
        <f t="shared" si="12"/>
        <v>3760.1906578354242</v>
      </c>
      <c r="BD24" s="4">
        <f t="shared" si="12"/>
        <v>3722.5887512570698</v>
      </c>
      <c r="BE24" s="4">
        <f t="shared" si="12"/>
        <v>3685.362863744499</v>
      </c>
      <c r="BF24" s="4">
        <f t="shared" si="12"/>
        <v>3648.5092351070539</v>
      </c>
      <c r="BG24" s="4">
        <f t="shared" si="12"/>
        <v>3612.0241427559831</v>
      </c>
      <c r="BH24" s="4">
        <f t="shared" si="12"/>
        <v>3575.9039013284232</v>
      </c>
      <c r="BI24" s="4">
        <f t="shared" si="12"/>
        <v>3540.1448623151391</v>
      </c>
      <c r="BJ24" s="4">
        <f t="shared" si="12"/>
        <v>3504.7434136919878</v>
      </c>
      <c r="BK24" s="4">
        <f t="shared" si="12"/>
        <v>3469.6959795550679</v>
      </c>
      <c r="BL24" s="4">
        <f t="shared" si="12"/>
        <v>3434.9990197595171</v>
      </c>
      <c r="BM24" s="4">
        <f t="shared" si="12"/>
        <v>3400.6490295619219</v>
      </c>
      <c r="BN24" s="4">
        <f t="shared" si="12"/>
        <v>3366.6425392663027</v>
      </c>
      <c r="BO24" s="4">
        <f t="shared" si="12"/>
        <v>3332.9761138736399</v>
      </c>
      <c r="BP24" s="4">
        <f t="shared" si="12"/>
        <v>3299.6463527349033</v>
      </c>
      <c r="BQ24" s="4">
        <f t="shared" si="12"/>
        <v>3266.6498892075542</v>
      </c>
      <c r="BR24" s="4">
        <f t="shared" si="12"/>
        <v>3233.9833903154786</v>
      </c>
      <c r="BS24" s="4">
        <f t="shared" si="12"/>
        <v>3201.643556412324</v>
      </c>
      <c r="BT24" s="4">
        <f t="shared" si="12"/>
        <v>3169.6271208482008</v>
      </c>
      <c r="BU24" s="4">
        <f t="shared" si="12"/>
        <v>3137.9308496397189</v>
      </c>
      <c r="BV24" s="4">
        <f t="shared" si="12"/>
        <v>3106.5515411433216</v>
      </c>
      <c r="BW24" s="4">
        <f t="shared" si="12"/>
        <v>3075.4860257318883</v>
      </c>
      <c r="BX24" s="4">
        <f t="shared" si="12"/>
        <v>3044.7311654745695</v>
      </c>
      <c r="BY24" s="4">
        <f t="shared" si="12"/>
        <v>3014.2838538198239</v>
      </c>
      <c r="BZ24" s="4">
        <f t="shared" si="12"/>
        <v>2984.1410152816256</v>
      </c>
      <c r="CA24" s="4">
        <f t="shared" si="12"/>
        <v>2954.2996051288092</v>
      </c>
      <c r="CB24" s="4">
        <f t="shared" si="12"/>
        <v>2924.7566090775213</v>
      </c>
      <c r="CC24" s="4">
        <f t="shared" si="12"/>
        <v>2895.509042986746</v>
      </c>
      <c r="CD24" s="4">
        <f t="shared" si="12"/>
        <v>2866.5539525568784</v>
      </c>
      <c r="CE24" s="4">
        <f t="shared" si="12"/>
        <v>2837.8884130313095</v>
      </c>
      <c r="CF24" s="4">
        <f t="shared" si="12"/>
        <v>2809.5095289009964</v>
      </c>
      <c r="CG24" s="4">
        <f t="shared" si="12"/>
        <v>2781.4144336119866</v>
      </c>
      <c r="CH24" s="4">
        <f t="shared" si="12"/>
        <v>2753.6002892758665</v>
      </c>
      <c r="CI24" s="4">
        <f t="shared" si="12"/>
        <v>2726.0642863831076</v>
      </c>
      <c r="CJ24" s="4">
        <f t="shared" si="12"/>
        <v>2698.8036435192766</v>
      </c>
      <c r="CK24" s="4">
        <f t="shared" si="12"/>
        <v>2671.8156070840837</v>
      </c>
      <c r="CL24" s="4">
        <f t="shared" si="12"/>
        <v>2645.0974510132428</v>
      </c>
      <c r="CM24" s="4">
        <f t="shared" si="12"/>
        <v>2618.6464765031105</v>
      </c>
      <c r="CN24" s="4">
        <f t="shared" si="12"/>
        <v>2592.4600117380796</v>
      </c>
      <c r="CO24" s="4">
        <f t="shared" si="12"/>
        <v>2566.5354116206986</v>
      </c>
      <c r="CP24" s="4">
        <f t="shared" si="12"/>
        <v>2540.8700575044918</v>
      </c>
      <c r="CQ24" s="4">
        <f t="shared" si="12"/>
        <v>2515.461356929447</v>
      </c>
      <c r="CR24" s="4">
        <f t="shared" si="12"/>
        <v>2490.3067433601527</v>
      </c>
      <c r="CS24" s="4">
        <f t="shared" si="12"/>
        <v>2465.4036759265514</v>
      </c>
      <c r="CT24" s="4">
        <f t="shared" si="12"/>
        <v>2440.7496391672857</v>
      </c>
      <c r="CU24" s="4">
        <f t="shared" si="12"/>
        <v>2416.342142775613</v>
      </c>
      <c r="CV24" s="4">
        <f t="shared" si="12"/>
        <v>2392.1787213478569</v>
      </c>
      <c r="CW24" s="4">
        <f t="shared" si="12"/>
        <v>2368.2569341343783</v>
      </c>
      <c r="CX24" s="4">
        <f t="shared" ref="CX24:DD24" si="13">CW24*(1+$AO$52)</f>
        <v>2344.5743647930344</v>
      </c>
      <c r="CY24" s="4">
        <f t="shared" si="13"/>
        <v>2321.1286211451043</v>
      </c>
      <c r="CZ24" s="4">
        <f t="shared" si="13"/>
        <v>2297.9173349336534</v>
      </c>
      <c r="DA24" s="4">
        <f t="shared" si="13"/>
        <v>2274.9381615843167</v>
      </c>
      <c r="DB24" s="4">
        <f t="shared" si="13"/>
        <v>2252.1887799684737</v>
      </c>
      <c r="DC24" s="4">
        <f t="shared" si="13"/>
        <v>2229.6668921687888</v>
      </c>
      <c r="DD24" s="4">
        <f t="shared" si="13"/>
        <v>2207.370223247101</v>
      </c>
    </row>
    <row r="25" spans="2:216" x14ac:dyDescent="0.25">
      <c r="B25" t="s">
        <v>39</v>
      </c>
      <c r="C25" s="1">
        <v>-60.603999999999999</v>
      </c>
      <c r="D25" s="1">
        <v>54.3</v>
      </c>
      <c r="E25" s="1">
        <v>2.69</v>
      </c>
      <c r="F25" s="4">
        <f>T25-E25-D25-C25</f>
        <v>76.344999999999999</v>
      </c>
      <c r="G25" s="1">
        <v>67.239999999999995</v>
      </c>
      <c r="H25" s="1">
        <v>-23.52</v>
      </c>
      <c r="I25" s="1">
        <v>10.273999999999999</v>
      </c>
      <c r="J25" s="1">
        <f>U25-I25-H25-G25</f>
        <v>-82.488</v>
      </c>
      <c r="K25" s="1">
        <v>-25.847999999999999</v>
      </c>
      <c r="L25" s="1">
        <v>8.7149999999999999</v>
      </c>
      <c r="N25" s="1"/>
      <c r="Q25" s="1"/>
      <c r="R25" s="1"/>
      <c r="S25" s="1"/>
      <c r="T25" s="1">
        <v>72.730999999999995</v>
      </c>
      <c r="U25" s="1">
        <v>-28.494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</row>
    <row r="26" spans="2:216" x14ac:dyDescent="0.25">
      <c r="B26" t="s">
        <v>37</v>
      </c>
      <c r="C26" s="1">
        <v>0</v>
      </c>
      <c r="D26" s="1">
        <v>0</v>
      </c>
      <c r="E26" s="1">
        <v>0</v>
      </c>
      <c r="F26" s="4">
        <f>T26-E26-D26-C26</f>
        <v>-25.305</v>
      </c>
      <c r="G26" s="1">
        <v>-23.6</v>
      </c>
      <c r="H26" s="1">
        <v>0</v>
      </c>
      <c r="I26" s="1">
        <v>0</v>
      </c>
      <c r="J26" s="1">
        <f>U26-G26-H26-I26</f>
        <v>33.332000000000001</v>
      </c>
      <c r="K26" s="1">
        <v>5.056</v>
      </c>
      <c r="L26" s="1">
        <v>-4.3</v>
      </c>
      <c r="N26" s="1"/>
      <c r="Q26" s="1"/>
      <c r="R26" s="1"/>
      <c r="S26" s="1"/>
      <c r="T26" s="1">
        <v>-25.305</v>
      </c>
      <c r="U26" s="1">
        <v>9.7319999999999993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</row>
    <row r="27" spans="2:216" s="3" customFormat="1" x14ac:dyDescent="0.25">
      <c r="B27" s="3" t="s">
        <v>38</v>
      </c>
      <c r="C27" s="4">
        <f t="shared" ref="C27:K27" si="14">+C26+C25+C24</f>
        <v>-31.980000000000061</v>
      </c>
      <c r="D27" s="4">
        <f t="shared" si="14"/>
        <v>141.12300000000005</v>
      </c>
      <c r="E27" s="4">
        <f t="shared" si="14"/>
        <v>146.32900000000004</v>
      </c>
      <c r="F27" s="4">
        <f t="shared" si="14"/>
        <v>380.86100000000044</v>
      </c>
      <c r="G27" s="4">
        <f t="shared" si="14"/>
        <v>188.65399999999997</v>
      </c>
      <c r="H27" s="4">
        <f t="shared" si="14"/>
        <v>184.55499999999998</v>
      </c>
      <c r="I27" s="4">
        <f t="shared" si="14"/>
        <v>198.08000000000007</v>
      </c>
      <c r="J27" s="4">
        <f t="shared" si="14"/>
        <v>385.3630000000004</v>
      </c>
      <c r="K27" s="4">
        <f t="shared" si="14"/>
        <v>169.20599999999976</v>
      </c>
      <c r="L27" s="4">
        <f>+L24+L25+L26</f>
        <v>293.92699999999985</v>
      </c>
      <c r="M27" s="4"/>
      <c r="N27" s="4"/>
      <c r="P27" s="9"/>
      <c r="Q27" s="4"/>
      <c r="R27" s="4"/>
      <c r="S27" s="4"/>
      <c r="T27" s="4">
        <f>+T26+T25+T24</f>
        <v>636.33299999999963</v>
      </c>
      <c r="U27" s="4">
        <f>+U26+U25+U24</f>
        <v>956.59300000000076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</row>
    <row r="28" spans="2:216" s="3" customFormat="1" x14ac:dyDescent="0.25">
      <c r="B28" t="s">
        <v>1</v>
      </c>
      <c r="C28" s="1">
        <v>130.245</v>
      </c>
      <c r="D28" s="1">
        <v>130.245</v>
      </c>
      <c r="E28" s="1">
        <v>130.31800000000001</v>
      </c>
      <c r="F28" s="1">
        <v>130.31800000000001</v>
      </c>
      <c r="G28" s="1">
        <v>130.35</v>
      </c>
      <c r="H28" s="1">
        <v>130.00700000000001</v>
      </c>
      <c r="I28" s="1">
        <v>129.684</v>
      </c>
      <c r="J28" s="1">
        <v>128.077</v>
      </c>
      <c r="K28" s="1">
        <v>128.077</v>
      </c>
      <c r="L28" s="1">
        <v>127.619</v>
      </c>
      <c r="M28" s="4"/>
      <c r="N28" s="4"/>
      <c r="P28" s="9"/>
      <c r="Q28" s="4"/>
      <c r="R28" s="4"/>
      <c r="S28" s="4"/>
      <c r="T28" s="1">
        <v>130.28899999999999</v>
      </c>
      <c r="U28" s="1">
        <v>129.768</v>
      </c>
      <c r="V28" s="1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</row>
    <row r="29" spans="2:216" s="13" customFormat="1" x14ac:dyDescent="0.25">
      <c r="B29" s="12" t="s">
        <v>22</v>
      </c>
      <c r="C29" s="13">
        <f t="shared" ref="C29:L29" si="15">C27/C28</f>
        <v>-0.24553725670851134</v>
      </c>
      <c r="D29" s="13">
        <f t="shared" si="15"/>
        <v>1.083519520902914</v>
      </c>
      <c r="E29" s="13">
        <f t="shared" si="15"/>
        <v>1.1228610015500546</v>
      </c>
      <c r="F29" s="13">
        <f t="shared" si="15"/>
        <v>2.9225509906536349</v>
      </c>
      <c r="G29" s="13">
        <f t="shared" si="15"/>
        <v>1.4472880705792097</v>
      </c>
      <c r="H29" s="13">
        <f t="shared" si="15"/>
        <v>1.4195774073703722</v>
      </c>
      <c r="I29" s="13">
        <f t="shared" si="15"/>
        <v>1.5274050769562943</v>
      </c>
      <c r="J29" s="13">
        <f t="shared" si="15"/>
        <v>3.0088384331300735</v>
      </c>
      <c r="K29" s="13">
        <f t="shared" si="15"/>
        <v>1.3211271344581756</v>
      </c>
      <c r="L29" s="13">
        <f t="shared" si="15"/>
        <v>2.3031601877463377</v>
      </c>
      <c r="P29" s="14"/>
      <c r="T29" s="13">
        <f>T27/T28</f>
        <v>4.8840116970734266</v>
      </c>
      <c r="U29" s="13">
        <f>U27/U28</f>
        <v>7.3715630972196591</v>
      </c>
    </row>
    <row r="30" spans="2:216" s="5" customFormat="1" x14ac:dyDescent="0.25">
      <c r="B30"/>
      <c r="P30" s="10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</row>
    <row r="31" spans="2:216" s="15" customFormat="1" x14ac:dyDescent="0.25">
      <c r="B31" s="15" t="s">
        <v>24</v>
      </c>
      <c r="C31" s="15">
        <f t="shared" ref="C31:J31" si="16">C16/C14</f>
        <v>0.51291042006031096</v>
      </c>
      <c r="D31" s="15">
        <f t="shared" si="16"/>
        <v>0.5421270978273629</v>
      </c>
      <c r="E31" s="15">
        <f t="shared" si="16"/>
        <v>0.56142721626604153</v>
      </c>
      <c r="F31" s="15">
        <f t="shared" si="16"/>
        <v>0.58554437275554627</v>
      </c>
      <c r="G31" s="15">
        <f t="shared" si="16"/>
        <v>0.57100179214684188</v>
      </c>
      <c r="H31" s="15">
        <f t="shared" si="16"/>
        <v>0.58091452498292095</v>
      </c>
      <c r="I31" s="15">
        <f t="shared" si="16"/>
        <v>0.57184520239104808</v>
      </c>
      <c r="J31" s="15">
        <f t="shared" si="16"/>
        <v>0.5806074508472252</v>
      </c>
      <c r="K31" s="15">
        <f>K16/K14</f>
        <v>0.53945615081111298</v>
      </c>
      <c r="L31" s="15">
        <f>L16/L14</f>
        <v>0.56492533319060101</v>
      </c>
      <c r="P31" s="16"/>
      <c r="T31" s="15">
        <f>T16/T14</f>
        <v>0.55975831197310777</v>
      </c>
      <c r="U31" s="15">
        <f>U16/U14</f>
        <v>0.5767592993649916</v>
      </c>
      <c r="V31" s="15">
        <v>0.55000000000000004</v>
      </c>
      <c r="W31" s="15">
        <v>0.56000000000000005</v>
      </c>
      <c r="X31" s="15">
        <v>0.56000000000000005</v>
      </c>
      <c r="Y31" s="15">
        <v>0.56000000000000005</v>
      </c>
      <c r="Z31" s="15">
        <v>0.56000000000000005</v>
      </c>
      <c r="AA31" s="15">
        <v>0.56000000000000005</v>
      </c>
      <c r="AB31" s="15">
        <v>0.56000000000000005</v>
      </c>
      <c r="AC31" s="15">
        <v>0.56000000000000005</v>
      </c>
      <c r="AD31" s="15">
        <v>0.56000000000000005</v>
      </c>
      <c r="AE31" s="15">
        <v>0.56000000000000005</v>
      </c>
      <c r="AF31" s="15">
        <v>0.56000000000000005</v>
      </c>
      <c r="AG31" s="15">
        <v>0.56000000000000005</v>
      </c>
      <c r="AH31" s="15">
        <v>0.56000000000000005</v>
      </c>
      <c r="AI31" s="15">
        <v>0.56000000000000005</v>
      </c>
      <c r="AJ31" s="15">
        <v>0.56000000000000005</v>
      </c>
    </row>
    <row r="32" spans="2:216" s="7" customFormat="1" x14ac:dyDescent="0.25">
      <c r="B32" s="7" t="s">
        <v>29</v>
      </c>
      <c r="C32" s="7">
        <f t="shared" ref="C32:J32" si="17">C21/C14</f>
        <v>5.0222868484586243E-2</v>
      </c>
      <c r="D32" s="7">
        <f t="shared" si="17"/>
        <v>0.13779932178462345</v>
      </c>
      <c r="E32" s="7">
        <f t="shared" si="17"/>
        <v>0.18338315047162215</v>
      </c>
      <c r="F32" s="7">
        <f t="shared" si="17"/>
        <v>0.26474885533213743</v>
      </c>
      <c r="G32" s="7">
        <f t="shared" si="17"/>
        <v>0.1580375095192513</v>
      </c>
      <c r="H32" s="7">
        <f t="shared" si="17"/>
        <v>0.20062511589943824</v>
      </c>
      <c r="I32" s="7">
        <f t="shared" si="17"/>
        <v>0.17785867444377801</v>
      </c>
      <c r="J32" s="7">
        <f t="shared" si="17"/>
        <v>0.27737706581148058</v>
      </c>
      <c r="K32" s="7">
        <f>K21/K14</f>
        <v>0.16135923870534277</v>
      </c>
      <c r="L32" s="7">
        <f>L21/L14</f>
        <v>0.21473906760156286</v>
      </c>
      <c r="P32" s="11"/>
      <c r="T32" s="7">
        <f>T21/T14</f>
        <v>0.1862797949872701</v>
      </c>
      <c r="U32" s="7">
        <f>U21/U14</f>
        <v>0.21311668779099235</v>
      </c>
      <c r="V32" s="7">
        <f>V21/V14</f>
        <v>0.20736934865268339</v>
      </c>
      <c r="W32" s="7">
        <f t="shared" ref="W32:AJ32" si="18">W21/W14</f>
        <v>0.22034874562092091</v>
      </c>
      <c r="X32" s="7">
        <f t="shared" si="18"/>
        <v>0.17604640809321481</v>
      </c>
      <c r="Y32" s="7">
        <f t="shared" si="18"/>
        <v>0.15935277366248499</v>
      </c>
      <c r="Z32" s="7">
        <f t="shared" si="18"/>
        <v>0.17316819526033028</v>
      </c>
      <c r="AA32" s="7">
        <f t="shared" si="18"/>
        <v>0.17316819526033031</v>
      </c>
      <c r="AB32" s="7">
        <f t="shared" si="18"/>
        <v>0.16613488971960905</v>
      </c>
      <c r="AC32" s="7">
        <f t="shared" si="18"/>
        <v>0.16971548163124894</v>
      </c>
      <c r="AD32" s="7">
        <f t="shared" si="18"/>
        <v>0.18390764593556727</v>
      </c>
      <c r="AE32" s="7">
        <f t="shared" si="18"/>
        <v>0.19758373153791031</v>
      </c>
      <c r="AF32" s="7">
        <f t="shared" si="18"/>
        <v>0.21076250493653173</v>
      </c>
      <c r="AG32" s="7">
        <f t="shared" si="18"/>
        <v>0.2107625049365317</v>
      </c>
      <c r="AH32" s="7">
        <f t="shared" si="18"/>
        <v>0.21076250493653167</v>
      </c>
      <c r="AI32" s="7">
        <f t="shared" si="18"/>
        <v>0.21076250493653162</v>
      </c>
      <c r="AJ32" s="7">
        <f t="shared" si="18"/>
        <v>0.21076250493653167</v>
      </c>
    </row>
    <row r="33" spans="2:36" s="17" customFormat="1" x14ac:dyDescent="0.25">
      <c r="B33" s="17" t="s">
        <v>28</v>
      </c>
      <c r="C33" s="17">
        <f t="shared" ref="C33:J33" si="19">C23/C14</f>
        <v>8.1186709491773961E-3</v>
      </c>
      <c r="D33" s="17">
        <f t="shared" si="19"/>
        <v>4.1264377745144291E-2</v>
      </c>
      <c r="E33" s="17">
        <f t="shared" si="19"/>
        <v>5.4318877414043065E-2</v>
      </c>
      <c r="F33" s="17">
        <f t="shared" si="19"/>
        <v>7.3538008061098281E-2</v>
      </c>
      <c r="G33" s="17">
        <f t="shared" si="19"/>
        <v>4.0025699940153064E-2</v>
      </c>
      <c r="H33" s="17">
        <f t="shared" si="19"/>
        <v>5.7251737371355936E-2</v>
      </c>
      <c r="I33" s="17">
        <f t="shared" si="19"/>
        <v>4.8382181590033164E-2</v>
      </c>
      <c r="J33" s="17">
        <f t="shared" si="19"/>
        <v>7.3376552925213001E-2</v>
      </c>
      <c r="K33" s="17">
        <f>K23/K14</f>
        <v>4.3587639498172251E-2</v>
      </c>
      <c r="L33" s="17">
        <f>L23/L14</f>
        <v>5.9856554086602794E-2</v>
      </c>
      <c r="P33" s="18"/>
      <c r="T33" s="17">
        <f>T23/T14</f>
        <v>5.2349761113053471E-2</v>
      </c>
      <c r="U33" s="17">
        <f>U23/U14</f>
        <v>5.7306912209647079E-2</v>
      </c>
      <c r="V33" s="17">
        <v>5.5E-2</v>
      </c>
      <c r="W33" s="17">
        <v>5.5E-2</v>
      </c>
      <c r="X33" s="17">
        <v>5.5E-2</v>
      </c>
      <c r="Y33" s="17">
        <v>5.5E-2</v>
      </c>
      <c r="Z33" s="17">
        <v>5.5E-2</v>
      </c>
      <c r="AA33" s="17">
        <v>5.5E-2</v>
      </c>
      <c r="AB33" s="17">
        <v>5.5E-2</v>
      </c>
      <c r="AC33" s="17">
        <v>5.5E-2</v>
      </c>
      <c r="AD33" s="17">
        <v>5.5E-2</v>
      </c>
      <c r="AE33" s="17">
        <v>5.5E-2</v>
      </c>
      <c r="AF33" s="17">
        <v>5.5E-2</v>
      </c>
      <c r="AG33" s="17">
        <v>5.5E-2</v>
      </c>
      <c r="AH33" s="17">
        <v>5.5E-2</v>
      </c>
      <c r="AI33" s="17">
        <v>5.5E-2</v>
      </c>
      <c r="AJ33" s="17">
        <v>5.5E-2</v>
      </c>
    </row>
    <row r="34" spans="2:36" s="7" customFormat="1" x14ac:dyDescent="0.25">
      <c r="B34" s="7" t="s">
        <v>30</v>
      </c>
      <c r="C34" s="7">
        <f t="shared" ref="C34:J34" si="20">C14/C17</f>
        <v>2.1762049248455351</v>
      </c>
      <c r="D34" s="7">
        <f t="shared" si="20"/>
        <v>2.5588245295851282</v>
      </c>
      <c r="E34" s="7">
        <f t="shared" si="20"/>
        <v>2.71410805716673</v>
      </c>
      <c r="F34" s="7">
        <f t="shared" si="20"/>
        <v>3.1744482702924954</v>
      </c>
      <c r="G34" s="7">
        <f t="shared" si="20"/>
        <v>2.4695688943479048</v>
      </c>
      <c r="H34" s="7">
        <f t="shared" si="20"/>
        <v>2.6797809786132709</v>
      </c>
      <c r="I34" s="7">
        <f t="shared" si="20"/>
        <v>2.66071690636924</v>
      </c>
      <c r="J34" s="7">
        <f t="shared" si="20"/>
        <v>3.3166090046249068</v>
      </c>
      <c r="K34" s="7">
        <f>K14/K17</f>
        <v>2.6543752570535495</v>
      </c>
      <c r="L34" s="7">
        <f>L14/L17</f>
        <v>2.8211272731116352</v>
      </c>
      <c r="P34" s="11"/>
      <c r="T34" s="7">
        <f>T14/T17</f>
        <v>2.7357767511931299</v>
      </c>
      <c r="U34" s="7">
        <f>U14/U17</f>
        <v>2.8119595505617978</v>
      </c>
      <c r="V34" s="7">
        <f t="shared" ref="V34:AJ34" si="21">V14/V17</f>
        <v>2.9185946910112355</v>
      </c>
      <c r="W34" s="7">
        <f t="shared" si="21"/>
        <v>2.9441963988271227</v>
      </c>
      <c r="X34" s="7">
        <f t="shared" si="21"/>
        <v>2.6044814297316852</v>
      </c>
      <c r="Y34" s="7">
        <f t="shared" si="21"/>
        <v>2.4959613701595313</v>
      </c>
      <c r="Z34" s="7">
        <f t="shared" si="21"/>
        <v>2.5851028476652287</v>
      </c>
      <c r="AA34" s="7">
        <f t="shared" si="21"/>
        <v>2.5851028476652287</v>
      </c>
      <c r="AB34" s="7">
        <f t="shared" si="21"/>
        <v>2.5389402968140642</v>
      </c>
      <c r="AC34" s="7">
        <f t="shared" si="21"/>
        <v>2.5622333270600648</v>
      </c>
      <c r="AD34" s="7">
        <f t="shared" si="21"/>
        <v>2.6589213771378031</v>
      </c>
      <c r="AE34" s="7">
        <f t="shared" si="21"/>
        <v>2.7592580328788525</v>
      </c>
      <c r="AF34" s="7">
        <f t="shared" si="21"/>
        <v>2.8633809775157908</v>
      </c>
      <c r="AG34" s="7">
        <f t="shared" si="21"/>
        <v>2.8633809775157903</v>
      </c>
      <c r="AH34" s="7">
        <f t="shared" si="21"/>
        <v>2.8633809775157899</v>
      </c>
      <c r="AI34" s="7">
        <f t="shared" si="21"/>
        <v>2.8633809775157899</v>
      </c>
      <c r="AJ34" s="7">
        <f t="shared" si="21"/>
        <v>2.8633809775157899</v>
      </c>
    </row>
    <row r="35" spans="2:36" x14ac:dyDescent="0.25">
      <c r="B35" s="7"/>
      <c r="N35" s="1"/>
      <c r="U35" s="1"/>
    </row>
    <row r="36" spans="2:36" x14ac:dyDescent="0.25">
      <c r="B36" s="7" t="s">
        <v>52</v>
      </c>
      <c r="C36" s="7"/>
      <c r="D36" s="7"/>
      <c r="E36" s="7"/>
      <c r="F36" s="7"/>
      <c r="G36" s="7">
        <f t="shared" ref="G36:H36" si="22">G11/C11-1</f>
        <v>0.7789141995728821</v>
      </c>
      <c r="H36" s="7">
        <f t="shared" si="22"/>
        <v>0.49714770441194212</v>
      </c>
      <c r="I36" s="7">
        <f t="shared" ref="I36:L38" si="23">I11/E11-1</f>
        <v>0.25088900177800366</v>
      </c>
      <c r="J36" s="7">
        <f t="shared" si="23"/>
        <v>0.20263307321378043</v>
      </c>
      <c r="K36" s="7">
        <f t="shared" si="23"/>
        <v>0.26396789247273866</v>
      </c>
      <c r="L36" s="7">
        <f t="shared" si="23"/>
        <v>0.24423216447477714</v>
      </c>
      <c r="N36" s="1"/>
      <c r="R36" s="7"/>
      <c r="S36" s="7"/>
      <c r="T36" s="7"/>
      <c r="U36" s="7">
        <f>U11/T11-1</f>
        <v>0.36783501098396676</v>
      </c>
    </row>
    <row r="37" spans="2:36" x14ac:dyDescent="0.25">
      <c r="B37" s="7" t="s">
        <v>53</v>
      </c>
      <c r="C37" s="7"/>
      <c r="D37" s="7"/>
      <c r="E37" s="7"/>
      <c r="F37" s="7"/>
      <c r="G37" s="7">
        <f t="shared" ref="G37:H37" si="24">G12/C12-1</f>
        <v>1.1365137471765716</v>
      </c>
      <c r="H37" s="7">
        <f t="shared" si="24"/>
        <v>0.90682773109243686</v>
      </c>
      <c r="I37" s="7">
        <f t="shared" si="23"/>
        <v>0.44196597353497147</v>
      </c>
      <c r="J37" s="7">
        <f t="shared" si="23"/>
        <v>0.40086490741605085</v>
      </c>
      <c r="K37" s="7">
        <f t="shared" si="23"/>
        <v>0.36707411768565867</v>
      </c>
      <c r="L37" s="7">
        <f t="shared" si="23"/>
        <v>0.27058888338015752</v>
      </c>
      <c r="N37" s="1"/>
      <c r="R37" s="7"/>
      <c r="S37" s="7"/>
      <c r="T37" s="7"/>
      <c r="U37" s="7">
        <f>U12/T12-1</f>
        <v>0.61128555586912481</v>
      </c>
    </row>
    <row r="38" spans="2:36" x14ac:dyDescent="0.25">
      <c r="B38" s="7" t="s">
        <v>54</v>
      </c>
      <c r="C38" s="7"/>
      <c r="D38" s="7"/>
      <c r="E38" s="7"/>
      <c r="F38" s="7"/>
      <c r="G38" s="7">
        <f t="shared" ref="G38:H38" si="25">G13/C13-1</f>
        <v>1.2311944976493123</v>
      </c>
      <c r="H38" s="7">
        <f t="shared" si="25"/>
        <v>0.81456548347613222</v>
      </c>
      <c r="I38" s="7">
        <f t="shared" si="23"/>
        <v>0.32869413939328052</v>
      </c>
      <c r="J38" s="7">
        <f t="shared" si="23"/>
        <v>5.2036661961169628E-2</v>
      </c>
      <c r="K38" s="7">
        <f t="shared" si="23"/>
        <v>0.60511169641986129</v>
      </c>
      <c r="L38" s="7">
        <f t="shared" si="23"/>
        <v>0.6981450252951098</v>
      </c>
      <c r="N38" s="1"/>
      <c r="R38" s="7"/>
      <c r="S38" s="7"/>
      <c r="T38" s="7"/>
      <c r="U38" s="7">
        <f>U13/T13-1</f>
        <v>0.37666440983976512</v>
      </c>
    </row>
    <row r="39" spans="2:36" s="15" customFormat="1" x14ac:dyDescent="0.25">
      <c r="B39" s="15" t="s">
        <v>23</v>
      </c>
      <c r="G39" s="15">
        <f t="shared" ref="G39:J39" si="26">G14/C14-1</f>
        <v>0.88120941047988066</v>
      </c>
      <c r="H39" s="15">
        <f t="shared" si="26"/>
        <v>0.60650993733927816</v>
      </c>
      <c r="I39" s="15">
        <f t="shared" si="26"/>
        <v>0.2979989618943637</v>
      </c>
      <c r="J39" s="15">
        <f t="shared" si="26"/>
        <v>0.23103586442877044</v>
      </c>
      <c r="K39" s="15">
        <f>K14/G14-1</f>
        <v>0.31554177789446403</v>
      </c>
      <c r="L39" s="15">
        <f>L14/H14-1</f>
        <v>0.28794004733177969</v>
      </c>
      <c r="P39" s="16"/>
      <c r="R39" s="15">
        <f t="shared" ref="R39:T39" si="27">R14/Q14-1</f>
        <v>0.24122310305775763</v>
      </c>
      <c r="S39" s="15">
        <f t="shared" si="27"/>
        <v>0.21015815085158152</v>
      </c>
      <c r="T39" s="15">
        <f t="shared" si="27"/>
        <v>0.10627620005026372</v>
      </c>
      <c r="U39" s="15">
        <f>U14/T14-1</f>
        <v>0.42135177457414175</v>
      </c>
      <c r="V39" s="15">
        <f>V14/U14-1</f>
        <v>0.16247264413156626</v>
      </c>
      <c r="W39" s="15">
        <v>0.15</v>
      </c>
      <c r="X39" s="15">
        <v>0.15</v>
      </c>
      <c r="Y39" s="15">
        <v>0.15</v>
      </c>
      <c r="Z39" s="15">
        <v>0.16</v>
      </c>
      <c r="AA39" s="15">
        <v>0.12</v>
      </c>
      <c r="AB39" s="15">
        <v>0.1</v>
      </c>
      <c r="AC39" s="15">
        <v>0.1</v>
      </c>
      <c r="AD39" s="15">
        <v>0.1</v>
      </c>
      <c r="AE39" s="15">
        <v>0.1</v>
      </c>
      <c r="AF39" s="15">
        <v>0.1</v>
      </c>
      <c r="AG39" s="15">
        <v>0.06</v>
      </c>
      <c r="AH39" s="15">
        <v>0.06</v>
      </c>
      <c r="AI39" s="15">
        <v>0.06</v>
      </c>
      <c r="AJ39" s="15">
        <v>0.06</v>
      </c>
    </row>
    <row r="40" spans="2:36" s="15" customFormat="1" x14ac:dyDescent="0.25">
      <c r="B40" s="15" t="s">
        <v>27</v>
      </c>
      <c r="G40" s="15">
        <f t="shared" ref="G40:J40" si="28">G24/C24-1</f>
        <v>4.0661682504192385</v>
      </c>
      <c r="H40" s="15">
        <f t="shared" si="28"/>
        <v>1.3965423908411356</v>
      </c>
      <c r="I40" s="15">
        <f t="shared" si="28"/>
        <v>0.30748612841916212</v>
      </c>
      <c r="J40" s="15">
        <f t="shared" si="28"/>
        <v>0.31743885319612719</v>
      </c>
      <c r="K40" s="15">
        <f>K24/G24-1</f>
        <v>0.31020453197622144</v>
      </c>
      <c r="L40" s="15">
        <f>L24/H24-1</f>
        <v>0.39138291481436926</v>
      </c>
      <c r="P40" s="16"/>
      <c r="R40" s="15">
        <f t="shared" ref="R40:T40" si="29">R24/Q24-1</f>
        <v>0.86872586872586877</v>
      </c>
      <c r="S40" s="15">
        <f t="shared" si="29"/>
        <v>0.334710743801653</v>
      </c>
      <c r="T40" s="15">
        <f t="shared" si="29"/>
        <v>-8.8379256965944952E-2</v>
      </c>
      <c r="U40" s="15">
        <f>U24/T24-1</f>
        <v>0.65621227120751047</v>
      </c>
      <c r="V40" s="15">
        <f>V24/U24-1</f>
        <v>0.13620506907741192</v>
      </c>
      <c r="W40" s="15">
        <f t="shared" ref="W40:AJ40" si="30">W24/V24-1</f>
        <v>0.24796134619894428</v>
      </c>
      <c r="X40" s="15">
        <f t="shared" si="30"/>
        <v>-0.15812261662791727</v>
      </c>
      <c r="Y40" s="15">
        <f t="shared" si="30"/>
        <v>-8.5976808213561462E-3</v>
      </c>
      <c r="Z40" s="15">
        <f t="shared" si="30"/>
        <v>0.31357415515694975</v>
      </c>
      <c r="AA40" s="15">
        <f t="shared" si="30"/>
        <v>0.12000000000000033</v>
      </c>
      <c r="AB40" s="15">
        <f t="shared" si="30"/>
        <v>3.4528609176528446E-2</v>
      </c>
      <c r="AC40" s="15">
        <f t="shared" si="30"/>
        <v>0.1354402754413222</v>
      </c>
      <c r="AD40" s="15">
        <f t="shared" si="30"/>
        <v>0.23608782801376971</v>
      </c>
      <c r="AE40" s="15">
        <f t="shared" si="30"/>
        <v>0.2167013333723955</v>
      </c>
      <c r="AF40" s="15">
        <f t="shared" si="30"/>
        <v>0.20167114145577836</v>
      </c>
      <c r="AG40" s="15">
        <f t="shared" si="30"/>
        <v>5.9999999999999609E-2</v>
      </c>
      <c r="AH40" s="15">
        <f t="shared" si="30"/>
        <v>5.9999999999999831E-2</v>
      </c>
      <c r="AI40" s="15">
        <f t="shared" si="30"/>
        <v>5.9999999999999831E-2</v>
      </c>
      <c r="AJ40" s="15">
        <f t="shared" si="30"/>
        <v>6.0000000000000497E-2</v>
      </c>
    </row>
    <row r="41" spans="2:36" s="15" customFormat="1" x14ac:dyDescent="0.25">
      <c r="P41" s="16"/>
    </row>
    <row r="42" spans="2:36" s="7" customFormat="1" x14ac:dyDescent="0.25">
      <c r="B42" s="7" t="s">
        <v>57</v>
      </c>
      <c r="G42" s="7">
        <f t="shared" ref="G42:K42" si="31">G17/C17-1</f>
        <v>0.65773758858146136</v>
      </c>
      <c r="H42" s="7">
        <f t="shared" si="31"/>
        <v>0.53399739288143278</v>
      </c>
      <c r="I42" s="7">
        <f t="shared" si="31"/>
        <v>0.32404519708142665</v>
      </c>
      <c r="J42" s="7">
        <f t="shared" si="31"/>
        <v>0.17826963173969235</v>
      </c>
      <c r="K42" s="7">
        <f t="shared" si="31"/>
        <v>0.22394941908463051</v>
      </c>
      <c r="L42" s="7">
        <f>L17/H17-1</f>
        <v>0.22341068172623446</v>
      </c>
      <c r="P42" s="11"/>
      <c r="R42" s="7">
        <f>R17/Q17-1</f>
        <v>0.2192982456140351</v>
      </c>
      <c r="S42" s="7">
        <f>S17/R17-1</f>
        <v>0.19874100719424459</v>
      </c>
      <c r="T42" s="7">
        <f>T17/S17-1</f>
        <v>0.20705401350337582</v>
      </c>
      <c r="U42" s="7">
        <f>U17/T17-1</f>
        <v>0.38284391017294572</v>
      </c>
      <c r="V42" s="7">
        <v>0.12</v>
      </c>
      <c r="W42" s="7">
        <v>0.14000000000000001</v>
      </c>
      <c r="X42" s="7">
        <v>0.3</v>
      </c>
      <c r="Y42" s="7">
        <v>0.2</v>
      </c>
      <c r="Z42" s="7">
        <v>0.12</v>
      </c>
      <c r="AA42" s="7">
        <v>0.12</v>
      </c>
      <c r="AB42" s="7">
        <v>0.12</v>
      </c>
      <c r="AC42" s="7">
        <v>0.09</v>
      </c>
      <c r="AD42" s="7">
        <v>0.06</v>
      </c>
      <c r="AE42" s="7">
        <v>0.06</v>
      </c>
      <c r="AF42" s="7">
        <v>0.06</v>
      </c>
      <c r="AG42" s="7">
        <v>0.06</v>
      </c>
      <c r="AH42" s="7">
        <v>0.06</v>
      </c>
      <c r="AI42" s="7">
        <v>0.06</v>
      </c>
      <c r="AJ42" s="7">
        <v>0.06</v>
      </c>
    </row>
    <row r="43" spans="2:36" s="7" customFormat="1" x14ac:dyDescent="0.25">
      <c r="P43" s="11"/>
    </row>
    <row r="44" spans="2:36" s="3" customFormat="1" x14ac:dyDescent="0.25">
      <c r="B44" t="s">
        <v>48</v>
      </c>
      <c r="C44" s="7"/>
      <c r="D44" s="7"/>
      <c r="E44" s="7"/>
      <c r="F44" s="7"/>
      <c r="G44" s="7">
        <f t="shared" ref="G44:L46" si="32">G3/C3-1</f>
        <v>0.849592469391665</v>
      </c>
      <c r="H44" s="7">
        <f t="shared" si="32"/>
        <v>0.67186089361287959</v>
      </c>
      <c r="I44" s="7">
        <f t="shared" si="32"/>
        <v>0.26646260327807991</v>
      </c>
      <c r="J44" s="7">
        <f t="shared" si="32"/>
        <v>0.1908957715177193</v>
      </c>
      <c r="K44" s="7">
        <f t="shared" si="32"/>
        <v>0.29273882021718078</v>
      </c>
      <c r="L44" s="7">
        <f t="shared" si="32"/>
        <v>0.28315794967740393</v>
      </c>
      <c r="M44" s="4"/>
      <c r="N44" s="4"/>
      <c r="P44" s="9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2:36" s="3" customFormat="1" x14ac:dyDescent="0.25">
      <c r="B45" t="s">
        <v>49</v>
      </c>
      <c r="C45" s="7"/>
      <c r="D45" s="7"/>
      <c r="E45" s="7"/>
      <c r="F45" s="7"/>
      <c r="G45" s="7">
        <f t="shared" si="32"/>
        <v>0.68576942018352316</v>
      </c>
      <c r="H45" s="7">
        <f t="shared" si="32"/>
        <v>0.46622600874994924</v>
      </c>
      <c r="I45" s="7">
        <f t="shared" si="32"/>
        <v>0.34552641589529576</v>
      </c>
      <c r="J45" s="7">
        <f t="shared" si="32"/>
        <v>0.3354188433409131</v>
      </c>
      <c r="K45" s="7">
        <f t="shared" si="32"/>
        <v>0.46035569281400335</v>
      </c>
      <c r="L45" s="7">
        <f t="shared" si="32"/>
        <v>0.2406466512702079</v>
      </c>
      <c r="M45" s="4"/>
      <c r="N45" s="4"/>
      <c r="P45" s="9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2:36" s="3" customFormat="1" x14ac:dyDescent="0.25">
      <c r="B46" t="s">
        <v>50</v>
      </c>
      <c r="C46" s="7"/>
      <c r="D46" s="7"/>
      <c r="E46" s="7"/>
      <c r="F46" s="7"/>
      <c r="G46" s="7">
        <f t="shared" si="32"/>
        <v>1.2458947730177314</v>
      </c>
      <c r="H46" s="7">
        <f t="shared" si="32"/>
        <v>0.49228819196064388</v>
      </c>
      <c r="I46" s="7">
        <f t="shared" si="32"/>
        <v>0.39662499844211552</v>
      </c>
      <c r="J46" s="7">
        <f t="shared" si="32"/>
        <v>0.35258492513708273</v>
      </c>
      <c r="K46" s="7">
        <f t="shared" si="32"/>
        <v>0.29202092558410864</v>
      </c>
      <c r="L46" s="7">
        <f t="shared" si="32"/>
        <v>0.35123202421999844</v>
      </c>
      <c r="M46" s="4"/>
      <c r="N46" s="4"/>
      <c r="P46" s="9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8" spans="2:36" s="3" customFormat="1" x14ac:dyDescent="0.25">
      <c r="B48" t="s">
        <v>55</v>
      </c>
      <c r="C48" s="7"/>
      <c r="D48" s="7"/>
      <c r="E48" s="7"/>
      <c r="F48" s="7"/>
      <c r="G48" s="7">
        <f t="shared" ref="G48:L50" si="33">G7/C7-1</f>
        <v>1.0640227718582911</v>
      </c>
      <c r="H48" s="7">
        <f t="shared" si="33"/>
        <v>1.4203342618384402</v>
      </c>
      <c r="I48" s="7">
        <f t="shared" si="33"/>
        <v>0.38184660478749377</v>
      </c>
      <c r="J48" s="7">
        <f t="shared" si="33"/>
        <v>0.47133210087899924</v>
      </c>
      <c r="K48" s="7">
        <f t="shared" si="33"/>
        <v>0.34480342313598644</v>
      </c>
      <c r="L48" s="7">
        <f t="shared" si="33"/>
        <v>0.29915698008976865</v>
      </c>
      <c r="M48" s="4"/>
      <c r="N48" s="4"/>
      <c r="P48" s="9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2:41" s="3" customFormat="1" x14ac:dyDescent="0.25">
      <c r="B49" t="s">
        <v>56</v>
      </c>
      <c r="C49" s="7"/>
      <c r="D49" s="7"/>
      <c r="E49" s="7"/>
      <c r="F49" s="7"/>
      <c r="G49" s="7">
        <f t="shared" si="33"/>
        <v>0.54840798888759501</v>
      </c>
      <c r="H49" s="7">
        <f t="shared" si="33"/>
        <v>7.7791809489446084E-2</v>
      </c>
      <c r="I49" s="7">
        <f t="shared" si="33"/>
        <v>0.22632041149165727</v>
      </c>
      <c r="J49" s="7">
        <f t="shared" si="33"/>
        <v>0.16615914500666462</v>
      </c>
      <c r="K49" s="7">
        <f t="shared" si="33"/>
        <v>0.32315171528159969</v>
      </c>
      <c r="L49" s="7">
        <f t="shared" si="33"/>
        <v>0.29795621171035447</v>
      </c>
      <c r="M49" s="4"/>
      <c r="N49" s="4"/>
      <c r="P49" s="9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2:41" s="3" customFormat="1" x14ac:dyDescent="0.25">
      <c r="B50" t="s">
        <v>50</v>
      </c>
      <c r="C50" s="1"/>
      <c r="D50" s="1"/>
      <c r="E50" s="1"/>
      <c r="F50" s="1"/>
      <c r="G50" s="7">
        <f t="shared" si="33"/>
        <v>2.6240582684654465</v>
      </c>
      <c r="H50" s="7">
        <f t="shared" si="33"/>
        <v>1.5731727169135601</v>
      </c>
      <c r="I50" s="7">
        <f t="shared" si="33"/>
        <v>0.22998430141287263</v>
      </c>
      <c r="J50" s="7">
        <f t="shared" si="33"/>
        <v>-0.14163347392288261</v>
      </c>
      <c r="K50" s="7">
        <f t="shared" si="33"/>
        <v>0.10917730261340397</v>
      </c>
      <c r="L50" s="7">
        <f t="shared" si="33"/>
        <v>0.20086037831340553</v>
      </c>
      <c r="M50" s="4"/>
      <c r="P50" s="9"/>
    </row>
    <row r="52" spans="2:41" x14ac:dyDescent="0.25">
      <c r="AN52" t="s">
        <v>58</v>
      </c>
      <c r="AO52" s="17">
        <v>-0.01</v>
      </c>
    </row>
    <row r="53" spans="2:41" x14ac:dyDescent="0.25">
      <c r="AN53" t="s">
        <v>59</v>
      </c>
      <c r="AO53" s="17">
        <v>7.0000000000000007E-2</v>
      </c>
    </row>
    <row r="54" spans="2:41" x14ac:dyDescent="0.25">
      <c r="AN54" t="s">
        <v>60</v>
      </c>
      <c r="AO54" s="19">
        <f>NPV(AO53,W24:DD24)</f>
        <v>41854.590460794963</v>
      </c>
    </row>
    <row r="55" spans="2:41" x14ac:dyDescent="0.25">
      <c r="AO55" s="19">
        <f>AO54/L28</f>
        <v>327.96519688130263</v>
      </c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2022-07-24T17:54:11Z</dcterms:created>
  <dcterms:modified xsi:type="dcterms:W3CDTF">2023-02-16T17:31:59Z</dcterms:modified>
</cp:coreProperties>
</file>