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CFF8AF12-F95D-49B1-B048-F0350AA7E5C8}" xr6:coauthVersionLast="47" xr6:coauthVersionMax="47" xr10:uidLastSave="{00000000-0000-0000-0000-000000000000}"/>
  <bookViews>
    <workbookView xWindow="2040" yWindow="4185" windowWidth="26730" windowHeight="15045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6" i="2" l="1"/>
  <c r="Y11" i="2"/>
  <c r="W11" i="2"/>
  <c r="X11" i="2"/>
  <c r="W12" i="2"/>
  <c r="X9" i="2"/>
  <c r="U31" i="2"/>
  <c r="Z5" i="2"/>
  <c r="X5" i="2"/>
  <c r="Y5" i="2" s="1"/>
  <c r="Y7" i="2"/>
  <c r="Y6" i="2"/>
  <c r="Z11" i="2"/>
  <c r="AA11" i="2" s="1"/>
  <c r="AB11" i="2" s="1"/>
  <c r="AC11" i="2" s="1"/>
  <c r="AD11" i="2" s="1"/>
  <c r="AE11" i="2" s="1"/>
  <c r="AF11" i="2" s="1"/>
  <c r="AG11" i="2" s="1"/>
  <c r="Z7" i="2"/>
  <c r="AA7" i="2" s="1"/>
  <c r="AB7" i="2" s="1"/>
  <c r="AC7" i="2" s="1"/>
  <c r="AD7" i="2" s="1"/>
  <c r="AE7" i="2" s="1"/>
  <c r="AF7" i="2" s="1"/>
  <c r="AG7" i="2" s="1"/>
  <c r="Z6" i="2"/>
  <c r="Y10" i="2"/>
  <c r="Z10" i="2" s="1"/>
  <c r="Y9" i="2"/>
  <c r="Y57" i="2"/>
  <c r="X57" i="2"/>
  <c r="W57" i="2"/>
  <c r="V57" i="2"/>
  <c r="U57" i="2"/>
  <c r="T57" i="2"/>
  <c r="S57" i="2"/>
  <c r="AA56" i="2"/>
  <c r="AB56" i="2" s="1"/>
  <c r="AC56" i="2" s="1"/>
  <c r="AD56" i="2" s="1"/>
  <c r="AE56" i="2" s="1"/>
  <c r="AF56" i="2" s="1"/>
  <c r="AG56" i="2" s="1"/>
  <c r="W54" i="2"/>
  <c r="V54" i="2"/>
  <c r="U54" i="2"/>
  <c r="Y8" i="2" s="1"/>
  <c r="T54" i="2"/>
  <c r="S54" i="2"/>
  <c r="Z9" i="2" l="1"/>
  <c r="Z8" i="2"/>
  <c r="Y12" i="2"/>
  <c r="AA10" i="2"/>
  <c r="AB10" i="2" s="1"/>
  <c r="AA6" i="2"/>
  <c r="AB6" i="2" s="1"/>
  <c r="AC6" i="2" s="1"/>
  <c r="AD6" i="2" s="1"/>
  <c r="AE6" i="2" s="1"/>
  <c r="AF6" i="2" s="1"/>
  <c r="AG6" i="2" s="1"/>
  <c r="AA9" i="2"/>
  <c r="Z12" i="2" l="1"/>
  <c r="AA8" i="2"/>
  <c r="AA12" i="2" s="1"/>
  <c r="AC10" i="2"/>
  <c r="AB9" i="2"/>
  <c r="AB8" i="2" l="1"/>
  <c r="AD10" i="2"/>
  <c r="AC9" i="2"/>
  <c r="AB12" i="2" l="1"/>
  <c r="AC8" i="2"/>
  <c r="AE10" i="2"/>
  <c r="AD9" i="2"/>
  <c r="AD8" i="2" l="1"/>
  <c r="AC12" i="2"/>
  <c r="AF10" i="2"/>
  <c r="AE9" i="2"/>
  <c r="AD12" i="2"/>
  <c r="AE8" i="2" l="1"/>
  <c r="AG10" i="2"/>
  <c r="AF9" i="2"/>
  <c r="AF8" i="2" l="1"/>
  <c r="AE12" i="2"/>
  <c r="AG9" i="2"/>
  <c r="AG8" i="2" l="1"/>
  <c r="AF12" i="2"/>
  <c r="AG12" i="2" l="1"/>
  <c r="V47" i="2" l="1"/>
  <c r="T47" i="2"/>
  <c r="S47" i="2"/>
  <c r="R47" i="2"/>
  <c r="Q47" i="2"/>
  <c r="P47" i="2"/>
  <c r="O47" i="2"/>
  <c r="W21" i="2"/>
  <c r="W19" i="2"/>
  <c r="W18" i="2"/>
  <c r="W15" i="2"/>
  <c r="W47" i="2" s="1"/>
  <c r="W14" i="2"/>
  <c r="W10" i="2"/>
  <c r="W9" i="2"/>
  <c r="W42" i="2" s="1"/>
  <c r="W8" i="2"/>
  <c r="W7" i="2"/>
  <c r="X7" i="2" s="1"/>
  <c r="W6" i="2"/>
  <c r="X6" i="2" s="1"/>
  <c r="W4" i="2"/>
  <c r="W3" i="2"/>
  <c r="W5" i="2" s="1"/>
  <c r="N8" i="1"/>
  <c r="O29" i="2"/>
  <c r="O31" i="2" s="1"/>
  <c r="P50" i="2" s="1"/>
  <c r="P29" i="2"/>
  <c r="P31" i="2" s="1"/>
  <c r="Q50" i="2" s="1"/>
  <c r="Q29" i="2"/>
  <c r="Q31" i="2" s="1"/>
  <c r="R50" i="2" s="1"/>
  <c r="R29" i="2"/>
  <c r="R31" i="2" s="1"/>
  <c r="S50" i="2" s="1"/>
  <c r="S29" i="2"/>
  <c r="S31" i="2" s="1"/>
  <c r="T50" i="2" s="1"/>
  <c r="T29" i="2"/>
  <c r="T31" i="2" s="1"/>
  <c r="U50" i="2" s="1"/>
  <c r="O12" i="2"/>
  <c r="O5" i="2"/>
  <c r="P12" i="2"/>
  <c r="P5" i="2"/>
  <c r="Q12" i="2"/>
  <c r="Q5" i="2"/>
  <c r="V50" i="2"/>
  <c r="U29" i="2"/>
  <c r="U47" i="2" s="1"/>
  <c r="V29" i="2"/>
  <c r="V28" i="2"/>
  <c r="F21" i="2"/>
  <c r="F19" i="2"/>
  <c r="F18" i="2"/>
  <c r="F15" i="2"/>
  <c r="F14" i="2"/>
  <c r="F11" i="2"/>
  <c r="F10" i="2"/>
  <c r="F9" i="2"/>
  <c r="F8" i="2"/>
  <c r="F7" i="2"/>
  <c r="F6" i="2"/>
  <c r="F4" i="2"/>
  <c r="F3" i="2"/>
  <c r="I29" i="2"/>
  <c r="I31" i="2" s="1"/>
  <c r="V12" i="2"/>
  <c r="V5" i="2"/>
  <c r="U12" i="2"/>
  <c r="U5" i="2"/>
  <c r="T12" i="2"/>
  <c r="T5" i="2"/>
  <c r="S12" i="2"/>
  <c r="S5" i="2"/>
  <c r="R12" i="2"/>
  <c r="R5" i="2"/>
  <c r="J12" i="2"/>
  <c r="J5" i="2"/>
  <c r="I12" i="2"/>
  <c r="I5" i="2"/>
  <c r="H12" i="2"/>
  <c r="H5" i="2"/>
  <c r="G12" i="2"/>
  <c r="G5" i="2"/>
  <c r="E12" i="2"/>
  <c r="E5" i="2"/>
  <c r="D12" i="2"/>
  <c r="D5" i="2"/>
  <c r="C12" i="2"/>
  <c r="C5" i="2"/>
  <c r="S45" i="2" l="1"/>
  <c r="S41" i="2"/>
  <c r="S43" i="2"/>
  <c r="S42" i="2"/>
  <c r="C45" i="2"/>
  <c r="C43" i="2"/>
  <c r="C41" i="2"/>
  <c r="C42" i="2"/>
  <c r="T48" i="2"/>
  <c r="T41" i="2"/>
  <c r="T43" i="2"/>
  <c r="T42" i="2"/>
  <c r="G45" i="2"/>
  <c r="G41" i="2"/>
  <c r="G42" i="2"/>
  <c r="G43" i="2"/>
  <c r="V36" i="2"/>
  <c r="U43" i="2"/>
  <c r="U42" i="2"/>
  <c r="U41" i="2"/>
  <c r="H45" i="2"/>
  <c r="H43" i="2"/>
  <c r="H42" i="2"/>
  <c r="H41" i="2"/>
  <c r="W43" i="2"/>
  <c r="X10" i="2"/>
  <c r="Q48" i="2"/>
  <c r="Q41" i="2"/>
  <c r="Q42" i="2"/>
  <c r="Q43" i="2"/>
  <c r="D45" i="2"/>
  <c r="D43" i="2"/>
  <c r="D41" i="2"/>
  <c r="D42" i="2"/>
  <c r="V45" i="2"/>
  <c r="V43" i="2"/>
  <c r="V42" i="2"/>
  <c r="V41" i="2"/>
  <c r="I45" i="2"/>
  <c r="I42" i="2"/>
  <c r="I43" i="2"/>
  <c r="I41" i="2"/>
  <c r="J45" i="2"/>
  <c r="J42" i="2"/>
  <c r="J43" i="2"/>
  <c r="J41" i="2"/>
  <c r="P48" i="2"/>
  <c r="P42" i="2"/>
  <c r="P43" i="2"/>
  <c r="P41" i="2"/>
  <c r="P45" i="2"/>
  <c r="Q45" i="2"/>
  <c r="R41" i="2"/>
  <c r="R43" i="2"/>
  <c r="R42" i="2"/>
  <c r="F42" i="2"/>
  <c r="O48" i="2"/>
  <c r="O42" i="2"/>
  <c r="O43" i="2"/>
  <c r="O41" i="2"/>
  <c r="W41" i="2"/>
  <c r="X8" i="2"/>
  <c r="X12" i="2" s="1"/>
  <c r="E45" i="2"/>
  <c r="E43" i="2"/>
  <c r="E41" i="2"/>
  <c r="E42" i="2"/>
  <c r="F43" i="2"/>
  <c r="T45" i="2"/>
  <c r="V31" i="2"/>
  <c r="V48" i="2"/>
  <c r="U48" i="2"/>
  <c r="W13" i="2"/>
  <c r="P36" i="2"/>
  <c r="R36" i="2"/>
  <c r="U36" i="2"/>
  <c r="O45" i="2"/>
  <c r="W48" i="2"/>
  <c r="F5" i="2"/>
  <c r="F45" i="2" s="1"/>
  <c r="R45" i="2"/>
  <c r="S36" i="2"/>
  <c r="U45" i="2"/>
  <c r="T36" i="2"/>
  <c r="Q36" i="2"/>
  <c r="R48" i="2"/>
  <c r="S48" i="2"/>
  <c r="W45" i="2"/>
  <c r="W36" i="2"/>
  <c r="O13" i="2"/>
  <c r="P13" i="2"/>
  <c r="Q13" i="2"/>
  <c r="T13" i="2"/>
  <c r="J13" i="2"/>
  <c r="S13" i="2"/>
  <c r="F12" i="2"/>
  <c r="F13" i="2" s="1"/>
  <c r="R13" i="2"/>
  <c r="U13" i="2"/>
  <c r="U38" i="2" s="1"/>
  <c r="V13" i="2"/>
  <c r="C13" i="2"/>
  <c r="G13" i="2"/>
  <c r="D13" i="2"/>
  <c r="H13" i="2"/>
  <c r="E13" i="2"/>
  <c r="I13" i="2"/>
  <c r="N6" i="1"/>
  <c r="N9" i="1" s="1"/>
  <c r="Y15" i="2" l="1"/>
  <c r="Y47" i="2" s="1"/>
  <c r="Y14" i="2"/>
  <c r="Y42" i="2"/>
  <c r="Y43" i="2"/>
  <c r="Y41" i="2"/>
  <c r="Y13" i="2"/>
  <c r="Y36" i="2"/>
  <c r="F41" i="2"/>
  <c r="W50" i="2"/>
  <c r="X41" i="2"/>
  <c r="I17" i="2"/>
  <c r="I38" i="2"/>
  <c r="H17" i="2"/>
  <c r="H38" i="2"/>
  <c r="V17" i="2"/>
  <c r="V38" i="2"/>
  <c r="E17" i="2"/>
  <c r="E38" i="2"/>
  <c r="D17" i="2"/>
  <c r="D38" i="2"/>
  <c r="R17" i="2"/>
  <c r="R38" i="2"/>
  <c r="T17" i="2"/>
  <c r="T38" i="2"/>
  <c r="O17" i="2"/>
  <c r="O38" i="2"/>
  <c r="G17" i="2"/>
  <c r="G38" i="2"/>
  <c r="P17" i="2"/>
  <c r="P38" i="2"/>
  <c r="C17" i="2"/>
  <c r="C38" i="2"/>
  <c r="F17" i="2"/>
  <c r="F38" i="2"/>
  <c r="Q17" i="2"/>
  <c r="Q38" i="2"/>
  <c r="S17" i="2"/>
  <c r="S38" i="2"/>
  <c r="J17" i="2"/>
  <c r="J38" i="2"/>
  <c r="W17" i="2"/>
  <c r="W38" i="2"/>
  <c r="U17" i="2"/>
  <c r="Y17" i="2" l="1"/>
  <c r="Y39" i="2" s="1"/>
  <c r="Y38" i="2"/>
  <c r="X15" i="2"/>
  <c r="X47" i="2" s="1"/>
  <c r="X42" i="2"/>
  <c r="X13" i="2"/>
  <c r="X14" i="2"/>
  <c r="X36" i="2"/>
  <c r="Z14" i="2"/>
  <c r="AA5" i="2"/>
  <c r="Z15" i="2"/>
  <c r="Z47" i="2" s="1"/>
  <c r="Z43" i="2"/>
  <c r="Z41" i="2"/>
  <c r="Z13" i="2"/>
  <c r="Z42" i="2"/>
  <c r="X43" i="2"/>
  <c r="J20" i="2"/>
  <c r="J22" i="2" s="1"/>
  <c r="J24" i="2" s="1"/>
  <c r="J39" i="2"/>
  <c r="T20" i="2"/>
  <c r="T39" i="2"/>
  <c r="Q20" i="2"/>
  <c r="Q39" i="2"/>
  <c r="D20" i="2"/>
  <c r="D22" i="2" s="1"/>
  <c r="D24" i="2" s="1"/>
  <c r="D39" i="2"/>
  <c r="E20" i="2"/>
  <c r="E22" i="2" s="1"/>
  <c r="E24" i="2" s="1"/>
  <c r="E39" i="2"/>
  <c r="H20" i="2"/>
  <c r="H22" i="2" s="1"/>
  <c r="H24" i="2" s="1"/>
  <c r="H39" i="2"/>
  <c r="R20" i="2"/>
  <c r="R39" i="2"/>
  <c r="F20" i="2"/>
  <c r="F22" i="2" s="1"/>
  <c r="F24" i="2" s="1"/>
  <c r="F39" i="2"/>
  <c r="C20" i="2"/>
  <c r="C22" i="2" s="1"/>
  <c r="C24" i="2" s="1"/>
  <c r="C39" i="2"/>
  <c r="P20" i="2"/>
  <c r="P39" i="2"/>
  <c r="O20" i="2"/>
  <c r="O39" i="2"/>
  <c r="S20" i="2"/>
  <c r="S39" i="2"/>
  <c r="V20" i="2"/>
  <c r="V39" i="2"/>
  <c r="U20" i="2"/>
  <c r="U39" i="2"/>
  <c r="G20" i="2"/>
  <c r="G22" i="2" s="1"/>
  <c r="G24" i="2" s="1"/>
  <c r="G39" i="2"/>
  <c r="I20" i="2"/>
  <c r="I22" i="2" s="1"/>
  <c r="I24" i="2" s="1"/>
  <c r="I39" i="2"/>
  <c r="W20" i="2"/>
  <c r="W39" i="2"/>
  <c r="X17" i="2" l="1"/>
  <c r="X38" i="2"/>
  <c r="W22" i="2"/>
  <c r="W51" i="2"/>
  <c r="Z17" i="2"/>
  <c r="Z39" i="2" s="1"/>
  <c r="Z38" i="2"/>
  <c r="AB5" i="2"/>
  <c r="AA15" i="2"/>
  <c r="AA47" i="2" s="1"/>
  <c r="AA14" i="2"/>
  <c r="AA43" i="2"/>
  <c r="AA42" i="2"/>
  <c r="AA13" i="2"/>
  <c r="AA41" i="2"/>
  <c r="R22" i="2"/>
  <c r="R24" i="2" s="1"/>
  <c r="R51" i="2"/>
  <c r="O22" i="2"/>
  <c r="O24" i="2" s="1"/>
  <c r="O51" i="2"/>
  <c r="U22" i="2"/>
  <c r="U24" i="2" s="1"/>
  <c r="U51" i="2"/>
  <c r="P22" i="2"/>
  <c r="P24" i="2" s="1"/>
  <c r="P51" i="2"/>
  <c r="T22" i="2"/>
  <c r="T24" i="2" s="1"/>
  <c r="T51" i="2"/>
  <c r="Q22" i="2"/>
  <c r="Q24" i="2" s="1"/>
  <c r="Q51" i="2"/>
  <c r="V22" i="2"/>
  <c r="V24" i="2" s="1"/>
  <c r="V51" i="2"/>
  <c r="S22" i="2"/>
  <c r="S24" i="2" s="1"/>
  <c r="S51" i="2"/>
  <c r="AA17" i="2" l="1"/>
  <c r="AA39" i="2" s="1"/>
  <c r="AA38" i="2"/>
  <c r="AC5" i="2"/>
  <c r="AB15" i="2"/>
  <c r="AB47" i="2" s="1"/>
  <c r="AB14" i="2"/>
  <c r="AB43" i="2"/>
  <c r="AB42" i="2"/>
  <c r="AB41" i="2"/>
  <c r="AB13" i="2"/>
  <c r="W24" i="2"/>
  <c r="W31" i="2"/>
  <c r="X39" i="2"/>
  <c r="X18" i="2" l="1"/>
  <c r="X20" i="2" s="1"/>
  <c r="X21" i="2" s="1"/>
  <c r="X22" i="2" s="1"/>
  <c r="X24" i="2" s="1"/>
  <c r="AB17" i="2"/>
  <c r="AB39" i="2" s="1"/>
  <c r="AB38" i="2"/>
  <c r="AD5" i="2"/>
  <c r="AC14" i="2"/>
  <c r="AC15" i="2"/>
  <c r="AC47" i="2" s="1"/>
  <c r="AC43" i="2"/>
  <c r="AC42" i="2"/>
  <c r="AC41" i="2"/>
  <c r="AC13" i="2"/>
  <c r="X31" i="2" l="1"/>
  <c r="Y18" i="2" s="1"/>
  <c r="Y20" i="2" s="1"/>
  <c r="AE5" i="2"/>
  <c r="AD15" i="2"/>
  <c r="AD47" i="2" s="1"/>
  <c r="AD14" i="2"/>
  <c r="AD43" i="2"/>
  <c r="AD42" i="2"/>
  <c r="AD41" i="2"/>
  <c r="AD13" i="2"/>
  <c r="AC17" i="2"/>
  <c r="AC39" i="2" s="1"/>
  <c r="AC38" i="2"/>
  <c r="AD17" i="2" l="1"/>
  <c r="AD39" i="2" s="1"/>
  <c r="AD38" i="2"/>
  <c r="Y21" i="2"/>
  <c r="Y22" i="2" s="1"/>
  <c r="AF5" i="2"/>
  <c r="AE15" i="2"/>
  <c r="AE47" i="2" s="1"/>
  <c r="AE14" i="2"/>
  <c r="AE43" i="2"/>
  <c r="AE42" i="2"/>
  <c r="AE41" i="2"/>
  <c r="AE13" i="2"/>
  <c r="Y24" i="2" l="1"/>
  <c r="Y31" i="2"/>
  <c r="AE17" i="2"/>
  <c r="AE39" i="2" s="1"/>
  <c r="AE38" i="2"/>
  <c r="AG5" i="2"/>
  <c r="AF14" i="2"/>
  <c r="AF15" i="2"/>
  <c r="AF47" i="2" s="1"/>
  <c r="AF43" i="2"/>
  <c r="AF42" i="2"/>
  <c r="AF41" i="2"/>
  <c r="AF13" i="2"/>
  <c r="AF17" i="2" l="1"/>
  <c r="AF39" i="2" s="1"/>
  <c r="AF38" i="2"/>
  <c r="AG15" i="2"/>
  <c r="AG47" i="2" s="1"/>
  <c r="AG14" i="2"/>
  <c r="AG43" i="2"/>
  <c r="AG42" i="2"/>
  <c r="AG41" i="2"/>
  <c r="AG13" i="2"/>
  <c r="Z18" i="2"/>
  <c r="Z20" i="2" s="1"/>
  <c r="Z21" i="2" s="1"/>
  <c r="Z22" i="2" s="1"/>
  <c r="Z31" i="2" s="1"/>
  <c r="AA18" i="2" l="1"/>
  <c r="AA20" i="2" s="1"/>
  <c r="AG17" i="2"/>
  <c r="AG39" i="2" s="1"/>
  <c r="AG38" i="2"/>
  <c r="Z24" i="2"/>
  <c r="AA21" i="2" l="1"/>
  <c r="AA22" i="2" s="1"/>
  <c r="AA24" i="2" l="1"/>
  <c r="AA31" i="2"/>
  <c r="AB18" i="2" l="1"/>
  <c r="AB20" i="2" s="1"/>
  <c r="AB21" i="2" l="1"/>
  <c r="AB22" i="2" s="1"/>
  <c r="AB24" i="2" l="1"/>
  <c r="AB31" i="2"/>
  <c r="AC18" i="2" l="1"/>
  <c r="AC20" i="2" s="1"/>
  <c r="AC21" i="2" l="1"/>
  <c r="AC22" i="2" s="1"/>
  <c r="AC24" i="2" l="1"/>
  <c r="AC31" i="2"/>
  <c r="AD18" i="2" l="1"/>
  <c r="AD20" i="2" s="1"/>
  <c r="AD21" i="2" l="1"/>
  <c r="AD22" i="2" s="1"/>
  <c r="AD24" i="2" l="1"/>
  <c r="AD31" i="2"/>
  <c r="AE18" i="2" l="1"/>
  <c r="AE20" i="2" s="1"/>
  <c r="AE21" i="2" l="1"/>
  <c r="AE22" i="2" s="1"/>
  <c r="AE24" i="2" l="1"/>
  <c r="AE31" i="2"/>
  <c r="AF18" i="2" l="1"/>
  <c r="AF20" i="2" s="1"/>
  <c r="AF21" i="2" l="1"/>
  <c r="AF22" i="2" s="1"/>
  <c r="AF24" i="2" l="1"/>
  <c r="AF31" i="2"/>
  <c r="AG18" i="2" l="1"/>
  <c r="AG20" i="2" s="1"/>
  <c r="AG21" i="2" l="1"/>
  <c r="AG22" i="2" s="1"/>
  <c r="AH22" i="2" l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C4" i="3" s="1"/>
  <c r="N12" i="1" s="1"/>
  <c r="N13" i="1" s="1"/>
  <c r="AG24" i="2"/>
  <c r="AG31" i="2"/>
</calcChain>
</file>

<file path=xl/sharedStrings.xml><?xml version="1.0" encoding="utf-8"?>
<sst xmlns="http://schemas.openxmlformats.org/spreadsheetml/2006/main" count="84" uniqueCount="75">
  <si>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</si>
  <si>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</si>
  <si>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</si>
  <si>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</si>
  <si>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</si>
  <si>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</si>
  <si>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</si>
  <si>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</si>
  <si>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</si>
  <si>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</si>
  <si>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</si>
  <si>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</si>
  <si>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</si>
  <si>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</si>
  <si>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</si>
  <si>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</si>
  <si>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</si>
  <si>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Revenue y/y</t>
  </si>
  <si>
    <t>NPV/Sh</t>
  </si>
  <si>
    <t>Maturity decay</t>
  </si>
  <si>
    <t>Discount</t>
  </si>
  <si>
    <t>Passenger tickets</t>
  </si>
  <si>
    <t>Onboard extras</t>
  </si>
  <si>
    <t>Revenue</t>
  </si>
  <si>
    <t>Commissions, transp, etc. OpEx</t>
  </si>
  <si>
    <t>Onboard extra OpEx</t>
  </si>
  <si>
    <t>Payroll</t>
  </si>
  <si>
    <t>Fuel</t>
  </si>
  <si>
    <t>Food</t>
  </si>
  <si>
    <t>Other OpEx</t>
  </si>
  <si>
    <t xml:space="preserve">  COGS</t>
  </si>
  <si>
    <t>Gross profit</t>
  </si>
  <si>
    <t>SG&amp;A</t>
  </si>
  <si>
    <t>Depr&amp;Amort</t>
  </si>
  <si>
    <t>Operating profit</t>
  </si>
  <si>
    <t>Interest income</t>
  </si>
  <si>
    <t>Other income</t>
  </si>
  <si>
    <t xml:space="preserve">  EBT</t>
  </si>
  <si>
    <t>Tax income</t>
  </si>
  <si>
    <t>Net income</t>
  </si>
  <si>
    <t>EPS</t>
  </si>
  <si>
    <t>PPE</t>
  </si>
  <si>
    <t>NetCash</t>
  </si>
  <si>
    <t>CF to debt repayments</t>
  </si>
  <si>
    <t>Other/Impairments</t>
  </si>
  <si>
    <t>Gross margin</t>
  </si>
  <si>
    <t>Operating margin</t>
  </si>
  <si>
    <t>SG&amp;A %rev</t>
  </si>
  <si>
    <t>D&amp;A %PPE</t>
  </si>
  <si>
    <t>D&amp;A %rev</t>
  </si>
  <si>
    <t>Tax rate</t>
  </si>
  <si>
    <t>Payroll %rev</t>
  </si>
  <si>
    <t>Fuel %rev</t>
  </si>
  <si>
    <t>Food %rev</t>
  </si>
  <si>
    <t>Interest rate (ROIC)</t>
  </si>
  <si>
    <t>Employment cost index</t>
  </si>
  <si>
    <t>u</t>
  </si>
  <si>
    <t>Payroll inflation+growth rate</t>
  </si>
  <si>
    <t>Approx gas price</t>
  </si>
  <si>
    <t>Gas inflation+growth rate</t>
  </si>
  <si>
    <t>Food inflation+growth rate</t>
  </si>
  <si>
    <t>CPI less Food&amp;Energy rate</t>
  </si>
  <si>
    <t>General opcost growth rate</t>
  </si>
  <si>
    <t>"As of September 30, 2022, we had 29 ships with approximately 62,000 Berths and had orders for eight additional ships to be delivered through 2027"</t>
  </si>
  <si>
    <t>"In early May 2022, the Company completed the phased relaunch of its entire fleet with all ships now in operation with guests on board."</t>
  </si>
  <si>
    <t>"has approximately $2.2 billion of debt that will mature in January 2024"</t>
  </si>
  <si>
    <t>Year</t>
  </si>
  <si>
    <t>    </t>
  </si>
  <si>
    <t>Amount</t>
  </si>
  <si>
    <t>Remainder of 2022</t>
  </si>
  <si>
    <t>$</t>
  </si>
  <si>
    <t>Thereafter</t>
  </si>
  <si>
    <t>Total</t>
  </si>
  <si>
    <t>Debt schedule</t>
  </si>
  <si>
    <t>10Q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</si>
</sst>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8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8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3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3" fontId="2" fillId="0" borderId="2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0</xdr:row>
      <xdr:rowOff>0</xdr:rowOff>
    </xdr:from>
    <xdr:to>
      <xdr:col>22</xdr:col>
      <xdr:colOff>19050</xdr:colOff>
      <xdr:row>59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4801850" y="0"/>
          <a:ext cx="0" cy="10601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19050</xdr:colOff>
      <xdr:row>0</xdr:row>
      <xdr:rowOff>0</xdr:rowOff>
    </xdr:from>
    <xdr:to>
      <xdr:col>33</xdr:col>
      <xdr:colOff>19050</xdr:colOff>
      <xdr:row>25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B2:N30"/>
  <sheetViews>
    <sheetView tabSelected="1" workbookViewId="0">
      <selection activeCell="N5" sqref="N5"/>
    </sheetView>
  </sheetViews>
  <sheetFormatPr defaultRowHeight="15" x14ac:dyDescent="0.25"/>
  <cols>
    <col min="14" max="14" width="9.7109375" bestFit="1" customWidth="1"/>
  </cols>
  <sheetData>
    <row r="2" spans="2:14" x14ac:dyDescent="0.25">
      <c r="M2" t="s">
        <v>7</v>
      </c>
      <c r="N2" s="1">
        <v>44972</v>
      </c>
    </row>
    <row r="4" spans="2:14" x14ac:dyDescent="0.25">
      <c r="M4" t="s">
        <v>0</v>
      </c>
      <c r="N4" s="2">
        <v>18.11</v>
      </c>
    </row>
    <row r="5" spans="2:14" x14ac:dyDescent="0.25">
      <c r="M5" t="s">
        <v>1</v>
      </c>
      <c r="N5" s="4">
        <v>365.44900000000001</v>
      </c>
    </row>
    <row r="6" spans="2:14" x14ac:dyDescent="0.25">
      <c r="M6" t="s">
        <v>2</v>
      </c>
      <c r="N6" s="4">
        <f>N4*N5</f>
        <v>6618.2813900000001</v>
      </c>
    </row>
    <row r="7" spans="2:14" x14ac:dyDescent="0.25">
      <c r="M7" t="s">
        <v>3</v>
      </c>
      <c r="N7" s="4">
        <v>1186.7</v>
      </c>
    </row>
    <row r="8" spans="2:14" x14ac:dyDescent="0.25">
      <c r="M8" t="s">
        <v>4</v>
      </c>
      <c r="N8" s="4">
        <f>1012.7+141.3+12893.407</f>
        <v>14047.406999999999</v>
      </c>
    </row>
    <row r="9" spans="2:14" x14ac:dyDescent="0.25">
      <c r="M9" t="s">
        <v>6</v>
      </c>
      <c r="N9" s="4">
        <f>+N6-N7+N8</f>
        <v>19478.988389999999</v>
      </c>
    </row>
    <row r="10" spans="2:14" x14ac:dyDescent="0.25">
      <c r="M10" t="s">
        <v>5</v>
      </c>
      <c r="N10" s="4">
        <v>2113</v>
      </c>
    </row>
    <row r="12" spans="2:14" x14ac:dyDescent="0.25">
      <c r="M12" t="s">
        <v>8</v>
      </c>
      <c r="N12" s="4">
        <f>Dash!C4</f>
        <v>9576.3280554549001</v>
      </c>
    </row>
    <row r="13" spans="2:14" x14ac:dyDescent="0.25">
      <c r="M13" t="s">
        <v>18</v>
      </c>
      <c r="N13" s="2">
        <f>N12/N5</f>
        <v>26.204280365946822</v>
      </c>
    </row>
    <row r="15" spans="2:14" x14ac:dyDescent="0.25">
      <c r="B15" t="s">
        <v>74</v>
      </c>
    </row>
    <row r="16" spans="2:14" x14ac:dyDescent="0.25">
      <c r="B16" t="s">
        <v>63</v>
      </c>
    </row>
    <row r="17" spans="2:5" x14ac:dyDescent="0.25">
      <c r="B17" t="s">
        <v>64</v>
      </c>
    </row>
    <row r="18" spans="2:5" x14ac:dyDescent="0.25">
      <c r="B18" t="s">
        <v>65</v>
      </c>
    </row>
    <row r="20" spans="2:5" x14ac:dyDescent="0.25">
      <c r="B20" t="s">
        <v>73</v>
      </c>
    </row>
    <row r="21" spans="2:5" ht="15.75" thickBot="1" x14ac:dyDescent="0.3">
      <c r="B21" s="10" t="s">
        <v>66</v>
      </c>
      <c r="C21" s="11" t="s">
        <v>67</v>
      </c>
      <c r="D21" s="24" t="s">
        <v>68</v>
      </c>
      <c r="E21" s="24"/>
    </row>
    <row r="22" spans="2:5" ht="25.5" x14ac:dyDescent="0.25">
      <c r="B22" s="12" t="s">
        <v>69</v>
      </c>
      <c r="C22" s="13"/>
      <c r="D22" s="14" t="s">
        <v>70</v>
      </c>
      <c r="E22" s="15">
        <v>332696</v>
      </c>
    </row>
    <row r="23" spans="2:5" x14ac:dyDescent="0.25">
      <c r="B23" s="16">
        <v>2023</v>
      </c>
      <c r="C23" s="17"/>
      <c r="D23" s="18"/>
      <c r="E23" s="19">
        <v>1001343</v>
      </c>
    </row>
    <row r="24" spans="2:5" x14ac:dyDescent="0.25">
      <c r="B24" s="12">
        <v>2024</v>
      </c>
      <c r="C24" s="13"/>
      <c r="D24" s="14"/>
      <c r="E24" s="15">
        <v>3763958</v>
      </c>
    </row>
    <row r="25" spans="2:5" x14ac:dyDescent="0.25">
      <c r="B25" s="16">
        <v>2025</v>
      </c>
      <c r="C25" s="17"/>
      <c r="D25" s="18"/>
      <c r="E25" s="19">
        <v>1148007</v>
      </c>
    </row>
    <row r="26" spans="2:5" x14ac:dyDescent="0.25">
      <c r="B26" s="12">
        <v>2026</v>
      </c>
      <c r="C26" s="13"/>
      <c r="D26" s="14"/>
      <c r="E26" s="15">
        <v>2050992</v>
      </c>
    </row>
    <row r="27" spans="2:5" x14ac:dyDescent="0.25">
      <c r="B27" s="16">
        <v>2027</v>
      </c>
      <c r="C27" s="17"/>
      <c r="D27" s="17"/>
      <c r="E27" s="19">
        <v>3101980</v>
      </c>
    </row>
    <row r="28" spans="2:5" ht="15.75" thickBot="1" x14ac:dyDescent="0.3">
      <c r="B28" s="12" t="s">
        <v>71</v>
      </c>
      <c r="C28" s="13"/>
      <c r="D28" s="20"/>
      <c r="E28" s="21">
        <v>2753755</v>
      </c>
    </row>
    <row r="29" spans="2:5" ht="15.75" thickBot="1" x14ac:dyDescent="0.3">
      <c r="B29" s="16" t="s">
        <v>72</v>
      </c>
      <c r="C29" s="17"/>
      <c r="D29" s="22" t="s">
        <v>70</v>
      </c>
      <c r="E29" s="23">
        <v>14152731</v>
      </c>
    </row>
    <row r="30" spans="2:5" ht="15.75" thickTop="1" x14ac:dyDescent="0.25"/>
  </sheetData>
  <mergeCells count="1"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2:DT62"/>
  <sheetViews>
    <sheetView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O38" sqref="O38:AG39"/>
    </sheetView>
  </sheetViews>
  <sheetFormatPr defaultRowHeight="15" x14ac:dyDescent="0.25"/>
  <cols>
    <col min="2" max="2" width="29.7109375" bestFit="1" customWidth="1"/>
  </cols>
  <sheetData>
    <row r="2" spans="2:124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O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  <c r="AK2">
        <v>2036</v>
      </c>
      <c r="AL2">
        <v>2037</v>
      </c>
      <c r="AM2">
        <v>2038</v>
      </c>
      <c r="AN2">
        <v>2039</v>
      </c>
      <c r="AO2">
        <v>2040</v>
      </c>
      <c r="AP2">
        <v>2041</v>
      </c>
      <c r="AQ2">
        <v>2042</v>
      </c>
      <c r="AR2">
        <v>2043</v>
      </c>
      <c r="AS2">
        <v>2044</v>
      </c>
      <c r="AT2">
        <v>2045</v>
      </c>
      <c r="AU2">
        <v>2046</v>
      </c>
      <c r="AV2">
        <v>2047</v>
      </c>
      <c r="AW2">
        <v>2048</v>
      </c>
      <c r="AX2">
        <v>2049</v>
      </c>
      <c r="AY2">
        <v>2050</v>
      </c>
      <c r="AZ2">
        <v>2051</v>
      </c>
      <c r="BA2">
        <v>2052</v>
      </c>
      <c r="BB2">
        <v>2053</v>
      </c>
      <c r="BC2">
        <v>2054</v>
      </c>
      <c r="BD2">
        <v>2055</v>
      </c>
      <c r="BE2">
        <v>2056</v>
      </c>
      <c r="BF2">
        <v>2057</v>
      </c>
      <c r="BG2">
        <v>2058</v>
      </c>
      <c r="BH2">
        <v>2059</v>
      </c>
      <c r="BI2">
        <v>2060</v>
      </c>
      <c r="BJ2">
        <v>2061</v>
      </c>
      <c r="BK2">
        <v>2062</v>
      </c>
      <c r="BL2">
        <v>2063</v>
      </c>
      <c r="BM2">
        <v>2064</v>
      </c>
      <c r="BN2">
        <v>2065</v>
      </c>
      <c r="BO2">
        <v>2066</v>
      </c>
      <c r="BP2">
        <v>2067</v>
      </c>
      <c r="BQ2">
        <v>2068</v>
      </c>
      <c r="BR2">
        <v>2069</v>
      </c>
      <c r="BS2">
        <v>2070</v>
      </c>
      <c r="BT2">
        <v>2071</v>
      </c>
      <c r="BU2">
        <v>2072</v>
      </c>
      <c r="BV2">
        <v>2073</v>
      </c>
      <c r="BW2">
        <v>2074</v>
      </c>
      <c r="BX2">
        <v>2075</v>
      </c>
      <c r="BY2">
        <v>2076</v>
      </c>
      <c r="BZ2">
        <v>2077</v>
      </c>
      <c r="CA2">
        <v>2078</v>
      </c>
      <c r="CB2">
        <v>2079</v>
      </c>
      <c r="CC2">
        <v>2080</v>
      </c>
      <c r="CD2">
        <v>2081</v>
      </c>
      <c r="CE2">
        <v>2082</v>
      </c>
      <c r="CF2">
        <v>2083</v>
      </c>
      <c r="CG2">
        <v>2084</v>
      </c>
      <c r="CH2">
        <v>2085</v>
      </c>
      <c r="CI2">
        <v>2086</v>
      </c>
      <c r="CJ2">
        <v>2087</v>
      </c>
      <c r="CK2">
        <v>2088</v>
      </c>
      <c r="CL2">
        <v>2089</v>
      </c>
      <c r="CM2">
        <v>2090</v>
      </c>
      <c r="CN2">
        <v>2091</v>
      </c>
      <c r="CO2">
        <v>2092</v>
      </c>
      <c r="CP2">
        <v>2093</v>
      </c>
      <c r="CQ2">
        <v>2094</v>
      </c>
      <c r="CR2">
        <v>2095</v>
      </c>
      <c r="CS2">
        <v>2096</v>
      </c>
      <c r="CT2">
        <v>2097</v>
      </c>
      <c r="CU2">
        <v>2098</v>
      </c>
      <c r="CV2">
        <v>2099</v>
      </c>
      <c r="CW2">
        <v>2100</v>
      </c>
      <c r="CX2">
        <v>2101</v>
      </c>
      <c r="CY2">
        <v>2102</v>
      </c>
      <c r="CZ2">
        <v>2103</v>
      </c>
      <c r="DA2">
        <v>2104</v>
      </c>
      <c r="DB2">
        <v>2105</v>
      </c>
      <c r="DC2">
        <v>2106</v>
      </c>
      <c r="DD2">
        <v>2107</v>
      </c>
      <c r="DE2">
        <v>2108</v>
      </c>
      <c r="DF2">
        <v>2109</v>
      </c>
      <c r="DG2">
        <v>2110</v>
      </c>
      <c r="DH2">
        <v>2111</v>
      </c>
      <c r="DI2">
        <v>2112</v>
      </c>
      <c r="DJ2">
        <v>2113</v>
      </c>
      <c r="DK2">
        <v>2114</v>
      </c>
      <c r="DL2">
        <v>2115</v>
      </c>
      <c r="DM2">
        <v>2116</v>
      </c>
      <c r="DN2">
        <v>2117</v>
      </c>
      <c r="DO2">
        <v>2118</v>
      </c>
      <c r="DP2">
        <v>2119</v>
      </c>
      <c r="DQ2">
        <v>2120</v>
      </c>
      <c r="DR2">
        <v>2121</v>
      </c>
      <c r="DS2">
        <v>2122</v>
      </c>
      <c r="DT2">
        <v>2123</v>
      </c>
    </row>
    <row r="3" spans="2:124" s="4" customFormat="1" x14ac:dyDescent="0.25">
      <c r="B3" s="4" t="s">
        <v>21</v>
      </c>
      <c r="C3" s="4">
        <v>0.16600000000000001</v>
      </c>
      <c r="D3" s="4">
        <v>1.5840000000000001</v>
      </c>
      <c r="E3" s="4">
        <v>86.126999999999995</v>
      </c>
      <c r="F3" s="4">
        <f>V3-E3-D3-C3</f>
        <v>304.875</v>
      </c>
      <c r="G3" s="4">
        <v>342.45499999999998</v>
      </c>
      <c r="H3" s="4">
        <v>793.89200000000005</v>
      </c>
      <c r="I3" s="4">
        <v>1105.9000000000001</v>
      </c>
      <c r="O3" s="4">
        <v>2176.15</v>
      </c>
      <c r="P3" s="4">
        <v>3129.1</v>
      </c>
      <c r="Q3" s="4">
        <v>3388.9540000000002</v>
      </c>
      <c r="R3" s="4">
        <v>3750.03</v>
      </c>
      <c r="S3" s="4">
        <v>4259.8149999999996</v>
      </c>
      <c r="T3" s="4">
        <v>4517.3999999999996</v>
      </c>
      <c r="U3" s="4">
        <v>867.11</v>
      </c>
      <c r="V3" s="4">
        <v>392.75200000000001</v>
      </c>
      <c r="W3" s="4">
        <f>G3+H3+I3+I3</f>
        <v>3348.1470000000004</v>
      </c>
    </row>
    <row r="4" spans="2:124" s="4" customFormat="1" x14ac:dyDescent="0.25">
      <c r="B4" s="4" t="s">
        <v>22</v>
      </c>
      <c r="C4" s="4">
        <v>2.9340000000000002</v>
      </c>
      <c r="D4" s="4">
        <v>2.8</v>
      </c>
      <c r="E4" s="4">
        <v>66.953999999999994</v>
      </c>
      <c r="F4" s="4">
        <f>V4-E4-D4-C4</f>
        <v>182.542</v>
      </c>
      <c r="G4" s="4">
        <v>179.5</v>
      </c>
      <c r="H4" s="4">
        <v>393.3</v>
      </c>
      <c r="I4" s="4">
        <v>509.6</v>
      </c>
      <c r="O4" s="4">
        <v>949.73</v>
      </c>
      <c r="P4" s="4">
        <v>1215.973</v>
      </c>
      <c r="Q4" s="4">
        <v>1485.4</v>
      </c>
      <c r="R4" s="4">
        <v>1646.145</v>
      </c>
      <c r="S4" s="4">
        <v>1795.3</v>
      </c>
      <c r="T4" s="4">
        <v>1944.98</v>
      </c>
      <c r="U4" s="4">
        <v>412.8</v>
      </c>
      <c r="V4" s="4">
        <v>255.23</v>
      </c>
      <c r="W4" s="4">
        <f>G4+H4+I4+I4</f>
        <v>1592</v>
      </c>
    </row>
    <row r="5" spans="2:124" s="5" customFormat="1" x14ac:dyDescent="0.25">
      <c r="B5" s="5" t="s">
        <v>23</v>
      </c>
      <c r="C5" s="5">
        <f t="shared" ref="C5:J5" si="0">+C3+C4</f>
        <v>3.1</v>
      </c>
      <c r="D5" s="5">
        <f t="shared" si="0"/>
        <v>4.3840000000000003</v>
      </c>
      <c r="E5" s="5">
        <f t="shared" si="0"/>
        <v>153.08099999999999</v>
      </c>
      <c r="F5" s="5">
        <f t="shared" si="0"/>
        <v>487.41700000000003</v>
      </c>
      <c r="G5" s="5">
        <f t="shared" si="0"/>
        <v>521.95499999999993</v>
      </c>
      <c r="H5" s="5">
        <f t="shared" si="0"/>
        <v>1187.192</v>
      </c>
      <c r="I5" s="5">
        <f t="shared" si="0"/>
        <v>1615.5</v>
      </c>
      <c r="J5" s="5">
        <f t="shared" si="0"/>
        <v>0</v>
      </c>
      <c r="O5" s="5">
        <f t="shared" ref="O5:W5" si="1">+O3+O4</f>
        <v>3125.88</v>
      </c>
      <c r="P5" s="5">
        <f t="shared" si="1"/>
        <v>4345.0730000000003</v>
      </c>
      <c r="Q5" s="5">
        <f t="shared" si="1"/>
        <v>4874.3540000000003</v>
      </c>
      <c r="R5" s="5">
        <f t="shared" si="1"/>
        <v>5396.1750000000002</v>
      </c>
      <c r="S5" s="5">
        <f t="shared" si="1"/>
        <v>6055.1149999999998</v>
      </c>
      <c r="T5" s="5">
        <f t="shared" si="1"/>
        <v>6462.3799999999992</v>
      </c>
      <c r="U5" s="5">
        <f t="shared" si="1"/>
        <v>1279.9100000000001</v>
      </c>
      <c r="V5" s="5">
        <f t="shared" si="1"/>
        <v>647.98199999999997</v>
      </c>
      <c r="W5" s="5">
        <f t="shared" si="1"/>
        <v>4940.1470000000008</v>
      </c>
      <c r="X5" s="5">
        <f>W5+(-$W$5+$Z$5)/3</f>
        <v>5977.4103737637524</v>
      </c>
      <c r="Y5" s="5">
        <f>X5+(-$W$5+$Z$5)/3</f>
        <v>7014.673747527504</v>
      </c>
      <c r="Z5" s="5">
        <f>T5*(1+U61)*(1+V61)*(1+W61)*(1+X61)*(1+Y61)*(1+Z61)</f>
        <v>8051.9371212912547</v>
      </c>
      <c r="AA5" s="5">
        <f>Z5*(1+AA36)</f>
        <v>8535.0533485687301</v>
      </c>
      <c r="AB5" s="5">
        <f t="shared" ref="AB5:AG5" si="2">AA5*(1+AB36)</f>
        <v>8961.8060159971665</v>
      </c>
      <c r="AC5" s="5">
        <f t="shared" si="2"/>
        <v>9320.2782566370533</v>
      </c>
      <c r="AD5" s="5">
        <f t="shared" si="2"/>
        <v>9693.0893869025367</v>
      </c>
      <c r="AE5" s="5">
        <f t="shared" si="2"/>
        <v>10080.812962378639</v>
      </c>
      <c r="AF5" s="5">
        <f t="shared" si="2"/>
        <v>10484.045480873785</v>
      </c>
      <c r="AG5" s="5">
        <f t="shared" si="2"/>
        <v>10903.407300108736</v>
      </c>
    </row>
    <row r="6" spans="2:124" s="4" customFormat="1" x14ac:dyDescent="0.25">
      <c r="B6" s="4" t="s">
        <v>24</v>
      </c>
      <c r="C6" s="4">
        <v>9.0329999999999995</v>
      </c>
      <c r="D6" s="4">
        <v>6.5640000000000001</v>
      </c>
      <c r="E6" s="4">
        <v>32.338000000000001</v>
      </c>
      <c r="F6" s="4">
        <f t="shared" ref="F6:F11" si="3">V6-E6-D6-C6</f>
        <v>95.589000000000013</v>
      </c>
      <c r="G6" s="4">
        <v>87.957999999999998</v>
      </c>
      <c r="H6" s="4">
        <v>256.2</v>
      </c>
      <c r="I6" s="4">
        <v>352.8</v>
      </c>
      <c r="O6" s="4">
        <v>503.72199999999998</v>
      </c>
      <c r="P6" s="4">
        <v>765.3</v>
      </c>
      <c r="Q6" s="4">
        <v>813.55899999999997</v>
      </c>
      <c r="R6" s="4">
        <v>894.4</v>
      </c>
      <c r="S6" s="4">
        <v>998.95</v>
      </c>
      <c r="T6" s="4">
        <v>1120.9000000000001</v>
      </c>
      <c r="U6" s="4">
        <v>380.7</v>
      </c>
      <c r="V6" s="4">
        <v>143.524</v>
      </c>
      <c r="W6" s="4">
        <f t="shared" ref="W6:W11" si="4">G6+H6+I6+I6</f>
        <v>1049.758</v>
      </c>
      <c r="X6" s="4">
        <f>Y6/2+W6/2</f>
        <v>1204.8248272524147</v>
      </c>
      <c r="Y6" s="4">
        <f>T6*(1+U61)*(1+V61)*(1+W61)*(1+X61)*(1+Y61)</f>
        <v>1359.8916545048294</v>
      </c>
      <c r="Z6" s="4">
        <f>Y6*(1+Z61+Z62)</f>
        <v>1402.0482957944789</v>
      </c>
      <c r="AA6" s="4">
        <f t="shared" ref="AA6:AG6" si="5">Z6*(1+AA61+AA62)</f>
        <v>1445.5117929641076</v>
      </c>
      <c r="AB6" s="4">
        <f t="shared" si="5"/>
        <v>1491.7681703389587</v>
      </c>
      <c r="AC6" s="4">
        <f t="shared" si="5"/>
        <v>1539.5047517898051</v>
      </c>
      <c r="AD6" s="4">
        <f t="shared" si="5"/>
        <v>1588.7689038470787</v>
      </c>
      <c r="AE6" s="4">
        <f t="shared" si="5"/>
        <v>1642.787046577879</v>
      </c>
      <c r="AF6" s="4">
        <f t="shared" si="5"/>
        <v>1698.6418061615266</v>
      </c>
      <c r="AG6" s="4">
        <f t="shared" si="5"/>
        <v>1756.3956275710182</v>
      </c>
    </row>
    <row r="7" spans="2:124" s="4" customFormat="1" x14ac:dyDescent="0.25">
      <c r="B7" s="4" t="s">
        <v>25</v>
      </c>
      <c r="C7" s="4">
        <v>1.2589999999999999</v>
      </c>
      <c r="D7" s="4">
        <v>1.276</v>
      </c>
      <c r="E7" s="4">
        <v>19.306000000000001</v>
      </c>
      <c r="F7" s="4">
        <f t="shared" si="3"/>
        <v>32.189</v>
      </c>
      <c r="G7" s="4">
        <v>32.549999999999997</v>
      </c>
      <c r="H7" s="4">
        <v>96.155000000000001</v>
      </c>
      <c r="I7" s="4">
        <v>126.74</v>
      </c>
      <c r="O7" s="4">
        <v>224</v>
      </c>
      <c r="P7" s="4">
        <v>272.8</v>
      </c>
      <c r="Q7" s="4">
        <v>298.89999999999998</v>
      </c>
      <c r="R7" s="4">
        <v>319.3</v>
      </c>
      <c r="S7" s="4">
        <v>348.65</v>
      </c>
      <c r="T7" s="4">
        <v>394.7</v>
      </c>
      <c r="U7" s="4">
        <v>85.7</v>
      </c>
      <c r="V7" s="4">
        <v>54.03</v>
      </c>
      <c r="W7" s="4">
        <f t="shared" si="4"/>
        <v>382.185</v>
      </c>
      <c r="X7" s="4">
        <f t="shared" ref="X7:X8" si="6">Y7/2+W7/2</f>
        <v>430.5202973204818</v>
      </c>
      <c r="Y7" s="4">
        <f>T7*(1+U61)*(1+V61)*(1+W61)*(1+X61)*(1+Y61)</f>
        <v>478.8555946409636</v>
      </c>
      <c r="Z7" s="4">
        <f>Y7*(1+Z61+Z62)</f>
        <v>493.70011807483343</v>
      </c>
      <c r="AA7" s="4">
        <f t="shared" ref="AA7:AF7" si="7">Z7*(1+AA61+AA62)</f>
        <v>509.0048217351532</v>
      </c>
      <c r="AB7" s="4">
        <f t="shared" si="7"/>
        <v>525.29297603067801</v>
      </c>
      <c r="AC7" s="4">
        <f t="shared" si="7"/>
        <v>542.10235126365956</v>
      </c>
      <c r="AD7" s="4">
        <f t="shared" si="7"/>
        <v>559.44962650409661</v>
      </c>
      <c r="AE7" s="4">
        <f t="shared" si="7"/>
        <v>578.4709138052358</v>
      </c>
      <c r="AF7" s="4">
        <f t="shared" si="7"/>
        <v>598.13892487461374</v>
      </c>
      <c r="AG7" s="4">
        <f>AF7*(1+AG61+AG62)</f>
        <v>618.4756483203505</v>
      </c>
    </row>
    <row r="8" spans="2:124" s="4" customFormat="1" x14ac:dyDescent="0.25">
      <c r="B8" s="4" t="s">
        <v>26</v>
      </c>
      <c r="C8" s="4">
        <v>82.138000000000005</v>
      </c>
      <c r="D8" s="4">
        <v>86.65</v>
      </c>
      <c r="E8" s="4">
        <v>154.44</v>
      </c>
      <c r="F8" s="4">
        <f t="shared" si="3"/>
        <v>214.21200000000002</v>
      </c>
      <c r="G8" s="4">
        <v>240.727</v>
      </c>
      <c r="H8" s="4">
        <v>262.60000000000002</v>
      </c>
      <c r="I8" s="4">
        <v>287.39999999999998</v>
      </c>
      <c r="O8" s="4">
        <v>452.65</v>
      </c>
      <c r="P8" s="4">
        <v>666.11</v>
      </c>
      <c r="Q8" s="4">
        <v>746.14</v>
      </c>
      <c r="R8" s="4">
        <v>803.63</v>
      </c>
      <c r="S8" s="4">
        <v>881.60599999999999</v>
      </c>
      <c r="T8" s="4">
        <v>924.2</v>
      </c>
      <c r="U8" s="4">
        <v>521.29999999999995</v>
      </c>
      <c r="V8" s="4">
        <v>537.44000000000005</v>
      </c>
      <c r="W8" s="4">
        <f t="shared" si="4"/>
        <v>1078.127</v>
      </c>
      <c r="X8" s="4">
        <f t="shared" si="6"/>
        <v>1147.9241882822189</v>
      </c>
      <c r="Y8" s="4">
        <f>T8*(1+U54)*(1+V54)*(1+W54)*(1+X54)*(1+Y54)</f>
        <v>1217.7213765644381</v>
      </c>
      <c r="Z8" s="4">
        <f>Y8*(1+Y54)</f>
        <v>1282.2606095223532</v>
      </c>
      <c r="AA8" s="4">
        <f t="shared" ref="AA8:AG8" si="8">Z8*(1+Z54)</f>
        <v>1320.7284278080238</v>
      </c>
      <c r="AB8" s="4">
        <f t="shared" si="8"/>
        <v>1360.3502806422646</v>
      </c>
      <c r="AC8" s="4">
        <f t="shared" si="8"/>
        <v>1401.1607890615326</v>
      </c>
      <c r="AD8" s="4">
        <f t="shared" si="8"/>
        <v>1443.1956127333785</v>
      </c>
      <c r="AE8" s="4">
        <f t="shared" si="8"/>
        <v>1486.4914811153799</v>
      </c>
      <c r="AF8" s="4">
        <f t="shared" si="8"/>
        <v>1531.0862255488414</v>
      </c>
      <c r="AG8" s="4">
        <f t="shared" si="8"/>
        <v>1577.0188123153066</v>
      </c>
    </row>
    <row r="9" spans="2:124" s="4" customFormat="1" x14ac:dyDescent="0.25">
      <c r="B9" s="4" t="s">
        <v>27</v>
      </c>
      <c r="C9" s="4">
        <v>42.6</v>
      </c>
      <c r="D9" s="4">
        <v>54.1</v>
      </c>
      <c r="E9" s="4">
        <v>79.238</v>
      </c>
      <c r="F9" s="4">
        <f t="shared" si="3"/>
        <v>125.91200000000003</v>
      </c>
      <c r="G9" s="4">
        <v>135.5</v>
      </c>
      <c r="H9" s="4">
        <v>181.2</v>
      </c>
      <c r="I9" s="4">
        <v>186.98400000000001</v>
      </c>
      <c r="O9" s="4">
        <v>326.23</v>
      </c>
      <c r="P9" s="4">
        <v>358.65</v>
      </c>
      <c r="Q9" s="4">
        <v>335.17</v>
      </c>
      <c r="R9" s="4">
        <v>361.03199999999998</v>
      </c>
      <c r="S9" s="4">
        <v>392.7</v>
      </c>
      <c r="T9" s="4">
        <v>409.6</v>
      </c>
      <c r="U9" s="4">
        <v>264.7</v>
      </c>
      <c r="V9" s="4">
        <v>301.85000000000002</v>
      </c>
      <c r="W9" s="4">
        <f t="shared" si="4"/>
        <v>690.66800000000001</v>
      </c>
      <c r="X9" s="4">
        <f>T9*(1+U57)*(1+V57)*(1+W57)*(1+X57)</f>
        <v>602.35294117647061</v>
      </c>
      <c r="Y9" s="4">
        <f>X9*(1+Y57)</f>
        <v>554.16470588235291</v>
      </c>
      <c r="Z9" s="4">
        <f t="shared" ref="Z9:AG9" si="9">Y9*(1+Z57)</f>
        <v>571.34381176470583</v>
      </c>
      <c r="AA9" s="4">
        <f t="shared" si="9"/>
        <v>590.1981575529411</v>
      </c>
      <c r="AB9" s="4">
        <f t="shared" si="9"/>
        <v>612.03548938239987</v>
      </c>
      <c r="AC9" s="4">
        <f t="shared" si="9"/>
        <v>634.68080248954857</v>
      </c>
      <c r="AD9" s="4">
        <f t="shared" si="9"/>
        <v>658.1639921816618</v>
      </c>
      <c r="AE9" s="4">
        <f t="shared" si="9"/>
        <v>682.51605989238328</v>
      </c>
      <c r="AF9" s="4">
        <f t="shared" si="9"/>
        <v>707.76915410840138</v>
      </c>
      <c r="AG9" s="4">
        <f t="shared" si="9"/>
        <v>733.95661281041214</v>
      </c>
    </row>
    <row r="10" spans="2:124" s="4" customFormat="1" x14ac:dyDescent="0.25">
      <c r="B10" s="4" t="s">
        <v>28</v>
      </c>
      <c r="C10" s="4">
        <v>6.3</v>
      </c>
      <c r="D10" s="4">
        <v>4.33</v>
      </c>
      <c r="E10" s="4">
        <v>16.670000000000002</v>
      </c>
      <c r="F10" s="4">
        <f t="shared" si="3"/>
        <v>35.700000000000003</v>
      </c>
      <c r="G10" s="4">
        <v>39.515999999999998</v>
      </c>
      <c r="H10" s="4">
        <v>61.2</v>
      </c>
      <c r="I10" s="4">
        <v>76.81</v>
      </c>
      <c r="O10" s="4">
        <v>168.24</v>
      </c>
      <c r="P10" s="4">
        <v>179.64099999999999</v>
      </c>
      <c r="Q10" s="4">
        <v>200</v>
      </c>
      <c r="R10" s="4">
        <v>198.357</v>
      </c>
      <c r="S10" s="4">
        <v>216.03</v>
      </c>
      <c r="T10" s="4">
        <v>222.6</v>
      </c>
      <c r="U10" s="4">
        <v>65.400000000000006</v>
      </c>
      <c r="V10" s="4">
        <v>63</v>
      </c>
      <c r="W10" s="4">
        <f t="shared" si="4"/>
        <v>254.33600000000001</v>
      </c>
      <c r="X10" s="4">
        <f t="shared" ref="X10:X11" si="10">Y10/2+W10/2</f>
        <v>275.0814516653947</v>
      </c>
      <c r="Y10" s="4">
        <f>T10*(1+U59)*(1+V59)*(1+W59)*(1+X59)*(1+Y59)</f>
        <v>295.82690333078938</v>
      </c>
      <c r="Z10" s="4">
        <f>Y10*(1+Z59)</f>
        <v>304.99753733404384</v>
      </c>
      <c r="AA10" s="4">
        <f t="shared" ref="AA10:AG10" si="11">Z10*(1+AA59)</f>
        <v>314.45246099139916</v>
      </c>
      <c r="AB10" s="4">
        <f t="shared" si="11"/>
        <v>324.20048728213249</v>
      </c>
      <c r="AC10" s="4">
        <f t="shared" si="11"/>
        <v>334.25070238787856</v>
      </c>
      <c r="AD10" s="4">
        <f t="shared" si="11"/>
        <v>344.61247416190275</v>
      </c>
      <c r="AE10" s="4">
        <f t="shared" si="11"/>
        <v>355.29546086092171</v>
      </c>
      <c r="AF10" s="4">
        <f t="shared" si="11"/>
        <v>366.30962014761025</v>
      </c>
      <c r="AG10" s="4">
        <f t="shared" si="11"/>
        <v>377.66521837218613</v>
      </c>
    </row>
    <row r="11" spans="2:124" s="4" customFormat="1" x14ac:dyDescent="0.25">
      <c r="B11" s="4" t="s">
        <v>29</v>
      </c>
      <c r="C11" s="4">
        <v>59.5</v>
      </c>
      <c r="D11" s="4">
        <v>96.816000000000003</v>
      </c>
      <c r="E11" s="4">
        <v>137.76</v>
      </c>
      <c r="F11" s="4">
        <f t="shared" si="3"/>
        <v>214.11</v>
      </c>
      <c r="G11" s="4">
        <v>199.15299999999999</v>
      </c>
      <c r="H11" s="4">
        <v>216.0455</v>
      </c>
      <c r="I11" s="4">
        <v>208.17599999999999</v>
      </c>
      <c r="O11" s="4">
        <v>271.8</v>
      </c>
      <c r="P11" s="4">
        <v>412.94799999999998</v>
      </c>
      <c r="Q11" s="4">
        <v>456.4</v>
      </c>
      <c r="R11" s="4">
        <v>486.92399999999998</v>
      </c>
      <c r="S11" s="4">
        <v>539.15</v>
      </c>
      <c r="T11" s="4">
        <v>591.34</v>
      </c>
      <c r="U11" s="4">
        <v>375.3</v>
      </c>
      <c r="V11" s="4">
        <v>508.18599999999998</v>
      </c>
      <c r="W11" s="4">
        <f>G11+H11+I11+I11</f>
        <v>831.55049999999983</v>
      </c>
      <c r="X11" s="4">
        <f>Y11/2+W11/2</f>
        <v>774.48625498478248</v>
      </c>
      <c r="Y11" s="4">
        <f>T11*(1+U61)*(1+V61)*(1+W61)*(1+X61)*(1+Y61)</f>
        <v>717.42200996956512</v>
      </c>
      <c r="Z11" s="4">
        <f>Y11*(1+Z61+Z62)</f>
        <v>739.66209227862157</v>
      </c>
      <c r="AA11" s="4">
        <f t="shared" ref="AA11:AG11" si="12">Z11*(1+AA61+AA62)</f>
        <v>762.5916171392588</v>
      </c>
      <c r="AB11" s="4">
        <f t="shared" si="12"/>
        <v>786.99454888771493</v>
      </c>
      <c r="AC11" s="4">
        <f t="shared" si="12"/>
        <v>812.1783744521216</v>
      </c>
      <c r="AD11" s="4">
        <f t="shared" si="12"/>
        <v>838.16808243458934</v>
      </c>
      <c r="AE11" s="4">
        <f t="shared" si="12"/>
        <v>866.66579723736527</v>
      </c>
      <c r="AF11" s="4">
        <f t="shared" si="12"/>
        <v>896.13243434343553</v>
      </c>
      <c r="AG11" s="4">
        <f t="shared" si="12"/>
        <v>926.60093711111222</v>
      </c>
    </row>
    <row r="12" spans="2:124" s="4" customFormat="1" x14ac:dyDescent="0.25">
      <c r="B12" s="4" t="s">
        <v>30</v>
      </c>
      <c r="C12" s="4">
        <f t="shared" ref="C12:J12" si="13">+C6+C7+C8+C9+C10+C11</f>
        <v>200.83</v>
      </c>
      <c r="D12" s="4">
        <f t="shared" si="13"/>
        <v>249.73600000000002</v>
      </c>
      <c r="E12" s="4">
        <f t="shared" si="13"/>
        <v>439.75200000000001</v>
      </c>
      <c r="F12" s="4">
        <f t="shared" si="13"/>
        <v>717.71199999999999</v>
      </c>
      <c r="G12" s="4">
        <f t="shared" si="13"/>
        <v>735.404</v>
      </c>
      <c r="H12" s="4">
        <f t="shared" si="13"/>
        <v>1073.4005</v>
      </c>
      <c r="I12" s="4">
        <f t="shared" si="13"/>
        <v>1238.9100000000001</v>
      </c>
      <c r="J12" s="4">
        <f t="shared" si="13"/>
        <v>0</v>
      </c>
      <c r="O12" s="4">
        <f t="shared" ref="O12:Y12" si="14">+O6+O7+O8+O9+O10+O11</f>
        <v>1946.6419999999998</v>
      </c>
      <c r="P12" s="4">
        <f t="shared" si="14"/>
        <v>2655.4490000000001</v>
      </c>
      <c r="Q12" s="4">
        <f t="shared" si="14"/>
        <v>2850.1689999999999</v>
      </c>
      <c r="R12" s="4">
        <f t="shared" si="14"/>
        <v>3063.643</v>
      </c>
      <c r="S12" s="4">
        <f t="shared" si="14"/>
        <v>3377.0860000000002</v>
      </c>
      <c r="T12" s="4">
        <f t="shared" si="14"/>
        <v>3663.34</v>
      </c>
      <c r="U12" s="4">
        <f t="shared" si="14"/>
        <v>1693.1</v>
      </c>
      <c r="V12" s="4">
        <f t="shared" si="14"/>
        <v>1608.03</v>
      </c>
      <c r="W12" s="4">
        <f>+W6+W7+W8+W9+W10+W11</f>
        <v>4286.6244999999999</v>
      </c>
      <c r="X12" s="4">
        <f>+X6+X7+X8+X9+X10+X11</f>
        <v>4435.1899606817633</v>
      </c>
      <c r="Y12" s="4">
        <f t="shared" si="14"/>
        <v>4623.8822448929386</v>
      </c>
      <c r="Z12" s="4">
        <f t="shared" ref="Z12:AG12" si="15">+Z6+Z7+Z8+Z9+Z10+Z11</f>
        <v>4794.0124647690363</v>
      </c>
      <c r="AA12" s="4">
        <f t="shared" si="15"/>
        <v>4942.4872781908844</v>
      </c>
      <c r="AB12" s="4">
        <f t="shared" si="15"/>
        <v>5100.6419525641486</v>
      </c>
      <c r="AC12" s="4">
        <f t="shared" si="15"/>
        <v>5263.8777714445459</v>
      </c>
      <c r="AD12" s="4">
        <f t="shared" si="15"/>
        <v>5432.3586918627079</v>
      </c>
      <c r="AE12" s="4">
        <f t="shared" si="15"/>
        <v>5612.2267594891646</v>
      </c>
      <c r="AF12" s="4">
        <f t="shared" si="15"/>
        <v>5798.0781651844291</v>
      </c>
      <c r="AG12" s="4">
        <f t="shared" si="15"/>
        <v>5990.1128565003864</v>
      </c>
    </row>
    <row r="13" spans="2:124" s="5" customFormat="1" x14ac:dyDescent="0.25">
      <c r="B13" s="5" t="s">
        <v>31</v>
      </c>
      <c r="C13" s="5">
        <f t="shared" ref="C13:J13" si="16">+C5-C12</f>
        <v>-197.73000000000002</v>
      </c>
      <c r="D13" s="5">
        <f t="shared" si="16"/>
        <v>-245.35200000000003</v>
      </c>
      <c r="E13" s="5">
        <f t="shared" si="16"/>
        <v>-286.67100000000005</v>
      </c>
      <c r="F13" s="5">
        <f t="shared" si="16"/>
        <v>-230.29499999999996</v>
      </c>
      <c r="G13" s="5">
        <f t="shared" si="16"/>
        <v>-213.44900000000007</v>
      </c>
      <c r="H13" s="5">
        <f t="shared" si="16"/>
        <v>113.79150000000004</v>
      </c>
      <c r="I13" s="5">
        <f t="shared" si="16"/>
        <v>376.58999999999992</v>
      </c>
      <c r="J13" s="5">
        <f t="shared" si="16"/>
        <v>0</v>
      </c>
      <c r="O13" s="5">
        <f t="shared" ref="O13:W13" si="17">+O5-O12</f>
        <v>1179.2380000000003</v>
      </c>
      <c r="P13" s="5">
        <f t="shared" si="17"/>
        <v>1689.6240000000003</v>
      </c>
      <c r="Q13" s="5">
        <f t="shared" si="17"/>
        <v>2024.1850000000004</v>
      </c>
      <c r="R13" s="5">
        <f t="shared" si="17"/>
        <v>2332.5320000000002</v>
      </c>
      <c r="S13" s="5">
        <f t="shared" si="17"/>
        <v>2678.0289999999995</v>
      </c>
      <c r="T13" s="5">
        <f t="shared" si="17"/>
        <v>2799.0399999999991</v>
      </c>
      <c r="U13" s="5">
        <f t="shared" si="17"/>
        <v>-413.18999999999983</v>
      </c>
      <c r="V13" s="5">
        <f t="shared" si="17"/>
        <v>-960.048</v>
      </c>
      <c r="W13" s="5">
        <f t="shared" si="17"/>
        <v>653.52250000000095</v>
      </c>
      <c r="X13" s="5">
        <f t="shared" ref="X13:AG13" si="18">+X5-X12</f>
        <v>1542.2204130819891</v>
      </c>
      <c r="Y13" s="5">
        <f>+Y5-Y12</f>
        <v>2390.7915026345654</v>
      </c>
      <c r="Z13" s="5">
        <f>+Z5-Z12</f>
        <v>3257.9246565222184</v>
      </c>
      <c r="AA13" s="5">
        <f t="shared" si="18"/>
        <v>3592.5660703778458</v>
      </c>
      <c r="AB13" s="5">
        <f t="shared" si="18"/>
        <v>3861.1640634330179</v>
      </c>
      <c r="AC13" s="5">
        <f t="shared" si="18"/>
        <v>4056.4004851925074</v>
      </c>
      <c r="AD13" s="5">
        <f t="shared" si="18"/>
        <v>4260.7306950398288</v>
      </c>
      <c r="AE13" s="5">
        <f t="shared" si="18"/>
        <v>4468.5862028894744</v>
      </c>
      <c r="AF13" s="5">
        <f t="shared" si="18"/>
        <v>4685.9673156893559</v>
      </c>
      <c r="AG13" s="5">
        <f t="shared" si="18"/>
        <v>4913.2944436083499</v>
      </c>
    </row>
    <row r="14" spans="2:124" s="4" customFormat="1" x14ac:dyDescent="0.25">
      <c r="B14" s="4" t="s">
        <v>32</v>
      </c>
      <c r="C14" s="4">
        <v>203.2</v>
      </c>
      <c r="D14" s="4">
        <v>185.483</v>
      </c>
      <c r="E14" s="4">
        <v>229.14</v>
      </c>
      <c r="F14" s="4">
        <f>V14-E14-D14-C14</f>
        <v>273.62700000000007</v>
      </c>
      <c r="G14" s="4">
        <v>296.20699999999999</v>
      </c>
      <c r="H14" s="4">
        <v>329.08</v>
      </c>
      <c r="I14" s="4">
        <v>375.29</v>
      </c>
      <c r="O14" s="4">
        <v>403.17</v>
      </c>
      <c r="P14" s="4">
        <v>555</v>
      </c>
      <c r="Q14" s="4">
        <v>666.15599999999995</v>
      </c>
      <c r="R14" s="4">
        <v>773.755</v>
      </c>
      <c r="S14" s="4">
        <v>897.92899999999997</v>
      </c>
      <c r="T14" s="4">
        <v>974.85</v>
      </c>
      <c r="U14" s="4">
        <v>745.3</v>
      </c>
      <c r="V14" s="4">
        <v>891.45</v>
      </c>
      <c r="W14" s="4">
        <f t="shared" ref="W14:W15" si="19">G14+H14+I14+I14</f>
        <v>1375.867</v>
      </c>
      <c r="X14" s="4">
        <f>X45*X5</f>
        <v>1195.4820747527506</v>
      </c>
      <c r="Y14" s="4">
        <f>Y45*Y5</f>
        <v>1052.2010621291256</v>
      </c>
      <c r="Z14" s="4">
        <f>Z45*Z5</f>
        <v>1207.7905681936882</v>
      </c>
      <c r="AA14" s="4">
        <f t="shared" ref="AA14:AG14" si="20">AA45*AA5</f>
        <v>1194.9074687996224</v>
      </c>
      <c r="AB14" s="4">
        <f t="shared" si="20"/>
        <v>1254.6528422396034</v>
      </c>
      <c r="AC14" s="4">
        <f t="shared" si="20"/>
        <v>1211.6361733628171</v>
      </c>
      <c r="AD14" s="4">
        <f t="shared" si="20"/>
        <v>1260.1016202973299</v>
      </c>
      <c r="AE14" s="4">
        <f t="shared" si="20"/>
        <v>1310.5056851092231</v>
      </c>
      <c r="AF14" s="4">
        <f t="shared" si="20"/>
        <v>1362.925912513592</v>
      </c>
      <c r="AG14" s="4">
        <f t="shared" si="20"/>
        <v>1417.4429490141358</v>
      </c>
    </row>
    <row r="15" spans="2:124" s="4" customFormat="1" x14ac:dyDescent="0.25">
      <c r="B15" s="4" t="s">
        <v>33</v>
      </c>
      <c r="C15" s="4">
        <v>170.3</v>
      </c>
      <c r="D15" s="4">
        <v>174.3</v>
      </c>
      <c r="E15" s="4">
        <v>173.28899999999999</v>
      </c>
      <c r="F15" s="4">
        <f>V15-E15-D15-C15</f>
        <v>182.95600000000002</v>
      </c>
      <c r="G15" s="4">
        <v>179.07599999999999</v>
      </c>
      <c r="H15" s="4">
        <v>181.6</v>
      </c>
      <c r="I15" s="4">
        <v>186.55</v>
      </c>
      <c r="O15" s="4">
        <v>273.14699999999999</v>
      </c>
      <c r="P15" s="4">
        <v>432.11399999999998</v>
      </c>
      <c r="Q15" s="4">
        <v>432.5</v>
      </c>
      <c r="R15" s="4">
        <v>509.95699999999999</v>
      </c>
      <c r="S15" s="4">
        <v>561.05999999999995</v>
      </c>
      <c r="T15" s="4">
        <v>646.20000000000005</v>
      </c>
      <c r="U15" s="4">
        <v>717.8</v>
      </c>
      <c r="V15" s="4">
        <v>700.84500000000003</v>
      </c>
      <c r="W15" s="4">
        <f t="shared" si="19"/>
        <v>733.77600000000007</v>
      </c>
      <c r="X15" s="4">
        <f>X48*X5</f>
        <v>777.0633485892879</v>
      </c>
      <c r="Y15" s="4">
        <f>Y48*Y5</f>
        <v>841.76084970330044</v>
      </c>
      <c r="Z15" s="4">
        <f>Z48*Z5</f>
        <v>885.71308334203798</v>
      </c>
      <c r="AA15" s="4">
        <f t="shared" ref="AA15:AG15" si="21">AA48*AA5</f>
        <v>853.50533485687311</v>
      </c>
      <c r="AB15" s="4">
        <f t="shared" si="21"/>
        <v>806.5625414397449</v>
      </c>
      <c r="AC15" s="4">
        <f t="shared" si="21"/>
        <v>838.82504309733474</v>
      </c>
      <c r="AD15" s="4">
        <f t="shared" si="21"/>
        <v>872.37804482122829</v>
      </c>
      <c r="AE15" s="4">
        <f t="shared" si="21"/>
        <v>806.46503699029108</v>
      </c>
      <c r="AF15" s="4">
        <f t="shared" si="21"/>
        <v>838.72363846990277</v>
      </c>
      <c r="AG15" s="4">
        <f t="shared" si="21"/>
        <v>872.27258400869891</v>
      </c>
    </row>
    <row r="16" spans="2:124" s="4" customFormat="1" x14ac:dyDescent="0.25">
      <c r="B16" s="4" t="s">
        <v>44</v>
      </c>
      <c r="U16" s="4">
        <v>1607.8</v>
      </c>
    </row>
    <row r="17" spans="2:124" s="5" customFormat="1" x14ac:dyDescent="0.25">
      <c r="B17" s="5" t="s">
        <v>34</v>
      </c>
      <c r="C17" s="5">
        <f t="shared" ref="C17:J17" si="22">+C13-C14-C15</f>
        <v>-571.23</v>
      </c>
      <c r="D17" s="5">
        <f t="shared" si="22"/>
        <v>-605.13499999999999</v>
      </c>
      <c r="E17" s="5">
        <f t="shared" si="22"/>
        <v>-689.1</v>
      </c>
      <c r="F17" s="5">
        <f t="shared" si="22"/>
        <v>-686.87800000000004</v>
      </c>
      <c r="G17" s="5">
        <f t="shared" si="22"/>
        <v>-688.73200000000008</v>
      </c>
      <c r="H17" s="5">
        <f t="shared" si="22"/>
        <v>-396.88849999999991</v>
      </c>
      <c r="I17" s="5">
        <f t="shared" si="22"/>
        <v>-185.25000000000011</v>
      </c>
      <c r="J17" s="5">
        <f t="shared" si="22"/>
        <v>0</v>
      </c>
      <c r="O17" s="5">
        <f t="shared" ref="O17:T17" si="23">+O13-O14-O15</f>
        <v>502.92100000000022</v>
      </c>
      <c r="P17" s="5">
        <f t="shared" si="23"/>
        <v>702.51000000000022</v>
      </c>
      <c r="Q17" s="5">
        <f t="shared" si="23"/>
        <v>925.52900000000045</v>
      </c>
      <c r="R17" s="5">
        <f t="shared" si="23"/>
        <v>1048.8200000000002</v>
      </c>
      <c r="S17" s="5">
        <f t="shared" si="23"/>
        <v>1219.0399999999995</v>
      </c>
      <c r="T17" s="5">
        <f t="shared" si="23"/>
        <v>1177.9899999999991</v>
      </c>
      <c r="U17" s="5">
        <f>+U13-U14-U15-U16</f>
        <v>-3484.0899999999997</v>
      </c>
      <c r="V17" s="5">
        <f>+V13-V14-V15</f>
        <v>-2552.3429999999998</v>
      </c>
      <c r="W17" s="5">
        <f>+W13-W14-W15</f>
        <v>-1456.1204999999991</v>
      </c>
      <c r="X17" s="5">
        <f t="shared" ref="X17:AG17" si="24">+X13-X14-X15</f>
        <v>-430.32501026004934</v>
      </c>
      <c r="Y17" s="5">
        <f t="shared" si="24"/>
        <v>496.82959080213936</v>
      </c>
      <c r="Z17" s="5">
        <f t="shared" si="24"/>
        <v>1164.4210049864923</v>
      </c>
      <c r="AA17" s="5">
        <f t="shared" si="24"/>
        <v>1544.1532667213501</v>
      </c>
      <c r="AB17" s="5">
        <f t="shared" si="24"/>
        <v>1799.9486797536697</v>
      </c>
      <c r="AC17" s="5">
        <f t="shared" si="24"/>
        <v>2005.9392687323552</v>
      </c>
      <c r="AD17" s="5">
        <f t="shared" si="24"/>
        <v>2128.2510299212709</v>
      </c>
      <c r="AE17" s="5">
        <f t="shared" si="24"/>
        <v>2351.6154807899602</v>
      </c>
      <c r="AF17" s="5">
        <f t="shared" si="24"/>
        <v>2484.317764705861</v>
      </c>
      <c r="AG17" s="5">
        <f t="shared" si="24"/>
        <v>2623.5789105855156</v>
      </c>
    </row>
    <row r="18" spans="2:124" s="4" customFormat="1" x14ac:dyDescent="0.25">
      <c r="B18" s="4" t="s">
        <v>35</v>
      </c>
      <c r="C18" s="4">
        <v>-824.44</v>
      </c>
      <c r="D18" s="4">
        <v>-137.25899999999999</v>
      </c>
      <c r="E18" s="4">
        <v>-161.19999999999999</v>
      </c>
      <c r="F18" s="4">
        <f>V18-E18-D18-C18</f>
        <v>-950.02600000000007</v>
      </c>
      <c r="G18" s="4">
        <v>-327.7</v>
      </c>
      <c r="H18" s="4">
        <v>-144.37700000000001</v>
      </c>
      <c r="I18" s="4">
        <v>-152.33000000000001</v>
      </c>
      <c r="O18" s="4">
        <v>-151.75</v>
      </c>
      <c r="P18" s="4">
        <v>-221.9</v>
      </c>
      <c r="Q18" s="4">
        <v>-276.85000000000002</v>
      </c>
      <c r="R18" s="4">
        <v>-267.80399999999997</v>
      </c>
      <c r="S18" s="4">
        <v>-270.39999999999998</v>
      </c>
      <c r="T18" s="4">
        <v>-272.86700000000002</v>
      </c>
      <c r="U18" s="4">
        <v>-482.3</v>
      </c>
      <c r="V18" s="4">
        <v>-2072.9250000000002</v>
      </c>
      <c r="W18" s="4">
        <f t="shared" ref="W18:W19" si="25">G18+H18+I18+I18</f>
        <v>-776.73700000000008</v>
      </c>
      <c r="X18" s="4">
        <f>W31*X50</f>
        <v>-911.12633500000015</v>
      </c>
      <c r="Y18" s="4">
        <f t="shared" ref="Y18:AG18" si="26">X31*Y50</f>
        <v>-1004.0889132265215</v>
      </c>
      <c r="Z18" s="4">
        <f t="shared" si="26"/>
        <v>-890.62666586372791</v>
      </c>
      <c r="AA18" s="4">
        <f t="shared" si="26"/>
        <v>-728.77296560275784</v>
      </c>
      <c r="AB18" s="4">
        <f t="shared" si="26"/>
        <v>-620.12085833090373</v>
      </c>
      <c r="AC18" s="4">
        <f t="shared" si="26"/>
        <v>-568.62137392580007</v>
      </c>
      <c r="AD18" s="4">
        <f t="shared" si="26"/>
        <v>-506.20584434382539</v>
      </c>
      <c r="AE18" s="4">
        <f t="shared" si="26"/>
        <v>-436.13349232687972</v>
      </c>
      <c r="AF18" s="4">
        <f t="shared" si="26"/>
        <v>-353.38467042527463</v>
      </c>
      <c r="AG18" s="4">
        <f t="shared" si="26"/>
        <v>-261.32836075235332</v>
      </c>
    </row>
    <row r="19" spans="2:124" s="4" customFormat="1" x14ac:dyDescent="0.25">
      <c r="B19" s="4" t="s">
        <v>36</v>
      </c>
      <c r="C19" s="4">
        <v>27.242999999999999</v>
      </c>
      <c r="D19" s="4">
        <v>25.5</v>
      </c>
      <c r="E19" s="4">
        <v>4.72</v>
      </c>
      <c r="F19" s="4">
        <f>V19-E19-D19-C19</f>
        <v>66.490000000000009</v>
      </c>
      <c r="G19" s="4">
        <v>38.119999999999997</v>
      </c>
      <c r="H19" s="4">
        <v>30.99</v>
      </c>
      <c r="I19" s="4">
        <v>31.46</v>
      </c>
      <c r="O19" s="4">
        <v>-10.85</v>
      </c>
      <c r="P19" s="4">
        <v>-46.7</v>
      </c>
      <c r="Q19" s="4">
        <v>-8.3000000000000007</v>
      </c>
      <c r="R19" s="4">
        <v>-10.4</v>
      </c>
      <c r="S19" s="4">
        <v>20.65</v>
      </c>
      <c r="T19" s="4">
        <v>6.1550000000000002</v>
      </c>
      <c r="U19" s="4">
        <v>-33.6</v>
      </c>
      <c r="V19" s="4">
        <v>123.953</v>
      </c>
      <c r="W19" s="4">
        <f t="shared" si="25"/>
        <v>132.03</v>
      </c>
    </row>
    <row r="20" spans="2:124" s="4" customFormat="1" x14ac:dyDescent="0.25">
      <c r="B20" s="4" t="s">
        <v>37</v>
      </c>
      <c r="C20" s="4">
        <f t="shared" ref="C20:J20" si="27">+C17+C18+C19</f>
        <v>-1368.4270000000001</v>
      </c>
      <c r="D20" s="4">
        <f t="shared" si="27"/>
        <v>-716.89400000000001</v>
      </c>
      <c r="E20" s="4">
        <f t="shared" si="27"/>
        <v>-845.57999999999993</v>
      </c>
      <c r="F20" s="4">
        <f t="shared" si="27"/>
        <v>-1570.414</v>
      </c>
      <c r="G20" s="4">
        <f t="shared" si="27"/>
        <v>-978.31200000000001</v>
      </c>
      <c r="H20" s="4">
        <f t="shared" si="27"/>
        <v>-510.27549999999997</v>
      </c>
      <c r="I20" s="4">
        <f t="shared" si="27"/>
        <v>-306.12000000000018</v>
      </c>
      <c r="J20" s="4">
        <f t="shared" si="27"/>
        <v>0</v>
      </c>
      <c r="O20" s="4">
        <f t="shared" ref="O20:W20" si="28">+O17+O18+O19</f>
        <v>340.3210000000002</v>
      </c>
      <c r="P20" s="4">
        <f t="shared" si="28"/>
        <v>433.91000000000025</v>
      </c>
      <c r="Q20" s="4">
        <f t="shared" si="28"/>
        <v>640.37900000000047</v>
      </c>
      <c r="R20" s="4">
        <f t="shared" si="28"/>
        <v>770.61600000000021</v>
      </c>
      <c r="S20" s="4">
        <f t="shared" si="28"/>
        <v>969.28999999999951</v>
      </c>
      <c r="T20" s="4">
        <f t="shared" si="28"/>
        <v>911.27799999999911</v>
      </c>
      <c r="U20" s="4">
        <f t="shared" si="28"/>
        <v>-3999.99</v>
      </c>
      <c r="V20" s="4">
        <f t="shared" si="28"/>
        <v>-4501.3149999999996</v>
      </c>
      <c r="W20" s="4">
        <f t="shared" si="28"/>
        <v>-2100.827499999999</v>
      </c>
      <c r="X20" s="4">
        <f t="shared" ref="X20:AG20" si="29">+X17+X18+X19</f>
        <v>-1341.4513452600495</v>
      </c>
      <c r="Y20" s="4">
        <f t="shared" si="29"/>
        <v>-507.25932242438216</v>
      </c>
      <c r="Z20" s="4">
        <f t="shared" si="29"/>
        <v>273.79433912276443</v>
      </c>
      <c r="AA20" s="4">
        <f t="shared" si="29"/>
        <v>815.38030111859223</v>
      </c>
      <c r="AB20" s="4">
        <f t="shared" si="29"/>
        <v>1179.827821422766</v>
      </c>
      <c r="AC20" s="4">
        <f t="shared" si="29"/>
        <v>1437.3178948065552</v>
      </c>
      <c r="AD20" s="4">
        <f t="shared" si="29"/>
        <v>1622.0451855774454</v>
      </c>
      <c r="AE20" s="4">
        <f t="shared" si="29"/>
        <v>1915.4819884630806</v>
      </c>
      <c r="AF20" s="4">
        <f t="shared" si="29"/>
        <v>2130.9330942805864</v>
      </c>
      <c r="AG20" s="4">
        <f t="shared" si="29"/>
        <v>2362.250549833162</v>
      </c>
    </row>
    <row r="21" spans="2:124" s="4" customFormat="1" x14ac:dyDescent="0.25">
      <c r="B21" s="4" t="s">
        <v>38</v>
      </c>
      <c r="C21" s="4">
        <v>-1.728</v>
      </c>
      <c r="D21" s="4">
        <v>-0.92700000000000005</v>
      </c>
      <c r="E21" s="4">
        <v>-0.29399999999999998</v>
      </c>
      <c r="F21" s="4">
        <f>V21-E21-D21-C21</f>
        <v>-2.3180000000000014</v>
      </c>
      <c r="G21" s="4">
        <v>-4.3899999999999997</v>
      </c>
      <c r="H21" s="4">
        <v>0.86699999999999999</v>
      </c>
      <c r="I21" s="4">
        <v>10.705</v>
      </c>
      <c r="O21" s="4">
        <v>2.2669999999999999</v>
      </c>
      <c r="P21" s="4">
        <v>-6.77</v>
      </c>
      <c r="Q21" s="4">
        <v>-7.2</v>
      </c>
      <c r="R21" s="4">
        <v>-10.742000000000001</v>
      </c>
      <c r="S21" s="4">
        <v>-14.5</v>
      </c>
      <c r="T21" s="4">
        <v>18.86</v>
      </c>
      <c r="U21" s="4">
        <v>-12.5</v>
      </c>
      <c r="V21" s="4">
        <v>-5.2670000000000003</v>
      </c>
      <c r="W21" s="4">
        <f>G21+H21+I21+I21</f>
        <v>17.887</v>
      </c>
      <c r="X21" s="4">
        <f>X20*-X51</f>
        <v>13.414513452600495</v>
      </c>
      <c r="Y21" s="4">
        <f t="shared" ref="Y21:AG21" si="30">Y20*-Y51</f>
        <v>7.6088898363657318</v>
      </c>
      <c r="Z21" s="4">
        <f t="shared" si="30"/>
        <v>-5.475886782455289</v>
      </c>
      <c r="AA21" s="4">
        <f t="shared" si="30"/>
        <v>-20.384507527964807</v>
      </c>
      <c r="AB21" s="4">
        <f t="shared" si="30"/>
        <v>-35.39483464268298</v>
      </c>
      <c r="AC21" s="4">
        <f t="shared" si="30"/>
        <v>-50.306126318229438</v>
      </c>
      <c r="AD21" s="4">
        <f t="shared" si="30"/>
        <v>-64.881807423097811</v>
      </c>
      <c r="AE21" s="4">
        <f t="shared" si="30"/>
        <v>-76.61927953852323</v>
      </c>
      <c r="AF21" s="4">
        <f t="shared" si="30"/>
        <v>-85.237323771223458</v>
      </c>
      <c r="AG21" s="4">
        <f t="shared" si="30"/>
        <v>-94.490021993326479</v>
      </c>
    </row>
    <row r="22" spans="2:124" s="5" customFormat="1" x14ac:dyDescent="0.25">
      <c r="B22" s="5" t="s">
        <v>39</v>
      </c>
      <c r="C22" s="5">
        <f t="shared" ref="C22:J22" si="31">+C20+C21</f>
        <v>-1370.1550000000002</v>
      </c>
      <c r="D22" s="5">
        <f t="shared" si="31"/>
        <v>-717.82100000000003</v>
      </c>
      <c r="E22" s="5">
        <f t="shared" si="31"/>
        <v>-845.87399999999991</v>
      </c>
      <c r="F22" s="5">
        <f t="shared" si="31"/>
        <v>-1572.732</v>
      </c>
      <c r="G22" s="5">
        <f t="shared" si="31"/>
        <v>-982.702</v>
      </c>
      <c r="H22" s="5">
        <f t="shared" si="31"/>
        <v>-509.40849999999995</v>
      </c>
      <c r="I22" s="5">
        <f t="shared" si="31"/>
        <v>-295.41500000000019</v>
      </c>
      <c r="J22" s="5">
        <f t="shared" si="31"/>
        <v>0</v>
      </c>
      <c r="O22" s="5">
        <f t="shared" ref="O22:W22" si="32">+O20+O21</f>
        <v>342.58800000000019</v>
      </c>
      <c r="P22" s="5">
        <f t="shared" si="32"/>
        <v>427.14000000000027</v>
      </c>
      <c r="Q22" s="5">
        <f t="shared" si="32"/>
        <v>633.17900000000043</v>
      </c>
      <c r="R22" s="5">
        <f t="shared" si="32"/>
        <v>759.87400000000025</v>
      </c>
      <c r="S22" s="5">
        <f t="shared" si="32"/>
        <v>954.78999999999951</v>
      </c>
      <c r="T22" s="5">
        <f t="shared" si="32"/>
        <v>930.13799999999912</v>
      </c>
      <c r="U22" s="5">
        <f t="shared" si="32"/>
        <v>-4012.49</v>
      </c>
      <c r="V22" s="5">
        <f t="shared" si="32"/>
        <v>-4506.5819999999994</v>
      </c>
      <c r="W22" s="5">
        <f t="shared" si="32"/>
        <v>-2082.9404999999988</v>
      </c>
      <c r="X22" s="5">
        <f t="shared" ref="X22:AG22" si="33">+X20+X21</f>
        <v>-1328.0368318074491</v>
      </c>
      <c r="Y22" s="5">
        <f t="shared" si="33"/>
        <v>-499.65043258801643</v>
      </c>
      <c r="Z22" s="5">
        <f t="shared" si="33"/>
        <v>268.31845234030914</v>
      </c>
      <c r="AA22" s="5">
        <f t="shared" si="33"/>
        <v>794.99579359062739</v>
      </c>
      <c r="AB22" s="5">
        <f t="shared" si="33"/>
        <v>1144.432986780083</v>
      </c>
      <c r="AC22" s="5">
        <f t="shared" si="33"/>
        <v>1387.0117684883257</v>
      </c>
      <c r="AD22" s="5">
        <f t="shared" si="33"/>
        <v>1557.1633781543476</v>
      </c>
      <c r="AE22" s="5">
        <f t="shared" si="33"/>
        <v>1838.8627089245574</v>
      </c>
      <c r="AF22" s="5">
        <f t="shared" si="33"/>
        <v>2045.695770509363</v>
      </c>
      <c r="AG22" s="5">
        <f t="shared" si="33"/>
        <v>2267.7605278398355</v>
      </c>
      <c r="AH22" s="5">
        <f>AG22*(1+Dash!$C$2)</f>
        <v>2245.082922561437</v>
      </c>
      <c r="AI22" s="5">
        <f>AH22*(1+Dash!$C$2)</f>
        <v>2222.6320933358224</v>
      </c>
      <c r="AJ22" s="5">
        <f>AI22*(1+Dash!$C$2)</f>
        <v>2200.4057724024642</v>
      </c>
      <c r="AK22" s="5">
        <f>AJ22*(1+Dash!$C$2)</f>
        <v>2178.4017146784395</v>
      </c>
      <c r="AL22" s="5">
        <f>AK22*(1+Dash!$C$2)</f>
        <v>2156.6176975316553</v>
      </c>
      <c r="AM22" s="5">
        <f>AL22*(1+Dash!$C$2)</f>
        <v>2135.0515205563388</v>
      </c>
      <c r="AN22" s="5">
        <f>AM22*(1+Dash!$C$2)</f>
        <v>2113.7010053507752</v>
      </c>
      <c r="AO22" s="5">
        <f>AN22*(1+Dash!$C$2)</f>
        <v>2092.5639952972674</v>
      </c>
      <c r="AP22" s="5">
        <f>AO22*(1+Dash!$C$2)</f>
        <v>2071.6383553442947</v>
      </c>
      <c r="AQ22" s="5">
        <f>AP22*(1+Dash!$C$2)</f>
        <v>2050.9219717908518</v>
      </c>
      <c r="AR22" s="5">
        <f>AQ22*(1+Dash!$C$2)</f>
        <v>2030.4127520729432</v>
      </c>
      <c r="AS22" s="5">
        <f>AR22*(1+Dash!$C$2)</f>
        <v>2010.1086245522138</v>
      </c>
      <c r="AT22" s="5">
        <f>AS22*(1+Dash!$C$2)</f>
        <v>1990.0075383066917</v>
      </c>
      <c r="AU22" s="5">
        <f>AT22*(1+Dash!$C$2)</f>
        <v>1970.1074629236248</v>
      </c>
      <c r="AV22" s="5">
        <f>AU22*(1+Dash!$C$2)</f>
        <v>1950.4063882943885</v>
      </c>
      <c r="AW22" s="5">
        <f>AV22*(1+Dash!$C$2)</f>
        <v>1930.9023244114446</v>
      </c>
      <c r="AX22" s="5">
        <f>AW22*(1+Dash!$C$2)</f>
        <v>1911.5933011673301</v>
      </c>
      <c r="AY22" s="5">
        <f>AX22*(1+Dash!$C$2)</f>
        <v>1892.4773681556567</v>
      </c>
      <c r="AZ22" s="5">
        <f>AY22*(1+Dash!$C$2)</f>
        <v>1873.5525944741</v>
      </c>
      <c r="BA22" s="5">
        <f>AZ22*(1+Dash!$C$2)</f>
        <v>1854.8170685293589</v>
      </c>
      <c r="BB22" s="5">
        <f>BA22*(1+Dash!$C$2)</f>
        <v>1836.2688978440654</v>
      </c>
      <c r="BC22" s="5">
        <f>BB22*(1+Dash!$C$2)</f>
        <v>1817.9062088656246</v>
      </c>
      <c r="BD22" s="5">
        <f>BC22*(1+Dash!$C$2)</f>
        <v>1799.7271467769683</v>
      </c>
      <c r="BE22" s="5">
        <f>BD22*(1+Dash!$C$2)</f>
        <v>1781.7298753091986</v>
      </c>
      <c r="BF22" s="5">
        <f>BE22*(1+Dash!$C$2)</f>
        <v>1763.9125765561066</v>
      </c>
      <c r="BG22" s="5">
        <f>BF22*(1+Dash!$C$2)</f>
        <v>1746.2734507905454</v>
      </c>
      <c r="BH22" s="5">
        <f>BG22*(1+Dash!$C$2)</f>
        <v>1728.81071628264</v>
      </c>
      <c r="BI22" s="5">
        <f>BH22*(1+Dash!$C$2)</f>
        <v>1711.5226091198135</v>
      </c>
      <c r="BJ22" s="5">
        <f>BI22*(1+Dash!$C$2)</f>
        <v>1694.4073830286154</v>
      </c>
      <c r="BK22" s="5">
        <f>BJ22*(1+Dash!$C$2)</f>
        <v>1677.4633091983292</v>
      </c>
      <c r="BL22" s="5">
        <f>BK22*(1+Dash!$C$2)</f>
        <v>1660.6886761063458</v>
      </c>
      <c r="BM22" s="5">
        <f>BL22*(1+Dash!$C$2)</f>
        <v>1644.0817893452825</v>
      </c>
      <c r="BN22" s="5">
        <f>BM22*(1+Dash!$C$2)</f>
        <v>1627.6409714518297</v>
      </c>
      <c r="BO22" s="5">
        <f>BN22*(1+Dash!$C$2)</f>
        <v>1611.3645617373113</v>
      </c>
      <c r="BP22" s="5">
        <f>BO22*(1+Dash!$C$2)</f>
        <v>1595.2509161199382</v>
      </c>
      <c r="BQ22" s="5">
        <f>BP22*(1+Dash!$C$2)</f>
        <v>1579.2984069587387</v>
      </c>
      <c r="BR22" s="5">
        <f>BQ22*(1+Dash!$C$2)</f>
        <v>1563.5054228891513</v>
      </c>
      <c r="BS22" s="5">
        <f>BR22*(1+Dash!$C$2)</f>
        <v>1547.8703686602598</v>
      </c>
      <c r="BT22" s="5">
        <f>BS22*(1+Dash!$C$2)</f>
        <v>1532.3916649736573</v>
      </c>
      <c r="BU22" s="5">
        <f>BT22*(1+Dash!$C$2)</f>
        <v>1517.0677483239208</v>
      </c>
      <c r="BV22" s="5">
        <f>BU22*(1+Dash!$C$2)</f>
        <v>1501.8970708406816</v>
      </c>
      <c r="BW22" s="5">
        <f>BV22*(1+Dash!$C$2)</f>
        <v>1486.8781001322748</v>
      </c>
      <c r="BX22" s="5">
        <f>BW22*(1+Dash!$C$2)</f>
        <v>1472.009319130952</v>
      </c>
      <c r="BY22" s="5">
        <f>BX22*(1+Dash!$C$2)</f>
        <v>1457.2892259396424</v>
      </c>
      <c r="BZ22" s="5">
        <f>BY22*(1+Dash!$C$2)</f>
        <v>1442.716333680246</v>
      </c>
      <c r="CA22" s="5">
        <f>BZ22*(1+Dash!$C$2)</f>
        <v>1428.2891703434434</v>
      </c>
      <c r="CB22" s="5">
        <f>CA22*(1+Dash!$C$2)</f>
        <v>1414.006278640009</v>
      </c>
      <c r="CC22" s="5">
        <f>CB22*(1+Dash!$C$2)</f>
        <v>1399.866215853609</v>
      </c>
      <c r="CD22" s="5">
        <f>CC22*(1+Dash!$C$2)</f>
        <v>1385.867553695073</v>
      </c>
      <c r="CE22" s="5">
        <f>CD22*(1+Dash!$C$2)</f>
        <v>1372.0088781581221</v>
      </c>
      <c r="CF22" s="5">
        <f>CE22*(1+Dash!$C$2)</f>
        <v>1358.288789376541</v>
      </c>
      <c r="CG22" s="5">
        <f>CF22*(1+Dash!$C$2)</f>
        <v>1344.7059014827755</v>
      </c>
      <c r="CH22" s="5">
        <f>CG22*(1+Dash!$C$2)</f>
        <v>1331.2588424679477</v>
      </c>
      <c r="CI22" s="5">
        <f>CH22*(1+Dash!$C$2)</f>
        <v>1317.9462540432683</v>
      </c>
      <c r="CJ22" s="5">
        <f>CI22*(1+Dash!$C$2)</f>
        <v>1304.7667915028355</v>
      </c>
      <c r="CK22" s="5">
        <f>CJ22*(1+Dash!$C$2)</f>
        <v>1291.7191235878072</v>
      </c>
      <c r="CL22" s="5">
        <f>CK22*(1+Dash!$C$2)</f>
        <v>1278.8019323519291</v>
      </c>
      <c r="CM22" s="5">
        <f>CL22*(1+Dash!$C$2)</f>
        <v>1266.0139130284097</v>
      </c>
      <c r="CN22" s="5">
        <f>CM22*(1+Dash!$C$2)</f>
        <v>1253.3537738981256</v>
      </c>
      <c r="CO22" s="5">
        <f>CN22*(1+Dash!$C$2)</f>
        <v>1240.8202361591443</v>
      </c>
      <c r="CP22" s="5">
        <f>CO22*(1+Dash!$C$2)</f>
        <v>1228.4120337975528</v>
      </c>
      <c r="CQ22" s="5">
        <f>CP22*(1+Dash!$C$2)</f>
        <v>1216.1279134595773</v>
      </c>
      <c r="CR22" s="5">
        <f>CQ22*(1+Dash!$C$2)</f>
        <v>1203.9666343249814</v>
      </c>
      <c r="CS22" s="5">
        <f>CR22*(1+Dash!$C$2)</f>
        <v>1191.9269679817317</v>
      </c>
      <c r="CT22" s="5">
        <f>CS22*(1+Dash!$C$2)</f>
        <v>1180.0076983019144</v>
      </c>
      <c r="CU22" s="5">
        <f>CT22*(1+Dash!$C$2)</f>
        <v>1168.2076213188952</v>
      </c>
      <c r="CV22" s="5">
        <f>CU22*(1+Dash!$C$2)</f>
        <v>1156.5255451057062</v>
      </c>
      <c r="CW22" s="5">
        <f>CV22*(1+Dash!$C$2)</f>
        <v>1144.9602896546492</v>
      </c>
      <c r="CX22" s="5">
        <f>CW22*(1+Dash!$C$2)</f>
        <v>1133.5106867581026</v>
      </c>
      <c r="CY22" s="5">
        <f>CX22*(1+Dash!$C$2)</f>
        <v>1122.1755798905215</v>
      </c>
      <c r="CZ22" s="5">
        <f>CY22*(1+Dash!$C$2)</f>
        <v>1110.9538240916163</v>
      </c>
      <c r="DA22" s="5">
        <f>CZ22*(1+Dash!$C$2)</f>
        <v>1099.8442858507001</v>
      </c>
      <c r="DB22" s="5">
        <f>DA22*(1+Dash!$C$2)</f>
        <v>1088.8458429921932</v>
      </c>
      <c r="DC22" s="5">
        <f>DB22*(1+Dash!$C$2)</f>
        <v>1077.9573845622713</v>
      </c>
      <c r="DD22" s="5">
        <f>DC22*(1+Dash!$C$2)</f>
        <v>1067.1778107166485</v>
      </c>
      <c r="DE22" s="5">
        <f>DD22*(1+Dash!$C$2)</f>
        <v>1056.506032609482</v>
      </c>
      <c r="DF22" s="5">
        <f>DE22*(1+Dash!$C$2)</f>
        <v>1045.9409722833871</v>
      </c>
      <c r="DG22" s="5">
        <f>DF22*(1+Dash!$C$2)</f>
        <v>1035.4815625605531</v>
      </c>
      <c r="DH22" s="5">
        <f>DG22*(1+Dash!$C$2)</f>
        <v>1025.1267469349475</v>
      </c>
      <c r="DI22" s="5">
        <f>DH22*(1+Dash!$C$2)</f>
        <v>1014.875479465598</v>
      </c>
      <c r="DJ22" s="5">
        <f>DI22*(1+Dash!$C$2)</f>
        <v>1004.726724670942</v>
      </c>
      <c r="DK22" s="5">
        <f>DJ22*(1+Dash!$C$2)</f>
        <v>994.67945742423251</v>
      </c>
      <c r="DL22" s="5">
        <f>DK22*(1+Dash!$C$2)</f>
        <v>984.73266284999022</v>
      </c>
      <c r="DM22" s="5">
        <f>DL22*(1+Dash!$C$2)</f>
        <v>974.88533622149032</v>
      </c>
      <c r="DN22" s="5">
        <f>DM22*(1+Dash!$C$2)</f>
        <v>965.13648285927536</v>
      </c>
      <c r="DO22" s="5">
        <f>DN22*(1+Dash!$C$2)</f>
        <v>955.48511803068254</v>
      </c>
      <c r="DP22" s="5">
        <f>DO22*(1+Dash!$C$2)</f>
        <v>945.93026685037569</v>
      </c>
      <c r="DQ22" s="5">
        <f>DP22*(1+Dash!$C$2)</f>
        <v>936.47096418187198</v>
      </c>
      <c r="DR22" s="5">
        <f>DQ22*(1+Dash!$C$2)</f>
        <v>927.10625454005321</v>
      </c>
      <c r="DS22" s="5">
        <f>DR22*(1+Dash!$C$2)</f>
        <v>917.83519199465263</v>
      </c>
      <c r="DT22" s="5">
        <f>DS22*(1+Dash!$C$2)</f>
        <v>908.65684007470611</v>
      </c>
    </row>
    <row r="23" spans="2:124" s="4" customFormat="1" x14ac:dyDescent="0.25">
      <c r="B23" s="4" t="s">
        <v>1</v>
      </c>
      <c r="C23" s="4">
        <v>329.37700000000001</v>
      </c>
      <c r="D23" s="4">
        <v>369.93299999999999</v>
      </c>
      <c r="E23" s="4">
        <v>370.01639999999998</v>
      </c>
      <c r="F23" s="4">
        <v>365.44900000000001</v>
      </c>
      <c r="G23" s="4">
        <v>417.73450000000003</v>
      </c>
      <c r="H23" s="4">
        <v>419.10700000000003</v>
      </c>
      <c r="I23" s="4">
        <v>420.79849999999999</v>
      </c>
      <c r="O23" s="4">
        <v>206.5249</v>
      </c>
      <c r="P23" s="4">
        <v>226.59100000000001</v>
      </c>
      <c r="Q23" s="4">
        <v>227.12100000000001</v>
      </c>
      <c r="R23" s="4">
        <v>228.04</v>
      </c>
      <c r="S23" s="4">
        <v>223.00200000000001</v>
      </c>
      <c r="T23" s="4">
        <v>214.9299</v>
      </c>
      <c r="U23" s="4">
        <v>254.73</v>
      </c>
      <c r="V23" s="4">
        <v>365.44900000000001</v>
      </c>
      <c r="W23" s="4">
        <v>365.44900000000001</v>
      </c>
      <c r="X23" s="4">
        <v>365.44900000000001</v>
      </c>
      <c r="Y23" s="4">
        <v>365.44900000000001</v>
      </c>
      <c r="Z23" s="4">
        <v>365.44900000000001</v>
      </c>
      <c r="AA23" s="4">
        <v>365.44900000000001</v>
      </c>
      <c r="AB23" s="4">
        <v>365.44900000000001</v>
      </c>
      <c r="AC23" s="4">
        <v>365.44900000000001</v>
      </c>
      <c r="AD23" s="4">
        <v>365.44900000000001</v>
      </c>
      <c r="AE23" s="4">
        <v>365.44900000000001</v>
      </c>
      <c r="AF23" s="4">
        <v>365.44900000000001</v>
      </c>
      <c r="AG23" s="4">
        <v>365.44900000000001</v>
      </c>
    </row>
    <row r="24" spans="2:124" s="6" customFormat="1" x14ac:dyDescent="0.25">
      <c r="B24" s="6" t="s">
        <v>40</v>
      </c>
      <c r="C24" s="6">
        <f t="shared" ref="C24:J24" si="34">+C22/C23</f>
        <v>-4.1598381186300202</v>
      </c>
      <c r="D24" s="6">
        <f t="shared" si="34"/>
        <v>-1.9404081279583061</v>
      </c>
      <c r="E24" s="6">
        <f t="shared" si="34"/>
        <v>-2.2860446185628529</v>
      </c>
      <c r="F24" s="6">
        <f t="shared" si="34"/>
        <v>-4.3035608251767004</v>
      </c>
      <c r="G24" s="6">
        <f t="shared" si="34"/>
        <v>-2.3524559259529676</v>
      </c>
      <c r="H24" s="6">
        <f t="shared" si="34"/>
        <v>-1.2154616840090953</v>
      </c>
      <c r="I24" s="6">
        <f t="shared" si="34"/>
        <v>-0.70203434660532349</v>
      </c>
      <c r="J24" s="6" t="e">
        <f t="shared" si="34"/>
        <v>#DIV/0!</v>
      </c>
      <c r="O24" s="6">
        <f t="shared" ref="O24:W24" si="35">+O22/O23</f>
        <v>1.6588217691910283</v>
      </c>
      <c r="P24" s="6">
        <f t="shared" si="35"/>
        <v>1.8850704573438497</v>
      </c>
      <c r="Q24" s="6">
        <f t="shared" si="35"/>
        <v>2.78784876783741</v>
      </c>
      <c r="R24" s="6">
        <f t="shared" si="35"/>
        <v>3.3321961059463265</v>
      </c>
      <c r="S24" s="6">
        <f t="shared" si="35"/>
        <v>4.2815311073443265</v>
      </c>
      <c r="T24" s="6">
        <f t="shared" si="35"/>
        <v>4.3276342658699374</v>
      </c>
      <c r="U24" s="6">
        <f t="shared" si="35"/>
        <v>-15.75193341969929</v>
      </c>
      <c r="V24" s="6">
        <f t="shared" si="35"/>
        <v>-12.331630405336995</v>
      </c>
      <c r="W24" s="6">
        <f t="shared" si="35"/>
        <v>-5.6996749204403319</v>
      </c>
      <c r="X24" s="6">
        <f t="shared" ref="X24:AG24" si="36">+X22/X23</f>
        <v>-3.6339867719092105</v>
      </c>
      <c r="Y24" s="6">
        <f t="shared" si="36"/>
        <v>-1.3672234226609361</v>
      </c>
      <c r="Z24" s="6">
        <f t="shared" si="36"/>
        <v>0.73421586142063355</v>
      </c>
      <c r="AA24" s="6">
        <f t="shared" si="36"/>
        <v>2.1753946339725307</v>
      </c>
      <c r="AB24" s="6">
        <f t="shared" si="36"/>
        <v>3.131580567411822</v>
      </c>
      <c r="AC24" s="6">
        <f t="shared" si="36"/>
        <v>3.7953634255075968</v>
      </c>
      <c r="AD24" s="6">
        <f t="shared" si="36"/>
        <v>4.2609594721954291</v>
      </c>
      <c r="AE24" s="6">
        <f t="shared" si="36"/>
        <v>5.0317902331777002</v>
      </c>
      <c r="AF24" s="6">
        <f t="shared" si="36"/>
        <v>5.5977599350644356</v>
      </c>
      <c r="AG24" s="6">
        <f t="shared" si="36"/>
        <v>6.2054090388531247</v>
      </c>
    </row>
    <row r="28" spans="2:124" s="4" customFormat="1" x14ac:dyDescent="0.25">
      <c r="B28" s="4" t="s">
        <v>3</v>
      </c>
      <c r="I28" s="4">
        <v>1186.7</v>
      </c>
      <c r="O28" s="4">
        <v>84.823999999999998</v>
      </c>
      <c r="P28" s="4">
        <v>115.937</v>
      </c>
      <c r="Q28" s="4">
        <v>128.34700000000001</v>
      </c>
      <c r="R28" s="4">
        <v>176.19</v>
      </c>
      <c r="S28" s="4">
        <v>163.851</v>
      </c>
      <c r="T28" s="4">
        <v>252.876</v>
      </c>
      <c r="U28" s="4">
        <v>3300.5</v>
      </c>
      <c r="V28" s="4">
        <f>1506.65+240</f>
        <v>1746.65</v>
      </c>
    </row>
    <row r="29" spans="2:124" s="4" customFormat="1" x14ac:dyDescent="0.25">
      <c r="B29" s="4" t="s">
        <v>4</v>
      </c>
      <c r="I29" s="4">
        <f>1012.7+141.3+12893.407</f>
        <v>14047.406999999999</v>
      </c>
      <c r="O29" s="4">
        <f>576.947+101.98+5503.076</f>
        <v>6182.0029999999997</v>
      </c>
      <c r="P29" s="4">
        <f>629.84+51.4+5767.7</f>
        <v>6448.94</v>
      </c>
      <c r="Q29" s="4">
        <f>560.193+38+5838.5</f>
        <v>6436.6930000000002</v>
      </c>
      <c r="R29" s="4">
        <f>619.4+53.433+5688.4</f>
        <v>6361.2329999999993</v>
      </c>
      <c r="S29" s="4">
        <f>681.218+159.6+5810.9</f>
        <v>6651.7179999999998</v>
      </c>
      <c r="T29" s="4">
        <f>746.358+100.777+6055.335</f>
        <v>6902.47</v>
      </c>
      <c r="U29" s="4">
        <f>124.885+83.136+11681.2</f>
        <v>11889.221000000001</v>
      </c>
      <c r="V29" s="4">
        <f>876.9+233.2+11569.7</f>
        <v>12679.800000000001</v>
      </c>
    </row>
    <row r="30" spans="2:124" s="4" customFormat="1" x14ac:dyDescent="0.25">
      <c r="B30" s="4" t="s">
        <v>41</v>
      </c>
      <c r="I30" s="4">
        <v>14511.648999999999</v>
      </c>
      <c r="O30" s="4">
        <v>8623.77</v>
      </c>
      <c r="P30" s="4">
        <v>9458.7999999999993</v>
      </c>
      <c r="Q30" s="4">
        <v>10117.700000000001</v>
      </c>
      <c r="R30" s="4">
        <v>11040.487999999999</v>
      </c>
      <c r="S30" s="4">
        <v>12119.253000000001</v>
      </c>
      <c r="T30" s="4">
        <v>13135.33</v>
      </c>
      <c r="U30" s="4">
        <v>13411.22</v>
      </c>
      <c r="V30" s="4">
        <v>13528.8</v>
      </c>
    </row>
    <row r="31" spans="2:124" s="5" customFormat="1" x14ac:dyDescent="0.25">
      <c r="B31" s="5" t="s">
        <v>42</v>
      </c>
      <c r="I31" s="5">
        <f>+I28-I29</f>
        <v>-12860.706999999999</v>
      </c>
      <c r="O31" s="5">
        <f t="shared" ref="O31" si="37">+O28-O29</f>
        <v>-6097.1790000000001</v>
      </c>
      <c r="P31" s="5">
        <f t="shared" ref="P31" si="38">+P28-P29</f>
        <v>-6333.0029999999997</v>
      </c>
      <c r="Q31" s="5">
        <f t="shared" ref="Q31" si="39">+Q28-Q29</f>
        <v>-6308.3460000000005</v>
      </c>
      <c r="R31" s="5">
        <f t="shared" ref="R31:U31" si="40">+R28-R29</f>
        <v>-6185.0429999999997</v>
      </c>
      <c r="S31" s="5">
        <f t="shared" si="40"/>
        <v>-6487.8670000000002</v>
      </c>
      <c r="T31" s="5">
        <f t="shared" si="40"/>
        <v>-6649.5940000000001</v>
      </c>
      <c r="U31" s="5">
        <f t="shared" si="40"/>
        <v>-8588.7210000000014</v>
      </c>
      <c r="V31" s="5">
        <f>+V28-V29</f>
        <v>-10933.150000000001</v>
      </c>
      <c r="W31" s="5">
        <f>V31+W22</f>
        <v>-13016.0905</v>
      </c>
      <c r="X31" s="5">
        <f t="shared" ref="X31:AG31" si="41">W31+X22</f>
        <v>-14344.127331807449</v>
      </c>
      <c r="Y31" s="5">
        <f t="shared" si="41"/>
        <v>-14843.777764395465</v>
      </c>
      <c r="Z31" s="5">
        <f t="shared" si="41"/>
        <v>-14575.459312055156</v>
      </c>
      <c r="AA31" s="5">
        <f t="shared" si="41"/>
        <v>-13780.463518464529</v>
      </c>
      <c r="AB31" s="5">
        <f t="shared" si="41"/>
        <v>-12636.030531684446</v>
      </c>
      <c r="AC31" s="5">
        <f t="shared" si="41"/>
        <v>-11249.01876319612</v>
      </c>
      <c r="AD31" s="5">
        <f t="shared" si="41"/>
        <v>-9691.855385041772</v>
      </c>
      <c r="AE31" s="5">
        <f t="shared" si="41"/>
        <v>-7852.9926761172146</v>
      </c>
      <c r="AF31" s="5">
        <f t="shared" si="41"/>
        <v>-5807.2969056078518</v>
      </c>
      <c r="AG31" s="5">
        <f t="shared" si="41"/>
        <v>-3539.5363777680163</v>
      </c>
    </row>
    <row r="33" spans="2:33" s="4" customFormat="1" x14ac:dyDescent="0.25">
      <c r="B33" s="4" t="s">
        <v>43</v>
      </c>
      <c r="O33" s="4">
        <v>1688.7</v>
      </c>
      <c r="P33" s="4">
        <v>1569.3</v>
      </c>
      <c r="Q33" s="4">
        <v>3744.03</v>
      </c>
      <c r="R33" s="4">
        <v>1916.885</v>
      </c>
      <c r="S33" s="4">
        <v>1716.2439999999999</v>
      </c>
      <c r="T33" s="4">
        <v>3806.732</v>
      </c>
      <c r="U33" s="4">
        <v>892.48099999999999</v>
      </c>
      <c r="V33" s="4">
        <v>2113.06</v>
      </c>
    </row>
    <row r="36" spans="2:33" s="8" customFormat="1" x14ac:dyDescent="0.25">
      <c r="B36" s="8" t="s">
        <v>17</v>
      </c>
      <c r="P36" s="8">
        <f>P5/O5-1</f>
        <v>0.39003192700935418</v>
      </c>
      <c r="Q36" s="8">
        <f t="shared" ref="Q36:X36" si="42">Q5/P5-1</f>
        <v>0.12181176242608571</v>
      </c>
      <c r="R36" s="8">
        <f t="shared" si="42"/>
        <v>0.10705439120753235</v>
      </c>
      <c r="S36" s="8">
        <f t="shared" si="42"/>
        <v>0.12211242222500185</v>
      </c>
      <c r="T36" s="8">
        <f t="shared" si="42"/>
        <v>6.7259663937018432E-2</v>
      </c>
      <c r="U36" s="8">
        <f t="shared" si="42"/>
        <v>-0.80194448484923508</v>
      </c>
      <c r="V36" s="8">
        <f t="shared" si="42"/>
        <v>-0.4937284652827153</v>
      </c>
      <c r="W36" s="8">
        <f t="shared" si="42"/>
        <v>6.6238954168480007</v>
      </c>
      <c r="X36" s="8">
        <f t="shared" si="42"/>
        <v>0.20996609488821916</v>
      </c>
      <c r="Y36" s="8">
        <f>Y5/X5-1</f>
        <v>0.17353056071179962</v>
      </c>
      <c r="Z36" s="8">
        <v>0.06</v>
      </c>
      <c r="AA36" s="8">
        <v>0.06</v>
      </c>
      <c r="AB36" s="8">
        <v>0.05</v>
      </c>
      <c r="AC36" s="8">
        <v>0.04</v>
      </c>
      <c r="AD36" s="8">
        <v>0.04</v>
      </c>
      <c r="AE36" s="8">
        <v>0.04</v>
      </c>
      <c r="AF36" s="8">
        <v>0.04</v>
      </c>
      <c r="AG36" s="8">
        <v>0.04</v>
      </c>
    </row>
    <row r="38" spans="2:33" s="7" customFormat="1" x14ac:dyDescent="0.25">
      <c r="B38" s="7" t="s">
        <v>45</v>
      </c>
      <c r="C38" s="7">
        <f>C13/C5</f>
        <v>-63.78387096774194</v>
      </c>
      <c r="D38" s="7">
        <f t="shared" ref="D38:J38" si="43">D13/D5</f>
        <v>-55.965328467153284</v>
      </c>
      <c r="E38" s="7">
        <f t="shared" si="43"/>
        <v>-1.8726752503576543</v>
      </c>
      <c r="F38" s="7">
        <f t="shared" si="43"/>
        <v>-0.4724804428241115</v>
      </c>
      <c r="G38" s="7">
        <f t="shared" si="43"/>
        <v>-0.4089413838357715</v>
      </c>
      <c r="H38" s="7">
        <f t="shared" si="43"/>
        <v>9.5849281329389052E-2</v>
      </c>
      <c r="I38" s="7">
        <f t="shared" si="43"/>
        <v>0.23311049210770654</v>
      </c>
      <c r="J38" s="7" t="e">
        <f t="shared" si="43"/>
        <v>#DIV/0!</v>
      </c>
      <c r="O38" s="7">
        <f t="shared" ref="O38:AG38" si="44">O13/O5</f>
        <v>0.37724992642072003</v>
      </c>
      <c r="P38" s="7">
        <f t="shared" si="44"/>
        <v>0.38885974988222294</v>
      </c>
      <c r="Q38" s="7">
        <f t="shared" si="44"/>
        <v>0.41527246482303098</v>
      </c>
      <c r="R38" s="7">
        <f t="shared" si="44"/>
        <v>0.43225655209477087</v>
      </c>
      <c r="S38" s="7">
        <f t="shared" si="44"/>
        <v>0.4422754976577653</v>
      </c>
      <c r="T38" s="7">
        <f t="shared" si="44"/>
        <v>0.43312835209319156</v>
      </c>
      <c r="U38" s="7">
        <f t="shared" si="44"/>
        <v>-0.3228273863005991</v>
      </c>
      <c r="V38" s="7">
        <f t="shared" si="44"/>
        <v>-1.4815967110197505</v>
      </c>
      <c r="W38" s="7">
        <f t="shared" si="44"/>
        <v>0.13228806754131017</v>
      </c>
      <c r="X38" s="7">
        <f t="shared" si="44"/>
        <v>0.25800812001316725</v>
      </c>
      <c r="Y38" s="7">
        <f>Y13/Y5</f>
        <v>0.34082718436866138</v>
      </c>
      <c r="Z38" s="7">
        <f>Z13/Z5</f>
        <v>0.40461377274140448</v>
      </c>
      <c r="AA38" s="7">
        <f t="shared" si="44"/>
        <v>0.42091899413614026</v>
      </c>
      <c r="AB38" s="7">
        <f t="shared" si="44"/>
        <v>0.43084664592613281</v>
      </c>
      <c r="AC38" s="7">
        <f t="shared" si="44"/>
        <v>0.43522310960017835</v>
      </c>
      <c r="AD38" s="7">
        <f t="shared" si="44"/>
        <v>0.43956374742576898</v>
      </c>
      <c r="AE38" s="7">
        <f t="shared" si="44"/>
        <v>0.44327637260666725</v>
      </c>
      <c r="AF38" s="7">
        <f t="shared" si="44"/>
        <v>0.44696175004563293</v>
      </c>
      <c r="AG38" s="7">
        <f t="shared" si="44"/>
        <v>0.45062009593637314</v>
      </c>
    </row>
    <row r="39" spans="2:33" s="7" customFormat="1" x14ac:dyDescent="0.25">
      <c r="B39" s="7" t="s">
        <v>46</v>
      </c>
      <c r="C39" s="7">
        <f>C17/C5</f>
        <v>-184.26774193548388</v>
      </c>
      <c r="D39" s="7">
        <f t="shared" ref="D39:J39" si="45">D17/D5</f>
        <v>-138.03261861313868</v>
      </c>
      <c r="E39" s="7">
        <f t="shared" si="45"/>
        <v>-4.5015384012385606</v>
      </c>
      <c r="F39" s="7">
        <f t="shared" si="45"/>
        <v>-1.4092204416341654</v>
      </c>
      <c r="G39" s="7">
        <f t="shared" si="45"/>
        <v>-1.3195237137301112</v>
      </c>
      <c r="H39" s="7">
        <f t="shared" si="45"/>
        <v>-0.33430860383156213</v>
      </c>
      <c r="I39" s="7">
        <f t="shared" si="45"/>
        <v>-0.11467038068709384</v>
      </c>
      <c r="J39" s="7" t="e">
        <f t="shared" si="45"/>
        <v>#DIV/0!</v>
      </c>
      <c r="O39" s="7">
        <f t="shared" ref="O39:AG39" si="46">O17/O5</f>
        <v>0.16088941354114689</v>
      </c>
      <c r="P39" s="7">
        <f t="shared" si="46"/>
        <v>0.16167967718839249</v>
      </c>
      <c r="Q39" s="7">
        <f t="shared" si="46"/>
        <v>0.18987726373587155</v>
      </c>
      <c r="R39" s="7">
        <f t="shared" si="46"/>
        <v>0.19436360014269369</v>
      </c>
      <c r="S39" s="7">
        <f t="shared" si="46"/>
        <v>0.20132400458125066</v>
      </c>
      <c r="T39" s="7">
        <f t="shared" si="46"/>
        <v>0.18228423583880848</v>
      </c>
      <c r="U39" s="7">
        <f t="shared" si="46"/>
        <v>-2.7221367127376142</v>
      </c>
      <c r="V39" s="7">
        <f t="shared" si="46"/>
        <v>-3.9389103401020398</v>
      </c>
      <c r="W39" s="7">
        <f t="shared" si="46"/>
        <v>-0.29475246384368703</v>
      </c>
      <c r="X39" s="7">
        <f t="shared" si="46"/>
        <v>-7.1991879986832777E-2</v>
      </c>
      <c r="Y39" s="7">
        <f>Y17/Y5</f>
        <v>7.0827184368661381E-2</v>
      </c>
      <c r="Z39" s="7">
        <f>Z17/Z5</f>
        <v>0.14461377274140449</v>
      </c>
      <c r="AA39" s="7">
        <f t="shared" si="46"/>
        <v>0.18091899413614021</v>
      </c>
      <c r="AB39" s="7">
        <f t="shared" si="46"/>
        <v>0.2008466459261328</v>
      </c>
      <c r="AC39" s="7">
        <f t="shared" si="46"/>
        <v>0.21522310960017829</v>
      </c>
      <c r="AD39" s="7">
        <f t="shared" si="46"/>
        <v>0.21956374742576901</v>
      </c>
      <c r="AE39" s="7">
        <f t="shared" si="46"/>
        <v>0.23327637260666723</v>
      </c>
      <c r="AF39" s="7">
        <f t="shared" si="46"/>
        <v>0.23696175004563291</v>
      </c>
      <c r="AG39" s="7">
        <f t="shared" si="46"/>
        <v>0.24062009593637315</v>
      </c>
    </row>
    <row r="41" spans="2:33" s="7" customFormat="1" x14ac:dyDescent="0.25">
      <c r="B41" s="7" t="s">
        <v>51</v>
      </c>
      <c r="C41" s="7">
        <f>C8/C$5</f>
        <v>26.496129032258064</v>
      </c>
      <c r="D41" s="7">
        <f t="shared" ref="D41:J41" si="47">D8/D$5</f>
        <v>19.765054744525546</v>
      </c>
      <c r="E41" s="7">
        <f t="shared" si="47"/>
        <v>1.0088776530072314</v>
      </c>
      <c r="F41" s="7">
        <f t="shared" si="47"/>
        <v>0.43948405574692717</v>
      </c>
      <c r="G41" s="7">
        <f t="shared" si="47"/>
        <v>0.46120259409336062</v>
      </c>
      <c r="H41" s="7">
        <f t="shared" si="47"/>
        <v>0.22119421289900876</v>
      </c>
      <c r="I41" s="7">
        <f t="shared" si="47"/>
        <v>0.17790157845868151</v>
      </c>
      <c r="J41" s="7" t="e">
        <f t="shared" si="47"/>
        <v>#DIV/0!</v>
      </c>
      <c r="O41" s="7">
        <f t="shared" ref="O41:AG41" si="48">O8/O$5</f>
        <v>0.14480722228620418</v>
      </c>
      <c r="P41" s="7">
        <f t="shared" si="48"/>
        <v>0.15330237259535109</v>
      </c>
      <c r="Q41" s="7">
        <f t="shared" si="48"/>
        <v>0.15307464332709522</v>
      </c>
      <c r="R41" s="7">
        <f t="shared" si="48"/>
        <v>0.14892585952086432</v>
      </c>
      <c r="S41" s="7">
        <f t="shared" si="48"/>
        <v>0.14559690443534104</v>
      </c>
      <c r="T41" s="7">
        <f t="shared" si="48"/>
        <v>0.1430123267279238</v>
      </c>
      <c r="U41" s="7">
        <f t="shared" si="48"/>
        <v>0.40729426287785853</v>
      </c>
      <c r="V41" s="7">
        <f t="shared" si="48"/>
        <v>0.82940575509813552</v>
      </c>
      <c r="W41" s="7">
        <f t="shared" si="48"/>
        <v>0.21823783786190973</v>
      </c>
      <c r="X41" s="7">
        <f t="shared" si="48"/>
        <v>0.19204373073007097</v>
      </c>
      <c r="Y41" s="7">
        <f t="shared" ref="Y41:Z43" si="49">Y8/Y$5</f>
        <v>0.17359629547898137</v>
      </c>
      <c r="Z41" s="7">
        <f t="shared" si="49"/>
        <v>0.1592487112364239</v>
      </c>
      <c r="AA41" s="7">
        <f t="shared" si="48"/>
        <v>0.1547416722391666</v>
      </c>
      <c r="AB41" s="7">
        <f t="shared" si="48"/>
        <v>0.15179421181556343</v>
      </c>
      <c r="AC41" s="7">
        <f t="shared" si="48"/>
        <v>0.15033465208656763</v>
      </c>
      <c r="AD41" s="7">
        <f t="shared" si="48"/>
        <v>0.14888912658573525</v>
      </c>
      <c r="AE41" s="7">
        <f t="shared" si="48"/>
        <v>0.1474575003685647</v>
      </c>
      <c r="AF41" s="7">
        <f t="shared" si="48"/>
        <v>0.14603963978809772</v>
      </c>
      <c r="AG41" s="7">
        <f t="shared" si="48"/>
        <v>0.14463541248244294</v>
      </c>
    </row>
    <row r="42" spans="2:33" s="7" customFormat="1" x14ac:dyDescent="0.25">
      <c r="B42" s="7" t="s">
        <v>52</v>
      </c>
      <c r="C42" s="7">
        <f t="shared" ref="C42:J42" si="50">C9/C$5</f>
        <v>13.741935483870968</v>
      </c>
      <c r="D42" s="7">
        <f t="shared" si="50"/>
        <v>12.340328467153284</v>
      </c>
      <c r="E42" s="7">
        <f t="shared" si="50"/>
        <v>0.51762138998308094</v>
      </c>
      <c r="F42" s="7">
        <f t="shared" si="50"/>
        <v>0.25832500712941903</v>
      </c>
      <c r="G42" s="7">
        <f t="shared" si="50"/>
        <v>0.25960092345125541</v>
      </c>
      <c r="H42" s="7">
        <f t="shared" si="50"/>
        <v>0.15262906084272804</v>
      </c>
      <c r="I42" s="7">
        <f t="shared" si="50"/>
        <v>0.11574373259052925</v>
      </c>
      <c r="J42" s="7" t="e">
        <f t="shared" si="50"/>
        <v>#DIV/0!</v>
      </c>
      <c r="O42" s="7">
        <f t="shared" ref="O42:AG42" si="51">O9/O$5</f>
        <v>0.10436421103817166</v>
      </c>
      <c r="P42" s="7">
        <f t="shared" si="51"/>
        <v>8.2541766271820971E-2</v>
      </c>
      <c r="Q42" s="7">
        <f t="shared" si="51"/>
        <v>6.8761932350420177E-2</v>
      </c>
      <c r="R42" s="7">
        <f t="shared" si="51"/>
        <v>6.6905168939109638E-2</v>
      </c>
      <c r="S42" s="7">
        <f t="shared" si="51"/>
        <v>6.485425958053645E-2</v>
      </c>
      <c r="T42" s="7">
        <f t="shared" si="51"/>
        <v>6.3382221410687709E-2</v>
      </c>
      <c r="U42" s="7">
        <f t="shared" si="51"/>
        <v>0.20681141642771755</v>
      </c>
      <c r="V42" s="7">
        <f t="shared" si="51"/>
        <v>0.46583084098015076</v>
      </c>
      <c r="W42" s="7">
        <f t="shared" si="51"/>
        <v>0.13980717577837257</v>
      </c>
      <c r="X42" s="7">
        <f t="shared" si="51"/>
        <v>0.10077155549171228</v>
      </c>
      <c r="Y42" s="7">
        <f t="shared" si="49"/>
        <v>7.9000781194946093E-2</v>
      </c>
      <c r="Z42" s="7">
        <f t="shared" si="49"/>
        <v>7.0957311657828981E-2</v>
      </c>
      <c r="AA42" s="7">
        <f t="shared" si="51"/>
        <v>6.9149908436355975E-2</v>
      </c>
      <c r="AB42" s="7">
        <f t="shared" si="51"/>
        <v>6.8293766712858223E-2</v>
      </c>
      <c r="AC42" s="7">
        <f t="shared" si="51"/>
        <v>6.8096765462724973E-2</v>
      </c>
      <c r="AD42" s="7">
        <f t="shared" si="51"/>
        <v>6.7900332485428636E-2</v>
      </c>
      <c r="AE42" s="7">
        <f t="shared" si="51"/>
        <v>6.7704466141720654E-2</v>
      </c>
      <c r="AF42" s="7">
        <f t="shared" si="51"/>
        <v>6.7509164797081064E-2</v>
      </c>
      <c r="AG42" s="7">
        <f t="shared" si="51"/>
        <v>6.7314426821704867E-2</v>
      </c>
    </row>
    <row r="43" spans="2:33" s="7" customFormat="1" x14ac:dyDescent="0.25">
      <c r="B43" s="7" t="s">
        <v>53</v>
      </c>
      <c r="C43" s="7">
        <f t="shared" ref="C43:J43" si="52">C10/C$5</f>
        <v>2.032258064516129</v>
      </c>
      <c r="D43" s="7">
        <f t="shared" si="52"/>
        <v>0.98768248175182471</v>
      </c>
      <c r="E43" s="7">
        <f t="shared" si="52"/>
        <v>0.10889659722630504</v>
      </c>
      <c r="F43" s="7">
        <f t="shared" si="52"/>
        <v>7.3243239361778525E-2</v>
      </c>
      <c r="G43" s="7">
        <f t="shared" si="52"/>
        <v>7.5707675949076084E-2</v>
      </c>
      <c r="H43" s="7">
        <f t="shared" si="52"/>
        <v>5.1550212602510803E-2</v>
      </c>
      <c r="I43" s="7">
        <f t="shared" si="52"/>
        <v>4.7545651501083259E-2</v>
      </c>
      <c r="J43" s="7" t="e">
        <f t="shared" si="52"/>
        <v>#DIV/0!</v>
      </c>
      <c r="O43" s="7">
        <f t="shared" ref="O43:AG43" si="53">O10/O$5</f>
        <v>5.3821643825098853E-2</v>
      </c>
      <c r="P43" s="7">
        <f t="shared" si="53"/>
        <v>4.1343609186773149E-2</v>
      </c>
      <c r="Q43" s="7">
        <f t="shared" si="53"/>
        <v>4.1031078169537952E-2</v>
      </c>
      <c r="R43" s="7">
        <f t="shared" si="53"/>
        <v>3.6758815271928723E-2</v>
      </c>
      <c r="S43" s="7">
        <f t="shared" si="53"/>
        <v>3.5677274502631251E-2</v>
      </c>
      <c r="T43" s="7">
        <f t="shared" si="53"/>
        <v>3.4445513881882529E-2</v>
      </c>
      <c r="U43" s="7">
        <f t="shared" si="53"/>
        <v>5.1097342781914357E-2</v>
      </c>
      <c r="V43" s="7">
        <f t="shared" si="53"/>
        <v>9.7224922914525405E-2</v>
      </c>
      <c r="W43" s="7">
        <f t="shared" si="53"/>
        <v>5.1483488244378144E-2</v>
      </c>
      <c r="X43" s="7">
        <f t="shared" si="53"/>
        <v>4.6020171690535308E-2</v>
      </c>
      <c r="Y43" s="7">
        <f t="shared" si="49"/>
        <v>4.2172581930137648E-2</v>
      </c>
      <c r="Z43" s="7">
        <f t="shared" si="49"/>
        <v>3.7878777831927814E-2</v>
      </c>
      <c r="AA43" s="7">
        <f t="shared" si="53"/>
        <v>3.6842471645959975E-2</v>
      </c>
      <c r="AB43" s="7">
        <f t="shared" si="53"/>
        <v>3.6175798349509264E-2</v>
      </c>
      <c r="AC43" s="7">
        <f t="shared" si="53"/>
        <v>3.5862738556100046E-2</v>
      </c>
      <c r="AD43" s="7">
        <f t="shared" si="53"/>
        <v>3.555238793397994E-2</v>
      </c>
      <c r="AE43" s="7">
        <f t="shared" si="53"/>
        <v>3.5244723038397416E-2</v>
      </c>
      <c r="AF43" s="7">
        <f t="shared" si="53"/>
        <v>3.4939720627488201E-2</v>
      </c>
      <c r="AG43" s="7">
        <f t="shared" si="53"/>
        <v>3.4637357660519549E-2</v>
      </c>
    </row>
    <row r="45" spans="2:33" s="7" customFormat="1" x14ac:dyDescent="0.25">
      <c r="B45" s="7" t="s">
        <v>47</v>
      </c>
      <c r="C45" s="7">
        <f>C14/C5</f>
        <v>65.548387096774192</v>
      </c>
      <c r="D45" s="7">
        <f t="shared" ref="D45:J45" si="54">D14/D5</f>
        <v>42.309078467153284</v>
      </c>
      <c r="E45" s="7">
        <f t="shared" si="54"/>
        <v>1.4968546063848551</v>
      </c>
      <c r="F45" s="7">
        <f t="shared" si="54"/>
        <v>0.56138173268474434</v>
      </c>
      <c r="G45" s="7">
        <f t="shared" si="54"/>
        <v>0.56749528216033951</v>
      </c>
      <c r="H45" s="7">
        <f t="shared" si="54"/>
        <v>0.27719189482408907</v>
      </c>
      <c r="I45" s="7">
        <f t="shared" si="54"/>
        <v>0.23230578768183227</v>
      </c>
      <c r="J45" s="7" t="e">
        <f t="shared" si="54"/>
        <v>#DIV/0!</v>
      </c>
      <c r="O45" s="7">
        <f t="shared" ref="O45:W45" si="55">O14/O5</f>
        <v>0.12897807977273601</v>
      </c>
      <c r="P45" s="7">
        <f t="shared" si="55"/>
        <v>0.12773088047082293</v>
      </c>
      <c r="Q45" s="7">
        <f t="shared" si="55"/>
        <v>0.13666549454553362</v>
      </c>
      <c r="R45" s="7">
        <f t="shared" si="55"/>
        <v>0.14338953054710049</v>
      </c>
      <c r="S45" s="7">
        <f t="shared" si="55"/>
        <v>0.14829264184082383</v>
      </c>
      <c r="T45" s="7">
        <f t="shared" si="55"/>
        <v>0.15084999644093974</v>
      </c>
      <c r="U45" s="7">
        <f t="shared" si="55"/>
        <v>0.5823065684305927</v>
      </c>
      <c r="V45" s="7">
        <f t="shared" si="55"/>
        <v>1.3757326592405346</v>
      </c>
      <c r="W45" s="7">
        <f t="shared" si="55"/>
        <v>0.27850729947914499</v>
      </c>
      <c r="X45" s="7">
        <v>0.2</v>
      </c>
      <c r="Y45" s="7">
        <v>0.15</v>
      </c>
      <c r="Z45" s="7">
        <v>0.15</v>
      </c>
      <c r="AA45" s="7">
        <v>0.14000000000000001</v>
      </c>
      <c r="AB45" s="7">
        <v>0.14000000000000001</v>
      </c>
      <c r="AC45" s="7">
        <v>0.13</v>
      </c>
      <c r="AD45" s="7">
        <v>0.13</v>
      </c>
      <c r="AE45" s="7">
        <v>0.13</v>
      </c>
      <c r="AF45" s="7">
        <v>0.13</v>
      </c>
      <c r="AG45" s="7">
        <v>0.13</v>
      </c>
    </row>
    <row r="47" spans="2:33" s="8" customFormat="1" x14ac:dyDescent="0.25">
      <c r="B47" s="8" t="s">
        <v>48</v>
      </c>
      <c r="O47" s="8">
        <f>O15/O30</f>
        <v>3.1673734341245187E-2</v>
      </c>
      <c r="P47" s="8">
        <f t="shared" ref="P47:AG47" si="56">P15/P30</f>
        <v>4.5683807671163361E-2</v>
      </c>
      <c r="Q47" s="8">
        <f t="shared" si="56"/>
        <v>4.2746869347776668E-2</v>
      </c>
      <c r="R47" s="8">
        <f t="shared" si="56"/>
        <v>4.6189715527067285E-2</v>
      </c>
      <c r="S47" s="8">
        <f t="shared" si="56"/>
        <v>4.6294932534208168E-2</v>
      </c>
      <c r="T47" s="8">
        <f t="shared" si="56"/>
        <v>4.9195566460835019E-2</v>
      </c>
      <c r="U47" s="8">
        <f>U15/U29</f>
        <v>6.0374014411877772E-2</v>
      </c>
      <c r="V47" s="8">
        <f t="shared" si="56"/>
        <v>5.1803929395068303E-2</v>
      </c>
      <c r="W47" s="8" t="e">
        <f t="shared" si="56"/>
        <v>#DIV/0!</v>
      </c>
      <c r="X47" s="8" t="e">
        <f t="shared" si="56"/>
        <v>#DIV/0!</v>
      </c>
      <c r="Y47" s="8" t="e">
        <f t="shared" si="56"/>
        <v>#DIV/0!</v>
      </c>
      <c r="Z47" s="8" t="e">
        <f t="shared" si="56"/>
        <v>#DIV/0!</v>
      </c>
      <c r="AA47" s="8" t="e">
        <f t="shared" si="56"/>
        <v>#DIV/0!</v>
      </c>
      <c r="AB47" s="8" t="e">
        <f t="shared" si="56"/>
        <v>#DIV/0!</v>
      </c>
      <c r="AC47" s="8" t="e">
        <f t="shared" si="56"/>
        <v>#DIV/0!</v>
      </c>
      <c r="AD47" s="8" t="e">
        <f t="shared" si="56"/>
        <v>#DIV/0!</v>
      </c>
      <c r="AE47" s="8" t="e">
        <f t="shared" si="56"/>
        <v>#DIV/0!</v>
      </c>
      <c r="AF47" s="8" t="e">
        <f t="shared" si="56"/>
        <v>#DIV/0!</v>
      </c>
      <c r="AG47" s="8" t="e">
        <f t="shared" si="56"/>
        <v>#DIV/0!</v>
      </c>
    </row>
    <row r="48" spans="2:33" s="8" customFormat="1" x14ac:dyDescent="0.25">
      <c r="B48" s="8" t="s">
        <v>49</v>
      </c>
      <c r="O48" s="8">
        <f>O15/O5</f>
        <v>8.7382433106837104E-2</v>
      </c>
      <c r="P48" s="8">
        <f t="shared" ref="P48:W48" si="57">P15/P5</f>
        <v>9.9449192223007521E-2</v>
      </c>
      <c r="Q48" s="8">
        <f t="shared" si="57"/>
        <v>8.8729706541625819E-2</v>
      </c>
      <c r="R48" s="8">
        <f t="shared" si="57"/>
        <v>9.4503421404976667E-2</v>
      </c>
      <c r="S48" s="8">
        <f t="shared" si="57"/>
        <v>9.2658851235690814E-2</v>
      </c>
      <c r="T48" s="8">
        <f t="shared" si="57"/>
        <v>9.9994119813443361E-2</v>
      </c>
      <c r="U48" s="8">
        <f t="shared" si="57"/>
        <v>0.56082068270425256</v>
      </c>
      <c r="V48" s="8">
        <f t="shared" si="57"/>
        <v>1.0815809698417549</v>
      </c>
      <c r="W48" s="8">
        <f t="shared" si="57"/>
        <v>0.14853323190585219</v>
      </c>
      <c r="X48" s="8">
        <v>0.13</v>
      </c>
      <c r="Y48" s="8">
        <v>0.12</v>
      </c>
      <c r="Z48" s="8">
        <v>0.11</v>
      </c>
      <c r="AA48" s="8">
        <v>0.1</v>
      </c>
      <c r="AB48" s="8">
        <v>0.09</v>
      </c>
      <c r="AC48" s="8">
        <v>0.09</v>
      </c>
      <c r="AD48" s="8">
        <v>0.09</v>
      </c>
      <c r="AE48" s="8">
        <v>0.08</v>
      </c>
      <c r="AF48" s="8">
        <v>0.08</v>
      </c>
      <c r="AG48" s="8">
        <v>0.08</v>
      </c>
    </row>
    <row r="50" spans="1:33" s="8" customFormat="1" x14ac:dyDescent="0.25">
      <c r="B50" s="8" t="s">
        <v>54</v>
      </c>
      <c r="P50" s="8">
        <f t="shared" ref="P50:W50" si="58">P18/O31</f>
        <v>3.6393879858209841E-2</v>
      </c>
      <c r="Q50" s="8">
        <f t="shared" si="58"/>
        <v>4.3715437999950424E-2</v>
      </c>
      <c r="R50" s="8">
        <f t="shared" si="58"/>
        <v>4.2452332196109721E-2</v>
      </c>
      <c r="S50" s="8">
        <f t="shared" si="58"/>
        <v>4.3718370268403951E-2</v>
      </c>
      <c r="T50" s="8">
        <f t="shared" si="58"/>
        <v>4.2058044654737836E-2</v>
      </c>
      <c r="U50" s="8">
        <f t="shared" si="58"/>
        <v>7.2530743982264181E-2</v>
      </c>
      <c r="V50" s="8">
        <f t="shared" si="58"/>
        <v>0.24135432970753151</v>
      </c>
      <c r="W50" s="8">
        <f t="shared" si="58"/>
        <v>7.1044209582782639E-2</v>
      </c>
      <c r="X50" s="8">
        <v>7.0000000000000007E-2</v>
      </c>
      <c r="Y50" s="8">
        <v>7.0000000000000007E-2</v>
      </c>
      <c r="Z50" s="8">
        <v>0.06</v>
      </c>
      <c r="AA50" s="8">
        <v>0.05</v>
      </c>
      <c r="AB50" s="8">
        <v>4.4999999999999998E-2</v>
      </c>
      <c r="AC50" s="8">
        <v>4.4999999999999998E-2</v>
      </c>
      <c r="AD50" s="8">
        <v>4.4999999999999998E-2</v>
      </c>
      <c r="AE50" s="8">
        <v>4.4999999999999998E-2</v>
      </c>
      <c r="AF50" s="8">
        <v>4.4999999999999998E-2</v>
      </c>
      <c r="AG50" s="8">
        <v>4.4999999999999998E-2</v>
      </c>
    </row>
    <row r="51" spans="1:33" s="8" customFormat="1" x14ac:dyDescent="0.25">
      <c r="B51" s="8" t="s">
        <v>50</v>
      </c>
      <c r="O51" s="8">
        <f>O21/O20</f>
        <v>6.6613579532265087E-3</v>
      </c>
      <c r="P51" s="8">
        <f t="shared" ref="P51:W51" si="59">P21/P20</f>
        <v>-1.5602313843884667E-2</v>
      </c>
      <c r="Q51" s="8">
        <f t="shared" si="59"/>
        <v>-1.1243341833507961E-2</v>
      </c>
      <c r="R51" s="8">
        <f t="shared" si="59"/>
        <v>-1.3939497752447389E-2</v>
      </c>
      <c r="S51" s="8">
        <f t="shared" si="59"/>
        <v>-1.49594032745618E-2</v>
      </c>
      <c r="T51" s="8">
        <f t="shared" si="59"/>
        <v>2.0696209060242887E-2</v>
      </c>
      <c r="U51" s="8">
        <f t="shared" si="59"/>
        <v>3.1250078125195316E-3</v>
      </c>
      <c r="V51" s="8">
        <f t="shared" si="59"/>
        <v>1.1701025144874332E-3</v>
      </c>
      <c r="W51" s="8">
        <f t="shared" si="59"/>
        <v>-8.5142640221531792E-3</v>
      </c>
      <c r="X51" s="8">
        <v>0.01</v>
      </c>
      <c r="Y51" s="8">
        <v>1.4999999999999999E-2</v>
      </c>
      <c r="Z51" s="8">
        <v>0.02</v>
      </c>
      <c r="AA51" s="8">
        <v>2.5000000000000001E-2</v>
      </c>
      <c r="AB51" s="8">
        <v>0.03</v>
      </c>
      <c r="AC51" s="8">
        <v>3.5000000000000003E-2</v>
      </c>
      <c r="AD51" s="8">
        <v>0.04</v>
      </c>
      <c r="AE51" s="8">
        <v>0.04</v>
      </c>
      <c r="AF51" s="8">
        <v>0.04</v>
      </c>
      <c r="AG51" s="8">
        <v>0.04</v>
      </c>
    </row>
    <row r="53" spans="1:33" x14ac:dyDescent="0.25">
      <c r="B53" t="s">
        <v>55</v>
      </c>
      <c r="R53">
        <v>130.9</v>
      </c>
      <c r="S53">
        <v>135.6</v>
      </c>
      <c r="T53">
        <v>140.6</v>
      </c>
      <c r="U53">
        <v>145.6</v>
      </c>
      <c r="V53">
        <v>155.9</v>
      </c>
      <c r="W53">
        <v>166.6</v>
      </c>
    </row>
    <row r="54" spans="1:33" s="3" customFormat="1" x14ac:dyDescent="0.25">
      <c r="A54" s="3" t="s">
        <v>56</v>
      </c>
      <c r="B54" s="3" t="s">
        <v>57</v>
      </c>
      <c r="S54" s="9">
        <f t="shared" ref="S54:W54" si="60">S53/R53-1</f>
        <v>3.59052711993888E-2</v>
      </c>
      <c r="T54" s="9">
        <f t="shared" si="60"/>
        <v>3.6873156342182911E-2</v>
      </c>
      <c r="U54" s="9">
        <f t="shared" si="60"/>
        <v>3.5561877667140918E-2</v>
      </c>
      <c r="V54" s="9">
        <f t="shared" si="60"/>
        <v>7.0741758241758212E-2</v>
      </c>
      <c r="W54" s="9">
        <f t="shared" si="60"/>
        <v>6.8633739576651642E-2</v>
      </c>
      <c r="X54" s="9">
        <v>5.6000000000000001E-2</v>
      </c>
      <c r="Y54" s="9">
        <v>5.2999999999999999E-2</v>
      </c>
      <c r="Z54" s="9">
        <v>0.03</v>
      </c>
      <c r="AA54" s="9">
        <v>0.03</v>
      </c>
      <c r="AB54" s="9">
        <v>0.03</v>
      </c>
      <c r="AC54" s="9">
        <v>0.03</v>
      </c>
      <c r="AD54" s="9">
        <v>0.03</v>
      </c>
      <c r="AE54" s="9">
        <v>0.03</v>
      </c>
      <c r="AF54" s="9">
        <v>0.03</v>
      </c>
      <c r="AG54" s="9">
        <v>0.03</v>
      </c>
    </row>
    <row r="56" spans="1:33" s="2" customFormat="1" x14ac:dyDescent="0.25">
      <c r="B56" s="2" t="s">
        <v>58</v>
      </c>
      <c r="R56" s="2">
        <v>1.7</v>
      </c>
      <c r="S56" s="2">
        <v>1.75</v>
      </c>
      <c r="T56" s="2">
        <v>1.7</v>
      </c>
      <c r="U56" s="2">
        <v>1.25</v>
      </c>
      <c r="V56" s="2">
        <v>2</v>
      </c>
      <c r="W56" s="2">
        <v>2.85</v>
      </c>
      <c r="X56" s="2">
        <v>2.5</v>
      </c>
      <c r="Y56" s="2">
        <v>2.2999999999999998</v>
      </c>
      <c r="Z56" s="2">
        <f>Y56*(1+Z57)</f>
        <v>2.3712999999999997</v>
      </c>
      <c r="AA56" s="2">
        <f>Z56*(1+AA57)</f>
        <v>2.4495528999999996</v>
      </c>
      <c r="AB56" s="2">
        <f t="shared" ref="AB56:AG56" si="61">AA56*(1+AB57)</f>
        <v>2.5401863572999992</v>
      </c>
      <c r="AC56" s="2">
        <f t="shared" si="61"/>
        <v>2.6341732525200992</v>
      </c>
      <c r="AD56" s="2">
        <f t="shared" si="61"/>
        <v>2.7316376628633425</v>
      </c>
      <c r="AE56" s="2">
        <f t="shared" si="61"/>
        <v>2.832708256389286</v>
      </c>
      <c r="AF56" s="2">
        <f t="shared" si="61"/>
        <v>2.9375184618756895</v>
      </c>
      <c r="AG56" s="2">
        <f t="shared" si="61"/>
        <v>3.04620664496509</v>
      </c>
    </row>
    <row r="57" spans="1:33" s="9" customFormat="1" x14ac:dyDescent="0.25">
      <c r="A57" s="9" t="s">
        <v>56</v>
      </c>
      <c r="B57" s="9" t="s">
        <v>59</v>
      </c>
      <c r="S57" s="9">
        <f>S56/R56-1</f>
        <v>2.941176470588247E-2</v>
      </c>
      <c r="T57" s="9">
        <f t="shared" ref="T57:Y57" si="62">T56/S56-1</f>
        <v>-2.8571428571428581E-2</v>
      </c>
      <c r="U57" s="9">
        <f t="shared" si="62"/>
        <v>-0.26470588235294112</v>
      </c>
      <c r="V57" s="9">
        <f t="shared" si="62"/>
        <v>0.60000000000000009</v>
      </c>
      <c r="W57" s="9">
        <f t="shared" si="62"/>
        <v>0.42500000000000004</v>
      </c>
      <c r="X57" s="9">
        <f t="shared" si="62"/>
        <v>-0.1228070175438597</v>
      </c>
      <c r="Y57" s="9">
        <f t="shared" si="62"/>
        <v>-8.0000000000000071E-2</v>
      </c>
      <c r="Z57" s="9">
        <v>3.1E-2</v>
      </c>
      <c r="AA57" s="9">
        <v>3.3000000000000002E-2</v>
      </c>
      <c r="AB57" s="9">
        <v>3.6999999999999998E-2</v>
      </c>
      <c r="AC57" s="9">
        <v>3.6999999999999998E-2</v>
      </c>
      <c r="AD57" s="9">
        <v>3.6999999999999998E-2</v>
      </c>
      <c r="AE57" s="9">
        <v>3.6999999999999998E-2</v>
      </c>
      <c r="AF57" s="9">
        <v>3.6999999999999998E-2</v>
      </c>
      <c r="AG57" s="9">
        <v>3.6999999999999998E-2</v>
      </c>
    </row>
    <row r="59" spans="1:33" s="9" customFormat="1" x14ac:dyDescent="0.25">
      <c r="A59" s="9" t="s">
        <v>56</v>
      </c>
      <c r="B59" s="9" t="s">
        <v>60</v>
      </c>
      <c r="R59" s="9">
        <v>1.6E-2</v>
      </c>
      <c r="S59" s="9">
        <v>1.6E-2</v>
      </c>
      <c r="T59" s="9">
        <v>1.7999999999999999E-2</v>
      </c>
      <c r="U59" s="9">
        <v>3.9E-2</v>
      </c>
      <c r="V59" s="9">
        <v>6.3E-2</v>
      </c>
      <c r="W59" s="9">
        <v>0.104</v>
      </c>
      <c r="X59" s="9">
        <v>4.8000000000000001E-2</v>
      </c>
      <c r="Y59" s="9">
        <v>0.04</v>
      </c>
      <c r="Z59" s="9">
        <v>3.1E-2</v>
      </c>
      <c r="AA59" s="9">
        <v>3.1E-2</v>
      </c>
      <c r="AB59" s="9">
        <v>3.1E-2</v>
      </c>
      <c r="AC59" s="9">
        <v>3.1E-2</v>
      </c>
      <c r="AD59" s="9">
        <v>3.1E-2</v>
      </c>
      <c r="AE59" s="9">
        <v>3.1E-2</v>
      </c>
      <c r="AF59" s="9">
        <v>3.1E-2</v>
      </c>
      <c r="AG59" s="9">
        <v>3.1E-2</v>
      </c>
    </row>
    <row r="61" spans="1:33" s="9" customFormat="1" x14ac:dyDescent="0.25">
      <c r="A61" s="9" t="s">
        <v>56</v>
      </c>
      <c r="B61" s="9" t="s">
        <v>61</v>
      </c>
      <c r="R61" s="9">
        <v>2.1254700000000001E-2</v>
      </c>
      <c r="S61" s="9">
        <v>2.37834E-2</v>
      </c>
      <c r="T61" s="9">
        <v>2.7244999999999998E-2</v>
      </c>
      <c r="U61" s="9">
        <v>1.6944500000000001E-2</v>
      </c>
      <c r="V61" s="9">
        <v>3.4670100000000002E-2</v>
      </c>
      <c r="W61" s="9">
        <v>6.6059999999999994E-2</v>
      </c>
      <c r="X61" s="9">
        <v>4.4999999999999998E-2</v>
      </c>
      <c r="Y61" s="9">
        <v>3.5000000000000003E-2</v>
      </c>
      <c r="Z61" s="9">
        <v>2.7E-2</v>
      </c>
      <c r="AA61" s="9">
        <v>2.7E-2</v>
      </c>
      <c r="AB61" s="9">
        <v>2.7E-2</v>
      </c>
      <c r="AC61" s="9">
        <v>2.7E-2</v>
      </c>
      <c r="AD61" s="9">
        <v>2.7E-2</v>
      </c>
      <c r="AE61" s="9">
        <v>2.7E-2</v>
      </c>
      <c r="AF61" s="9">
        <v>2.7E-2</v>
      </c>
      <c r="AG61" s="9">
        <v>2.7E-2</v>
      </c>
    </row>
    <row r="62" spans="1:33" s="9" customFormat="1" x14ac:dyDescent="0.25">
      <c r="A62" s="9" t="s">
        <v>56</v>
      </c>
      <c r="B62" s="9" t="s">
        <v>62</v>
      </c>
      <c r="Z62" s="9">
        <v>4.0000000000000001E-3</v>
      </c>
      <c r="AA62" s="9">
        <v>4.0000000000000001E-3</v>
      </c>
      <c r="AB62" s="9">
        <v>5.0000000000000001E-3</v>
      </c>
      <c r="AC62" s="9">
        <v>5.0000000000000001E-3</v>
      </c>
      <c r="AD62" s="9">
        <v>5.0000000000000001E-3</v>
      </c>
      <c r="AE62" s="9">
        <v>7.0000000000000001E-3</v>
      </c>
      <c r="AF62" s="9">
        <v>7.0000000000000001E-3</v>
      </c>
      <c r="AG62" s="9">
        <v>7.0000000000000001E-3</v>
      </c>
    </row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F8" sqref="F8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19</v>
      </c>
      <c r="C2" s="8">
        <v>-0.01</v>
      </c>
    </row>
    <row r="3" spans="2:3" x14ac:dyDescent="0.25">
      <c r="B3" t="s">
        <v>20</v>
      </c>
      <c r="C3" s="8">
        <v>0.115</v>
      </c>
    </row>
    <row r="4" spans="2:3" x14ac:dyDescent="0.25">
      <c r="B4" t="s">
        <v>8</v>
      </c>
      <c r="C4" s="4">
        <f>NPV(C3,Model!X22:DT22)</f>
        <v>9576.3280554549001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2023-02-15T23:16:15Z</dcterms:modified>
</cp:coreProperties>
</file>