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DCF Models\"/>
    </mc:Choice>
  </mc:AlternateContent>
  <xr:revisionPtr revIDLastSave="0" documentId="13_ncr:1_{0DECE8C4-6616-4A18-B9DC-CF1C475B3C6A}" xr6:coauthVersionLast="47" xr6:coauthVersionMax="47" xr10:uidLastSave="{00000000-0000-0000-0000-000000000000}"/>
  <bookViews>
    <workbookView xWindow="17250" yWindow="3420" windowWidth="37320" windowHeight="15045" xr2:uid="{3056AFBF-C33C-44A0-B793-E31A92920761}"/>
  </bookViews>
  <sheets>
    <sheet name="Main" sheetId="1" r:id="rId1"/>
    <sheet name="Model" sheetId="2" r:id="rId2"/>
    <sheet name="Dash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1" l="1"/>
  <c r="T50" i="2"/>
  <c r="S50" i="2"/>
  <c r="R50" i="2"/>
  <c r="Q50" i="2"/>
  <c r="P50" i="2"/>
  <c r="O50" i="2"/>
  <c r="N50" i="2"/>
  <c r="M50" i="2"/>
  <c r="U12" i="2" l="1"/>
  <c r="U34" i="2" s="1"/>
  <c r="U11" i="2"/>
  <c r="V11" i="2" s="1"/>
  <c r="U10" i="2"/>
  <c r="V10" i="2" s="1"/>
  <c r="U9" i="2"/>
  <c r="U20" i="2" s="1"/>
  <c r="U13" i="2"/>
  <c r="T77" i="2"/>
  <c r="T60" i="2"/>
  <c r="S60" i="2"/>
  <c r="R60" i="2"/>
  <c r="Q60" i="2"/>
  <c r="P60" i="2"/>
  <c r="O60" i="2"/>
  <c r="N60" i="2"/>
  <c r="T59" i="2"/>
  <c r="S59" i="2"/>
  <c r="R59" i="2"/>
  <c r="Q59" i="2"/>
  <c r="P59" i="2"/>
  <c r="O59" i="2"/>
  <c r="N59" i="2"/>
  <c r="T58" i="2"/>
  <c r="S58" i="2"/>
  <c r="R58" i="2"/>
  <c r="Q58" i="2"/>
  <c r="P58" i="2"/>
  <c r="O58" i="2"/>
  <c r="N58" i="2"/>
  <c r="T57" i="2"/>
  <c r="S57" i="2"/>
  <c r="R57" i="2"/>
  <c r="Q57" i="2"/>
  <c r="P57" i="2"/>
  <c r="O57" i="2"/>
  <c r="N57" i="2"/>
  <c r="I60" i="2"/>
  <c r="H60" i="2"/>
  <c r="G60" i="2"/>
  <c r="I59" i="2"/>
  <c r="H59" i="2"/>
  <c r="G59" i="2"/>
  <c r="I58" i="2"/>
  <c r="H58" i="2"/>
  <c r="G58" i="2"/>
  <c r="I57" i="2"/>
  <c r="H57" i="2"/>
  <c r="G57" i="2"/>
  <c r="T83" i="2"/>
  <c r="S83" i="2"/>
  <c r="R83" i="2"/>
  <c r="Q83" i="2"/>
  <c r="P83" i="2"/>
  <c r="O83" i="2"/>
  <c r="N83" i="2"/>
  <c r="M83" i="2"/>
  <c r="I83" i="2"/>
  <c r="H83" i="2"/>
  <c r="G83" i="2"/>
  <c r="E83" i="2"/>
  <c r="D83" i="2"/>
  <c r="C83" i="2"/>
  <c r="T82" i="2"/>
  <c r="S82" i="2"/>
  <c r="R82" i="2"/>
  <c r="Q82" i="2"/>
  <c r="P82" i="2"/>
  <c r="O82" i="2"/>
  <c r="N82" i="2"/>
  <c r="M82" i="2"/>
  <c r="I82" i="2"/>
  <c r="H82" i="2"/>
  <c r="G82" i="2"/>
  <c r="E82" i="2"/>
  <c r="D82" i="2"/>
  <c r="C82" i="2"/>
  <c r="D78" i="2"/>
  <c r="T80" i="2"/>
  <c r="S80" i="2"/>
  <c r="R80" i="2"/>
  <c r="M80" i="2"/>
  <c r="I80" i="2"/>
  <c r="H80" i="2"/>
  <c r="G80" i="2"/>
  <c r="E80" i="2"/>
  <c r="D80" i="2"/>
  <c r="C80" i="2"/>
  <c r="T79" i="2"/>
  <c r="S79" i="2"/>
  <c r="R79" i="2"/>
  <c r="Q79" i="2"/>
  <c r="P79" i="2"/>
  <c r="O79" i="2"/>
  <c r="N79" i="2"/>
  <c r="M79" i="2"/>
  <c r="I79" i="2"/>
  <c r="H79" i="2"/>
  <c r="G79" i="2"/>
  <c r="E79" i="2"/>
  <c r="D79" i="2"/>
  <c r="C79" i="2"/>
  <c r="T78" i="2"/>
  <c r="S78" i="2"/>
  <c r="R78" i="2"/>
  <c r="Q78" i="2"/>
  <c r="P78" i="2"/>
  <c r="O78" i="2"/>
  <c r="N78" i="2"/>
  <c r="M78" i="2"/>
  <c r="I78" i="2"/>
  <c r="H78" i="2"/>
  <c r="G78" i="2"/>
  <c r="E78" i="2"/>
  <c r="C78" i="2"/>
  <c r="S77" i="2"/>
  <c r="R77" i="2"/>
  <c r="Q77" i="2"/>
  <c r="P77" i="2"/>
  <c r="O77" i="2"/>
  <c r="N77" i="2"/>
  <c r="M77" i="2"/>
  <c r="I77" i="2"/>
  <c r="H77" i="2"/>
  <c r="G77" i="2"/>
  <c r="E77" i="2"/>
  <c r="D77" i="2"/>
  <c r="C77" i="2"/>
  <c r="T76" i="2"/>
  <c r="S76" i="2"/>
  <c r="R76" i="2"/>
  <c r="Q76" i="2"/>
  <c r="P76" i="2"/>
  <c r="O76" i="2"/>
  <c r="N76" i="2"/>
  <c r="M76" i="2"/>
  <c r="I76" i="2"/>
  <c r="H76" i="2"/>
  <c r="G76" i="2"/>
  <c r="E76" i="2"/>
  <c r="D76" i="2"/>
  <c r="C76" i="2"/>
  <c r="T75" i="2"/>
  <c r="S75" i="2"/>
  <c r="R75" i="2"/>
  <c r="Q75" i="2"/>
  <c r="P75" i="2"/>
  <c r="O75" i="2"/>
  <c r="N75" i="2"/>
  <c r="M75" i="2"/>
  <c r="I75" i="2"/>
  <c r="H75" i="2"/>
  <c r="G75" i="2"/>
  <c r="E75" i="2"/>
  <c r="D75" i="2"/>
  <c r="C75" i="2"/>
  <c r="T73" i="2"/>
  <c r="S73" i="2"/>
  <c r="R73" i="2"/>
  <c r="Q73" i="2"/>
  <c r="I73" i="2"/>
  <c r="H73" i="2"/>
  <c r="G73" i="2"/>
  <c r="E73" i="2"/>
  <c r="D73" i="2"/>
  <c r="C73" i="2"/>
  <c r="T72" i="2"/>
  <c r="S72" i="2"/>
  <c r="R72" i="2"/>
  <c r="Q72" i="2"/>
  <c r="P72" i="2"/>
  <c r="O72" i="2"/>
  <c r="N72" i="2"/>
  <c r="M72" i="2"/>
  <c r="I72" i="2"/>
  <c r="H72" i="2"/>
  <c r="G72" i="2"/>
  <c r="E72" i="2"/>
  <c r="D72" i="2"/>
  <c r="C72" i="2"/>
  <c r="T71" i="2"/>
  <c r="S71" i="2"/>
  <c r="R71" i="2"/>
  <c r="Q71" i="2"/>
  <c r="P71" i="2"/>
  <c r="O71" i="2"/>
  <c r="N71" i="2"/>
  <c r="M71" i="2"/>
  <c r="I71" i="2"/>
  <c r="H71" i="2"/>
  <c r="G71" i="2"/>
  <c r="E71" i="2"/>
  <c r="D71" i="2"/>
  <c r="C71" i="2"/>
  <c r="T70" i="2"/>
  <c r="S70" i="2"/>
  <c r="R70" i="2"/>
  <c r="Q70" i="2"/>
  <c r="P70" i="2"/>
  <c r="O70" i="2"/>
  <c r="N70" i="2"/>
  <c r="M70" i="2"/>
  <c r="I70" i="2"/>
  <c r="H70" i="2"/>
  <c r="G70" i="2"/>
  <c r="E70" i="2"/>
  <c r="D70" i="2"/>
  <c r="C70" i="2"/>
  <c r="T69" i="2"/>
  <c r="S69" i="2"/>
  <c r="R69" i="2"/>
  <c r="Q69" i="2"/>
  <c r="P69" i="2"/>
  <c r="O69" i="2"/>
  <c r="N69" i="2"/>
  <c r="M69" i="2"/>
  <c r="I69" i="2"/>
  <c r="H69" i="2"/>
  <c r="G69" i="2"/>
  <c r="E69" i="2"/>
  <c r="D69" i="2"/>
  <c r="C69" i="2"/>
  <c r="T68" i="2"/>
  <c r="S68" i="2"/>
  <c r="R68" i="2"/>
  <c r="Q68" i="2"/>
  <c r="P68" i="2"/>
  <c r="O68" i="2"/>
  <c r="N68" i="2"/>
  <c r="M68" i="2"/>
  <c r="I68" i="2"/>
  <c r="H68" i="2"/>
  <c r="G68" i="2"/>
  <c r="E68" i="2"/>
  <c r="D68" i="2"/>
  <c r="C68" i="2"/>
  <c r="T67" i="2"/>
  <c r="S67" i="2"/>
  <c r="R67" i="2"/>
  <c r="Q67" i="2"/>
  <c r="P67" i="2"/>
  <c r="O67" i="2"/>
  <c r="N67" i="2"/>
  <c r="M67" i="2"/>
  <c r="I67" i="2"/>
  <c r="H67" i="2"/>
  <c r="G67" i="2"/>
  <c r="E67" i="2"/>
  <c r="D67" i="2"/>
  <c r="C67" i="2"/>
  <c r="T66" i="2"/>
  <c r="S66" i="2"/>
  <c r="R66" i="2"/>
  <c r="Q66" i="2"/>
  <c r="P66" i="2"/>
  <c r="O66" i="2"/>
  <c r="N66" i="2"/>
  <c r="M66" i="2"/>
  <c r="I66" i="2"/>
  <c r="H66" i="2"/>
  <c r="G66" i="2"/>
  <c r="E66" i="2"/>
  <c r="D66" i="2"/>
  <c r="C66" i="2"/>
  <c r="T65" i="2"/>
  <c r="S65" i="2"/>
  <c r="R65" i="2"/>
  <c r="Q65" i="2"/>
  <c r="P65" i="2"/>
  <c r="O65" i="2"/>
  <c r="N65" i="2"/>
  <c r="M65" i="2"/>
  <c r="I65" i="2"/>
  <c r="H65" i="2"/>
  <c r="G65" i="2"/>
  <c r="E65" i="2"/>
  <c r="D65" i="2"/>
  <c r="C65" i="2"/>
  <c r="T64" i="2"/>
  <c r="S64" i="2"/>
  <c r="R64" i="2"/>
  <c r="Q64" i="2"/>
  <c r="P64" i="2"/>
  <c r="O64" i="2"/>
  <c r="N64" i="2"/>
  <c r="M64" i="2"/>
  <c r="I64" i="2"/>
  <c r="H64" i="2"/>
  <c r="G64" i="2"/>
  <c r="E64" i="2"/>
  <c r="D64" i="2"/>
  <c r="C64" i="2"/>
  <c r="T63" i="2"/>
  <c r="S63" i="2"/>
  <c r="R63" i="2"/>
  <c r="Q63" i="2"/>
  <c r="P63" i="2"/>
  <c r="O63" i="2"/>
  <c r="N63" i="2"/>
  <c r="M63" i="2"/>
  <c r="I63" i="2"/>
  <c r="H63" i="2"/>
  <c r="G63" i="2"/>
  <c r="E63" i="2"/>
  <c r="D63" i="2"/>
  <c r="C63" i="2"/>
  <c r="T54" i="2"/>
  <c r="S54" i="2"/>
  <c r="R54" i="2"/>
  <c r="Q54" i="2"/>
  <c r="P54" i="2"/>
  <c r="O54" i="2"/>
  <c r="N54" i="2"/>
  <c r="M54" i="2"/>
  <c r="I54" i="2"/>
  <c r="H54" i="2"/>
  <c r="G54" i="2"/>
  <c r="E54" i="2"/>
  <c r="D54" i="2"/>
  <c r="C54" i="2"/>
  <c r="F40" i="2"/>
  <c r="F38" i="2"/>
  <c r="F34" i="2"/>
  <c r="F33" i="2"/>
  <c r="F31" i="2"/>
  <c r="F30" i="2"/>
  <c r="F29" i="2"/>
  <c r="F28" i="2"/>
  <c r="F27" i="2"/>
  <c r="F26" i="2"/>
  <c r="F24" i="2"/>
  <c r="F23" i="2"/>
  <c r="F22" i="2"/>
  <c r="F21" i="2"/>
  <c r="F20" i="2"/>
  <c r="F19" i="2"/>
  <c r="F18" i="2"/>
  <c r="F17" i="2"/>
  <c r="F16" i="2"/>
  <c r="F15" i="2"/>
  <c r="F14" i="2"/>
  <c r="F12" i="2"/>
  <c r="F11" i="2"/>
  <c r="F10" i="2"/>
  <c r="F9" i="2"/>
  <c r="J40" i="2"/>
  <c r="J38" i="2"/>
  <c r="J34" i="2"/>
  <c r="J33" i="2"/>
  <c r="J31" i="2"/>
  <c r="J30" i="2"/>
  <c r="J29" i="2"/>
  <c r="J28" i="2"/>
  <c r="J27" i="2"/>
  <c r="J26" i="2"/>
  <c r="J24" i="2"/>
  <c r="J23" i="2"/>
  <c r="J22" i="2"/>
  <c r="J21" i="2"/>
  <c r="J20" i="2"/>
  <c r="J19" i="2"/>
  <c r="J18" i="2"/>
  <c r="J17" i="2"/>
  <c r="J16" i="2"/>
  <c r="J15" i="2"/>
  <c r="J14" i="2"/>
  <c r="J12" i="2"/>
  <c r="J11" i="2"/>
  <c r="J10" i="2"/>
  <c r="J9" i="2"/>
  <c r="E37" i="2"/>
  <c r="I37" i="2"/>
  <c r="D37" i="2"/>
  <c r="H37" i="2"/>
  <c r="C37" i="2"/>
  <c r="G37" i="2"/>
  <c r="J6" i="2"/>
  <c r="J3" i="2"/>
  <c r="M37" i="2"/>
  <c r="N31" i="2"/>
  <c r="N80" i="2" s="1"/>
  <c r="M24" i="2"/>
  <c r="M25" i="2" s="1"/>
  <c r="M52" i="2" s="1"/>
  <c r="N37" i="2"/>
  <c r="N24" i="2"/>
  <c r="N25" i="2" s="1"/>
  <c r="N52" i="2" s="1"/>
  <c r="M45" i="2"/>
  <c r="N45" i="2"/>
  <c r="M6" i="2"/>
  <c r="M3" i="2"/>
  <c r="N6" i="2"/>
  <c r="N3" i="2"/>
  <c r="O37" i="2"/>
  <c r="O31" i="2"/>
  <c r="O80" i="2" s="1"/>
  <c r="O24" i="2"/>
  <c r="O25" i="2" s="1"/>
  <c r="O52" i="2" s="1"/>
  <c r="P37" i="2"/>
  <c r="P31" i="2"/>
  <c r="P32" i="2" s="1"/>
  <c r="P53" i="2" s="1"/>
  <c r="P24" i="2"/>
  <c r="P25" i="2" s="1"/>
  <c r="P52" i="2" s="1"/>
  <c r="P45" i="2"/>
  <c r="O6" i="2"/>
  <c r="O3" i="2"/>
  <c r="P6" i="2"/>
  <c r="P3" i="2"/>
  <c r="Q37" i="2"/>
  <c r="Q31" i="2"/>
  <c r="Q80" i="2" s="1"/>
  <c r="R37" i="2"/>
  <c r="R25" i="2"/>
  <c r="R52" i="2" s="1"/>
  <c r="R32" i="2"/>
  <c r="R53" i="2" s="1"/>
  <c r="Q45" i="2"/>
  <c r="R45" i="2"/>
  <c r="M32" i="2"/>
  <c r="M53" i="2" s="1"/>
  <c r="I32" i="2"/>
  <c r="I53" i="2" s="1"/>
  <c r="H32" i="2"/>
  <c r="H53" i="2" s="1"/>
  <c r="G32" i="2"/>
  <c r="G53" i="2" s="1"/>
  <c r="E32" i="2"/>
  <c r="E53" i="2" s="1"/>
  <c r="D32" i="2"/>
  <c r="D53" i="2" s="1"/>
  <c r="C32" i="2"/>
  <c r="C53" i="2" s="1"/>
  <c r="I25" i="2"/>
  <c r="I52" i="2" s="1"/>
  <c r="H25" i="2"/>
  <c r="H52" i="2" s="1"/>
  <c r="G25" i="2"/>
  <c r="G52" i="2" s="1"/>
  <c r="E25" i="2"/>
  <c r="E52" i="2" s="1"/>
  <c r="D25" i="2"/>
  <c r="D52" i="2" s="1"/>
  <c r="C25" i="2"/>
  <c r="C52" i="2" s="1"/>
  <c r="O13" i="2"/>
  <c r="O61" i="2" s="1"/>
  <c r="N13" i="2"/>
  <c r="M13" i="2"/>
  <c r="I13" i="2"/>
  <c r="H13" i="2"/>
  <c r="G13" i="2"/>
  <c r="E13" i="2"/>
  <c r="D13" i="2"/>
  <c r="C13" i="2"/>
  <c r="I7" i="2"/>
  <c r="H7" i="2"/>
  <c r="G7" i="2"/>
  <c r="F7" i="2"/>
  <c r="E7" i="2"/>
  <c r="D7" i="2"/>
  <c r="C7" i="2"/>
  <c r="P13" i="2"/>
  <c r="P61" i="2" s="1"/>
  <c r="Q25" i="2"/>
  <c r="Q52" i="2" s="1"/>
  <c r="Q13" i="2"/>
  <c r="Q6" i="2"/>
  <c r="Q3" i="2"/>
  <c r="R6" i="2"/>
  <c r="R3" i="2"/>
  <c r="S37" i="2"/>
  <c r="S32" i="2"/>
  <c r="S53" i="2" s="1"/>
  <c r="T32" i="2"/>
  <c r="T53" i="2" s="1"/>
  <c r="S25" i="2"/>
  <c r="S52" i="2" s="1"/>
  <c r="T25" i="2"/>
  <c r="T52" i="2" s="1"/>
  <c r="R13" i="2"/>
  <c r="S13" i="2"/>
  <c r="S61" i="2" s="1"/>
  <c r="T13" i="2"/>
  <c r="T61" i="2" s="1"/>
  <c r="N61" i="2" l="1"/>
  <c r="V12" i="2"/>
  <c r="V34" i="2" s="1"/>
  <c r="U17" i="2"/>
  <c r="J57" i="2"/>
  <c r="R61" i="2"/>
  <c r="J58" i="2"/>
  <c r="U19" i="2"/>
  <c r="J59" i="2"/>
  <c r="U26" i="2"/>
  <c r="J60" i="2"/>
  <c r="U28" i="2"/>
  <c r="U30" i="2"/>
  <c r="U31" i="2"/>
  <c r="W11" i="2"/>
  <c r="W33" i="2" s="1"/>
  <c r="W54" i="2" s="1"/>
  <c r="V33" i="2"/>
  <c r="V54" i="2" s="1"/>
  <c r="W10" i="2"/>
  <c r="V29" i="2"/>
  <c r="V30" i="2"/>
  <c r="V27" i="2"/>
  <c r="V28" i="2"/>
  <c r="V26" i="2"/>
  <c r="V31" i="2"/>
  <c r="Q86" i="2"/>
  <c r="U14" i="2"/>
  <c r="U22" i="2"/>
  <c r="W12" i="2"/>
  <c r="U61" i="2"/>
  <c r="U16" i="2"/>
  <c r="U24" i="2"/>
  <c r="U27" i="2"/>
  <c r="U32" i="2" s="1"/>
  <c r="U53" i="2" s="1"/>
  <c r="U18" i="2"/>
  <c r="U33" i="2"/>
  <c r="U54" i="2" s="1"/>
  <c r="G61" i="2"/>
  <c r="H61" i="2"/>
  <c r="I61" i="2"/>
  <c r="U21" i="2"/>
  <c r="Q61" i="2"/>
  <c r="V9" i="2"/>
  <c r="U15" i="2"/>
  <c r="U23" i="2"/>
  <c r="U29" i="2"/>
  <c r="O32" i="2"/>
  <c r="O53" i="2" s="1"/>
  <c r="J77" i="2"/>
  <c r="F71" i="2"/>
  <c r="F72" i="2"/>
  <c r="J83" i="2"/>
  <c r="F82" i="2"/>
  <c r="Q32" i="2"/>
  <c r="Q53" i="2" s="1"/>
  <c r="J82" i="2"/>
  <c r="N32" i="2"/>
  <c r="N53" i="2" s="1"/>
  <c r="J69" i="2"/>
  <c r="J70" i="2"/>
  <c r="J71" i="2"/>
  <c r="N7" i="2"/>
  <c r="O86" i="2" s="1"/>
  <c r="J72" i="2"/>
  <c r="F63" i="2"/>
  <c r="J73" i="2"/>
  <c r="F64" i="2"/>
  <c r="M7" i="2"/>
  <c r="N86" i="2" s="1"/>
  <c r="J75" i="2"/>
  <c r="J76" i="2"/>
  <c r="J78" i="2"/>
  <c r="F77" i="2"/>
  <c r="J66" i="2"/>
  <c r="F73" i="2"/>
  <c r="J67" i="2"/>
  <c r="F32" i="2"/>
  <c r="F53" i="2" s="1"/>
  <c r="J68" i="2"/>
  <c r="F65" i="2"/>
  <c r="F78" i="2"/>
  <c r="F67" i="2"/>
  <c r="F76" i="2"/>
  <c r="F68" i="2"/>
  <c r="F54" i="2"/>
  <c r="F69" i="2"/>
  <c r="F80" i="2"/>
  <c r="F66" i="2"/>
  <c r="F83" i="2"/>
  <c r="J79" i="2"/>
  <c r="J63" i="2"/>
  <c r="J80" i="2"/>
  <c r="F70" i="2"/>
  <c r="J64" i="2"/>
  <c r="J54" i="2"/>
  <c r="J65" i="2"/>
  <c r="M73" i="2"/>
  <c r="E35" i="2"/>
  <c r="E36" i="2" s="1"/>
  <c r="S35" i="2"/>
  <c r="N73" i="2"/>
  <c r="J32" i="2"/>
  <c r="J53" i="2" s="1"/>
  <c r="O73" i="2"/>
  <c r="F79" i="2"/>
  <c r="F75" i="2"/>
  <c r="P73" i="2"/>
  <c r="P7" i="2"/>
  <c r="O7" i="2"/>
  <c r="P86" i="2" s="1"/>
  <c r="P80" i="2"/>
  <c r="F13" i="2"/>
  <c r="T35" i="2"/>
  <c r="F25" i="2"/>
  <c r="F52" i="2" s="1"/>
  <c r="J13" i="2"/>
  <c r="J61" i="2" s="1"/>
  <c r="Q7" i="2"/>
  <c r="R86" i="2" s="1"/>
  <c r="F37" i="2"/>
  <c r="J25" i="2"/>
  <c r="J52" i="2" s="1"/>
  <c r="D35" i="2"/>
  <c r="D36" i="2" s="1"/>
  <c r="J7" i="2"/>
  <c r="I35" i="2"/>
  <c r="I36" i="2" s="1"/>
  <c r="H35" i="2"/>
  <c r="H36" i="2" s="1"/>
  <c r="C35" i="2"/>
  <c r="C36" i="2" s="1"/>
  <c r="G35" i="2"/>
  <c r="G36" i="2" s="1"/>
  <c r="M35" i="2"/>
  <c r="M36" i="2" s="1"/>
  <c r="P35" i="2"/>
  <c r="P36" i="2" s="1"/>
  <c r="Q35" i="2"/>
  <c r="Q36" i="2" s="1"/>
  <c r="R35" i="2"/>
  <c r="X11" i="2" l="1"/>
  <c r="X33" i="2" s="1"/>
  <c r="V32" i="2"/>
  <c r="V53" i="2" s="1"/>
  <c r="X10" i="2"/>
  <c r="W29" i="2"/>
  <c r="W30" i="2"/>
  <c r="W27" i="2"/>
  <c r="W28" i="2"/>
  <c r="W31" i="2"/>
  <c r="W26" i="2"/>
  <c r="W32" i="2" s="1"/>
  <c r="W53" i="2" s="1"/>
  <c r="U25" i="2"/>
  <c r="U52" i="2" s="1"/>
  <c r="X12" i="2"/>
  <c r="W34" i="2"/>
  <c r="U35" i="2"/>
  <c r="U36" i="2" s="1"/>
  <c r="O35" i="2"/>
  <c r="O36" i="2" s="1"/>
  <c r="O39" i="2" s="1"/>
  <c r="W9" i="2"/>
  <c r="V20" i="2"/>
  <c r="V23" i="2"/>
  <c r="V15" i="2"/>
  <c r="V18" i="2"/>
  <c r="V16" i="2"/>
  <c r="V21" i="2"/>
  <c r="V24" i="2"/>
  <c r="V19" i="2"/>
  <c r="V13" i="2"/>
  <c r="V61" i="2" s="1"/>
  <c r="V22" i="2"/>
  <c r="V14" i="2"/>
  <c r="V17" i="2"/>
  <c r="X54" i="2"/>
  <c r="Y11" i="2"/>
  <c r="Y33" i="2" s="1"/>
  <c r="N35" i="2"/>
  <c r="N36" i="2" s="1"/>
  <c r="N55" i="2" s="1"/>
  <c r="J35" i="2"/>
  <c r="J36" i="2" s="1"/>
  <c r="J55" i="2" s="1"/>
  <c r="F35" i="2"/>
  <c r="F36" i="2" s="1"/>
  <c r="F39" i="2" s="1"/>
  <c r="C39" i="2"/>
  <c r="C55" i="2"/>
  <c r="P39" i="2"/>
  <c r="P55" i="2"/>
  <c r="G39" i="2"/>
  <c r="G55" i="2"/>
  <c r="H39" i="2"/>
  <c r="H55" i="2"/>
  <c r="E39" i="2"/>
  <c r="E55" i="2"/>
  <c r="M39" i="2"/>
  <c r="M55" i="2"/>
  <c r="D39" i="2"/>
  <c r="D55" i="2"/>
  <c r="Q39" i="2"/>
  <c r="Q55" i="2"/>
  <c r="I39" i="2"/>
  <c r="I55" i="2"/>
  <c r="F55" i="2" l="1"/>
  <c r="N39" i="2"/>
  <c r="N85" i="2" s="1"/>
  <c r="O41" i="2"/>
  <c r="O43" i="2" s="1"/>
  <c r="O85" i="2"/>
  <c r="Y12" i="2"/>
  <c r="X34" i="2"/>
  <c r="I41" i="2"/>
  <c r="I43" i="2" s="1"/>
  <c r="I85" i="2"/>
  <c r="U55" i="2"/>
  <c r="D41" i="2"/>
  <c r="D43" i="2" s="1"/>
  <c r="D85" i="2"/>
  <c r="C41" i="2"/>
  <c r="C43" i="2" s="1"/>
  <c r="C85" i="2"/>
  <c r="F41" i="2"/>
  <c r="F43" i="2" s="1"/>
  <c r="F85" i="2"/>
  <c r="N41" i="2"/>
  <c r="N43" i="2" s="1"/>
  <c r="Q41" i="2"/>
  <c r="Q43" i="2" s="1"/>
  <c r="Q85" i="2"/>
  <c r="V25" i="2"/>
  <c r="M41" i="2"/>
  <c r="M43" i="2" s="1"/>
  <c r="M85" i="2"/>
  <c r="H43" i="2"/>
  <c r="H85" i="2"/>
  <c r="W23" i="2"/>
  <c r="W15" i="2"/>
  <c r="W16" i="2"/>
  <c r="W20" i="2"/>
  <c r="W18" i="2"/>
  <c r="W24" i="2"/>
  <c r="W21" i="2"/>
  <c r="W19" i="2"/>
  <c r="W22" i="2"/>
  <c r="W14" i="2"/>
  <c r="W17" i="2"/>
  <c r="X9" i="2"/>
  <c r="W13" i="2"/>
  <c r="O55" i="2"/>
  <c r="G41" i="2"/>
  <c r="G43" i="2" s="1"/>
  <c r="G85" i="2"/>
  <c r="P41" i="2"/>
  <c r="P43" i="2" s="1"/>
  <c r="P85" i="2"/>
  <c r="E41" i="2"/>
  <c r="E43" i="2" s="1"/>
  <c r="E85" i="2"/>
  <c r="X29" i="2"/>
  <c r="X27" i="2"/>
  <c r="X30" i="2"/>
  <c r="X28" i="2"/>
  <c r="X31" i="2"/>
  <c r="X26" i="2"/>
  <c r="Y10" i="2"/>
  <c r="Y54" i="2"/>
  <c r="Z11" i="2"/>
  <c r="Z33" i="2" s="1"/>
  <c r="X23" i="2" l="1"/>
  <c r="X15" i="2"/>
  <c r="X19" i="2"/>
  <c r="X18" i="2"/>
  <c r="X21" i="2"/>
  <c r="X24" i="2"/>
  <c r="X16" i="2"/>
  <c r="X22" i="2"/>
  <c r="X14" i="2"/>
  <c r="X17" i="2"/>
  <c r="X20" i="2"/>
  <c r="Y9" i="2"/>
  <c r="X13" i="2"/>
  <c r="V52" i="2"/>
  <c r="V35" i="2"/>
  <c r="V36" i="2" s="1"/>
  <c r="W61" i="2"/>
  <c r="Y27" i="2"/>
  <c r="Y29" i="2"/>
  <c r="Y30" i="2"/>
  <c r="Y28" i="2"/>
  <c r="Y31" i="2"/>
  <c r="Y26" i="2"/>
  <c r="Y32" i="2" s="1"/>
  <c r="Y53" i="2" s="1"/>
  <c r="Z10" i="2"/>
  <c r="Z12" i="2"/>
  <c r="Y34" i="2"/>
  <c r="W25" i="2"/>
  <c r="X32" i="2"/>
  <c r="X53" i="2" s="1"/>
  <c r="Z54" i="2"/>
  <c r="AA11" i="2"/>
  <c r="AA33" i="2" s="1"/>
  <c r="V55" i="2" l="1"/>
  <c r="Y19" i="2"/>
  <c r="Y18" i="2"/>
  <c r="Y23" i="2"/>
  <c r="Y21" i="2"/>
  <c r="Y24" i="2"/>
  <c r="Y16" i="2"/>
  <c r="Y22" i="2"/>
  <c r="Y14" i="2"/>
  <c r="Y17" i="2"/>
  <c r="Y20" i="2"/>
  <c r="Y15" i="2"/>
  <c r="Y13" i="2"/>
  <c r="Z9" i="2"/>
  <c r="W52" i="2"/>
  <c r="W35" i="2"/>
  <c r="W36" i="2" s="1"/>
  <c r="W55" i="2" s="1"/>
  <c r="Z27" i="2"/>
  <c r="Z28" i="2"/>
  <c r="Z30" i="2"/>
  <c r="Z31" i="2"/>
  <c r="Z26" i="2"/>
  <c r="Z29" i="2"/>
  <c r="AA10" i="2"/>
  <c r="X25" i="2"/>
  <c r="X61" i="2"/>
  <c r="AA12" i="2"/>
  <c r="Z34" i="2"/>
  <c r="AA54" i="2"/>
  <c r="AB11" i="2"/>
  <c r="AB33" i="2" s="1"/>
  <c r="Z32" i="2" l="1"/>
  <c r="Z53" i="2" s="1"/>
  <c r="Z18" i="2"/>
  <c r="Z21" i="2"/>
  <c r="Z22" i="2"/>
  <c r="Z24" i="2"/>
  <c r="Z16" i="2"/>
  <c r="Z14" i="2"/>
  <c r="Z19" i="2"/>
  <c r="Z17" i="2"/>
  <c r="Z20" i="2"/>
  <c r="Z23" i="2"/>
  <c r="Z15" i="2"/>
  <c r="AA9" i="2"/>
  <c r="Z13" i="2"/>
  <c r="Y61" i="2"/>
  <c r="AA27" i="2"/>
  <c r="AA30" i="2"/>
  <c r="AA28" i="2"/>
  <c r="AA31" i="2"/>
  <c r="AA26" i="2"/>
  <c r="AA29" i="2"/>
  <c r="AB10" i="2"/>
  <c r="AB12" i="2"/>
  <c r="AA34" i="2"/>
  <c r="Y25" i="2"/>
  <c r="X52" i="2"/>
  <c r="X35" i="2"/>
  <c r="X36" i="2" s="1"/>
  <c r="X55" i="2" s="1"/>
  <c r="AB54" i="2"/>
  <c r="AC11" i="2"/>
  <c r="AC33" i="2" s="1"/>
  <c r="AA32" i="2" l="1"/>
  <c r="AA53" i="2" s="1"/>
  <c r="Z61" i="2"/>
  <c r="Z25" i="2"/>
  <c r="AA21" i="2"/>
  <c r="AA24" i="2"/>
  <c r="AA16" i="2"/>
  <c r="AA19" i="2"/>
  <c r="AA22" i="2"/>
  <c r="AA14" i="2"/>
  <c r="AA17" i="2"/>
  <c r="AA18" i="2"/>
  <c r="AA20" i="2"/>
  <c r="AA23" i="2"/>
  <c r="AA15" i="2"/>
  <c r="AB9" i="2"/>
  <c r="AA13" i="2"/>
  <c r="AC12" i="2"/>
  <c r="AB34" i="2"/>
  <c r="AB26" i="2"/>
  <c r="AB27" i="2"/>
  <c r="AB30" i="2"/>
  <c r="AB31" i="2"/>
  <c r="AB28" i="2"/>
  <c r="AB29" i="2"/>
  <c r="AC10" i="2"/>
  <c r="Y52" i="2"/>
  <c r="Y35" i="2"/>
  <c r="Y36" i="2" s="1"/>
  <c r="Y55" i="2" s="1"/>
  <c r="AC54" i="2"/>
  <c r="AD11" i="2"/>
  <c r="AA61" i="2" l="1"/>
  <c r="AA25" i="2"/>
  <c r="AB21" i="2"/>
  <c r="AB24" i="2"/>
  <c r="AB16" i="2"/>
  <c r="AB17" i="2"/>
  <c r="AB19" i="2"/>
  <c r="AB22" i="2"/>
  <c r="AB14" i="2"/>
  <c r="AB20" i="2"/>
  <c r="AB23" i="2"/>
  <c r="AB15" i="2"/>
  <c r="AB25" i="2" s="1"/>
  <c r="AB52" i="2" s="1"/>
  <c r="AB18" i="2"/>
  <c r="AB13" i="2"/>
  <c r="AC9" i="2"/>
  <c r="Z52" i="2"/>
  <c r="Z35" i="2"/>
  <c r="Z36" i="2" s="1"/>
  <c r="AC26" i="2"/>
  <c r="AC27" i="2"/>
  <c r="AC30" i="2"/>
  <c r="AC28" i="2"/>
  <c r="AC31" i="2"/>
  <c r="AC29" i="2"/>
  <c r="AD10" i="2"/>
  <c r="AB32" i="2"/>
  <c r="AD33" i="2"/>
  <c r="AD54" i="2" s="1"/>
  <c r="AD12" i="2"/>
  <c r="AD34" i="2" s="1"/>
  <c r="AC34" i="2"/>
  <c r="AB61" i="2" l="1"/>
  <c r="AB35" i="2"/>
  <c r="AB36" i="2" s="1"/>
  <c r="AB53" i="2"/>
  <c r="AC32" i="2"/>
  <c r="AC53" i="2" s="1"/>
  <c r="AD30" i="2"/>
  <c r="AD26" i="2"/>
  <c r="AD28" i="2"/>
  <c r="AD31" i="2"/>
  <c r="AD29" i="2"/>
  <c r="AD27" i="2"/>
  <c r="AD32" i="2" s="1"/>
  <c r="AA52" i="2"/>
  <c r="AA35" i="2"/>
  <c r="AA36" i="2" s="1"/>
  <c r="AA55" i="2" s="1"/>
  <c r="Z55" i="2"/>
  <c r="AC24" i="2"/>
  <c r="AC16" i="2"/>
  <c r="AC19" i="2"/>
  <c r="AC17" i="2"/>
  <c r="AC22" i="2"/>
  <c r="AC14" i="2"/>
  <c r="AC21" i="2"/>
  <c r="AC20" i="2"/>
  <c r="AC23" i="2"/>
  <c r="AC15" i="2"/>
  <c r="AC18" i="2"/>
  <c r="AC13" i="2"/>
  <c r="AD9" i="2"/>
  <c r="AB55" i="2" l="1"/>
  <c r="AD24" i="2"/>
  <c r="AD16" i="2"/>
  <c r="AD19" i="2"/>
  <c r="AD22" i="2"/>
  <c r="AD14" i="2"/>
  <c r="AD17" i="2"/>
  <c r="AD20" i="2"/>
  <c r="AD23" i="2"/>
  <c r="AD15" i="2"/>
  <c r="AD18" i="2"/>
  <c r="AD21" i="2"/>
  <c r="AD13" i="2"/>
  <c r="AC61" i="2"/>
  <c r="AD53" i="2"/>
  <c r="AC25" i="2"/>
  <c r="AC52" i="2" s="1"/>
  <c r="AD61" i="2" l="1"/>
  <c r="AD25" i="2"/>
  <c r="AC35" i="2"/>
  <c r="AC36" i="2" s="1"/>
  <c r="AC55" i="2" s="1"/>
  <c r="AD52" i="2" l="1"/>
  <c r="AD35" i="2"/>
  <c r="AD36" i="2" s="1"/>
  <c r="AD55" i="2" s="1"/>
  <c r="S45" i="2" l="1"/>
  <c r="T45" i="2"/>
  <c r="S36" i="2"/>
  <c r="S55" i="2" s="1"/>
  <c r="R36" i="2"/>
  <c r="T36" i="2"/>
  <c r="T55" i="2" s="1"/>
  <c r="T37" i="2"/>
  <c r="R7" i="2"/>
  <c r="S86" i="2" s="1"/>
  <c r="S6" i="2"/>
  <c r="T6" i="2"/>
  <c r="S3" i="2"/>
  <c r="T3" i="2"/>
  <c r="N8" i="1"/>
  <c r="N11" i="1" s="1"/>
  <c r="J37" i="2" l="1"/>
  <c r="J39" i="2" s="1"/>
  <c r="R39" i="2"/>
  <c r="R55" i="2"/>
  <c r="T7" i="2"/>
  <c r="U37" i="2" s="1"/>
  <c r="U39" i="2" s="1"/>
  <c r="S39" i="2"/>
  <c r="S7" i="2"/>
  <c r="T86" i="2" s="1"/>
  <c r="T39" i="2"/>
  <c r="R41" i="2" l="1"/>
  <c r="R43" i="2" s="1"/>
  <c r="R85" i="2"/>
  <c r="U40" i="2"/>
  <c r="U41" i="2" s="1"/>
  <c r="U7" i="2" s="1"/>
  <c r="T41" i="2"/>
  <c r="T43" i="2" s="1"/>
  <c r="T85" i="2"/>
  <c r="S41" i="2"/>
  <c r="S43" i="2" s="1"/>
  <c r="S85" i="2"/>
  <c r="J41" i="2"/>
  <c r="J43" i="2" s="1"/>
  <c r="J85" i="2"/>
  <c r="V37" i="2" l="1"/>
  <c r="V39" i="2" s="1"/>
  <c r="V40" i="2" s="1"/>
  <c r="V41" i="2" s="1"/>
  <c r="V7" i="2" s="1"/>
  <c r="W37" i="2" l="1"/>
  <c r="W39" i="2" s="1"/>
  <c r="W40" i="2" s="1"/>
  <c r="W41" i="2" s="1"/>
  <c r="W7" i="2" s="1"/>
  <c r="X37" i="2" l="1"/>
  <c r="X39" i="2" s="1"/>
  <c r="X40" i="2" s="1"/>
  <c r="X41" i="2" s="1"/>
  <c r="X7" i="2" s="1"/>
  <c r="Y37" i="2" s="1"/>
  <c r="Y39" i="2" s="1"/>
  <c r="Y40" i="2" s="1"/>
  <c r="Y41" i="2" s="1"/>
  <c r="Y7" i="2" s="1"/>
  <c r="Z37" i="2" l="1"/>
  <c r="Z39" i="2" s="1"/>
  <c r="Z40" i="2" s="1"/>
  <c r="Z41" i="2" s="1"/>
  <c r="Z7" i="2" s="1"/>
  <c r="AA37" i="2" s="1"/>
  <c r="AA39" i="2" s="1"/>
  <c r="AA40" i="2" s="1"/>
  <c r="AA41" i="2" s="1"/>
  <c r="AA7" i="2" s="1"/>
  <c r="AB37" i="2" l="1"/>
  <c r="AB39" i="2" s="1"/>
  <c r="AB40" i="2" s="1"/>
  <c r="AB41" i="2" s="1"/>
  <c r="AB7" i="2" s="1"/>
  <c r="AC37" i="2" s="1"/>
  <c r="AC39" i="2" s="1"/>
  <c r="AC40" i="2" s="1"/>
  <c r="AC41" i="2" s="1"/>
  <c r="AC7" i="2" s="1"/>
  <c r="AD37" i="2" l="1"/>
  <c r="AD39" i="2" s="1"/>
  <c r="AD40" i="2" s="1"/>
  <c r="AD41" i="2" s="1"/>
  <c r="AE41" i="2" s="1"/>
  <c r="AF41" i="2" s="1"/>
  <c r="AG41" i="2" s="1"/>
  <c r="AH41" i="2" s="1"/>
  <c r="AI41" i="2" s="1"/>
  <c r="AJ41" i="2" s="1"/>
  <c r="AK41" i="2" s="1"/>
  <c r="AL41" i="2" s="1"/>
  <c r="AM41" i="2" s="1"/>
  <c r="AN41" i="2" s="1"/>
  <c r="AO41" i="2" s="1"/>
  <c r="AP41" i="2" s="1"/>
  <c r="AQ41" i="2" s="1"/>
  <c r="AR41" i="2" s="1"/>
  <c r="AS41" i="2" s="1"/>
  <c r="AT41" i="2" s="1"/>
  <c r="AU41" i="2" s="1"/>
  <c r="AV41" i="2" s="1"/>
  <c r="AW41" i="2" s="1"/>
  <c r="AX41" i="2" s="1"/>
  <c r="AY41" i="2" s="1"/>
  <c r="AZ41" i="2" s="1"/>
  <c r="BA41" i="2" s="1"/>
  <c r="BB41" i="2" s="1"/>
  <c r="BC41" i="2" s="1"/>
  <c r="BD41" i="2" s="1"/>
  <c r="BE41" i="2" s="1"/>
  <c r="BF41" i="2" s="1"/>
  <c r="BG41" i="2" s="1"/>
  <c r="BH41" i="2" s="1"/>
  <c r="BI41" i="2" s="1"/>
  <c r="BJ41" i="2" s="1"/>
  <c r="BK41" i="2" s="1"/>
  <c r="BL41" i="2" s="1"/>
  <c r="BM41" i="2" s="1"/>
  <c r="BN41" i="2" s="1"/>
  <c r="BO41" i="2" s="1"/>
  <c r="BP41" i="2" s="1"/>
  <c r="BQ41" i="2" s="1"/>
  <c r="BR41" i="2" s="1"/>
  <c r="BS41" i="2" s="1"/>
  <c r="BT41" i="2" s="1"/>
  <c r="BU41" i="2" s="1"/>
  <c r="BV41" i="2" s="1"/>
  <c r="BW41" i="2" s="1"/>
  <c r="BX41" i="2" s="1"/>
  <c r="BY41" i="2" s="1"/>
  <c r="BZ41" i="2" s="1"/>
  <c r="CA41" i="2" s="1"/>
  <c r="CB41" i="2" s="1"/>
  <c r="CC41" i="2" s="1"/>
  <c r="CD41" i="2" s="1"/>
  <c r="CE41" i="2" s="1"/>
  <c r="CF41" i="2" s="1"/>
  <c r="CG41" i="2" s="1"/>
  <c r="CH41" i="2" s="1"/>
  <c r="CI41" i="2" s="1"/>
  <c r="CJ41" i="2" s="1"/>
  <c r="CK41" i="2" s="1"/>
  <c r="CL41" i="2" s="1"/>
  <c r="CM41" i="2" s="1"/>
  <c r="CN41" i="2" s="1"/>
  <c r="CO41" i="2" s="1"/>
  <c r="CP41" i="2" s="1"/>
  <c r="CQ41" i="2" s="1"/>
  <c r="CR41" i="2" s="1"/>
  <c r="CS41" i="2" s="1"/>
  <c r="CT41" i="2" s="1"/>
  <c r="CU41" i="2" s="1"/>
  <c r="CV41" i="2" s="1"/>
  <c r="CW41" i="2" s="1"/>
  <c r="CX41" i="2" s="1"/>
  <c r="CY41" i="2" s="1"/>
  <c r="CZ41" i="2" s="1"/>
  <c r="DA41" i="2" s="1"/>
  <c r="DB41" i="2" s="1"/>
  <c r="DC41" i="2" s="1"/>
  <c r="DD41" i="2" s="1"/>
  <c r="DE41" i="2" s="1"/>
  <c r="DF41" i="2" s="1"/>
  <c r="DG41" i="2" s="1"/>
  <c r="DH41" i="2" s="1"/>
  <c r="DI41" i="2" s="1"/>
  <c r="DJ41" i="2" s="1"/>
  <c r="DK41" i="2" s="1"/>
  <c r="DL41" i="2" s="1"/>
  <c r="DM41" i="2" s="1"/>
  <c r="DN41" i="2" s="1"/>
  <c r="DO41" i="2" s="1"/>
  <c r="DP41" i="2" s="1"/>
  <c r="DQ41" i="2" s="1"/>
  <c r="C4" i="3" s="1"/>
  <c r="N14" i="1" s="1"/>
  <c r="AD7" i="2" l="1"/>
  <c r="N15" i="1"/>
</calcChain>
</file>

<file path=xl/sharedStrings.xml><?xml version="1.0" encoding="utf-8"?>
<sst xmlns="http://schemas.openxmlformats.org/spreadsheetml/2006/main" count="133" uniqueCount="98">
  <si>
    <t>Price</t>
  </si>
  <si>
    <t>Shares</t>
  </si>
  <si>
    <t>MkCap</t>
  </si>
  <si>
    <t>Cash</t>
  </si>
  <si>
    <t>Debt</t>
  </si>
  <si>
    <t>Run rate</t>
  </si>
  <si>
    <t>EV</t>
  </si>
  <si>
    <t>Update</t>
  </si>
  <si>
    <t>NPV</t>
  </si>
  <si>
    <t>2022Q4</t>
  </si>
  <si>
    <t>2022Q3</t>
  </si>
  <si>
    <t>2022Q2</t>
  </si>
  <si>
    <t>2022Q1</t>
  </si>
  <si>
    <t>2021Q4</t>
  </si>
  <si>
    <t>2021Q3</t>
  </si>
  <si>
    <t>2021Q2</t>
  </si>
  <si>
    <t>2021Q1</t>
  </si>
  <si>
    <t>NPV/Sh</t>
  </si>
  <si>
    <t>Maturity decay</t>
  </si>
  <si>
    <t>Discount</t>
  </si>
  <si>
    <t>Ticker</t>
  </si>
  <si>
    <t>Company</t>
  </si>
  <si>
    <t>ARCB</t>
  </si>
  <si>
    <t>ArcBest Corporation</t>
  </si>
  <si>
    <t>Cash&amp;Marketables</t>
  </si>
  <si>
    <t>PPE, net</t>
  </si>
  <si>
    <t>Revenue PPE, at cost</t>
  </si>
  <si>
    <t>Net cash</t>
  </si>
  <si>
    <t>Revenue</t>
  </si>
  <si>
    <t>Op ex</t>
  </si>
  <si>
    <t>Operating income</t>
  </si>
  <si>
    <t>Other</t>
  </si>
  <si>
    <t>EBT</t>
  </si>
  <si>
    <t>Taxes</t>
  </si>
  <si>
    <t>Net income</t>
  </si>
  <si>
    <t>EPS</t>
  </si>
  <si>
    <t>CF Depre&amp;Amort</t>
  </si>
  <si>
    <t>CF Stock comp</t>
  </si>
  <si>
    <t>-CF PPE CAPEX</t>
  </si>
  <si>
    <t>-CF Debt payment</t>
  </si>
  <si>
    <t>Asset based revenue, tradition shipping via LTL</t>
  </si>
  <si>
    <t>Asset light revenue, Truckload and Expedite shipping</t>
  </si>
  <si>
    <t>Services, fleet maintenance&amp;repaire</t>
  </si>
  <si>
    <t>ABF Frieght</t>
  </si>
  <si>
    <t>ArcBest</t>
  </si>
  <si>
    <t>FleetNet</t>
  </si>
  <si>
    <t>Apparently leverages AI to schedule shipments (natural language, text, phone, computer vision)</t>
  </si>
  <si>
    <t>Asset based</t>
  </si>
  <si>
    <t>Other+Elims</t>
  </si>
  <si>
    <t>Salaries</t>
  </si>
  <si>
    <t>Fuel &amp; supply</t>
  </si>
  <si>
    <t>Licenses</t>
  </si>
  <si>
    <t>Insurance</t>
  </si>
  <si>
    <t>Communications</t>
  </si>
  <si>
    <t>Depreciation</t>
  </si>
  <si>
    <t>Purch. Transport</t>
  </si>
  <si>
    <t>Shared services</t>
  </si>
  <si>
    <t>Gain on PPE sale</t>
  </si>
  <si>
    <t>Innov Tech Cost</t>
  </si>
  <si>
    <t xml:space="preserve">  AssetBased OpEx</t>
  </si>
  <si>
    <t>Supplies</t>
  </si>
  <si>
    <t>Gain on sale of comp</t>
  </si>
  <si>
    <t xml:space="preserve">  ArcBest OpEx</t>
  </si>
  <si>
    <t>Operating margin</t>
  </si>
  <si>
    <t>Salaries %assetbased</t>
  </si>
  <si>
    <t>Asset based margin</t>
  </si>
  <si>
    <t>ArcBest margin</t>
  </si>
  <si>
    <t>FleetNet margin</t>
  </si>
  <si>
    <t>Asset based y/y</t>
  </si>
  <si>
    <t>ArcBest  y/y</t>
  </si>
  <si>
    <t>FleetNet  y/y</t>
  </si>
  <si>
    <t>Other+Elims  y/y</t>
  </si>
  <si>
    <t>Revenue  y/y</t>
  </si>
  <si>
    <t>Fuel &amp; supply %assetbased</t>
  </si>
  <si>
    <t>Licenses %assetbased</t>
  </si>
  <si>
    <t>Insurance %assetbased</t>
  </si>
  <si>
    <t>Communications %assetbased</t>
  </si>
  <si>
    <t>Depreciation %assetbased</t>
  </si>
  <si>
    <t>Purch. Transport %assetbased</t>
  </si>
  <si>
    <t>Shared services %assetbased</t>
  </si>
  <si>
    <t>Gain on PPE sale %assetbased</t>
  </si>
  <si>
    <t>Innov Tech Cost %assetbased</t>
  </si>
  <si>
    <t>Other %assetbased</t>
  </si>
  <si>
    <t>Purch. Transport %ArcBest</t>
  </si>
  <si>
    <t>Supplies %ArcBest</t>
  </si>
  <si>
    <t>Depreciation %ArcBest</t>
  </si>
  <si>
    <t>Shared services %ArcBest</t>
  </si>
  <si>
    <t>Gain on sale of comp %ArcBest</t>
  </si>
  <si>
    <t>Other %ArcBest</t>
  </si>
  <si>
    <t>FleetNet %FleetNet</t>
  </si>
  <si>
    <t>Other %Other</t>
  </si>
  <si>
    <t>Tax rate</t>
  </si>
  <si>
    <t>Interest rate</t>
  </si>
  <si>
    <t>Interest, net</t>
  </si>
  <si>
    <t>Other, net</t>
  </si>
  <si>
    <t>u</t>
  </si>
  <si>
    <t>EBITDA ttm</t>
  </si>
  <si>
    <t>EBITA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</si>
</sst>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3" fontId="0" fillId="0" borderId="0" xfId="0" applyNumberFormat="1"/>
    <xf numFmtId="10" fontId="0" fillId="0" borderId="0" xfId="0" applyNumberFormat="1"/>
    <xf numFmtId="44" fontId="0" fillId="0" borderId="0" xfId="0" applyNumberFormat="1"/>
    <xf numFmtId="3" fontId="1" fillId="0" borderId="0" xfId="0" applyNumberFormat="1" applyFont="1"/>
    <xf numFmtId="8" fontId="1" fillId="0" borderId="0" xfId="0" applyNumberFormat="1" applyFont="1"/>
    <xf numFmtId="3" fontId="0" fillId="0" borderId="0" xfId="0" quotePrefix="1" applyNumberFormat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9525</xdr:colOff>
      <xdr:row>0</xdr:row>
      <xdr:rowOff>38100</xdr:rowOff>
    </xdr:from>
    <xdr:to>
      <xdr:col>20</xdr:col>
      <xdr:colOff>9525</xdr:colOff>
      <xdr:row>51</xdr:row>
      <xdr:rowOff>19050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F41FF2C-7A02-A688-44AC-9A20A2BC341C}"/>
            </a:ext>
          </a:extLst>
        </xdr:cNvPr>
        <xdr:cNvCxnSpPr/>
      </xdr:nvCxnSpPr>
      <xdr:spPr>
        <a:xfrm>
          <a:off x="12201525" y="38100"/>
          <a:ext cx="0" cy="4743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19050</xdr:colOff>
      <xdr:row>0</xdr:row>
      <xdr:rowOff>0</xdr:rowOff>
    </xdr:from>
    <xdr:to>
      <xdr:col>30</xdr:col>
      <xdr:colOff>19050</xdr:colOff>
      <xdr:row>49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B0F37C3-A497-43EB-8B50-23417BD53A4C}"/>
            </a:ext>
          </a:extLst>
        </xdr:cNvPr>
        <xdr:cNvCxnSpPr/>
      </xdr:nvCxnSpPr>
      <xdr:spPr>
        <a:xfrm>
          <a:off x="18307050" y="0"/>
          <a:ext cx="0" cy="4743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E6B5-2ED0-4ACF-895E-E286D10A7127}">
  <dimension ref="C2:N17"/>
  <sheetViews>
    <sheetView tabSelected="1" topLeftCell="B1" workbookViewId="0">
      <selection activeCell="E24" sqref="E24"/>
    </sheetView>
  </sheetViews>
  <sheetFormatPr defaultRowHeight="15" x14ac:dyDescent="0.25"/>
  <cols>
    <col min="14" max="14" width="9.7109375" bestFit="1" customWidth="1"/>
  </cols>
  <sheetData>
    <row r="2" spans="3:14" x14ac:dyDescent="0.25">
      <c r="C2" t="s">
        <v>40</v>
      </c>
      <c r="I2" t="s">
        <v>43</v>
      </c>
      <c r="M2" t="s">
        <v>7</v>
      </c>
      <c r="N2" s="1">
        <v>44993</v>
      </c>
    </row>
    <row r="3" spans="3:14" x14ac:dyDescent="0.25">
      <c r="C3" t="s">
        <v>41</v>
      </c>
      <c r="I3" t="s">
        <v>44</v>
      </c>
      <c r="M3" t="s">
        <v>20</v>
      </c>
      <c r="N3" t="s">
        <v>22</v>
      </c>
    </row>
    <row r="4" spans="3:14" x14ac:dyDescent="0.25">
      <c r="C4" t="s">
        <v>42</v>
      </c>
      <c r="I4" t="s">
        <v>45</v>
      </c>
      <c r="M4" t="s">
        <v>21</v>
      </c>
      <c r="N4" t="s">
        <v>23</v>
      </c>
    </row>
    <row r="6" spans="3:14" x14ac:dyDescent="0.25">
      <c r="C6" t="s">
        <v>46</v>
      </c>
      <c r="M6" t="s">
        <v>0</v>
      </c>
      <c r="N6" s="4">
        <v>101.62</v>
      </c>
    </row>
    <row r="7" spans="3:14" x14ac:dyDescent="0.25">
      <c r="M7" t="s">
        <v>1</v>
      </c>
      <c r="N7" s="2">
        <v>24.585000000000001</v>
      </c>
    </row>
    <row r="8" spans="3:14" x14ac:dyDescent="0.25">
      <c r="M8" t="s">
        <v>2</v>
      </c>
      <c r="N8" s="2">
        <f>N6*N7</f>
        <v>2498.3277000000003</v>
      </c>
    </row>
    <row r="9" spans="3:14" x14ac:dyDescent="0.25">
      <c r="M9" t="s">
        <v>3</v>
      </c>
      <c r="N9" s="2">
        <v>326.10000000000002</v>
      </c>
    </row>
    <row r="10" spans="3:14" x14ac:dyDescent="0.25">
      <c r="M10" t="s">
        <v>4</v>
      </c>
      <c r="N10" s="2">
        <v>582.25</v>
      </c>
    </row>
    <row r="11" spans="3:14" x14ac:dyDescent="0.25">
      <c r="M11" t="s">
        <v>6</v>
      </c>
      <c r="N11" s="2">
        <f>+N8-N9+N10</f>
        <v>2754.4777000000004</v>
      </c>
    </row>
    <row r="12" spans="3:14" x14ac:dyDescent="0.25">
      <c r="M12" t="s">
        <v>5</v>
      </c>
      <c r="N12" s="2">
        <v>115.54</v>
      </c>
    </row>
    <row r="13" spans="3:14" x14ac:dyDescent="0.25">
      <c r="N13" s="2"/>
    </row>
    <row r="14" spans="3:14" x14ac:dyDescent="0.25">
      <c r="M14" t="s">
        <v>8</v>
      </c>
      <c r="N14" s="2">
        <f>Dash!C4</f>
        <v>3083.7037867156318</v>
      </c>
    </row>
    <row r="15" spans="3:14" x14ac:dyDescent="0.25">
      <c r="M15" t="s">
        <v>17</v>
      </c>
      <c r="N15" s="4">
        <f>N14/N7</f>
        <v>125.4302943549169</v>
      </c>
    </row>
    <row r="17" spans="13:14" x14ac:dyDescent="0.25">
      <c r="M17" t="s">
        <v>96</v>
      </c>
      <c r="N17" s="2">
        <f>+Model!T50</f>
        <v>539.48500000000149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22598-A76D-432E-8D6B-EF22B15EDFE4}">
  <dimension ref="A2:DQ140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1" sqref="J1"/>
    </sheetView>
  </sheetViews>
  <sheetFormatPr defaultRowHeight="15" x14ac:dyDescent="0.25"/>
  <cols>
    <col min="2" max="2" width="17" bestFit="1" customWidth="1"/>
  </cols>
  <sheetData>
    <row r="2" spans="2:121" x14ac:dyDescent="0.25">
      <c r="C2" t="s">
        <v>16</v>
      </c>
      <c r="D2" t="s">
        <v>15</v>
      </c>
      <c r="E2" t="s">
        <v>14</v>
      </c>
      <c r="F2" t="s">
        <v>13</v>
      </c>
      <c r="G2" t="s">
        <v>12</v>
      </c>
      <c r="H2" t="s">
        <v>11</v>
      </c>
      <c r="I2" t="s">
        <v>10</v>
      </c>
      <c r="J2" t="s">
        <v>9</v>
      </c>
      <c r="M2">
        <v>2015</v>
      </c>
      <c r="N2">
        <v>2016</v>
      </c>
      <c r="O2">
        <v>2017</v>
      </c>
      <c r="P2">
        <v>2018</v>
      </c>
      <c r="Q2">
        <v>2019</v>
      </c>
      <c r="R2">
        <v>2020</v>
      </c>
      <c r="S2">
        <v>2021</v>
      </c>
      <c r="T2">
        <v>2022</v>
      </c>
      <c r="U2">
        <v>2023</v>
      </c>
      <c r="V2">
        <v>2024</v>
      </c>
      <c r="W2">
        <v>2025</v>
      </c>
      <c r="X2">
        <v>2026</v>
      </c>
      <c r="Y2">
        <v>2027</v>
      </c>
      <c r="Z2">
        <v>2028</v>
      </c>
      <c r="AA2">
        <v>2029</v>
      </c>
      <c r="AB2">
        <v>2030</v>
      </c>
      <c r="AC2">
        <v>2031</v>
      </c>
      <c r="AD2">
        <v>2032</v>
      </c>
      <c r="AE2">
        <v>2033</v>
      </c>
      <c r="AF2">
        <v>2034</v>
      </c>
      <c r="AG2">
        <v>2035</v>
      </c>
      <c r="AH2">
        <v>2036</v>
      </c>
      <c r="AI2">
        <v>2037</v>
      </c>
      <c r="AJ2">
        <v>2038</v>
      </c>
      <c r="AK2">
        <v>2039</v>
      </c>
      <c r="AL2">
        <v>2040</v>
      </c>
      <c r="AM2">
        <v>2041</v>
      </c>
      <c r="AN2">
        <v>2042</v>
      </c>
      <c r="AO2">
        <v>2043</v>
      </c>
      <c r="AP2">
        <v>2044</v>
      </c>
      <c r="AQ2">
        <v>2045</v>
      </c>
      <c r="AR2">
        <v>2046</v>
      </c>
      <c r="AS2">
        <v>2047</v>
      </c>
      <c r="AT2">
        <v>2048</v>
      </c>
      <c r="AU2">
        <v>2049</v>
      </c>
      <c r="AV2">
        <v>2050</v>
      </c>
      <c r="AW2">
        <v>2051</v>
      </c>
      <c r="AX2">
        <v>2052</v>
      </c>
      <c r="AY2">
        <v>2053</v>
      </c>
      <c r="AZ2">
        <v>2054</v>
      </c>
      <c r="BA2">
        <v>2055</v>
      </c>
      <c r="BB2">
        <v>2056</v>
      </c>
      <c r="BC2">
        <v>2057</v>
      </c>
      <c r="BD2">
        <v>2058</v>
      </c>
      <c r="BE2">
        <v>2059</v>
      </c>
      <c r="BF2">
        <v>2060</v>
      </c>
      <c r="BG2">
        <v>2061</v>
      </c>
      <c r="BH2">
        <v>2062</v>
      </c>
      <c r="BI2">
        <v>2063</v>
      </c>
      <c r="BJ2">
        <v>2064</v>
      </c>
      <c r="BK2">
        <v>2065</v>
      </c>
      <c r="BL2">
        <v>2066</v>
      </c>
      <c r="BM2">
        <v>2067</v>
      </c>
      <c r="BN2">
        <v>2068</v>
      </c>
      <c r="BO2">
        <v>2069</v>
      </c>
      <c r="BP2">
        <v>2070</v>
      </c>
      <c r="BQ2">
        <v>2071</v>
      </c>
      <c r="BR2">
        <v>2072</v>
      </c>
      <c r="BS2">
        <v>2073</v>
      </c>
      <c r="BT2">
        <v>2074</v>
      </c>
      <c r="BU2">
        <v>2075</v>
      </c>
      <c r="BV2">
        <v>2076</v>
      </c>
      <c r="BW2">
        <v>2077</v>
      </c>
      <c r="BX2">
        <v>2078</v>
      </c>
      <c r="BY2">
        <v>2079</v>
      </c>
      <c r="BZ2">
        <v>2080</v>
      </c>
      <c r="CA2">
        <v>2081</v>
      </c>
      <c r="CB2">
        <v>2082</v>
      </c>
      <c r="CC2">
        <v>2083</v>
      </c>
      <c r="CD2">
        <v>2084</v>
      </c>
      <c r="CE2">
        <v>2085</v>
      </c>
      <c r="CF2">
        <v>2086</v>
      </c>
      <c r="CG2">
        <v>2087</v>
      </c>
      <c r="CH2">
        <v>2088</v>
      </c>
      <c r="CI2">
        <v>2089</v>
      </c>
      <c r="CJ2">
        <v>2090</v>
      </c>
      <c r="CK2">
        <v>2091</v>
      </c>
      <c r="CL2">
        <v>2092</v>
      </c>
      <c r="CM2">
        <v>2093</v>
      </c>
      <c r="CN2">
        <v>2094</v>
      </c>
      <c r="CO2">
        <v>2095</v>
      </c>
      <c r="CP2">
        <v>2096</v>
      </c>
      <c r="CQ2">
        <v>2097</v>
      </c>
      <c r="CR2">
        <v>2098</v>
      </c>
      <c r="CS2">
        <v>2099</v>
      </c>
      <c r="CT2">
        <v>2100</v>
      </c>
      <c r="CU2">
        <v>2101</v>
      </c>
      <c r="CV2">
        <v>2102</v>
      </c>
      <c r="CW2">
        <v>2103</v>
      </c>
      <c r="CX2">
        <v>2104</v>
      </c>
      <c r="CY2">
        <v>2105</v>
      </c>
      <c r="CZ2">
        <v>2106</v>
      </c>
      <c r="DA2">
        <v>2107</v>
      </c>
      <c r="DB2">
        <v>2108</v>
      </c>
      <c r="DC2">
        <v>2109</v>
      </c>
      <c r="DD2">
        <v>2110</v>
      </c>
      <c r="DE2">
        <v>2111</v>
      </c>
      <c r="DF2">
        <v>2112</v>
      </c>
      <c r="DG2">
        <v>2113</v>
      </c>
      <c r="DH2">
        <v>2114</v>
      </c>
      <c r="DI2">
        <v>2115</v>
      </c>
      <c r="DJ2">
        <v>2116</v>
      </c>
      <c r="DK2">
        <v>2117</v>
      </c>
      <c r="DL2">
        <v>2118</v>
      </c>
      <c r="DM2">
        <v>2119</v>
      </c>
      <c r="DN2">
        <v>2120</v>
      </c>
      <c r="DO2">
        <v>2121</v>
      </c>
      <c r="DP2">
        <v>2122</v>
      </c>
      <c r="DQ2">
        <v>2123</v>
      </c>
    </row>
    <row r="3" spans="2:121" s="2" customFormat="1" x14ac:dyDescent="0.25">
      <c r="B3" s="2" t="s">
        <v>24</v>
      </c>
      <c r="J3" s="2">
        <f>158.4+167.7</f>
        <v>326.10000000000002</v>
      </c>
      <c r="M3" s="2">
        <f>164.99+61.6+1.4</f>
        <v>227.99</v>
      </c>
      <c r="N3" s="2">
        <f>114.3+56.8+1</f>
        <v>172.1</v>
      </c>
      <c r="O3" s="2">
        <f>121+56.4</f>
        <v>177.4</v>
      </c>
      <c r="P3" s="2">
        <f>190.2+106.8</f>
        <v>297</v>
      </c>
      <c r="Q3" s="2">
        <f>201.9+116.6</f>
        <v>318.5</v>
      </c>
      <c r="R3" s="2">
        <f>304+65.4</f>
        <v>369.4</v>
      </c>
      <c r="S3" s="2">
        <f>76.6+48.3</f>
        <v>124.89999999999999</v>
      </c>
      <c r="T3" s="2">
        <f>158.4+167.7</f>
        <v>326.10000000000002</v>
      </c>
    </row>
    <row r="4" spans="2:121" s="2" customFormat="1" x14ac:dyDescent="0.25">
      <c r="B4" s="2" t="s">
        <v>26</v>
      </c>
      <c r="J4" s="2">
        <v>1038.8</v>
      </c>
      <c r="M4" s="2">
        <v>699.8</v>
      </c>
      <c r="N4" s="2">
        <v>743.9</v>
      </c>
      <c r="O4" s="2">
        <v>793.5</v>
      </c>
      <c r="P4" s="2">
        <v>858.3</v>
      </c>
      <c r="Q4" s="2">
        <v>896</v>
      </c>
      <c r="R4" s="2">
        <v>916.8</v>
      </c>
      <c r="S4" s="2">
        <v>980.3</v>
      </c>
      <c r="T4" s="2">
        <v>1038.8</v>
      </c>
    </row>
    <row r="5" spans="2:121" s="2" customFormat="1" x14ac:dyDescent="0.25">
      <c r="B5" s="2" t="s">
        <v>25</v>
      </c>
      <c r="J5" s="2">
        <v>810.5</v>
      </c>
      <c r="M5" s="2">
        <v>483</v>
      </c>
      <c r="N5" s="2">
        <v>532.5</v>
      </c>
      <c r="O5" s="2">
        <v>591.20000000000005</v>
      </c>
      <c r="P5" s="2">
        <v>631.20000000000005</v>
      </c>
      <c r="Q5" s="2">
        <v>683.6</v>
      </c>
      <c r="R5" s="2">
        <v>678.7</v>
      </c>
      <c r="S5" s="2">
        <v>695.9</v>
      </c>
      <c r="T5" s="2">
        <v>810.5</v>
      </c>
    </row>
    <row r="6" spans="2:121" s="2" customFormat="1" x14ac:dyDescent="0.25">
      <c r="B6" s="2" t="s">
        <v>4</v>
      </c>
      <c r="J6" s="2">
        <f>317.5+66.35+198.4</f>
        <v>582.25</v>
      </c>
      <c r="M6" s="2">
        <f>130.9+44.9+167.6</f>
        <v>343.4</v>
      </c>
      <c r="N6" s="2">
        <f>133.3+64.1+179.5</f>
        <v>376.9</v>
      </c>
      <c r="O6" s="2">
        <f>129.1+61.9+207</f>
        <v>398</v>
      </c>
      <c r="P6" s="2">
        <f>143.8+54+237.6</f>
        <v>435.4</v>
      </c>
      <c r="Q6" s="2">
        <f>134.4+57.3+266.2</f>
        <v>457.9</v>
      </c>
      <c r="R6" s="2">
        <f>170.9+67.105+217.1</f>
        <v>455.10500000000002</v>
      </c>
      <c r="S6" s="2">
        <f>311.4+50.6+174.9</f>
        <v>536.9</v>
      </c>
      <c r="T6" s="2">
        <f>317.5+66.35+198.4</f>
        <v>582.25</v>
      </c>
    </row>
    <row r="7" spans="2:121" s="2" customFormat="1" x14ac:dyDescent="0.25">
      <c r="B7" s="2" t="s">
        <v>27</v>
      </c>
      <c r="C7" s="2">
        <f t="shared" ref="C7:O7" si="0">+C3-C6</f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>+J3-J6</f>
        <v>-256.14999999999998</v>
      </c>
      <c r="M7" s="2">
        <f t="shared" si="0"/>
        <v>-115.40999999999997</v>
      </c>
      <c r="N7" s="2">
        <f t="shared" si="0"/>
        <v>-204.79999999999998</v>
      </c>
      <c r="O7" s="2">
        <f t="shared" si="0"/>
        <v>-220.6</v>
      </c>
      <c r="P7" s="2">
        <f>+P3-P6</f>
        <v>-138.39999999999998</v>
      </c>
      <c r="Q7" s="2">
        <f>+Q3-Q6</f>
        <v>-139.39999999999998</v>
      </c>
      <c r="R7" s="2">
        <f>+R3-R6</f>
        <v>-85.705000000000041</v>
      </c>
      <c r="S7" s="2">
        <f>+S3-S6</f>
        <v>-412</v>
      </c>
      <c r="T7" s="2">
        <f>+T3-T6</f>
        <v>-256.14999999999998</v>
      </c>
      <c r="U7" s="2">
        <f>+T7+U41</f>
        <v>32.20643224999975</v>
      </c>
      <c r="V7" s="2">
        <f t="shared" ref="V7:AD7" si="1">+U7+V41</f>
        <v>315.43887007137477</v>
      </c>
      <c r="W7" s="2">
        <f t="shared" si="1"/>
        <v>578.13005747690852</v>
      </c>
      <c r="X7" s="2">
        <f t="shared" si="1"/>
        <v>828.06374439064393</v>
      </c>
      <c r="Y7" s="2">
        <f t="shared" si="1"/>
        <v>1054.0721165010302</v>
      </c>
      <c r="Z7" s="2">
        <f t="shared" si="1"/>
        <v>1263.8051956352633</v>
      </c>
      <c r="AA7" s="2">
        <f t="shared" si="1"/>
        <v>1490.652528969759</v>
      </c>
      <c r="AB7" s="2">
        <f t="shared" si="1"/>
        <v>1740.2774018549346</v>
      </c>
      <c r="AC7" s="2">
        <f t="shared" si="1"/>
        <v>2014.726650977012</v>
      </c>
      <c r="AD7" s="2">
        <f t="shared" si="1"/>
        <v>2316.2254292431257</v>
      </c>
    </row>
    <row r="8" spans="2:121" s="2" customFormat="1" x14ac:dyDescent="0.25"/>
    <row r="9" spans="2:121" s="2" customFormat="1" x14ac:dyDescent="0.25">
      <c r="B9" s="2" t="s">
        <v>47</v>
      </c>
      <c r="C9" s="2">
        <v>556.29999999999995</v>
      </c>
      <c r="D9" s="2">
        <v>652.79999999999995</v>
      </c>
      <c r="E9" s="2">
        <v>681.2</v>
      </c>
      <c r="F9" s="2">
        <f>+S9-E9-D9-C9</f>
        <v>683.50000000000023</v>
      </c>
      <c r="G9" s="2">
        <v>705.3</v>
      </c>
      <c r="H9" s="2">
        <v>802.6</v>
      </c>
      <c r="I9" s="2">
        <v>791.5</v>
      </c>
      <c r="J9" s="2">
        <f>+T9-I9-H9-G9</f>
        <v>711.50000000000023</v>
      </c>
      <c r="M9" s="2">
        <v>1916.6</v>
      </c>
      <c r="N9" s="2">
        <v>1916.4</v>
      </c>
      <c r="O9" s="2">
        <v>1993.3</v>
      </c>
      <c r="P9" s="2">
        <v>2175.6</v>
      </c>
      <c r="Q9" s="2">
        <v>2144.6999999999998</v>
      </c>
      <c r="R9" s="2">
        <v>2092.0300000000002</v>
      </c>
      <c r="S9" s="2">
        <v>2573.8000000000002</v>
      </c>
      <c r="T9" s="2">
        <v>3010.9</v>
      </c>
      <c r="U9" s="2">
        <f>+T9*(1+U57)</f>
        <v>3372.2080000000005</v>
      </c>
      <c r="V9" s="2">
        <f t="shared" ref="V9:AD9" si="2">+U9*(1+V57)</f>
        <v>3709.428800000001</v>
      </c>
      <c r="W9" s="2">
        <f t="shared" si="2"/>
        <v>4043.2773920000013</v>
      </c>
      <c r="X9" s="2">
        <f t="shared" si="2"/>
        <v>4407.172357280002</v>
      </c>
      <c r="Y9" s="2">
        <f t="shared" si="2"/>
        <v>4781.7820076488024</v>
      </c>
      <c r="Z9" s="2">
        <f t="shared" si="2"/>
        <v>5188.2334782989501</v>
      </c>
      <c r="AA9" s="2">
        <f t="shared" si="2"/>
        <v>5629.2333239543605</v>
      </c>
      <c r="AB9" s="2">
        <f t="shared" si="2"/>
        <v>6107.7181564904813</v>
      </c>
      <c r="AC9" s="2">
        <f t="shared" si="2"/>
        <v>6626.8741997921716</v>
      </c>
      <c r="AD9" s="2">
        <f t="shared" si="2"/>
        <v>7190.1585067745063</v>
      </c>
    </row>
    <row r="10" spans="2:121" s="2" customFormat="1" x14ac:dyDescent="0.25">
      <c r="B10" s="2" t="s">
        <v>44</v>
      </c>
      <c r="C10" s="2">
        <v>252.3</v>
      </c>
      <c r="D10" s="2">
        <v>270.7</v>
      </c>
      <c r="E10" s="2">
        <v>305.2</v>
      </c>
      <c r="F10" s="2">
        <f t="shared" ref="F10:F12" si="3">+S10-E10-D10-C10</f>
        <v>472.39999999999981</v>
      </c>
      <c r="G10" s="2">
        <v>595.29999999999995</v>
      </c>
      <c r="H10" s="2">
        <v>549.70000000000005</v>
      </c>
      <c r="I10" s="2">
        <v>515.20000000000005</v>
      </c>
      <c r="J10" s="2">
        <f t="shared" ref="J10:J12" si="4">+T10-I10-H10-G10</f>
        <v>479.10000000000014</v>
      </c>
      <c r="M10" s="2">
        <v>590.4</v>
      </c>
      <c r="N10" s="2">
        <v>640.70000000000005</v>
      </c>
      <c r="O10" s="2">
        <v>706.7</v>
      </c>
      <c r="P10" s="2">
        <v>781.1</v>
      </c>
      <c r="Q10" s="2">
        <v>738.4</v>
      </c>
      <c r="R10" s="2">
        <v>779.11500000000001</v>
      </c>
      <c r="S10" s="2">
        <v>1300.5999999999999</v>
      </c>
      <c r="T10" s="2">
        <v>2139.3000000000002</v>
      </c>
      <c r="U10" s="2">
        <f>+T10*(1+U58)</f>
        <v>2460.1950000000002</v>
      </c>
      <c r="V10" s="2">
        <f t="shared" ref="V10:AD10" si="5">+U10*(1+V58)</f>
        <v>2755.4184000000005</v>
      </c>
      <c r="W10" s="2">
        <f t="shared" si="5"/>
        <v>3058.5144240000009</v>
      </c>
      <c r="X10" s="2">
        <f t="shared" si="5"/>
        <v>3364.3658664000013</v>
      </c>
      <c r="Y10" s="2">
        <f t="shared" si="5"/>
        <v>3667.1587943760019</v>
      </c>
      <c r="Z10" s="2">
        <f t="shared" si="5"/>
        <v>3978.8672918979619</v>
      </c>
      <c r="AA10" s="2">
        <f t="shared" si="5"/>
        <v>4317.0710117092885</v>
      </c>
      <c r="AB10" s="2">
        <f t="shared" si="5"/>
        <v>4684.0220477045777</v>
      </c>
      <c r="AC10" s="2">
        <f t="shared" si="5"/>
        <v>5082.1639217594666</v>
      </c>
      <c r="AD10" s="2">
        <f t="shared" si="5"/>
        <v>5514.1478551090213</v>
      </c>
    </row>
    <row r="11" spans="2:121" s="2" customFormat="1" x14ac:dyDescent="0.25">
      <c r="B11" s="2" t="s">
        <v>45</v>
      </c>
      <c r="C11" s="2">
        <v>59.2</v>
      </c>
      <c r="D11" s="2">
        <v>59.5</v>
      </c>
      <c r="E11" s="2">
        <v>66.5</v>
      </c>
      <c r="F11" s="2">
        <f t="shared" si="3"/>
        <v>68.899999999999991</v>
      </c>
      <c r="G11" s="2">
        <v>78.400000000000006</v>
      </c>
      <c r="H11" s="2">
        <v>82.1</v>
      </c>
      <c r="I11" s="2">
        <v>89.3</v>
      </c>
      <c r="J11" s="2">
        <f t="shared" si="4"/>
        <v>93.300000000000011</v>
      </c>
      <c r="M11" s="2">
        <v>174.99</v>
      </c>
      <c r="N11" s="2">
        <v>162.6</v>
      </c>
      <c r="O11" s="2">
        <v>156.30000000000001</v>
      </c>
      <c r="P11" s="2">
        <v>195.1</v>
      </c>
      <c r="Q11" s="2">
        <v>211.7</v>
      </c>
      <c r="R11" s="2">
        <v>205</v>
      </c>
      <c r="S11" s="2">
        <v>254.1</v>
      </c>
      <c r="T11" s="2">
        <v>343.1</v>
      </c>
      <c r="U11" s="2">
        <f>+T11*(1+U59)</f>
        <v>377.41000000000008</v>
      </c>
      <c r="V11" s="2">
        <f t="shared" ref="V11:AD11" si="6">+U11*(1+V59)</f>
        <v>411.37690000000009</v>
      </c>
      <c r="W11" s="2">
        <f t="shared" si="6"/>
        <v>444.28705200000013</v>
      </c>
      <c r="X11" s="2">
        <f t="shared" si="6"/>
        <v>475.38714564000014</v>
      </c>
      <c r="Y11" s="2">
        <f t="shared" si="6"/>
        <v>503.91037437840015</v>
      </c>
      <c r="Z11" s="2">
        <f t="shared" si="6"/>
        <v>529.10589309732018</v>
      </c>
      <c r="AA11" s="2">
        <f t="shared" si="6"/>
        <v>555.56118775218624</v>
      </c>
      <c r="AB11" s="2">
        <f t="shared" si="6"/>
        <v>583.33924713979559</v>
      </c>
      <c r="AC11" s="2">
        <f t="shared" si="6"/>
        <v>612.50620949678535</v>
      </c>
      <c r="AD11" s="2">
        <f t="shared" si="6"/>
        <v>643.13151997162458</v>
      </c>
    </row>
    <row r="12" spans="2:121" s="2" customFormat="1" x14ac:dyDescent="0.25">
      <c r="B12" s="2" t="s">
        <v>48</v>
      </c>
      <c r="C12" s="2">
        <v>-38.6</v>
      </c>
      <c r="D12" s="2">
        <v>-34.200000000000003</v>
      </c>
      <c r="E12" s="2">
        <v>-36.200000000000003</v>
      </c>
      <c r="F12" s="2">
        <f t="shared" si="3"/>
        <v>-39.4</v>
      </c>
      <c r="G12" s="2">
        <v>-43.9</v>
      </c>
      <c r="H12" s="2">
        <v>-41.5</v>
      </c>
      <c r="I12" s="2">
        <v>-44.2</v>
      </c>
      <c r="J12" s="2">
        <f t="shared" si="4"/>
        <v>-39.599999999999987</v>
      </c>
      <c r="M12" s="2">
        <v>-15.1</v>
      </c>
      <c r="N12" s="2">
        <v>-19.5</v>
      </c>
      <c r="O12" s="2">
        <v>-29.9</v>
      </c>
      <c r="P12" s="2">
        <v>-58</v>
      </c>
      <c r="Q12" s="2">
        <v>-106.5</v>
      </c>
      <c r="R12" s="2">
        <v>-136</v>
      </c>
      <c r="S12" s="2">
        <v>-148.4</v>
      </c>
      <c r="T12" s="2">
        <v>-169.2</v>
      </c>
      <c r="U12" s="2">
        <f>+T12*(1+U60)</f>
        <v>-186.12</v>
      </c>
      <c r="V12" s="2">
        <f t="shared" ref="V12:AD12" si="7">+U12*(1+V60)</f>
        <v>-202.87080000000003</v>
      </c>
      <c r="W12" s="2">
        <f t="shared" si="7"/>
        <v>-219.10046400000004</v>
      </c>
      <c r="X12" s="2">
        <f t="shared" si="7"/>
        <v>-236.62850112000007</v>
      </c>
      <c r="Y12" s="2">
        <f t="shared" si="7"/>
        <v>-255.55878120960008</v>
      </c>
      <c r="Z12" s="2">
        <f t="shared" si="7"/>
        <v>-276.00348370636812</v>
      </c>
      <c r="AA12" s="2">
        <f t="shared" si="7"/>
        <v>-298.0837624028776</v>
      </c>
      <c r="AB12" s="2">
        <f t="shared" si="7"/>
        <v>-321.93046339510784</v>
      </c>
      <c r="AC12" s="2">
        <f t="shared" si="7"/>
        <v>-347.6849004667165</v>
      </c>
      <c r="AD12" s="2">
        <f t="shared" si="7"/>
        <v>-375.49969250405383</v>
      </c>
    </row>
    <row r="13" spans="2:121" s="5" customFormat="1" x14ac:dyDescent="0.25">
      <c r="B13" s="5" t="s">
        <v>28</v>
      </c>
      <c r="C13" s="5">
        <f t="shared" ref="C13:O13" si="8">+SUM(C9:C12)</f>
        <v>829.19999999999993</v>
      </c>
      <c r="D13" s="5">
        <f t="shared" si="8"/>
        <v>948.8</v>
      </c>
      <c r="E13" s="5">
        <f t="shared" si="8"/>
        <v>1016.7</v>
      </c>
      <c r="F13" s="5">
        <f t="shared" si="8"/>
        <v>1185.4000000000001</v>
      </c>
      <c r="G13" s="5">
        <f t="shared" si="8"/>
        <v>1335.1</v>
      </c>
      <c r="H13" s="5">
        <f t="shared" si="8"/>
        <v>1392.9</v>
      </c>
      <c r="I13" s="5">
        <f t="shared" si="8"/>
        <v>1351.8</v>
      </c>
      <c r="J13" s="5">
        <f t="shared" si="8"/>
        <v>1244.3000000000004</v>
      </c>
      <c r="M13" s="5">
        <f t="shared" si="8"/>
        <v>2666.89</v>
      </c>
      <c r="N13" s="5">
        <f t="shared" si="8"/>
        <v>2700.2000000000003</v>
      </c>
      <c r="O13" s="5">
        <f t="shared" si="8"/>
        <v>2826.4</v>
      </c>
      <c r="P13" s="5">
        <f>+SUM(P9:P12)</f>
        <v>3093.7999999999997</v>
      </c>
      <c r="Q13" s="5">
        <f>+SUM(Q9:Q12)</f>
        <v>2988.2999999999997</v>
      </c>
      <c r="R13" s="5">
        <f>+SUM(R9:R12)</f>
        <v>2940.1450000000004</v>
      </c>
      <c r="S13" s="5">
        <f>+SUM(S9:S12)</f>
        <v>3980.1</v>
      </c>
      <c r="T13" s="5">
        <f>+SUM(T9:T12)</f>
        <v>5324.1000000000013</v>
      </c>
      <c r="U13" s="5">
        <f t="shared" ref="U13:AD13" si="9">+SUM(U9:U12)</f>
        <v>6023.6930000000002</v>
      </c>
      <c r="V13" s="5">
        <f t="shared" si="9"/>
        <v>6673.3533000000025</v>
      </c>
      <c r="W13" s="5">
        <f t="shared" si="9"/>
        <v>7326.9784040000022</v>
      </c>
      <c r="X13" s="5">
        <f t="shared" si="9"/>
        <v>8010.2968682000028</v>
      </c>
      <c r="Y13" s="5">
        <f t="shared" si="9"/>
        <v>8697.2923951936045</v>
      </c>
      <c r="Z13" s="5">
        <f t="shared" si="9"/>
        <v>9420.2031795878629</v>
      </c>
      <c r="AA13" s="5">
        <f t="shared" si="9"/>
        <v>10203.781761012957</v>
      </c>
      <c r="AB13" s="5">
        <f t="shared" si="9"/>
        <v>11053.148987939749</v>
      </c>
      <c r="AC13" s="5">
        <f t="shared" si="9"/>
        <v>11973.859430581708</v>
      </c>
      <c r="AD13" s="5">
        <f t="shared" si="9"/>
        <v>12971.938189351098</v>
      </c>
    </row>
    <row r="14" spans="2:121" s="2" customFormat="1" x14ac:dyDescent="0.25">
      <c r="B14" s="2" t="s">
        <v>49</v>
      </c>
      <c r="C14" s="2">
        <v>285.7</v>
      </c>
      <c r="D14" s="2">
        <v>302.39999999999998</v>
      </c>
      <c r="E14" s="2">
        <v>305.8</v>
      </c>
      <c r="F14" s="2">
        <f t="shared" ref="F14:F24" si="10">+S14-E14-D14-C14</f>
        <v>304.40000000000003</v>
      </c>
      <c r="G14" s="2">
        <v>313.5</v>
      </c>
      <c r="H14" s="2">
        <v>328.1</v>
      </c>
      <c r="I14" s="2">
        <v>332.4</v>
      </c>
      <c r="J14" s="2">
        <f t="shared" ref="J14:J24" si="11">+T14-I14-H14-G14</f>
        <v>319.5</v>
      </c>
      <c r="M14" s="2">
        <v>1172.5</v>
      </c>
      <c r="N14" s="2">
        <v>1212.4000000000001</v>
      </c>
      <c r="O14" s="2">
        <v>1125.0999999999999</v>
      </c>
      <c r="P14" s="2">
        <v>1128</v>
      </c>
      <c r="Q14" s="2">
        <v>1148.8</v>
      </c>
      <c r="R14" s="2">
        <v>1095.7</v>
      </c>
      <c r="S14" s="2">
        <v>1198.3</v>
      </c>
      <c r="T14" s="2">
        <v>1293.5</v>
      </c>
      <c r="U14" s="2">
        <f>+U$9*U63</f>
        <v>1483.7715200000002</v>
      </c>
      <c r="V14" s="2">
        <f t="shared" ref="V14:AD14" si="12">+V$9*V63</f>
        <v>1706.3372480000005</v>
      </c>
      <c r="W14" s="2">
        <f t="shared" si="12"/>
        <v>1940.7731481600006</v>
      </c>
      <c r="X14" s="2">
        <f t="shared" si="12"/>
        <v>2159.5144550672007</v>
      </c>
      <c r="Y14" s="2">
        <f t="shared" si="12"/>
        <v>2390.8910038244012</v>
      </c>
      <c r="Z14" s="2">
        <f t="shared" si="12"/>
        <v>2645.9990739324644</v>
      </c>
      <c r="AA14" s="2">
        <f t="shared" si="12"/>
        <v>2870.9089952167237</v>
      </c>
      <c r="AB14" s="2">
        <f t="shared" si="12"/>
        <v>3114.9362598101457</v>
      </c>
      <c r="AC14" s="2">
        <f t="shared" si="12"/>
        <v>3379.7058418940073</v>
      </c>
      <c r="AD14" s="2">
        <f t="shared" si="12"/>
        <v>3666.9808384549983</v>
      </c>
    </row>
    <row r="15" spans="2:121" s="2" customFormat="1" x14ac:dyDescent="0.25">
      <c r="B15" s="2" t="s">
        <v>50</v>
      </c>
      <c r="C15" s="2">
        <v>60.8</v>
      </c>
      <c r="D15" s="2">
        <v>64.7</v>
      </c>
      <c r="E15" s="2">
        <v>66.900000000000006</v>
      </c>
      <c r="F15" s="2">
        <f t="shared" si="10"/>
        <v>73.7</v>
      </c>
      <c r="G15" s="2">
        <v>84.8</v>
      </c>
      <c r="H15" s="2">
        <v>99.3</v>
      </c>
      <c r="I15" s="2">
        <v>97.3</v>
      </c>
      <c r="J15" s="2">
        <f t="shared" si="11"/>
        <v>97.2</v>
      </c>
      <c r="M15" s="2">
        <v>307.3</v>
      </c>
      <c r="N15" s="2">
        <v>282.60000000000002</v>
      </c>
      <c r="O15" s="2">
        <v>234</v>
      </c>
      <c r="P15" s="2">
        <v>256.5</v>
      </c>
      <c r="Q15" s="2">
        <v>257.10000000000002</v>
      </c>
      <c r="R15" s="2">
        <v>209.1</v>
      </c>
      <c r="S15" s="2">
        <v>266.10000000000002</v>
      </c>
      <c r="T15" s="2">
        <v>378.6</v>
      </c>
      <c r="U15" s="2">
        <f t="shared" ref="U15:AD15" si="13">+U$9*U64</f>
        <v>404.66496000000006</v>
      </c>
      <c r="V15" s="2">
        <f t="shared" si="13"/>
        <v>445.13145600000013</v>
      </c>
      <c r="W15" s="2">
        <f t="shared" si="13"/>
        <v>485.19328704000014</v>
      </c>
      <c r="X15" s="2">
        <f t="shared" si="13"/>
        <v>528.86068287360024</v>
      </c>
      <c r="Y15" s="2">
        <f t="shared" si="13"/>
        <v>573.81384091785628</v>
      </c>
      <c r="Z15" s="2">
        <f t="shared" si="13"/>
        <v>622.58801739587398</v>
      </c>
      <c r="AA15" s="2">
        <f t="shared" si="13"/>
        <v>675.5079988745232</v>
      </c>
      <c r="AB15" s="2">
        <f t="shared" si="13"/>
        <v>732.92617877885777</v>
      </c>
      <c r="AC15" s="2">
        <f t="shared" si="13"/>
        <v>795.22490397506056</v>
      </c>
      <c r="AD15" s="2">
        <f t="shared" si="13"/>
        <v>862.81902081294072</v>
      </c>
    </row>
    <row r="16" spans="2:121" s="2" customFormat="1" x14ac:dyDescent="0.25">
      <c r="B16" s="2" t="s">
        <v>51</v>
      </c>
      <c r="C16" s="2">
        <v>12.2</v>
      </c>
      <c r="D16" s="2">
        <v>12.3</v>
      </c>
      <c r="E16" s="2">
        <v>12.4</v>
      </c>
      <c r="F16" s="2">
        <f t="shared" si="10"/>
        <v>12.600000000000001</v>
      </c>
      <c r="G16" s="2">
        <v>12.5</v>
      </c>
      <c r="H16" s="2">
        <v>12.8</v>
      </c>
      <c r="I16" s="2">
        <v>13.1</v>
      </c>
      <c r="J16" s="2">
        <f t="shared" si="11"/>
        <v>13.899999999999995</v>
      </c>
      <c r="M16" s="2">
        <v>49</v>
      </c>
      <c r="N16" s="2">
        <v>48.4</v>
      </c>
      <c r="O16" s="2">
        <v>47.8</v>
      </c>
      <c r="P16" s="2">
        <v>48.8</v>
      </c>
      <c r="Q16" s="2">
        <v>50.2</v>
      </c>
      <c r="R16" s="2">
        <v>49.3</v>
      </c>
      <c r="S16" s="2">
        <v>49.5</v>
      </c>
      <c r="T16" s="2">
        <v>52.3</v>
      </c>
      <c r="U16" s="2">
        <f t="shared" ref="U16:AD16" si="14">+U$9*U65</f>
        <v>60.699744000000003</v>
      </c>
      <c r="V16" s="2">
        <f t="shared" si="14"/>
        <v>66.769718400000016</v>
      </c>
      <c r="W16" s="2">
        <f t="shared" si="14"/>
        <v>76.822270448000026</v>
      </c>
      <c r="X16" s="2">
        <f t="shared" si="14"/>
        <v>83.736274788320031</v>
      </c>
      <c r="Y16" s="2">
        <f t="shared" si="14"/>
        <v>95.635640152976052</v>
      </c>
      <c r="Z16" s="2">
        <f t="shared" si="14"/>
        <v>103.76466956597901</v>
      </c>
      <c r="AA16" s="2">
        <f t="shared" si="14"/>
        <v>112.58466647908722</v>
      </c>
      <c r="AB16" s="2">
        <f t="shared" si="14"/>
        <v>122.15436312980962</v>
      </c>
      <c r="AC16" s="2">
        <f t="shared" si="14"/>
        <v>132.53748399584344</v>
      </c>
      <c r="AD16" s="2">
        <f t="shared" si="14"/>
        <v>143.80317013549012</v>
      </c>
    </row>
    <row r="17" spans="2:30" s="2" customFormat="1" x14ac:dyDescent="0.25">
      <c r="B17" s="2" t="s">
        <v>52</v>
      </c>
      <c r="C17" s="2">
        <v>8.9</v>
      </c>
      <c r="D17" s="2">
        <v>9.5</v>
      </c>
      <c r="E17" s="2">
        <v>10.199999999999999</v>
      </c>
      <c r="F17" s="2">
        <f t="shared" si="10"/>
        <v>9.1999999999999975</v>
      </c>
      <c r="G17" s="2">
        <v>10.4</v>
      </c>
      <c r="H17" s="2">
        <v>12.2</v>
      </c>
      <c r="I17" s="2">
        <v>13.2</v>
      </c>
      <c r="J17" s="2">
        <f t="shared" si="11"/>
        <v>11.600000000000003</v>
      </c>
      <c r="M17" s="2">
        <v>28.8</v>
      </c>
      <c r="N17" s="2">
        <v>29.3</v>
      </c>
      <c r="O17" s="2">
        <v>30.8</v>
      </c>
      <c r="P17" s="2">
        <v>32.9</v>
      </c>
      <c r="Q17" s="2">
        <v>32.5</v>
      </c>
      <c r="R17" s="2">
        <v>33.6</v>
      </c>
      <c r="S17" s="2">
        <v>37.799999999999997</v>
      </c>
      <c r="T17" s="2">
        <v>47.4</v>
      </c>
      <c r="U17" s="2">
        <f t="shared" ref="U17:AD17" si="15">+U$9*U66</f>
        <v>50.583120000000008</v>
      </c>
      <c r="V17" s="2">
        <f t="shared" si="15"/>
        <v>55.641432000000016</v>
      </c>
      <c r="W17" s="2">
        <f t="shared" si="15"/>
        <v>60.649160880000018</v>
      </c>
      <c r="X17" s="2">
        <f t="shared" si="15"/>
        <v>66.10758535920003</v>
      </c>
      <c r="Y17" s="2">
        <f t="shared" si="15"/>
        <v>71.726730114732035</v>
      </c>
      <c r="Z17" s="2">
        <f t="shared" si="15"/>
        <v>77.823502174484247</v>
      </c>
      <c r="AA17" s="2">
        <f t="shared" si="15"/>
        <v>84.438499859315399</v>
      </c>
      <c r="AB17" s="2">
        <f t="shared" si="15"/>
        <v>91.615772347357222</v>
      </c>
      <c r="AC17" s="2">
        <f t="shared" si="15"/>
        <v>99.40311299688257</v>
      </c>
      <c r="AD17" s="2">
        <f t="shared" si="15"/>
        <v>107.85237760161759</v>
      </c>
    </row>
    <row r="18" spans="2:30" s="2" customFormat="1" x14ac:dyDescent="0.25">
      <c r="B18" s="2" t="s">
        <v>53</v>
      </c>
      <c r="C18" s="2">
        <v>5</v>
      </c>
      <c r="D18" s="2">
        <v>4.7</v>
      </c>
      <c r="E18" s="2">
        <v>4.5</v>
      </c>
      <c r="F18" s="2">
        <f t="shared" si="10"/>
        <v>4.6000000000000014</v>
      </c>
      <c r="G18" s="2">
        <v>4.7</v>
      </c>
      <c r="H18" s="2">
        <v>4.5999999999999996</v>
      </c>
      <c r="I18" s="2">
        <v>4.8</v>
      </c>
      <c r="J18" s="2">
        <f t="shared" si="11"/>
        <v>4.799999999999998</v>
      </c>
      <c r="M18" s="2">
        <v>16.100000000000001</v>
      </c>
      <c r="N18" s="2">
        <v>18.100000000000001</v>
      </c>
      <c r="O18" s="2">
        <v>17.399999999999999</v>
      </c>
      <c r="P18" s="2">
        <v>16.989999999999998</v>
      </c>
      <c r="Q18" s="2">
        <v>18.600000000000001</v>
      </c>
      <c r="R18" s="2">
        <v>17.899999999999999</v>
      </c>
      <c r="S18" s="2">
        <v>18.8</v>
      </c>
      <c r="T18" s="2">
        <v>18.899999999999999</v>
      </c>
      <c r="U18" s="2">
        <f t="shared" ref="U18:AD18" si="16">+U$9*U67</f>
        <v>23.605456000000004</v>
      </c>
      <c r="V18" s="2">
        <f t="shared" si="16"/>
        <v>25.966001600000009</v>
      </c>
      <c r="W18" s="2">
        <f t="shared" si="16"/>
        <v>28.302941744000009</v>
      </c>
      <c r="X18" s="2">
        <f t="shared" si="16"/>
        <v>30.850206500960013</v>
      </c>
      <c r="Y18" s="2">
        <f t="shared" si="16"/>
        <v>33.472474053541617</v>
      </c>
      <c r="Z18" s="2">
        <f t="shared" si="16"/>
        <v>36.317634348092653</v>
      </c>
      <c r="AA18" s="2">
        <f t="shared" si="16"/>
        <v>39.404633267680524</v>
      </c>
      <c r="AB18" s="2">
        <f t="shared" si="16"/>
        <v>42.754027095433372</v>
      </c>
      <c r="AC18" s="2">
        <f t="shared" si="16"/>
        <v>46.3881193985452</v>
      </c>
      <c r="AD18" s="2">
        <f t="shared" si="16"/>
        <v>50.331109547421548</v>
      </c>
    </row>
    <row r="19" spans="2:30" s="2" customFormat="1" x14ac:dyDescent="0.25">
      <c r="B19" s="2" t="s">
        <v>54</v>
      </c>
      <c r="C19" s="2">
        <v>23.5</v>
      </c>
      <c r="D19" s="2">
        <v>23.3</v>
      </c>
      <c r="E19" s="2">
        <v>23.2</v>
      </c>
      <c r="F19" s="2">
        <f t="shared" si="10"/>
        <v>23.799999999999997</v>
      </c>
      <c r="G19" s="2">
        <v>24.3</v>
      </c>
      <c r="H19" s="2">
        <v>24.5</v>
      </c>
      <c r="I19" s="2">
        <v>24.1</v>
      </c>
      <c r="J19" s="2">
        <f t="shared" si="11"/>
        <v>24.399999999999988</v>
      </c>
      <c r="M19" s="2">
        <v>74.8</v>
      </c>
      <c r="N19" s="2">
        <v>83.6</v>
      </c>
      <c r="O19" s="2">
        <v>82.5</v>
      </c>
      <c r="P19" s="2">
        <v>85.99</v>
      </c>
      <c r="Q19" s="2">
        <v>89.8</v>
      </c>
      <c r="R19" s="2">
        <v>94.3</v>
      </c>
      <c r="S19" s="2">
        <v>93.8</v>
      </c>
      <c r="T19" s="2">
        <v>97.3</v>
      </c>
      <c r="U19" s="2">
        <f t="shared" ref="U19:AD19" si="17">+U$9*U68</f>
        <v>111.28286400000002</v>
      </c>
      <c r="V19" s="2">
        <f t="shared" si="17"/>
        <v>122.41115040000004</v>
      </c>
      <c r="W19" s="2">
        <f t="shared" si="17"/>
        <v>137.47143132800005</v>
      </c>
      <c r="X19" s="2">
        <f t="shared" si="17"/>
        <v>149.84386014752008</v>
      </c>
      <c r="Y19" s="2">
        <f t="shared" si="17"/>
        <v>167.36237026770809</v>
      </c>
      <c r="Z19" s="2">
        <f t="shared" si="17"/>
        <v>181.58817174046328</v>
      </c>
      <c r="AA19" s="2">
        <f t="shared" si="17"/>
        <v>202.65239966235697</v>
      </c>
      <c r="AB19" s="2">
        <f t="shared" si="17"/>
        <v>219.87785363365731</v>
      </c>
      <c r="AC19" s="2">
        <f t="shared" si="17"/>
        <v>238.56747119251816</v>
      </c>
      <c r="AD19" s="2">
        <f t="shared" si="17"/>
        <v>258.8457062438822</v>
      </c>
    </row>
    <row r="20" spans="2:30" s="2" customFormat="1" x14ac:dyDescent="0.25">
      <c r="B20" s="2" t="s">
        <v>55</v>
      </c>
      <c r="C20" s="2">
        <v>75.599999999999994</v>
      </c>
      <c r="D20" s="2">
        <v>95.1</v>
      </c>
      <c r="E20" s="2">
        <v>95.9</v>
      </c>
      <c r="F20" s="2">
        <f t="shared" si="10"/>
        <v>97.699999999999989</v>
      </c>
      <c r="G20" s="2">
        <v>103</v>
      </c>
      <c r="H20" s="2">
        <v>121.6</v>
      </c>
      <c r="I20" s="2">
        <v>123.7</v>
      </c>
      <c r="J20" s="2">
        <f t="shared" si="11"/>
        <v>92.9</v>
      </c>
      <c r="M20" s="2">
        <v>197.1</v>
      </c>
      <c r="N20" s="2">
        <v>199.2</v>
      </c>
      <c r="O20" s="2">
        <v>206.5</v>
      </c>
      <c r="P20" s="2">
        <v>242.3</v>
      </c>
      <c r="Q20" s="2">
        <v>221.5</v>
      </c>
      <c r="R20" s="2">
        <v>250.2</v>
      </c>
      <c r="S20" s="2">
        <v>364.3</v>
      </c>
      <c r="T20" s="2">
        <v>441.2</v>
      </c>
      <c r="U20" s="2">
        <f t="shared" ref="U20:AD20" si="18">+U$9*U69</f>
        <v>505.83120000000008</v>
      </c>
      <c r="V20" s="2">
        <f t="shared" si="18"/>
        <v>548.99546240000018</v>
      </c>
      <c r="W20" s="2">
        <f t="shared" si="18"/>
        <v>590.31849923200014</v>
      </c>
      <c r="X20" s="2">
        <f t="shared" si="18"/>
        <v>634.63281944832022</v>
      </c>
      <c r="Y20" s="2">
        <f t="shared" si="18"/>
        <v>679.01304508612986</v>
      </c>
      <c r="Z20" s="2">
        <f t="shared" si="18"/>
        <v>726.35268696185312</v>
      </c>
      <c r="AA20" s="2">
        <f t="shared" si="18"/>
        <v>788.09266535361053</v>
      </c>
      <c r="AB20" s="2">
        <f t="shared" si="18"/>
        <v>855.08054190866744</v>
      </c>
      <c r="AC20" s="2">
        <f t="shared" si="18"/>
        <v>927.76238797090411</v>
      </c>
      <c r="AD20" s="2">
        <f t="shared" si="18"/>
        <v>1006.622190948431</v>
      </c>
    </row>
    <row r="21" spans="2:30" s="2" customFormat="1" x14ac:dyDescent="0.25">
      <c r="B21" s="2" t="s">
        <v>56</v>
      </c>
      <c r="C21" s="2">
        <v>55.9</v>
      </c>
      <c r="D21" s="2">
        <v>69.400000000000006</v>
      </c>
      <c r="E21" s="2">
        <v>71</v>
      </c>
      <c r="F21" s="2">
        <f t="shared" si="10"/>
        <v>67.199999999999989</v>
      </c>
      <c r="G21" s="2">
        <v>67.2</v>
      </c>
      <c r="H21" s="2">
        <v>75.599999999999994</v>
      </c>
      <c r="I21" s="2">
        <v>72.3</v>
      </c>
      <c r="J21" s="2">
        <f t="shared" si="11"/>
        <v>66.59999999999998</v>
      </c>
      <c r="O21" s="2">
        <v>185.3</v>
      </c>
      <c r="P21" s="2">
        <v>218.3</v>
      </c>
      <c r="Q21" s="2">
        <v>212.8</v>
      </c>
      <c r="R21" s="2">
        <v>217.3</v>
      </c>
      <c r="S21" s="2">
        <v>263.5</v>
      </c>
      <c r="T21" s="2">
        <v>281.7</v>
      </c>
      <c r="U21" s="2">
        <f t="shared" ref="U21:AD21" si="19">+U$9*U70</f>
        <v>320.35976000000005</v>
      </c>
      <c r="V21" s="2">
        <f t="shared" si="19"/>
        <v>356.10516480000013</v>
      </c>
      <c r="W21" s="2">
        <f t="shared" si="19"/>
        <v>392.19790702400013</v>
      </c>
      <c r="X21" s="2">
        <f t="shared" si="19"/>
        <v>431.90289101344018</v>
      </c>
      <c r="Y21" s="2">
        <f t="shared" si="19"/>
        <v>473.39641875723146</v>
      </c>
      <c r="Z21" s="2">
        <f t="shared" si="19"/>
        <v>518.82334782989506</v>
      </c>
      <c r="AA21" s="2">
        <f t="shared" si="19"/>
        <v>562.92333239543609</v>
      </c>
      <c r="AB21" s="2">
        <f t="shared" si="19"/>
        <v>610.77181564904811</v>
      </c>
      <c r="AC21" s="2">
        <f t="shared" si="19"/>
        <v>662.68741997921722</v>
      </c>
      <c r="AD21" s="2">
        <f t="shared" si="19"/>
        <v>719.01585067745066</v>
      </c>
    </row>
    <row r="22" spans="2:30" s="2" customFormat="1" x14ac:dyDescent="0.25">
      <c r="B22" s="2" t="s">
        <v>57</v>
      </c>
      <c r="C22" s="2">
        <v>-8.6999999999999993</v>
      </c>
      <c r="D22" s="2">
        <v>0.1</v>
      </c>
      <c r="E22" s="2">
        <v>0</v>
      </c>
      <c r="F22" s="2">
        <f t="shared" si="10"/>
        <v>-9.9999999999999645E-2</v>
      </c>
      <c r="G22" s="2">
        <v>-2.7</v>
      </c>
      <c r="H22" s="2">
        <v>-1.4</v>
      </c>
      <c r="I22" s="2">
        <v>-5.9</v>
      </c>
      <c r="J22" s="2">
        <f t="shared" si="11"/>
        <v>-2.4999999999999991</v>
      </c>
      <c r="M22" s="2">
        <v>-1.7</v>
      </c>
      <c r="N22" s="2">
        <v>-3</v>
      </c>
      <c r="O22" s="2">
        <v>-0.7</v>
      </c>
      <c r="P22" s="2">
        <v>-0.4</v>
      </c>
      <c r="Q22" s="2">
        <v>-5.9</v>
      </c>
      <c r="R22" s="2">
        <v>-3.3</v>
      </c>
      <c r="S22" s="2">
        <v>-8.6999999999999993</v>
      </c>
      <c r="T22" s="2">
        <v>-12.5</v>
      </c>
      <c r="U22" s="2">
        <f t="shared" ref="U22:AD22" si="20">+U$9*U71</f>
        <v>-3.3722080000000005</v>
      </c>
      <c r="V22" s="2">
        <f t="shared" si="20"/>
        <v>-3.7094288000000013</v>
      </c>
      <c r="W22" s="2">
        <f t="shared" si="20"/>
        <v>-4.0432773920000011</v>
      </c>
      <c r="X22" s="2">
        <f t="shared" si="20"/>
        <v>-4.4071723572800021</v>
      </c>
      <c r="Y22" s="2">
        <f t="shared" si="20"/>
        <v>-4.7817820076488022</v>
      </c>
      <c r="Z22" s="2">
        <f t="shared" si="20"/>
        <v>-5.1882334782989501</v>
      </c>
      <c r="AA22" s="2">
        <f t="shared" si="20"/>
        <v>-5.6292333239543604</v>
      </c>
      <c r="AB22" s="2">
        <f t="shared" si="20"/>
        <v>-6.1077181564904812</v>
      </c>
      <c r="AC22" s="2">
        <f t="shared" si="20"/>
        <v>-6.6268741997921721</v>
      </c>
      <c r="AD22" s="2">
        <f t="shared" si="20"/>
        <v>-7.1901585067745062</v>
      </c>
    </row>
    <row r="23" spans="2:30" s="2" customFormat="1" x14ac:dyDescent="0.25">
      <c r="B23" s="2" t="s">
        <v>58</v>
      </c>
      <c r="C23" s="2">
        <v>6.9</v>
      </c>
      <c r="D23" s="2">
        <v>7.5</v>
      </c>
      <c r="E23" s="2">
        <v>6.9</v>
      </c>
      <c r="F23" s="2">
        <f t="shared" si="10"/>
        <v>6.3000000000000025</v>
      </c>
      <c r="G23" s="2">
        <v>7</v>
      </c>
      <c r="H23" s="2">
        <v>8</v>
      </c>
      <c r="I23" s="2">
        <v>6.1</v>
      </c>
      <c r="J23" s="2">
        <f t="shared" si="11"/>
        <v>6.1000000000000014</v>
      </c>
      <c r="Q23" s="2">
        <v>13.7</v>
      </c>
      <c r="R23" s="2">
        <v>22.5</v>
      </c>
      <c r="S23" s="2">
        <v>27.6</v>
      </c>
      <c r="T23" s="2">
        <v>27.2</v>
      </c>
      <c r="U23" s="2">
        <f t="shared" ref="U23:AD23" si="21">+U$9*U72</f>
        <v>33.722080000000005</v>
      </c>
      <c r="V23" s="2">
        <f t="shared" si="21"/>
        <v>37.094288000000013</v>
      </c>
      <c r="W23" s="2">
        <f t="shared" si="21"/>
        <v>40.432773920000017</v>
      </c>
      <c r="X23" s="2">
        <f t="shared" si="21"/>
        <v>44.071723572800018</v>
      </c>
      <c r="Y23" s="2">
        <f t="shared" si="21"/>
        <v>47.817820076488026</v>
      </c>
      <c r="Z23" s="2">
        <f t="shared" si="21"/>
        <v>51.882334782989503</v>
      </c>
      <c r="AA23" s="2">
        <f t="shared" si="21"/>
        <v>56.292333239543609</v>
      </c>
      <c r="AB23" s="2">
        <f t="shared" si="21"/>
        <v>61.077181564904812</v>
      </c>
      <c r="AC23" s="2">
        <f t="shared" si="21"/>
        <v>66.268741997921722</v>
      </c>
      <c r="AD23" s="2">
        <f t="shared" si="21"/>
        <v>71.90158506774506</v>
      </c>
    </row>
    <row r="24" spans="2:30" s="2" customFormat="1" x14ac:dyDescent="0.25">
      <c r="B24" s="2" t="s">
        <v>31</v>
      </c>
      <c r="C24" s="2">
        <v>0.4</v>
      </c>
      <c r="D24" s="2">
        <v>0.1</v>
      </c>
      <c r="E24" s="2">
        <v>0.6</v>
      </c>
      <c r="F24" s="2">
        <f t="shared" si="10"/>
        <v>0.8999999999999998</v>
      </c>
      <c r="G24" s="2">
        <v>0.6</v>
      </c>
      <c r="H24" s="2">
        <v>0.8</v>
      </c>
      <c r="I24" s="2">
        <v>1.2</v>
      </c>
      <c r="J24" s="2">
        <f t="shared" si="11"/>
        <v>1.4999999999999996</v>
      </c>
      <c r="M24" s="2">
        <f>2.4+7.8</f>
        <v>10.199999999999999</v>
      </c>
      <c r="N24" s="2">
        <f>2.3+8.7+1.2</f>
        <v>12.2</v>
      </c>
      <c r="O24" s="2">
        <f>6.5+0.3</f>
        <v>6.8</v>
      </c>
      <c r="P24" s="2">
        <f>37.9+4.6</f>
        <v>42.5</v>
      </c>
      <c r="Q24" s="2">
        <v>3.5</v>
      </c>
      <c r="R24" s="2">
        <v>6.7</v>
      </c>
      <c r="S24" s="2">
        <v>2</v>
      </c>
      <c r="T24" s="2">
        <v>4.0999999999999996</v>
      </c>
      <c r="U24" s="2">
        <f t="shared" ref="U24:AD24" si="22">+U$9*U73</f>
        <v>6.7444160000000011</v>
      </c>
      <c r="V24" s="2">
        <f t="shared" si="22"/>
        <v>7.4188576000000026</v>
      </c>
      <c r="W24" s="2">
        <f t="shared" si="22"/>
        <v>8.0865547840000023</v>
      </c>
      <c r="X24" s="2">
        <f t="shared" si="22"/>
        <v>8.8143447145600042</v>
      </c>
      <c r="Y24" s="2">
        <f t="shared" si="22"/>
        <v>9.5635640152976045</v>
      </c>
      <c r="Z24" s="2">
        <f t="shared" si="22"/>
        <v>10.3764669565979</v>
      </c>
      <c r="AA24" s="2">
        <f t="shared" si="22"/>
        <v>11.258466647908721</v>
      </c>
      <c r="AB24" s="2">
        <f t="shared" si="22"/>
        <v>12.215436312980962</v>
      </c>
      <c r="AC24" s="2">
        <f t="shared" si="22"/>
        <v>13.253748399584344</v>
      </c>
      <c r="AD24" s="2">
        <f t="shared" si="22"/>
        <v>14.380317013549012</v>
      </c>
    </row>
    <row r="25" spans="2:30" s="2" customFormat="1" x14ac:dyDescent="0.25">
      <c r="B25" s="2" t="s">
        <v>59</v>
      </c>
      <c r="C25" s="2">
        <f t="shared" ref="C25" si="23">+SUM(C14:C24)</f>
        <v>526.19999999999982</v>
      </c>
      <c r="D25" s="2">
        <f t="shared" ref="D25" si="24">+SUM(D14:D24)</f>
        <v>589.1</v>
      </c>
      <c r="E25" s="2">
        <f t="shared" ref="E25" si="25">+SUM(E14:E24)</f>
        <v>597.4</v>
      </c>
      <c r="F25" s="2">
        <f t="shared" ref="F25" si="26">+SUM(F14:F24)</f>
        <v>600.29999999999995</v>
      </c>
      <c r="G25" s="2">
        <f t="shared" ref="G25" si="27">+SUM(G14:G24)</f>
        <v>625.30000000000007</v>
      </c>
      <c r="H25" s="2">
        <f t="shared" ref="H25" si="28">+SUM(H14:H24)</f>
        <v>686.1</v>
      </c>
      <c r="I25" s="2">
        <f t="shared" ref="I25" si="29">+SUM(I14:I24)</f>
        <v>682.30000000000007</v>
      </c>
      <c r="J25" s="2">
        <f t="shared" ref="J25" si="30">+SUM(J14:J24)</f>
        <v>636</v>
      </c>
      <c r="M25" s="2">
        <f t="shared" ref="M25" si="31">+SUM(M14:M24)</f>
        <v>1854.0999999999997</v>
      </c>
      <c r="N25" s="2">
        <f t="shared" ref="N25" si="32">+SUM(N14:N24)</f>
        <v>1882.8</v>
      </c>
      <c r="O25" s="2">
        <f t="shared" ref="O25" si="33">+SUM(O14:O24)</f>
        <v>1935.4999999999998</v>
      </c>
      <c r="P25" s="2">
        <f t="shared" ref="P25:S25" si="34">+SUM(P14:P24)</f>
        <v>2071.88</v>
      </c>
      <c r="Q25" s="2">
        <f t="shared" si="34"/>
        <v>2042.6</v>
      </c>
      <c r="R25" s="2">
        <f>+SUM(R14:R24)</f>
        <v>1993.3</v>
      </c>
      <c r="S25" s="2">
        <f t="shared" si="34"/>
        <v>2313</v>
      </c>
      <c r="T25" s="2">
        <f>+SUM(T14:T24)</f>
        <v>2629.6999999999994</v>
      </c>
      <c r="U25" s="2">
        <f t="shared" ref="U25:AD25" si="35">+SUM(U14:U24)</f>
        <v>2997.8929120000003</v>
      </c>
      <c r="V25" s="2">
        <f t="shared" si="35"/>
        <v>3368.1613504000015</v>
      </c>
      <c r="W25" s="2">
        <f t="shared" si="35"/>
        <v>3756.2046971680011</v>
      </c>
      <c r="X25" s="2">
        <f t="shared" si="35"/>
        <v>4133.927671128642</v>
      </c>
      <c r="Y25" s="2">
        <f t="shared" si="35"/>
        <v>4537.9111252587136</v>
      </c>
      <c r="Z25" s="2">
        <f t="shared" si="35"/>
        <v>4970.3276722103947</v>
      </c>
      <c r="AA25" s="2">
        <f t="shared" si="35"/>
        <v>5398.4347576722312</v>
      </c>
      <c r="AB25" s="2">
        <f t="shared" si="35"/>
        <v>5857.3017120743725</v>
      </c>
      <c r="AC25" s="2">
        <f t="shared" si="35"/>
        <v>6355.1723576006943</v>
      </c>
      <c r="AD25" s="2">
        <f t="shared" si="35"/>
        <v>6895.3620079967513</v>
      </c>
    </row>
    <row r="26" spans="2:30" s="2" customFormat="1" x14ac:dyDescent="0.25">
      <c r="B26" s="2" t="s">
        <v>55</v>
      </c>
      <c r="C26" s="2">
        <v>210.99</v>
      </c>
      <c r="D26" s="2">
        <v>226.6</v>
      </c>
      <c r="E26" s="2">
        <v>256.89999999999998</v>
      </c>
      <c r="F26" s="2">
        <f t="shared" ref="F26:F31" si="36">+S26-E26-D26-C26</f>
        <v>402.80999999999995</v>
      </c>
      <c r="G26" s="2">
        <v>508.4</v>
      </c>
      <c r="H26" s="2">
        <v>448.16</v>
      </c>
      <c r="I26" s="2">
        <v>425.6</v>
      </c>
      <c r="J26" s="2">
        <f t="shared" ref="J26:J31" si="37">+T26-I26-H26-G26</f>
        <v>402.53999999999985</v>
      </c>
      <c r="M26" s="2">
        <v>460.17</v>
      </c>
      <c r="N26" s="2">
        <v>501.9</v>
      </c>
      <c r="O26" s="2">
        <v>563.5</v>
      </c>
      <c r="P26" s="2">
        <v>631.5</v>
      </c>
      <c r="Q26" s="2">
        <v>606.1</v>
      </c>
      <c r="R26" s="2">
        <v>649.9</v>
      </c>
      <c r="S26" s="2">
        <v>1097.3</v>
      </c>
      <c r="T26" s="2">
        <v>1784.7</v>
      </c>
      <c r="U26" s="2">
        <f>+U$10*U75</f>
        <v>2041.9618500000001</v>
      </c>
      <c r="V26" s="2">
        <f t="shared" ref="V26:AD26" si="38">+V$10*V75</f>
        <v>2273.2201800000003</v>
      </c>
      <c r="W26" s="2">
        <f t="shared" si="38"/>
        <v>2507.9818276800006</v>
      </c>
      <c r="X26" s="2">
        <f t="shared" si="38"/>
        <v>2758.7800104480011</v>
      </c>
      <c r="Y26" s="2">
        <f t="shared" si="38"/>
        <v>3007.0702113883212</v>
      </c>
      <c r="Z26" s="2">
        <f t="shared" si="38"/>
        <v>3242.7768428968388</v>
      </c>
      <c r="AA26" s="2">
        <f t="shared" si="38"/>
        <v>3518.4128745430698</v>
      </c>
      <c r="AB26" s="2">
        <f>+AB$10*AB75</f>
        <v>3817.4779688792305</v>
      </c>
      <c r="AC26" s="2">
        <f t="shared" si="38"/>
        <v>4141.9635962339653</v>
      </c>
      <c r="AD26" s="2">
        <f t="shared" si="38"/>
        <v>4494.0305019138523</v>
      </c>
    </row>
    <row r="27" spans="2:30" s="2" customFormat="1" x14ac:dyDescent="0.25">
      <c r="B27" s="2" t="s">
        <v>60</v>
      </c>
      <c r="C27" s="2">
        <v>2.6</v>
      </c>
      <c r="D27" s="2">
        <v>2.5</v>
      </c>
      <c r="E27" s="2">
        <v>2.7</v>
      </c>
      <c r="F27" s="2">
        <f t="shared" si="36"/>
        <v>2.6999999999999997</v>
      </c>
      <c r="G27" s="2">
        <v>3.3</v>
      </c>
      <c r="H27" s="2">
        <v>4.3</v>
      </c>
      <c r="I27" s="2">
        <v>4.4000000000000004</v>
      </c>
      <c r="J27" s="2">
        <f t="shared" si="37"/>
        <v>3.8149999999999995</v>
      </c>
      <c r="M27" s="2">
        <v>11.7</v>
      </c>
      <c r="N27" s="2">
        <v>13.1</v>
      </c>
      <c r="O27" s="2">
        <v>15.1</v>
      </c>
      <c r="P27" s="2">
        <v>13.3</v>
      </c>
      <c r="Q27" s="2">
        <v>10.8</v>
      </c>
      <c r="R27" s="2">
        <v>9.6</v>
      </c>
      <c r="S27" s="2">
        <v>10.5</v>
      </c>
      <c r="T27" s="2">
        <v>15.815</v>
      </c>
      <c r="U27" s="2">
        <f t="shared" ref="U27:AD27" si="39">+U$10*U76</f>
        <v>19.681560000000001</v>
      </c>
      <c r="V27" s="2">
        <f t="shared" si="39"/>
        <v>24.798765600000003</v>
      </c>
      <c r="W27" s="2">
        <f t="shared" si="39"/>
        <v>30.585144240000009</v>
      </c>
      <c r="X27" s="2">
        <f t="shared" si="39"/>
        <v>37.008024530400014</v>
      </c>
      <c r="Y27" s="2">
        <f t="shared" si="39"/>
        <v>44.005905532512024</v>
      </c>
      <c r="Z27" s="2">
        <f t="shared" si="39"/>
        <v>59.683009378469428</v>
      </c>
      <c r="AA27" s="2">
        <f t="shared" si="39"/>
        <v>64.756065175639321</v>
      </c>
      <c r="AB27" s="2">
        <f>+AB$10*AB76</f>
        <v>70.260330715568657</v>
      </c>
      <c r="AC27" s="2">
        <f t="shared" si="39"/>
        <v>76.232458826391991</v>
      </c>
      <c r="AD27" s="2">
        <f t="shared" si="39"/>
        <v>82.71221782663531</v>
      </c>
    </row>
    <row r="28" spans="2:30" s="2" customFormat="1" x14ac:dyDescent="0.25">
      <c r="B28" s="2" t="s">
        <v>54</v>
      </c>
      <c r="C28" s="2">
        <v>2.4</v>
      </c>
      <c r="D28" s="2">
        <v>2.4</v>
      </c>
      <c r="E28" s="2">
        <v>2.4</v>
      </c>
      <c r="F28" s="2">
        <f t="shared" si="36"/>
        <v>4.1999999999999993</v>
      </c>
      <c r="G28" s="2">
        <v>5.2</v>
      </c>
      <c r="H28" s="2">
        <v>5.5</v>
      </c>
      <c r="I28" s="2">
        <v>5.0999999999999996</v>
      </c>
      <c r="J28" s="2">
        <f t="shared" si="37"/>
        <v>4.8999999999999995</v>
      </c>
      <c r="M28" s="2">
        <v>12.9</v>
      </c>
      <c r="N28" s="2">
        <v>13.6</v>
      </c>
      <c r="O28" s="2">
        <v>13.1</v>
      </c>
      <c r="P28" s="2">
        <v>13.8</v>
      </c>
      <c r="Q28" s="2">
        <v>11.3</v>
      </c>
      <c r="R28" s="2">
        <v>9.6999999999999993</v>
      </c>
      <c r="S28" s="2">
        <v>11.4</v>
      </c>
      <c r="T28" s="2">
        <v>20.7</v>
      </c>
      <c r="U28" s="2">
        <f t="shared" ref="U28:AD28" si="40">+U$10*U77</f>
        <v>27.062145000000001</v>
      </c>
      <c r="V28" s="2">
        <f t="shared" si="40"/>
        <v>33.065020800000006</v>
      </c>
      <c r="W28" s="2">
        <f t="shared" si="40"/>
        <v>39.760687512000011</v>
      </c>
      <c r="X28" s="2">
        <f t="shared" si="40"/>
        <v>47.101122129600022</v>
      </c>
      <c r="Y28" s="2">
        <f t="shared" si="40"/>
        <v>55.007381915640025</v>
      </c>
      <c r="Z28" s="2">
        <f t="shared" si="40"/>
        <v>59.683009378469428</v>
      </c>
      <c r="AA28" s="2">
        <f t="shared" si="40"/>
        <v>64.756065175639321</v>
      </c>
      <c r="AB28" s="2">
        <f t="shared" si="40"/>
        <v>70.260330715568657</v>
      </c>
      <c r="AC28" s="2">
        <f t="shared" si="40"/>
        <v>76.232458826391991</v>
      </c>
      <c r="AD28" s="2">
        <f t="shared" si="40"/>
        <v>82.71221782663531</v>
      </c>
    </row>
    <row r="29" spans="2:30" s="2" customFormat="1" x14ac:dyDescent="0.25">
      <c r="B29" s="2" t="s">
        <v>56</v>
      </c>
      <c r="C29" s="2">
        <v>26.1</v>
      </c>
      <c r="D29" s="2">
        <v>29.1</v>
      </c>
      <c r="E29" s="2">
        <v>31</v>
      </c>
      <c r="F29" s="2">
        <f t="shared" si="36"/>
        <v>45.9</v>
      </c>
      <c r="G29" s="2">
        <v>50.2</v>
      </c>
      <c r="H29" s="2">
        <v>58</v>
      </c>
      <c r="I29" s="2">
        <v>56.4</v>
      </c>
      <c r="J29" s="2">
        <f t="shared" si="37"/>
        <v>53.499999999999986</v>
      </c>
      <c r="M29" s="2">
        <v>73.900000000000006</v>
      </c>
      <c r="N29" s="2">
        <v>85.2</v>
      </c>
      <c r="O29" s="2">
        <v>83.7</v>
      </c>
      <c r="P29" s="2">
        <v>91.3</v>
      </c>
      <c r="Q29" s="2">
        <v>94</v>
      </c>
      <c r="R29" s="2">
        <v>91</v>
      </c>
      <c r="S29" s="2">
        <v>132.1</v>
      </c>
      <c r="T29" s="2">
        <v>218.1</v>
      </c>
      <c r="U29" s="2">
        <f t="shared" ref="U29:AD29" si="41">+U$10*U78</f>
        <v>255.86028000000002</v>
      </c>
      <c r="V29" s="2">
        <f t="shared" si="41"/>
        <v>292.07435040000001</v>
      </c>
      <c r="W29" s="2">
        <f t="shared" si="41"/>
        <v>330.31955779200007</v>
      </c>
      <c r="X29" s="2">
        <f t="shared" si="41"/>
        <v>370.08024530400013</v>
      </c>
      <c r="Y29" s="2">
        <f t="shared" si="41"/>
        <v>410.7217849701122</v>
      </c>
      <c r="Z29" s="2">
        <f t="shared" si="41"/>
        <v>457.56973856826562</v>
      </c>
      <c r="AA29" s="2">
        <f t="shared" si="41"/>
        <v>496.46316634656819</v>
      </c>
      <c r="AB29" s="2">
        <f t="shared" si="41"/>
        <v>538.66253548602651</v>
      </c>
      <c r="AC29" s="2">
        <f t="shared" si="41"/>
        <v>584.44885100233864</v>
      </c>
      <c r="AD29" s="2">
        <f t="shared" si="41"/>
        <v>634.12700333753753</v>
      </c>
    </row>
    <row r="30" spans="2:30" s="2" customFormat="1" x14ac:dyDescent="0.25">
      <c r="B30" s="2" t="s">
        <v>61</v>
      </c>
      <c r="D30" s="2">
        <v>-6.9</v>
      </c>
      <c r="E30" s="2">
        <v>0</v>
      </c>
      <c r="F30" s="2">
        <f t="shared" si="36"/>
        <v>0</v>
      </c>
      <c r="H30" s="2">
        <v>-0.4</v>
      </c>
      <c r="I30" s="2">
        <v>0</v>
      </c>
      <c r="J30" s="2">
        <f t="shared" si="37"/>
        <v>0</v>
      </c>
      <c r="O30" s="2">
        <v>-0.2</v>
      </c>
      <c r="P30" s="2">
        <v>-1.9</v>
      </c>
      <c r="S30" s="2">
        <v>-6.9</v>
      </c>
      <c r="T30" s="2">
        <v>-0.4</v>
      </c>
      <c r="U30" s="2">
        <f t="shared" ref="U30:AD30" si="42">+U$10*U79</f>
        <v>0</v>
      </c>
      <c r="V30" s="2">
        <f t="shared" si="42"/>
        <v>0</v>
      </c>
      <c r="W30" s="2">
        <f t="shared" si="42"/>
        <v>0</v>
      </c>
      <c r="X30" s="2">
        <f t="shared" si="42"/>
        <v>0</v>
      </c>
      <c r="Y30" s="2">
        <f t="shared" si="42"/>
        <v>0</v>
      </c>
      <c r="Z30" s="2">
        <f t="shared" si="42"/>
        <v>0</v>
      </c>
      <c r="AA30" s="2">
        <f t="shared" si="42"/>
        <v>0</v>
      </c>
      <c r="AB30" s="2">
        <f t="shared" si="42"/>
        <v>0</v>
      </c>
      <c r="AC30" s="2">
        <f t="shared" si="42"/>
        <v>0</v>
      </c>
      <c r="AD30" s="2">
        <f t="shared" si="42"/>
        <v>0</v>
      </c>
    </row>
    <row r="31" spans="2:30" s="2" customFormat="1" x14ac:dyDescent="0.25">
      <c r="B31" s="2" t="s">
        <v>31</v>
      </c>
      <c r="C31" s="2">
        <v>2.1</v>
      </c>
      <c r="D31" s="2">
        <v>2</v>
      </c>
      <c r="E31" s="2">
        <v>1.99</v>
      </c>
      <c r="F31" s="2">
        <f t="shared" si="36"/>
        <v>3.7100000000000004</v>
      </c>
      <c r="G31" s="2">
        <v>7.1</v>
      </c>
      <c r="H31" s="2">
        <v>6.7</v>
      </c>
      <c r="I31" s="2">
        <v>8.5</v>
      </c>
      <c r="J31" s="2">
        <f t="shared" si="37"/>
        <v>25.299999999999997</v>
      </c>
      <c r="M31" s="2">
        <v>11</v>
      </c>
      <c r="N31" s="2">
        <f>11.7+8</f>
        <v>19.7</v>
      </c>
      <c r="O31" s="2">
        <f>11.1+0.9</f>
        <v>12</v>
      </c>
      <c r="P31" s="2">
        <f>9.1+0.5</f>
        <v>9.6</v>
      </c>
      <c r="Q31" s="2">
        <f>9.9+26.5</f>
        <v>36.4</v>
      </c>
      <c r="R31" s="2">
        <v>9.1999999999999993</v>
      </c>
      <c r="S31" s="2">
        <v>9.8000000000000007</v>
      </c>
      <c r="T31" s="2">
        <v>47.6</v>
      </c>
      <c r="U31" s="2">
        <f t="shared" ref="U31:AD31" si="43">+U$10*U80</f>
        <v>49.203900000000004</v>
      </c>
      <c r="V31" s="2">
        <f t="shared" si="43"/>
        <v>55.108368000000013</v>
      </c>
      <c r="W31" s="2">
        <f t="shared" si="43"/>
        <v>61.170288480000018</v>
      </c>
      <c r="X31" s="2">
        <f t="shared" si="43"/>
        <v>67.287317328000029</v>
      </c>
      <c r="Y31" s="2">
        <f t="shared" si="43"/>
        <v>73.343175887520033</v>
      </c>
      <c r="Z31" s="2">
        <f t="shared" si="43"/>
        <v>79.577345837959243</v>
      </c>
      <c r="AA31" s="2">
        <f t="shared" si="43"/>
        <v>86.341420234185776</v>
      </c>
      <c r="AB31" s="2">
        <f t="shared" si="43"/>
        <v>93.680440954091551</v>
      </c>
      <c r="AC31" s="2">
        <f t="shared" si="43"/>
        <v>101.64327843518933</v>
      </c>
      <c r="AD31" s="2">
        <f t="shared" si="43"/>
        <v>110.28295710218043</v>
      </c>
    </row>
    <row r="32" spans="2:30" s="2" customFormat="1" x14ac:dyDescent="0.25">
      <c r="B32" s="2" t="s">
        <v>62</v>
      </c>
      <c r="C32" s="2">
        <f t="shared" ref="C32" si="44">+SUM(C26:C31)</f>
        <v>244.19</v>
      </c>
      <c r="D32" s="2">
        <f t="shared" ref="D32" si="45">+SUM(D26:D31)</f>
        <v>255.70000000000002</v>
      </c>
      <c r="E32" s="2">
        <f t="shared" ref="E32" si="46">+SUM(E26:E31)</f>
        <v>294.98999999999995</v>
      </c>
      <c r="F32" s="2">
        <f t="shared" ref="F32" si="47">+SUM(F26:F31)</f>
        <v>459.31999999999988</v>
      </c>
      <c r="G32" s="2">
        <f t="shared" ref="G32" si="48">+SUM(G26:G31)</f>
        <v>574.20000000000005</v>
      </c>
      <c r="H32" s="2">
        <f t="shared" ref="H32" si="49">+SUM(H26:H31)</f>
        <v>522.2600000000001</v>
      </c>
      <c r="I32" s="2">
        <f t="shared" ref="I32" si="50">+SUM(I26:I31)</f>
        <v>500</v>
      </c>
      <c r="J32" s="2">
        <f t="shared" ref="J32" si="51">+SUM(J26:J31)</f>
        <v>490.05499999999984</v>
      </c>
      <c r="M32" s="2">
        <f t="shared" ref="M32" si="52">+SUM(M26:M31)</f>
        <v>569.66999999999996</v>
      </c>
      <c r="N32" s="2">
        <f t="shared" ref="N32" si="53">+SUM(N26:N31)</f>
        <v>633.50000000000011</v>
      </c>
      <c r="O32" s="2">
        <f t="shared" ref="O32" si="54">+SUM(O26:O31)</f>
        <v>687.2</v>
      </c>
      <c r="P32" s="2">
        <f t="shared" ref="P32:S32" si="55">+SUM(P26:P31)</f>
        <v>757.59999999999991</v>
      </c>
      <c r="Q32" s="2">
        <f t="shared" si="55"/>
        <v>758.59999999999991</v>
      </c>
      <c r="R32" s="2">
        <f>+SUM(R26:R31)</f>
        <v>769.40000000000009</v>
      </c>
      <c r="S32" s="2">
        <f t="shared" si="55"/>
        <v>1254.1999999999998</v>
      </c>
      <c r="T32" s="2">
        <f>+SUM(T26:T31)</f>
        <v>2086.5149999999999</v>
      </c>
      <c r="U32" s="2">
        <f t="shared" ref="U32:AD32" si="56">+SUM(U26:U31)</f>
        <v>2393.7697349999999</v>
      </c>
      <c r="V32" s="2">
        <f t="shared" si="56"/>
        <v>2678.2666848000008</v>
      </c>
      <c r="W32" s="2">
        <f t="shared" si="56"/>
        <v>2969.8175057040007</v>
      </c>
      <c r="X32" s="2">
        <f t="shared" si="56"/>
        <v>3280.2567197400012</v>
      </c>
      <c r="Y32" s="2">
        <f t="shared" si="56"/>
        <v>3590.1484596941054</v>
      </c>
      <c r="Z32" s="2">
        <f t="shared" si="56"/>
        <v>3899.2899460600024</v>
      </c>
      <c r="AA32" s="2">
        <f t="shared" si="56"/>
        <v>4230.7295914751021</v>
      </c>
      <c r="AB32" s="2">
        <f t="shared" si="56"/>
        <v>4590.3416067504859</v>
      </c>
      <c r="AC32" s="2">
        <f t="shared" si="56"/>
        <v>4980.5206433242765</v>
      </c>
      <c r="AD32" s="2">
        <f t="shared" si="56"/>
        <v>5403.864898006841</v>
      </c>
    </row>
    <row r="33" spans="2:121" s="2" customFormat="1" x14ac:dyDescent="0.25">
      <c r="B33" s="2" t="s">
        <v>45</v>
      </c>
      <c r="C33" s="2">
        <v>58.1</v>
      </c>
      <c r="D33" s="2">
        <v>58.4</v>
      </c>
      <c r="E33" s="2">
        <v>65.2</v>
      </c>
      <c r="F33" s="2">
        <f t="shared" ref="F33:F34" si="57">+S33-E33-D33-C33</f>
        <v>67.800000000000011</v>
      </c>
      <c r="G33" s="2">
        <v>76.7</v>
      </c>
      <c r="H33" s="2">
        <v>80.5</v>
      </c>
      <c r="I33" s="2">
        <v>88.4</v>
      </c>
      <c r="J33" s="2">
        <f t="shared" ref="J33:J34" si="58">+T33-I33-H33-G33</f>
        <v>91.59999999999998</v>
      </c>
      <c r="M33" s="2">
        <v>171.99799999999999</v>
      </c>
      <c r="N33" s="2">
        <v>160.19999999999999</v>
      </c>
      <c r="O33" s="2">
        <v>152.9</v>
      </c>
      <c r="P33" s="2">
        <v>190.7</v>
      </c>
      <c r="Q33" s="2">
        <v>206.93</v>
      </c>
      <c r="R33" s="2">
        <v>201.7</v>
      </c>
      <c r="S33" s="2">
        <v>249.5</v>
      </c>
      <c r="T33" s="2">
        <v>337.2</v>
      </c>
      <c r="U33" s="2">
        <f>+U11*U82</f>
        <v>370.23921000000007</v>
      </c>
      <c r="V33" s="2">
        <f t="shared" ref="V33:AD33" si="59">+V11*V82</f>
        <v>403.5607389000001</v>
      </c>
      <c r="W33" s="2">
        <f t="shared" si="59"/>
        <v>435.8455980120001</v>
      </c>
      <c r="X33" s="2">
        <f t="shared" si="59"/>
        <v>466.35478987284012</v>
      </c>
      <c r="Y33" s="2">
        <f t="shared" si="59"/>
        <v>494.33607726521052</v>
      </c>
      <c r="Z33" s="2">
        <f t="shared" si="59"/>
        <v>519.05288112847109</v>
      </c>
      <c r="AA33" s="2">
        <f t="shared" si="59"/>
        <v>545.00552518489474</v>
      </c>
      <c r="AB33" s="2">
        <f t="shared" si="59"/>
        <v>572.25580144413948</v>
      </c>
      <c r="AC33" s="2">
        <f t="shared" si="59"/>
        <v>600.86859151634644</v>
      </c>
      <c r="AD33" s="2">
        <f t="shared" si="59"/>
        <v>630.91202109216374</v>
      </c>
    </row>
    <row r="34" spans="2:121" s="2" customFormat="1" x14ac:dyDescent="0.25">
      <c r="B34" s="2" t="s">
        <v>31</v>
      </c>
      <c r="C34" s="2">
        <v>-31.4</v>
      </c>
      <c r="D34" s="2">
        <v>-28.3</v>
      </c>
      <c r="E34" s="2">
        <v>-28.7</v>
      </c>
      <c r="F34" s="2">
        <f t="shared" si="57"/>
        <v>-29.4</v>
      </c>
      <c r="G34" s="2">
        <v>-35.99</v>
      </c>
      <c r="H34" s="2">
        <v>-33.1</v>
      </c>
      <c r="I34" s="2">
        <v>-34.4</v>
      </c>
      <c r="J34" s="2">
        <f t="shared" si="58"/>
        <v>-25.310000000000002</v>
      </c>
      <c r="M34" s="2">
        <v>-4.4000000000000004</v>
      </c>
      <c r="N34" s="2">
        <v>-5.6</v>
      </c>
      <c r="O34" s="2">
        <v>-10.4</v>
      </c>
      <c r="P34" s="2">
        <v>-35.299999999999997</v>
      </c>
      <c r="Q34" s="2">
        <v>-83.6</v>
      </c>
      <c r="R34" s="2">
        <v>-122.4</v>
      </c>
      <c r="S34" s="2">
        <v>-117.8</v>
      </c>
      <c r="T34" s="2">
        <v>-128.80000000000001</v>
      </c>
      <c r="U34" s="2">
        <f t="shared" ref="U34:AD34" si="60">+U12*U83</f>
        <v>-139.59</v>
      </c>
      <c r="V34" s="2">
        <f t="shared" si="60"/>
        <v>-152.15310000000002</v>
      </c>
      <c r="W34" s="2">
        <f t="shared" si="60"/>
        <v>-164.32534800000002</v>
      </c>
      <c r="X34" s="2">
        <f t="shared" si="60"/>
        <v>-177.47137584000006</v>
      </c>
      <c r="Y34" s="2">
        <f t="shared" si="60"/>
        <v>-191.66908590720007</v>
      </c>
      <c r="Z34" s="2">
        <f t="shared" si="60"/>
        <v>-207.00261277977609</v>
      </c>
      <c r="AA34" s="2">
        <f t="shared" si="60"/>
        <v>-223.5628218021582</v>
      </c>
      <c r="AB34" s="2">
        <f t="shared" si="60"/>
        <v>-241.44784754633088</v>
      </c>
      <c r="AC34" s="2">
        <f t="shared" si="60"/>
        <v>-260.76367535003737</v>
      </c>
      <c r="AD34" s="2">
        <f t="shared" si="60"/>
        <v>-281.62476937804036</v>
      </c>
    </row>
    <row r="35" spans="2:121" s="2" customFormat="1" x14ac:dyDescent="0.25">
      <c r="B35" s="2" t="s">
        <v>29</v>
      </c>
      <c r="C35" s="2">
        <f t="shared" ref="C35" si="61">+C34+C33+C32+C25</f>
        <v>797.0899999999998</v>
      </c>
      <c r="D35" s="2">
        <f t="shared" ref="D35" si="62">+D34+D33+D32+D25</f>
        <v>874.90000000000009</v>
      </c>
      <c r="E35" s="2">
        <f t="shared" ref="E35" si="63">+E34+E33+E32+E25</f>
        <v>928.88999999999987</v>
      </c>
      <c r="F35" s="2">
        <f t="shared" ref="F35" si="64">+F34+F33+F32+F25</f>
        <v>1098.02</v>
      </c>
      <c r="G35" s="2">
        <f t="shared" ref="G35" si="65">+G34+G33+G32+G25</f>
        <v>1240.21</v>
      </c>
      <c r="H35" s="2">
        <f t="shared" ref="H35" si="66">+H34+H33+H32+H25</f>
        <v>1255.7600000000002</v>
      </c>
      <c r="I35" s="2">
        <f t="shared" ref="I35" si="67">+I34+I33+I32+I25</f>
        <v>1236.3000000000002</v>
      </c>
      <c r="J35" s="2">
        <f t="shared" ref="J35" si="68">+J34+J33+J32+J25</f>
        <v>1192.3449999999998</v>
      </c>
      <c r="M35" s="2">
        <f t="shared" ref="M35" si="69">+M34+M33+M32+M25</f>
        <v>2591.3679999999995</v>
      </c>
      <c r="N35" s="2">
        <f t="shared" ref="N35" si="70">+N34+N33+N32+N25</f>
        <v>2670.9</v>
      </c>
      <c r="O35" s="2">
        <f t="shared" ref="O35" si="71">+O34+O33+O32+O25</f>
        <v>2765.2</v>
      </c>
      <c r="P35" s="2">
        <f t="shared" ref="P35:S35" si="72">+P34+P33+P32+P25</f>
        <v>2984.88</v>
      </c>
      <c r="Q35" s="2">
        <f t="shared" si="72"/>
        <v>2924.5299999999997</v>
      </c>
      <c r="R35" s="2">
        <f>+R34+R33+R32+R25</f>
        <v>2842</v>
      </c>
      <c r="S35" s="2">
        <f t="shared" si="72"/>
        <v>3698.8999999999996</v>
      </c>
      <c r="T35" s="2">
        <f>+T34+T33+T32+T25</f>
        <v>4924.6149999999998</v>
      </c>
      <c r="U35" s="2">
        <f t="shared" ref="U35:AD35" si="73">+U34+U33+U32+U25</f>
        <v>5622.3118570000006</v>
      </c>
      <c r="V35" s="2">
        <f t="shared" si="73"/>
        <v>6297.8356741000025</v>
      </c>
      <c r="W35" s="2">
        <f t="shared" si="73"/>
        <v>6997.5424528840012</v>
      </c>
      <c r="X35" s="2">
        <f t="shared" si="73"/>
        <v>7703.0678049014832</v>
      </c>
      <c r="Y35" s="2">
        <f t="shared" si="73"/>
        <v>8430.7265763108298</v>
      </c>
      <c r="Z35" s="2">
        <f t="shared" si="73"/>
        <v>9181.6678866190923</v>
      </c>
      <c r="AA35" s="2">
        <f t="shared" si="73"/>
        <v>9950.6070525300711</v>
      </c>
      <c r="AB35" s="2">
        <f t="shared" si="73"/>
        <v>10778.451272722668</v>
      </c>
      <c r="AC35" s="2">
        <f t="shared" si="73"/>
        <v>11675.79791709128</v>
      </c>
      <c r="AD35" s="2">
        <f t="shared" si="73"/>
        <v>12648.514157717716</v>
      </c>
    </row>
    <row r="36" spans="2:121" s="5" customFormat="1" x14ac:dyDescent="0.25">
      <c r="B36" s="5" t="s">
        <v>30</v>
      </c>
      <c r="C36" s="5">
        <f t="shared" ref="C36:O36" si="74">+C13-C35</f>
        <v>32.110000000000127</v>
      </c>
      <c r="D36" s="5">
        <f t="shared" si="74"/>
        <v>73.899999999999864</v>
      </c>
      <c r="E36" s="5">
        <f t="shared" si="74"/>
        <v>87.810000000000173</v>
      </c>
      <c r="F36" s="5">
        <f t="shared" si="74"/>
        <v>87.380000000000109</v>
      </c>
      <c r="G36" s="5">
        <f t="shared" si="74"/>
        <v>94.889999999999873</v>
      </c>
      <c r="H36" s="5">
        <f t="shared" si="74"/>
        <v>137.13999999999987</v>
      </c>
      <c r="I36" s="5">
        <f t="shared" si="74"/>
        <v>115.49999999999977</v>
      </c>
      <c r="J36" s="5">
        <f t="shared" si="74"/>
        <v>51.955000000000609</v>
      </c>
      <c r="M36" s="5">
        <f t="shared" si="74"/>
        <v>75.522000000000389</v>
      </c>
      <c r="N36" s="5">
        <f t="shared" si="74"/>
        <v>29.300000000000182</v>
      </c>
      <c r="O36" s="5">
        <f t="shared" si="74"/>
        <v>61.200000000000273</v>
      </c>
      <c r="P36" s="5">
        <f>+P13-P35</f>
        <v>108.91999999999962</v>
      </c>
      <c r="Q36" s="5">
        <f>+Q13-Q35</f>
        <v>63.769999999999982</v>
      </c>
      <c r="R36" s="5">
        <f>+R13-R35</f>
        <v>98.145000000000437</v>
      </c>
      <c r="S36" s="5">
        <f>+S13-S35</f>
        <v>281.20000000000027</v>
      </c>
      <c r="T36" s="5">
        <f>+T13-T35</f>
        <v>399.48500000000149</v>
      </c>
      <c r="U36" s="5">
        <f t="shared" ref="U36:AD36" si="75">+U13-U35</f>
        <v>401.38114299999961</v>
      </c>
      <c r="V36" s="5">
        <f t="shared" si="75"/>
        <v>375.51762589999998</v>
      </c>
      <c r="W36" s="5">
        <f t="shared" si="75"/>
        <v>329.43595111600098</v>
      </c>
      <c r="X36" s="5">
        <f t="shared" si="75"/>
        <v>307.22906329851958</v>
      </c>
      <c r="Y36" s="5">
        <f t="shared" si="75"/>
        <v>266.56581888277469</v>
      </c>
      <c r="Z36" s="5">
        <f t="shared" si="75"/>
        <v>238.53529296877059</v>
      </c>
      <c r="AA36" s="5">
        <f t="shared" si="75"/>
        <v>253.17470848288576</v>
      </c>
      <c r="AB36" s="5">
        <f t="shared" si="75"/>
        <v>274.69771521708026</v>
      </c>
      <c r="AC36" s="5">
        <f t="shared" si="75"/>
        <v>298.06151349042739</v>
      </c>
      <c r="AD36" s="5">
        <f t="shared" si="75"/>
        <v>323.42403163338167</v>
      </c>
    </row>
    <row r="37" spans="2:121" s="2" customFormat="1" x14ac:dyDescent="0.25">
      <c r="B37" s="2" t="s">
        <v>93</v>
      </c>
      <c r="C37" s="2">
        <f>0.4-2.4</f>
        <v>-2</v>
      </c>
      <c r="D37" s="2">
        <f>0.3-2.3</f>
        <v>-1.9999999999999998</v>
      </c>
      <c r="E37" s="2">
        <f>0.3-2.1</f>
        <v>-1.8</v>
      </c>
      <c r="F37" s="2">
        <f t="shared" ref="F37:F38" si="76">+S37-E37-D37-C37</f>
        <v>-1.8000000000000007</v>
      </c>
      <c r="G37" s="2">
        <f>0.1-1.9</f>
        <v>-1.7999999999999998</v>
      </c>
      <c r="H37" s="2">
        <f>0.4-1.8</f>
        <v>-1.4</v>
      </c>
      <c r="I37" s="2">
        <f>1.1-1.7</f>
        <v>-0.59999999999999987</v>
      </c>
      <c r="J37" s="2">
        <f t="shared" ref="J37:J38" si="77">+T37-I37-H37-G37</f>
        <v>9.9999999999999201E-2</v>
      </c>
      <c r="M37" s="2">
        <f>1.3-4.4</f>
        <v>-3.1000000000000005</v>
      </c>
      <c r="N37" s="2">
        <f>1.5-5.2</f>
        <v>-3.7</v>
      </c>
      <c r="O37" s="2">
        <f>1.3-6.3</f>
        <v>-5</v>
      </c>
      <c r="P37" s="2">
        <f>3.9-9.5</f>
        <v>-5.6</v>
      </c>
      <c r="Q37" s="2">
        <f>6.5-11.5</f>
        <v>-5</v>
      </c>
      <c r="R37" s="2">
        <f>3.6-11.7</f>
        <v>-8.1</v>
      </c>
      <c r="S37" s="2">
        <f>1.3-8.9</f>
        <v>-7.6000000000000005</v>
      </c>
      <c r="T37" s="2">
        <f>4-7.7</f>
        <v>-3.7</v>
      </c>
      <c r="U37" s="2">
        <f>+U86*T7</f>
        <v>-16.905899999999999</v>
      </c>
      <c r="V37" s="2">
        <f t="shared" ref="V37:AD37" si="78">+V86*U7</f>
        <v>2.1256245284999835</v>
      </c>
      <c r="W37" s="2">
        <f t="shared" si="78"/>
        <v>20.818965424710736</v>
      </c>
      <c r="X37" s="2">
        <f t="shared" si="78"/>
        <v>26.015852586460884</v>
      </c>
      <c r="Y37" s="2">
        <f t="shared" si="78"/>
        <v>34.778677264407044</v>
      </c>
      <c r="Z37" s="2">
        <f t="shared" si="78"/>
        <v>41.108812543540182</v>
      </c>
      <c r="AA37" s="2">
        <f t="shared" si="78"/>
        <v>49.28840262977527</v>
      </c>
      <c r="AB37" s="2">
        <f t="shared" si="78"/>
        <v>58.135448629820601</v>
      </c>
      <c r="AC37" s="2">
        <f t="shared" si="78"/>
        <v>67.870818672342452</v>
      </c>
      <c r="AD37" s="2">
        <f t="shared" si="78"/>
        <v>78.574339388103468</v>
      </c>
    </row>
    <row r="38" spans="2:121" s="2" customFormat="1" x14ac:dyDescent="0.25">
      <c r="B38" s="2" t="s">
        <v>94</v>
      </c>
      <c r="C38" s="2">
        <v>1.2</v>
      </c>
      <c r="D38" s="2">
        <v>1.1000000000000001</v>
      </c>
      <c r="E38" s="2">
        <v>0.3</v>
      </c>
      <c r="F38" s="2">
        <f t="shared" si="76"/>
        <v>1.2</v>
      </c>
      <c r="G38" s="2">
        <v>-0.8</v>
      </c>
      <c r="H38" s="2">
        <v>-2.8</v>
      </c>
      <c r="I38" s="2">
        <v>-0.2</v>
      </c>
      <c r="J38" s="2">
        <f t="shared" si="77"/>
        <v>1.4000000000000001</v>
      </c>
      <c r="M38" s="2">
        <v>0.4</v>
      </c>
      <c r="N38" s="2">
        <v>2.9</v>
      </c>
      <c r="O38" s="2">
        <v>-4.7</v>
      </c>
      <c r="P38" s="2">
        <v>-19.2</v>
      </c>
      <c r="Q38" s="2">
        <v>-7.3</v>
      </c>
      <c r="R38" s="2">
        <v>2.2999999999999998</v>
      </c>
      <c r="S38" s="2">
        <v>3.8</v>
      </c>
      <c r="T38" s="2">
        <v>-2.4</v>
      </c>
    </row>
    <row r="39" spans="2:121" s="5" customFormat="1" x14ac:dyDescent="0.25">
      <c r="B39" s="5" t="s">
        <v>32</v>
      </c>
      <c r="C39" s="5">
        <f t="shared" ref="C39:O39" si="79">+C36+C37+C38</f>
        <v>31.310000000000127</v>
      </c>
      <c r="D39" s="5">
        <f t="shared" si="79"/>
        <v>72.999999999999858</v>
      </c>
      <c r="E39" s="5">
        <f t="shared" si="79"/>
        <v>86.310000000000173</v>
      </c>
      <c r="F39" s="5">
        <f t="shared" si="79"/>
        <v>86.780000000000115</v>
      </c>
      <c r="G39" s="5">
        <f t="shared" si="79"/>
        <v>92.289999999999878</v>
      </c>
      <c r="H39" s="5">
        <f t="shared" si="79"/>
        <v>132.93999999999986</v>
      </c>
      <c r="I39" s="5">
        <f t="shared" si="79"/>
        <v>114.69999999999978</v>
      </c>
      <c r="J39" s="5">
        <f t="shared" si="79"/>
        <v>53.455000000000609</v>
      </c>
      <c r="M39" s="5">
        <f t="shared" si="79"/>
        <v>72.822000000000401</v>
      </c>
      <c r="N39" s="5">
        <f t="shared" si="79"/>
        <v>28.500000000000181</v>
      </c>
      <c r="O39" s="5">
        <f t="shared" si="79"/>
        <v>51.50000000000027</v>
      </c>
      <c r="P39" s="5">
        <f>+P36+P37+P38</f>
        <v>84.119999999999621</v>
      </c>
      <c r="Q39" s="5">
        <f>+Q36+Q37+Q38</f>
        <v>51.469999999999985</v>
      </c>
      <c r="R39" s="5">
        <f>+R36+R37+R38</f>
        <v>92.345000000000439</v>
      </c>
      <c r="S39" s="5">
        <f>+S36+S37+S38</f>
        <v>277.40000000000026</v>
      </c>
      <c r="T39" s="5">
        <f>+T36+T37+T38</f>
        <v>393.38500000000153</v>
      </c>
      <c r="U39" s="5">
        <f t="shared" ref="U39:AD39" si="80">+U36+U37+U38</f>
        <v>384.47524299999964</v>
      </c>
      <c r="V39" s="5">
        <f t="shared" si="80"/>
        <v>377.64325042849998</v>
      </c>
      <c r="W39" s="5">
        <f t="shared" si="80"/>
        <v>350.25491654071169</v>
      </c>
      <c r="X39" s="5">
        <f t="shared" si="80"/>
        <v>333.24491588498046</v>
      </c>
      <c r="Y39" s="5">
        <f t="shared" si="80"/>
        <v>301.34449614718176</v>
      </c>
      <c r="Z39" s="5">
        <f t="shared" si="80"/>
        <v>279.64410551231077</v>
      </c>
      <c r="AA39" s="5">
        <f t="shared" si="80"/>
        <v>302.46311111266101</v>
      </c>
      <c r="AB39" s="5">
        <f t="shared" si="80"/>
        <v>332.83316384690085</v>
      </c>
      <c r="AC39" s="5">
        <f t="shared" si="80"/>
        <v>365.93233216276985</v>
      </c>
      <c r="AD39" s="5">
        <f t="shared" si="80"/>
        <v>401.99837102148513</v>
      </c>
    </row>
    <row r="40" spans="2:121" s="2" customFormat="1" x14ac:dyDescent="0.25">
      <c r="B40" s="2" t="s">
        <v>33</v>
      </c>
      <c r="C40" s="2">
        <v>8</v>
      </c>
      <c r="D40" s="2">
        <v>12.5</v>
      </c>
      <c r="E40" s="2">
        <v>22.5</v>
      </c>
      <c r="F40" s="2">
        <f>+S40-E40-D40-C40</f>
        <v>20.6</v>
      </c>
      <c r="G40" s="2">
        <v>22.7</v>
      </c>
      <c r="H40" s="2">
        <v>30.6</v>
      </c>
      <c r="I40" s="2">
        <v>26.1</v>
      </c>
      <c r="J40" s="2">
        <f>+T40-I40-H40-G40</f>
        <v>15.500000000000011</v>
      </c>
      <c r="M40" s="2">
        <v>27.9</v>
      </c>
      <c r="N40" s="2">
        <v>9.6</v>
      </c>
      <c r="O40" s="2">
        <v>-8.1999999999999993</v>
      </c>
      <c r="P40" s="2">
        <v>17.100000000000001</v>
      </c>
      <c r="Q40" s="2">
        <v>11.5</v>
      </c>
      <c r="R40" s="2">
        <v>21.4</v>
      </c>
      <c r="S40" s="2">
        <v>63.6</v>
      </c>
      <c r="T40" s="2">
        <v>94.9</v>
      </c>
      <c r="U40" s="2">
        <f>+U39*U85</f>
        <v>96.118810749999909</v>
      </c>
      <c r="V40" s="2">
        <f t="shared" ref="V40:AD40" si="81">+V39*V85</f>
        <v>94.410812607124996</v>
      </c>
      <c r="W40" s="2">
        <f t="shared" si="81"/>
        <v>87.563729135177923</v>
      </c>
      <c r="X40" s="2">
        <f t="shared" si="81"/>
        <v>83.311228971245114</v>
      </c>
      <c r="Y40" s="2">
        <f t="shared" si="81"/>
        <v>75.336124036795439</v>
      </c>
      <c r="Z40" s="2">
        <f t="shared" si="81"/>
        <v>69.911026378077693</v>
      </c>
      <c r="AA40" s="2">
        <f t="shared" si="81"/>
        <v>75.615777778165253</v>
      </c>
      <c r="AB40" s="2">
        <f t="shared" si="81"/>
        <v>83.208290961725211</v>
      </c>
      <c r="AC40" s="2">
        <f t="shared" si="81"/>
        <v>91.483083040692463</v>
      </c>
      <c r="AD40" s="2">
        <f t="shared" si="81"/>
        <v>100.49959275537128</v>
      </c>
    </row>
    <row r="41" spans="2:121" s="5" customFormat="1" x14ac:dyDescent="0.25">
      <c r="B41" s="5" t="s">
        <v>34</v>
      </c>
      <c r="C41" s="5">
        <f t="shared" ref="C41:O41" si="82">+C39-C40</f>
        <v>23.310000000000127</v>
      </c>
      <c r="D41" s="5">
        <f t="shared" si="82"/>
        <v>60.499999999999858</v>
      </c>
      <c r="E41" s="5">
        <f t="shared" si="82"/>
        <v>63.810000000000173</v>
      </c>
      <c r="F41" s="5">
        <f t="shared" si="82"/>
        <v>66.180000000000121</v>
      </c>
      <c r="G41" s="5">
        <f t="shared" si="82"/>
        <v>69.589999999999876</v>
      </c>
      <c r="H41" s="5">
        <v>0</v>
      </c>
      <c r="I41" s="5">
        <f t="shared" si="82"/>
        <v>88.599999999999767</v>
      </c>
      <c r="J41" s="5">
        <f t="shared" si="82"/>
        <v>37.955000000000595</v>
      </c>
      <c r="M41" s="5">
        <f t="shared" si="82"/>
        <v>44.922000000000402</v>
      </c>
      <c r="N41" s="5">
        <f t="shared" si="82"/>
        <v>18.900000000000183</v>
      </c>
      <c r="O41" s="5">
        <f t="shared" si="82"/>
        <v>59.700000000000273</v>
      </c>
      <c r="P41" s="5">
        <f t="shared" ref="P41" si="83">+P39-P40</f>
        <v>67.019999999999612</v>
      </c>
      <c r="Q41" s="5">
        <f t="shared" ref="Q41" si="84">+Q39-Q40</f>
        <v>39.969999999999985</v>
      </c>
      <c r="R41" s="5">
        <f t="shared" ref="R41:S41" si="85">+R39-R40</f>
        <v>70.945000000000448</v>
      </c>
      <c r="S41" s="5">
        <f t="shared" si="85"/>
        <v>213.80000000000027</v>
      </c>
      <c r="T41" s="5">
        <f>+T39-T40</f>
        <v>298.48500000000149</v>
      </c>
      <c r="U41" s="5">
        <f t="shared" ref="U41:AD41" si="86">+U39-U40</f>
        <v>288.35643224999973</v>
      </c>
      <c r="V41" s="5">
        <f t="shared" si="86"/>
        <v>283.23243782137502</v>
      </c>
      <c r="W41" s="5">
        <f t="shared" si="86"/>
        <v>262.69118740553375</v>
      </c>
      <c r="X41" s="5">
        <f t="shared" si="86"/>
        <v>249.93368691373536</v>
      </c>
      <c r="Y41" s="5">
        <f t="shared" si="86"/>
        <v>226.00837211038632</v>
      </c>
      <c r="Z41" s="5">
        <f t="shared" si="86"/>
        <v>209.73307913423309</v>
      </c>
      <c r="AA41" s="5">
        <f t="shared" si="86"/>
        <v>226.84733333449577</v>
      </c>
      <c r="AB41" s="5">
        <f t="shared" si="86"/>
        <v>249.62487288517565</v>
      </c>
      <c r="AC41" s="5">
        <f t="shared" si="86"/>
        <v>274.44924912207739</v>
      </c>
      <c r="AD41" s="5">
        <f t="shared" si="86"/>
        <v>301.49877826611385</v>
      </c>
      <c r="AE41" s="5">
        <f>+AD41*(1+Dash!$C$2)</f>
        <v>298.48379048345271</v>
      </c>
      <c r="AF41" s="5">
        <f>+AE41*(1+Dash!$C$2)</f>
        <v>295.49895257861817</v>
      </c>
      <c r="AG41" s="5">
        <f>+AF41*(1+Dash!$C$2)</f>
        <v>292.543963052832</v>
      </c>
      <c r="AH41" s="5">
        <f>+AG41*(1+Dash!$C$2)</f>
        <v>289.61852342230367</v>
      </c>
      <c r="AI41" s="5">
        <f>+AH41*(1+Dash!$C$2)</f>
        <v>286.72233818808064</v>
      </c>
      <c r="AJ41" s="5">
        <f>+AI41*(1+Dash!$C$2)</f>
        <v>283.85511480619982</v>
      </c>
      <c r="AK41" s="5">
        <f>+AJ41*(1+Dash!$C$2)</f>
        <v>281.01656365813784</v>
      </c>
      <c r="AL41" s="5">
        <f>+AK41*(1+Dash!$C$2)</f>
        <v>278.20639802155648</v>
      </c>
      <c r="AM41" s="5">
        <f>+AL41*(1+Dash!$C$2)</f>
        <v>275.4243340413409</v>
      </c>
      <c r="AN41" s="5">
        <f>+AM41*(1+Dash!$C$2)</f>
        <v>272.67009070092746</v>
      </c>
      <c r="AO41" s="5">
        <f>+AN41*(1+Dash!$C$2)</f>
        <v>269.94338979391819</v>
      </c>
      <c r="AP41" s="5">
        <f>+AO41*(1+Dash!$C$2)</f>
        <v>267.24395589597901</v>
      </c>
      <c r="AQ41" s="5">
        <f>+AP41*(1+Dash!$C$2)</f>
        <v>264.5715163370192</v>
      </c>
      <c r="AR41" s="5">
        <f>+AQ41*(1+Dash!$C$2)</f>
        <v>261.92580117364901</v>
      </c>
      <c r="AS41" s="5">
        <f>+AR41*(1+Dash!$C$2)</f>
        <v>259.30654316191249</v>
      </c>
      <c r="AT41" s="5">
        <f>+AS41*(1+Dash!$C$2)</f>
        <v>256.71347773029333</v>
      </c>
      <c r="AU41" s="5">
        <f>+AT41*(1+Dash!$C$2)</f>
        <v>254.14634295299041</v>
      </c>
      <c r="AV41" s="5">
        <f>+AU41*(1+Dash!$C$2)</f>
        <v>251.60487952346051</v>
      </c>
      <c r="AW41" s="5">
        <f>+AV41*(1+Dash!$C$2)</f>
        <v>249.0888307282259</v>
      </c>
      <c r="AX41" s="5">
        <f>+AW41*(1+Dash!$C$2)</f>
        <v>246.59794242094364</v>
      </c>
      <c r="AY41" s="5">
        <f>+AX41*(1+Dash!$C$2)</f>
        <v>244.13196299673419</v>
      </c>
      <c r="AZ41" s="5">
        <f>+AY41*(1+Dash!$C$2)</f>
        <v>241.69064336676684</v>
      </c>
      <c r="BA41" s="5">
        <f>+AZ41*(1+Dash!$C$2)</f>
        <v>239.27373693309917</v>
      </c>
      <c r="BB41" s="5">
        <f>+BA41*(1+Dash!$C$2)</f>
        <v>236.88099956376817</v>
      </c>
      <c r="BC41" s="5">
        <f>+BB41*(1+Dash!$C$2)</f>
        <v>234.51218956813048</v>
      </c>
      <c r="BD41" s="5">
        <f>+BC41*(1+Dash!$C$2)</f>
        <v>232.16706767244918</v>
      </c>
      <c r="BE41" s="5">
        <f>+BD41*(1+Dash!$C$2)</f>
        <v>229.84539699572468</v>
      </c>
      <c r="BF41" s="5">
        <f>+BE41*(1+Dash!$C$2)</f>
        <v>227.54694302576743</v>
      </c>
      <c r="BG41" s="5">
        <f>+BF41*(1+Dash!$C$2)</f>
        <v>225.27147359550975</v>
      </c>
      <c r="BH41" s="5">
        <f>+BG41*(1+Dash!$C$2)</f>
        <v>223.01875885955465</v>
      </c>
      <c r="BI41" s="5">
        <f>+BH41*(1+Dash!$C$2)</f>
        <v>220.7885712709591</v>
      </c>
      <c r="BJ41" s="5">
        <f>+BI41*(1+Dash!$C$2)</f>
        <v>218.58068555824951</v>
      </c>
      <c r="BK41" s="5">
        <f>+BJ41*(1+Dash!$C$2)</f>
        <v>216.39487870266703</v>
      </c>
      <c r="BL41" s="5">
        <f>+BK41*(1+Dash!$C$2)</f>
        <v>214.23092991564036</v>
      </c>
      <c r="BM41" s="5">
        <f>+BL41*(1+Dash!$C$2)</f>
        <v>212.08862061648395</v>
      </c>
      <c r="BN41" s="5">
        <f>+BM41*(1+Dash!$C$2)</f>
        <v>209.96773441031911</v>
      </c>
      <c r="BO41" s="5">
        <f>+BN41*(1+Dash!$C$2)</f>
        <v>207.86805706621593</v>
      </c>
      <c r="BP41" s="5">
        <f>+BO41*(1+Dash!$C$2)</f>
        <v>205.78937649555377</v>
      </c>
      <c r="BQ41" s="5">
        <f>+BP41*(1+Dash!$C$2)</f>
        <v>203.73148273059823</v>
      </c>
      <c r="BR41" s="5">
        <f>+BQ41*(1+Dash!$C$2)</f>
        <v>201.69416790329225</v>
      </c>
      <c r="BS41" s="5">
        <f>+BR41*(1+Dash!$C$2)</f>
        <v>199.67722622425933</v>
      </c>
      <c r="BT41" s="5">
        <f>+BS41*(1+Dash!$C$2)</f>
        <v>197.68045396201674</v>
      </c>
      <c r="BU41" s="5">
        <f>+BT41*(1+Dash!$C$2)</f>
        <v>195.70364942239658</v>
      </c>
      <c r="BV41" s="5">
        <f>+BU41*(1+Dash!$C$2)</f>
        <v>193.74661292817262</v>
      </c>
      <c r="BW41" s="5">
        <f>+BV41*(1+Dash!$C$2)</f>
        <v>191.80914679889091</v>
      </c>
      <c r="BX41" s="5">
        <f>+BW41*(1+Dash!$C$2)</f>
        <v>189.89105533090199</v>
      </c>
      <c r="BY41" s="5">
        <f>+BX41*(1+Dash!$C$2)</f>
        <v>187.99214477759298</v>
      </c>
      <c r="BZ41" s="5">
        <f>+BY41*(1+Dash!$C$2)</f>
        <v>186.11222332981706</v>
      </c>
      <c r="CA41" s="5">
        <f>+BZ41*(1+Dash!$C$2)</f>
        <v>184.25110109651888</v>
      </c>
      <c r="CB41" s="5">
        <f>+CA41*(1+Dash!$C$2)</f>
        <v>182.4085900855537</v>
      </c>
      <c r="CC41" s="5">
        <f>+CB41*(1+Dash!$C$2)</f>
        <v>180.58450418469815</v>
      </c>
      <c r="CD41" s="5">
        <f>+CC41*(1+Dash!$C$2)</f>
        <v>178.77865914285115</v>
      </c>
      <c r="CE41" s="5">
        <f>+CD41*(1+Dash!$C$2)</f>
        <v>176.99087255142265</v>
      </c>
      <c r="CF41" s="5">
        <f>+CE41*(1+Dash!$C$2)</f>
        <v>175.22096382590843</v>
      </c>
      <c r="CG41" s="5">
        <f>+CF41*(1+Dash!$C$2)</f>
        <v>173.46875418764935</v>
      </c>
      <c r="CH41" s="5">
        <f>+CG41*(1+Dash!$C$2)</f>
        <v>171.73406664577286</v>
      </c>
      <c r="CI41" s="5">
        <f>+CH41*(1+Dash!$C$2)</f>
        <v>170.01672597931511</v>
      </c>
      <c r="CJ41" s="5">
        <f>+CI41*(1+Dash!$C$2)</f>
        <v>168.31655871952196</v>
      </c>
      <c r="CK41" s="5">
        <f>+CJ41*(1+Dash!$C$2)</f>
        <v>166.63339313232674</v>
      </c>
      <c r="CL41" s="5">
        <f>+CK41*(1+Dash!$C$2)</f>
        <v>164.96705920100348</v>
      </c>
      <c r="CM41" s="5">
        <f>+CL41*(1+Dash!$C$2)</f>
        <v>163.31738860899344</v>
      </c>
      <c r="CN41" s="5">
        <f>+CM41*(1+Dash!$C$2)</f>
        <v>161.6842147229035</v>
      </c>
      <c r="CO41" s="5">
        <f>+CN41*(1+Dash!$C$2)</f>
        <v>160.06737257567445</v>
      </c>
      <c r="CP41" s="5">
        <f>+CO41*(1+Dash!$C$2)</f>
        <v>158.46669884991772</v>
      </c>
      <c r="CQ41" s="5">
        <f>+CP41*(1+Dash!$C$2)</f>
        <v>156.88203186141854</v>
      </c>
      <c r="CR41" s="5">
        <f>+CQ41*(1+Dash!$C$2)</f>
        <v>155.31321154280434</v>
      </c>
      <c r="CS41" s="5">
        <f>+CR41*(1+Dash!$C$2)</f>
        <v>153.7600794273763</v>
      </c>
      <c r="CT41" s="5">
        <f>+CS41*(1+Dash!$C$2)</f>
        <v>152.22247863310253</v>
      </c>
      <c r="CU41" s="5">
        <f>+CT41*(1+Dash!$C$2)</f>
        <v>150.70025384677149</v>
      </c>
      <c r="CV41" s="5">
        <f>+CU41*(1+Dash!$C$2)</f>
        <v>149.19325130830379</v>
      </c>
      <c r="CW41" s="5">
        <f>+CV41*(1+Dash!$C$2)</f>
        <v>147.70131879522074</v>
      </c>
      <c r="CX41" s="5">
        <f>+CW41*(1+Dash!$C$2)</f>
        <v>146.22430560726855</v>
      </c>
      <c r="CY41" s="5">
        <f>+CX41*(1+Dash!$C$2)</f>
        <v>144.76206255119587</v>
      </c>
      <c r="CZ41" s="5">
        <f>+CY41*(1+Dash!$C$2)</f>
        <v>143.31444192568389</v>
      </c>
      <c r="DA41" s="5">
        <f>+CZ41*(1+Dash!$C$2)</f>
        <v>141.88129750642705</v>
      </c>
      <c r="DB41" s="5">
        <f>+DA41*(1+Dash!$C$2)</f>
        <v>140.46248453136278</v>
      </c>
      <c r="DC41" s="5">
        <f>+DB41*(1+Dash!$C$2)</f>
        <v>139.05785968604914</v>
      </c>
      <c r="DD41" s="5">
        <f>+DC41*(1+Dash!$C$2)</f>
        <v>137.66728108918866</v>
      </c>
      <c r="DE41" s="5">
        <f>+DD41*(1+Dash!$C$2)</f>
        <v>136.29060827829679</v>
      </c>
      <c r="DF41" s="5">
        <f>+DE41*(1+Dash!$C$2)</f>
        <v>134.92770219551383</v>
      </c>
      <c r="DG41" s="5">
        <f>+DF41*(1+Dash!$C$2)</f>
        <v>133.57842517355868</v>
      </c>
      <c r="DH41" s="5">
        <f>+DG41*(1+Dash!$C$2)</f>
        <v>132.2426409218231</v>
      </c>
      <c r="DI41" s="5">
        <f>+DH41*(1+Dash!$C$2)</f>
        <v>130.92021451260487</v>
      </c>
      <c r="DJ41" s="5">
        <f>+DI41*(1+Dash!$C$2)</f>
        <v>129.61101236747882</v>
      </c>
      <c r="DK41" s="5">
        <f>+DJ41*(1+Dash!$C$2)</f>
        <v>128.31490224380403</v>
      </c>
      <c r="DL41" s="5">
        <f>+DK41*(1+Dash!$C$2)</f>
        <v>127.03175322136599</v>
      </c>
      <c r="DM41" s="5">
        <f>+DL41*(1+Dash!$C$2)</f>
        <v>125.76143568915232</v>
      </c>
      <c r="DN41" s="5">
        <f>+DM41*(1+Dash!$C$2)</f>
        <v>124.5038213322608</v>
      </c>
      <c r="DO41" s="5">
        <f>+DN41*(1+Dash!$C$2)</f>
        <v>123.25878311893818</v>
      </c>
      <c r="DP41" s="5">
        <f>+DO41*(1+Dash!$C$2)</f>
        <v>122.02619528774881</v>
      </c>
      <c r="DQ41" s="5">
        <f>+DP41*(1+Dash!$C$2)</f>
        <v>120.80593333487131</v>
      </c>
    </row>
    <row r="42" spans="2:121" s="2" customFormat="1" x14ac:dyDescent="0.25">
      <c r="B42" s="2" t="s">
        <v>1</v>
      </c>
      <c r="C42" s="2">
        <v>25.454899999999999</v>
      </c>
      <c r="D42" s="2">
        <v>25.583400000000001</v>
      </c>
      <c r="E42" s="2">
        <v>25.632999999999999</v>
      </c>
      <c r="F42" s="2">
        <v>25.472000000000001</v>
      </c>
      <c r="G42" s="2">
        <v>24.710699999999999</v>
      </c>
      <c r="H42" s="2">
        <v>24.607399999999998</v>
      </c>
      <c r="I42" s="2">
        <v>24.605</v>
      </c>
      <c r="J42" s="2">
        <v>24.585000000000001</v>
      </c>
      <c r="M42" s="2">
        <v>26.0137</v>
      </c>
      <c r="N42" s="2">
        <v>25.7515</v>
      </c>
      <c r="O42" s="2">
        <v>25.684000000000001</v>
      </c>
      <c r="P42" s="2">
        <v>25.678999999999998</v>
      </c>
      <c r="Q42" s="2">
        <v>25.535499999999999</v>
      </c>
      <c r="R42" s="2">
        <v>25.41</v>
      </c>
      <c r="S42" s="2">
        <v>25.472000000000001</v>
      </c>
      <c r="T42" s="2">
        <v>24.585000000000001</v>
      </c>
    </row>
    <row r="43" spans="2:121" s="6" customFormat="1" x14ac:dyDescent="0.25">
      <c r="B43" s="6" t="s">
        <v>35</v>
      </c>
      <c r="C43" s="6">
        <f t="shared" ref="C43:O43" si="87">+C41/C42</f>
        <v>0.91573724508837706</v>
      </c>
      <c r="D43" s="6">
        <f t="shared" si="87"/>
        <v>2.3648146845219893</v>
      </c>
      <c r="E43" s="6">
        <f t="shared" si="87"/>
        <v>2.4893691725510152</v>
      </c>
      <c r="F43" s="6">
        <f t="shared" si="87"/>
        <v>2.5981469849246279</v>
      </c>
      <c r="G43" s="6">
        <f t="shared" si="87"/>
        <v>2.8161889383951033</v>
      </c>
      <c r="H43" s="6">
        <f t="shared" si="87"/>
        <v>0</v>
      </c>
      <c r="I43" s="6">
        <f t="shared" si="87"/>
        <v>3.6008941272099073</v>
      </c>
      <c r="J43" s="6">
        <f t="shared" si="87"/>
        <v>1.5438275371161518</v>
      </c>
      <c r="M43" s="6">
        <f t="shared" si="87"/>
        <v>1.7268593087488671</v>
      </c>
      <c r="N43" s="6">
        <f t="shared" si="87"/>
        <v>0.73393782886434511</v>
      </c>
      <c r="O43" s="6">
        <f t="shared" si="87"/>
        <v>2.324404298395899</v>
      </c>
      <c r="P43" s="6">
        <f t="shared" ref="P43" si="88">+P41/P42</f>
        <v>2.6099147163051373</v>
      </c>
      <c r="Q43" s="6">
        <f t="shared" ref="Q43" si="89">+Q41/Q42</f>
        <v>1.5652718764073539</v>
      </c>
      <c r="R43" s="6">
        <f t="shared" ref="R43:S43" si="90">+R41/R42</f>
        <v>2.7920110192837644</v>
      </c>
      <c r="S43" s="6">
        <f t="shared" si="90"/>
        <v>8.3935301507537794</v>
      </c>
      <c r="T43" s="6">
        <f>+T41/T42</f>
        <v>12.140939597315496</v>
      </c>
    </row>
    <row r="44" spans="2:121" s="2" customFormat="1" x14ac:dyDescent="0.25"/>
    <row r="45" spans="2:121" s="2" customFormat="1" x14ac:dyDescent="0.25">
      <c r="B45" s="2" t="s">
        <v>36</v>
      </c>
      <c r="M45" s="2">
        <f>89+4</f>
        <v>93</v>
      </c>
      <c r="N45" s="2">
        <f>98.814+4.2</f>
        <v>103.014</v>
      </c>
      <c r="O45" s="2">
        <v>98.5</v>
      </c>
      <c r="P45" s="2">
        <f>104.1+4.5</f>
        <v>108.6</v>
      </c>
      <c r="Q45" s="2">
        <f>108.1+4.4</f>
        <v>112.5</v>
      </c>
      <c r="R45" s="2">
        <f>114.4+4</f>
        <v>118.4</v>
      </c>
      <c r="S45" s="2">
        <f>118.9+5.4</f>
        <v>124.30000000000001</v>
      </c>
      <c r="T45" s="2">
        <f>127.1+12.9</f>
        <v>140</v>
      </c>
    </row>
    <row r="46" spans="2:121" s="2" customFormat="1" x14ac:dyDescent="0.25">
      <c r="B46" s="2" t="s">
        <v>37</v>
      </c>
      <c r="M46" s="2">
        <v>8</v>
      </c>
      <c r="N46" s="2">
        <v>7.6</v>
      </c>
      <c r="O46" s="2">
        <v>7</v>
      </c>
      <c r="P46" s="2">
        <v>8.4</v>
      </c>
      <c r="Q46" s="2">
        <v>9.5</v>
      </c>
      <c r="R46" s="2">
        <v>10.5</v>
      </c>
      <c r="S46" s="2">
        <v>11.426</v>
      </c>
      <c r="T46" s="2">
        <v>12.8</v>
      </c>
    </row>
    <row r="47" spans="2:121" s="2" customFormat="1" x14ac:dyDescent="0.25">
      <c r="B47" s="7" t="s">
        <v>38</v>
      </c>
      <c r="M47" s="2">
        <v>78.400000000000006</v>
      </c>
      <c r="N47" s="2">
        <v>68.3</v>
      </c>
      <c r="O47" s="2">
        <v>65.8</v>
      </c>
      <c r="P47" s="2">
        <v>43.99</v>
      </c>
      <c r="Q47" s="2">
        <v>91</v>
      </c>
      <c r="R47" s="2">
        <v>43.2</v>
      </c>
      <c r="S47" s="2">
        <v>58.4</v>
      </c>
      <c r="T47" s="2">
        <v>148.19999999999999</v>
      </c>
    </row>
    <row r="48" spans="2:121" s="2" customFormat="1" x14ac:dyDescent="0.25">
      <c r="B48" s="7" t="s">
        <v>39</v>
      </c>
      <c r="M48" s="2">
        <v>100.8</v>
      </c>
      <c r="N48" s="2">
        <v>52.2</v>
      </c>
      <c r="O48" s="2">
        <v>68.900000000000006</v>
      </c>
      <c r="P48" s="2">
        <v>71.3</v>
      </c>
      <c r="Q48" s="2">
        <v>58.9</v>
      </c>
      <c r="R48" s="2">
        <v>326.10000000000002</v>
      </c>
      <c r="S48" s="2">
        <v>171.91499999999999</v>
      </c>
      <c r="T48" s="2">
        <v>115.54</v>
      </c>
    </row>
    <row r="49" spans="1:30" s="2" customFormat="1" x14ac:dyDescent="0.25"/>
    <row r="50" spans="1:30" s="2" customFormat="1" x14ac:dyDescent="0.25">
      <c r="B50" s="2" t="s">
        <v>97</v>
      </c>
      <c r="M50" s="2">
        <f>+M45+M36</f>
        <v>168.52200000000039</v>
      </c>
      <c r="N50" s="2">
        <f t="shared" ref="N50:T50" si="91">+N45+N36</f>
        <v>132.31400000000019</v>
      </c>
      <c r="O50" s="2">
        <f t="shared" si="91"/>
        <v>159.70000000000027</v>
      </c>
      <c r="P50" s="2">
        <f t="shared" si="91"/>
        <v>217.51999999999961</v>
      </c>
      <c r="Q50" s="2">
        <f t="shared" si="91"/>
        <v>176.26999999999998</v>
      </c>
      <c r="R50" s="2">
        <f t="shared" si="91"/>
        <v>216.54500000000044</v>
      </c>
      <c r="S50" s="2">
        <f t="shared" si="91"/>
        <v>405.50000000000028</v>
      </c>
      <c r="T50" s="2">
        <f t="shared" si="91"/>
        <v>539.48500000000149</v>
      </c>
    </row>
    <row r="51" spans="1:30" s="2" customFormat="1" x14ac:dyDescent="0.25"/>
    <row r="52" spans="1:30" s="8" customFormat="1" x14ac:dyDescent="0.25">
      <c r="B52" s="8" t="s">
        <v>65</v>
      </c>
      <c r="C52" s="8">
        <f t="shared" ref="C52:J52" si="92">1-C25/C9</f>
        <v>5.4107495955419971E-2</v>
      </c>
      <c r="D52" s="8">
        <f t="shared" si="92"/>
        <v>9.7579656862744946E-2</v>
      </c>
      <c r="E52" s="8">
        <f t="shared" si="92"/>
        <v>0.12301820317087497</v>
      </c>
      <c r="F52" s="8">
        <f t="shared" si="92"/>
        <v>0.12172640819312397</v>
      </c>
      <c r="G52" s="8">
        <f t="shared" si="92"/>
        <v>0.11342691053452414</v>
      </c>
      <c r="H52" s="8">
        <f t="shared" si="92"/>
        <v>0.14515325193122353</v>
      </c>
      <c r="I52" s="8">
        <f t="shared" si="92"/>
        <v>0.13796588755527472</v>
      </c>
      <c r="J52" s="8">
        <f t="shared" si="92"/>
        <v>0.10611384399156742</v>
      </c>
      <c r="M52" s="8">
        <f t="shared" ref="M52:AD52" si="93">1-M25/M9</f>
        <v>3.2609829907127352E-2</v>
      </c>
      <c r="N52" s="8">
        <f t="shared" si="93"/>
        <v>1.7532874139010723E-2</v>
      </c>
      <c r="O52" s="8">
        <f t="shared" si="93"/>
        <v>2.8997140420408463E-2</v>
      </c>
      <c r="P52" s="8">
        <f t="shared" si="93"/>
        <v>4.767420481706186E-2</v>
      </c>
      <c r="Q52" s="8">
        <f t="shared" si="93"/>
        <v>4.7605725742528082E-2</v>
      </c>
      <c r="R52" s="8">
        <f t="shared" si="93"/>
        <v>4.719339588820437E-2</v>
      </c>
      <c r="S52" s="8">
        <f t="shared" si="93"/>
        <v>0.10132877457455913</v>
      </c>
      <c r="T52" s="8">
        <f t="shared" si="93"/>
        <v>0.12660666245972985</v>
      </c>
      <c r="U52" s="8">
        <f t="shared" si="93"/>
        <v>0.1110000000000001</v>
      </c>
      <c r="V52" s="8">
        <f t="shared" si="93"/>
        <v>9.199999999999986E-2</v>
      </c>
      <c r="W52" s="8">
        <f t="shared" si="93"/>
        <v>7.1000000000000063E-2</v>
      </c>
      <c r="X52" s="8">
        <f t="shared" si="93"/>
        <v>6.1999999999999944E-2</v>
      </c>
      <c r="Y52" s="8">
        <f t="shared" si="93"/>
        <v>5.0999999999999934E-2</v>
      </c>
      <c r="Z52" s="8">
        <f t="shared" si="93"/>
        <v>4.1999999999999926E-2</v>
      </c>
      <c r="AA52" s="8">
        <f t="shared" si="93"/>
        <v>4.1000000000000036E-2</v>
      </c>
      <c r="AB52" s="8">
        <f t="shared" si="93"/>
        <v>4.0999999999999814E-2</v>
      </c>
      <c r="AC52" s="8">
        <f t="shared" si="93"/>
        <v>4.0999999999999703E-2</v>
      </c>
      <c r="AD52" s="8">
        <f t="shared" si="93"/>
        <v>4.1000000000000036E-2</v>
      </c>
    </row>
    <row r="53" spans="1:30" s="8" customFormat="1" x14ac:dyDescent="0.25">
      <c r="B53" s="8" t="s">
        <v>66</v>
      </c>
      <c r="C53" s="8">
        <f t="shared" ref="C53:J54" si="94">1-C32/C10</f>
        <v>3.214427269124065E-2</v>
      </c>
      <c r="D53" s="8">
        <f t="shared" si="94"/>
        <v>5.541189508681188E-2</v>
      </c>
      <c r="E53" s="8">
        <f t="shared" si="94"/>
        <v>3.3453473132372347E-2</v>
      </c>
      <c r="F53" s="8">
        <f t="shared" si="94"/>
        <v>2.7688399661303875E-2</v>
      </c>
      <c r="G53" s="8">
        <f t="shared" si="94"/>
        <v>3.5444313791365589E-2</v>
      </c>
      <c r="H53" s="8">
        <f t="shared" si="94"/>
        <v>4.9918137165726684E-2</v>
      </c>
      <c r="I53" s="8">
        <f t="shared" si="94"/>
        <v>2.9503105590062195E-2</v>
      </c>
      <c r="J53" s="8">
        <f t="shared" si="94"/>
        <v>-2.2865790022959187E-2</v>
      </c>
      <c r="M53" s="8">
        <f t="shared" ref="M53:AD53" si="95">1-M32/M10</f>
        <v>3.5111788617886219E-2</v>
      </c>
      <c r="N53" s="8">
        <f t="shared" si="95"/>
        <v>1.1237708756048015E-2</v>
      </c>
      <c r="O53" s="8">
        <f t="shared" si="95"/>
        <v>2.7593038064242292E-2</v>
      </c>
      <c r="P53" s="8">
        <f t="shared" si="95"/>
        <v>3.0085776469082171E-2</v>
      </c>
      <c r="Q53" s="8">
        <f t="shared" si="95"/>
        <v>-2.7356446370530696E-2</v>
      </c>
      <c r="R53" s="8">
        <f t="shared" si="95"/>
        <v>1.2469276037555321E-2</v>
      </c>
      <c r="S53" s="8">
        <f t="shared" si="95"/>
        <v>3.5675841919114326E-2</v>
      </c>
      <c r="T53" s="8">
        <f t="shared" si="95"/>
        <v>2.4673958771560978E-2</v>
      </c>
      <c r="U53" s="8">
        <f t="shared" si="95"/>
        <v>2.7000000000000135E-2</v>
      </c>
      <c r="V53" s="8">
        <f t="shared" si="95"/>
        <v>2.7999999999999914E-2</v>
      </c>
      <c r="W53" s="8">
        <f t="shared" si="95"/>
        <v>2.9000000000000026E-2</v>
      </c>
      <c r="X53" s="8">
        <f t="shared" si="95"/>
        <v>2.5000000000000022E-2</v>
      </c>
      <c r="Y53" s="8">
        <f t="shared" si="95"/>
        <v>2.100000000000013E-2</v>
      </c>
      <c r="Z53" s="8">
        <f t="shared" si="95"/>
        <v>2.0000000000000018E-2</v>
      </c>
      <c r="AA53" s="8">
        <f t="shared" si="95"/>
        <v>2.0000000000000129E-2</v>
      </c>
      <c r="AB53" s="8">
        <f t="shared" si="95"/>
        <v>2.0000000000000018E-2</v>
      </c>
      <c r="AC53" s="8">
        <f t="shared" si="95"/>
        <v>2.0000000000000129E-2</v>
      </c>
      <c r="AD53" s="8">
        <f t="shared" si="95"/>
        <v>2.0000000000000018E-2</v>
      </c>
    </row>
    <row r="54" spans="1:30" s="8" customFormat="1" x14ac:dyDescent="0.25">
      <c r="B54" s="8" t="s">
        <v>67</v>
      </c>
      <c r="C54" s="8">
        <f t="shared" si="94"/>
        <v>1.8581081081081141E-2</v>
      </c>
      <c r="D54" s="8">
        <f t="shared" si="94"/>
        <v>1.8487394957983239E-2</v>
      </c>
      <c r="E54" s="8">
        <f t="shared" si="94"/>
        <v>1.9548872180451093E-2</v>
      </c>
      <c r="F54" s="8">
        <f t="shared" si="94"/>
        <v>1.5965166908562867E-2</v>
      </c>
      <c r="G54" s="8">
        <f t="shared" si="94"/>
        <v>2.1683673469387821E-2</v>
      </c>
      <c r="H54" s="8">
        <f t="shared" si="94"/>
        <v>1.9488428745432329E-2</v>
      </c>
      <c r="I54" s="8">
        <f t="shared" si="94"/>
        <v>1.0078387458006599E-2</v>
      </c>
      <c r="J54" s="8">
        <f t="shared" si="94"/>
        <v>1.8220793140407587E-2</v>
      </c>
      <c r="M54" s="8">
        <f t="shared" ref="M54:AD54" si="96">1-M33/M11</f>
        <v>1.7098119892565378E-2</v>
      </c>
      <c r="N54" s="8">
        <f t="shared" si="96"/>
        <v>1.4760147601476037E-2</v>
      </c>
      <c r="O54" s="8">
        <f t="shared" si="96"/>
        <v>2.1753039027511245E-2</v>
      </c>
      <c r="P54" s="8">
        <f t="shared" si="96"/>
        <v>2.2552537160430597E-2</v>
      </c>
      <c r="Q54" s="8">
        <f t="shared" si="96"/>
        <v>2.2531884742560182E-2</v>
      </c>
      <c r="R54" s="8">
        <f t="shared" si="96"/>
        <v>1.609756097560977E-2</v>
      </c>
      <c r="S54" s="8">
        <f t="shared" si="96"/>
        <v>1.8103109012199914E-2</v>
      </c>
      <c r="T54" s="8">
        <f t="shared" si="96"/>
        <v>1.7196152725153069E-2</v>
      </c>
      <c r="U54" s="8">
        <f t="shared" si="96"/>
        <v>1.9000000000000017E-2</v>
      </c>
      <c r="V54" s="8">
        <f t="shared" si="96"/>
        <v>1.9000000000000017E-2</v>
      </c>
      <c r="W54" s="8">
        <f t="shared" si="96"/>
        <v>1.9000000000000128E-2</v>
      </c>
      <c r="X54" s="8">
        <f t="shared" si="96"/>
        <v>1.9000000000000017E-2</v>
      </c>
      <c r="Y54" s="8">
        <f t="shared" si="96"/>
        <v>1.9000000000000017E-2</v>
      </c>
      <c r="Z54" s="8">
        <f t="shared" si="96"/>
        <v>1.9000000000000017E-2</v>
      </c>
      <c r="AA54" s="8">
        <f t="shared" si="96"/>
        <v>1.8999999999999906E-2</v>
      </c>
      <c r="AB54" s="8">
        <f t="shared" si="96"/>
        <v>1.9000000000000017E-2</v>
      </c>
      <c r="AC54" s="8">
        <f t="shared" si="96"/>
        <v>1.9000000000000017E-2</v>
      </c>
      <c r="AD54" s="8">
        <f t="shared" si="96"/>
        <v>1.9000000000000017E-2</v>
      </c>
    </row>
    <row r="55" spans="1:30" s="9" customFormat="1" x14ac:dyDescent="0.25">
      <c r="B55" s="9" t="s">
        <v>63</v>
      </c>
      <c r="C55" s="9">
        <f t="shared" ref="C55:J55" si="97">+C36/C13</f>
        <v>3.8724071394114969E-2</v>
      </c>
      <c r="D55" s="9">
        <f t="shared" si="97"/>
        <v>7.7887858347386027E-2</v>
      </c>
      <c r="E55" s="9">
        <f t="shared" si="97"/>
        <v>8.6367660076718963E-2</v>
      </c>
      <c r="F55" s="9">
        <f t="shared" si="97"/>
        <v>7.3713514425510468E-2</v>
      </c>
      <c r="G55" s="9">
        <f t="shared" si="97"/>
        <v>7.10733278406111E-2</v>
      </c>
      <c r="H55" s="9">
        <f t="shared" si="97"/>
        <v>9.8456457750017851E-2</v>
      </c>
      <c r="I55" s="9">
        <f t="shared" si="97"/>
        <v>8.5441633377718429E-2</v>
      </c>
      <c r="J55" s="9">
        <f t="shared" si="97"/>
        <v>4.1754400064293651E-2</v>
      </c>
      <c r="M55" s="9">
        <f t="shared" ref="M55:AD55" si="98">+M36/M13</f>
        <v>2.8318378335814524E-2</v>
      </c>
      <c r="N55" s="9">
        <f t="shared" si="98"/>
        <v>1.0851048070513361E-2</v>
      </c>
      <c r="O55" s="9">
        <f t="shared" si="98"/>
        <v>2.165298613076715E-2</v>
      </c>
      <c r="P55" s="9">
        <f t="shared" si="98"/>
        <v>3.5205895662292208E-2</v>
      </c>
      <c r="Q55" s="9">
        <f t="shared" si="98"/>
        <v>2.1339892246427732E-2</v>
      </c>
      <c r="R55" s="9">
        <f t="shared" si="98"/>
        <v>3.3381006719056514E-2</v>
      </c>
      <c r="S55" s="9">
        <f t="shared" si="98"/>
        <v>7.0651491168563674E-2</v>
      </c>
      <c r="T55" s="9">
        <f t="shared" si="98"/>
        <v>7.5033338968088767E-2</v>
      </c>
      <c r="U55" s="9">
        <f t="shared" si="98"/>
        <v>6.6633731665939749E-2</v>
      </c>
      <c r="V55" s="9">
        <f t="shared" si="98"/>
        <v>5.6271204148594954E-2</v>
      </c>
      <c r="W55" s="9">
        <f t="shared" si="98"/>
        <v>4.4962047511447924E-2</v>
      </c>
      <c r="X55" s="9">
        <f t="shared" si="98"/>
        <v>3.8354266808535542E-2</v>
      </c>
      <c r="Y55" s="9">
        <f t="shared" si="98"/>
        <v>3.0649287935873848E-2</v>
      </c>
      <c r="Z55" s="9">
        <f t="shared" si="98"/>
        <v>2.532167177515237E-2</v>
      </c>
      <c r="AA55" s="9">
        <f t="shared" si="98"/>
        <v>2.481185058761512E-2</v>
      </c>
      <c r="AB55" s="9">
        <f t="shared" si="98"/>
        <v>2.4852439383275023E-2</v>
      </c>
      <c r="AC55" s="9">
        <f t="shared" si="98"/>
        <v>2.4892685204668977E-2</v>
      </c>
      <c r="AD55" s="9">
        <f t="shared" si="98"/>
        <v>2.4932591175841894E-2</v>
      </c>
    </row>
    <row r="56" spans="1:30" s="8" customFormat="1" x14ac:dyDescent="0.25"/>
    <row r="57" spans="1:30" s="8" customFormat="1" x14ac:dyDescent="0.25">
      <c r="A57" s="8" t="s">
        <v>95</v>
      </c>
      <c r="B57" s="2" t="s">
        <v>68</v>
      </c>
      <c r="G57" s="8">
        <f>+G9/C9-1</f>
        <v>0.26784109293546643</v>
      </c>
      <c r="H57" s="8">
        <f t="shared" ref="H57:J57" si="99">+H9/D9-1</f>
        <v>0.22947303921568629</v>
      </c>
      <c r="I57" s="8">
        <f t="shared" si="99"/>
        <v>0.1619201409277744</v>
      </c>
      <c r="J57" s="8">
        <f t="shared" si="99"/>
        <v>4.0965618141916682E-2</v>
      </c>
      <c r="N57" s="8">
        <f>+N9/M9-1</f>
        <v>-1.0435145570275584E-4</v>
      </c>
      <c r="O57" s="8">
        <f t="shared" ref="O57:T57" si="100">+O9/N9-1</f>
        <v>4.0127322062199822E-2</v>
      </c>
      <c r="P57" s="8">
        <f t="shared" si="100"/>
        <v>9.1456378869211763E-2</v>
      </c>
      <c r="Q57" s="8">
        <f t="shared" si="100"/>
        <v>-1.4202978488692786E-2</v>
      </c>
      <c r="R57" s="8">
        <f t="shared" si="100"/>
        <v>-2.4558213269921025E-2</v>
      </c>
      <c r="S57" s="8">
        <f t="shared" si="100"/>
        <v>0.23028828458482908</v>
      </c>
      <c r="T57" s="8">
        <f t="shared" si="100"/>
        <v>0.16982671536249905</v>
      </c>
      <c r="U57" s="8">
        <v>0.12</v>
      </c>
      <c r="V57" s="8">
        <v>0.1</v>
      </c>
      <c r="W57" s="8">
        <v>0.09</v>
      </c>
      <c r="X57" s="8">
        <v>0.09</v>
      </c>
      <c r="Y57" s="8">
        <v>8.5000000000000006E-2</v>
      </c>
      <c r="Z57" s="8">
        <v>8.5000000000000006E-2</v>
      </c>
      <c r="AA57" s="8">
        <v>8.5000000000000006E-2</v>
      </c>
      <c r="AB57" s="8">
        <v>8.5000000000000006E-2</v>
      </c>
      <c r="AC57" s="8">
        <v>8.5000000000000006E-2</v>
      </c>
      <c r="AD57" s="8">
        <v>8.5000000000000006E-2</v>
      </c>
    </row>
    <row r="58" spans="1:30" s="8" customFormat="1" x14ac:dyDescent="0.25">
      <c r="A58" s="8" t="s">
        <v>95</v>
      </c>
      <c r="B58" s="2" t="s">
        <v>69</v>
      </c>
      <c r="G58" s="8">
        <f t="shared" ref="G58:J58" si="101">+G10/C10-1</f>
        <v>1.3594926674593735</v>
      </c>
      <c r="H58" s="8">
        <f t="shared" si="101"/>
        <v>1.0306612486147029</v>
      </c>
      <c r="I58" s="8">
        <f t="shared" si="101"/>
        <v>0.68807339449541316</v>
      </c>
      <c r="J58" s="8">
        <f t="shared" si="101"/>
        <v>1.4182895850974431E-2</v>
      </c>
      <c r="N58" s="8">
        <f t="shared" ref="N58:T58" si="102">+N10/M10-1</f>
        <v>8.519647696476973E-2</v>
      </c>
      <c r="O58" s="8">
        <f t="shared" si="102"/>
        <v>0.10301233026377399</v>
      </c>
      <c r="P58" s="8">
        <f t="shared" si="102"/>
        <v>0.10527805292203185</v>
      </c>
      <c r="Q58" s="8">
        <f t="shared" si="102"/>
        <v>-5.4666495967225726E-2</v>
      </c>
      <c r="R58" s="8">
        <f t="shared" si="102"/>
        <v>5.5139490790899304E-2</v>
      </c>
      <c r="S58" s="8">
        <f t="shared" si="102"/>
        <v>0.66932994487334985</v>
      </c>
      <c r="T58" s="8">
        <f t="shared" si="102"/>
        <v>0.64485622020605904</v>
      </c>
      <c r="U58" s="8">
        <v>0.15</v>
      </c>
      <c r="V58" s="8">
        <v>0.12</v>
      </c>
      <c r="W58" s="8">
        <v>0.11</v>
      </c>
      <c r="X58" s="8">
        <v>0.1</v>
      </c>
      <c r="Y58" s="8">
        <v>0.09</v>
      </c>
      <c r="Z58" s="8">
        <v>8.5000000000000006E-2</v>
      </c>
      <c r="AA58" s="8">
        <v>8.5000000000000006E-2</v>
      </c>
      <c r="AB58" s="8">
        <v>8.5000000000000006E-2</v>
      </c>
      <c r="AC58" s="8">
        <v>8.5000000000000006E-2</v>
      </c>
      <c r="AD58" s="8">
        <v>8.5000000000000006E-2</v>
      </c>
    </row>
    <row r="59" spans="1:30" s="8" customFormat="1" x14ac:dyDescent="0.25">
      <c r="A59" s="8" t="s">
        <v>95</v>
      </c>
      <c r="B59" s="2" t="s">
        <v>70</v>
      </c>
      <c r="G59" s="8">
        <f t="shared" ref="G59:J59" si="103">+G11/C11-1</f>
        <v>0.32432432432432434</v>
      </c>
      <c r="H59" s="8">
        <f t="shared" si="103"/>
        <v>0.37983193277310923</v>
      </c>
      <c r="I59" s="8">
        <f t="shared" si="103"/>
        <v>0.34285714285714275</v>
      </c>
      <c r="J59" s="8">
        <f t="shared" si="103"/>
        <v>0.35413642960812797</v>
      </c>
      <c r="N59" s="8">
        <f t="shared" ref="N59:T59" si="104">+N11/M11-1</f>
        <v>-7.080404594548273E-2</v>
      </c>
      <c r="O59" s="8">
        <f t="shared" si="104"/>
        <v>-3.8745387453874458E-2</v>
      </c>
      <c r="P59" s="8">
        <f t="shared" si="104"/>
        <v>0.24824056301983344</v>
      </c>
      <c r="Q59" s="8">
        <f t="shared" si="104"/>
        <v>8.50845720143516E-2</v>
      </c>
      <c r="R59" s="8">
        <f t="shared" si="104"/>
        <v>-3.1648559282002831E-2</v>
      </c>
      <c r="S59" s="8">
        <f t="shared" si="104"/>
        <v>0.23951219512195121</v>
      </c>
      <c r="T59" s="8">
        <f t="shared" si="104"/>
        <v>0.3502558048012594</v>
      </c>
      <c r="U59" s="8">
        <v>0.1</v>
      </c>
      <c r="V59" s="8">
        <v>0.09</v>
      </c>
      <c r="W59" s="8">
        <v>0.08</v>
      </c>
      <c r="X59" s="8">
        <v>7.0000000000000007E-2</v>
      </c>
      <c r="Y59" s="8">
        <v>0.06</v>
      </c>
      <c r="Z59" s="8">
        <v>0.05</v>
      </c>
      <c r="AA59" s="8">
        <v>0.05</v>
      </c>
      <c r="AB59" s="8">
        <v>0.05</v>
      </c>
      <c r="AC59" s="8">
        <v>0.05</v>
      </c>
      <c r="AD59" s="8">
        <v>0.05</v>
      </c>
    </row>
    <row r="60" spans="1:30" s="8" customFormat="1" x14ac:dyDescent="0.25">
      <c r="A60" s="8" t="s">
        <v>95</v>
      </c>
      <c r="B60" s="2" t="s">
        <v>71</v>
      </c>
      <c r="G60" s="8">
        <f t="shared" ref="G60:J60" si="105">+G12/C12-1</f>
        <v>0.13730569948186511</v>
      </c>
      <c r="H60" s="8">
        <f t="shared" si="105"/>
        <v>0.21345029239766067</v>
      </c>
      <c r="I60" s="8">
        <f t="shared" si="105"/>
        <v>0.22099447513812143</v>
      </c>
      <c r="J60" s="8">
        <f t="shared" si="105"/>
        <v>5.0761421319793776E-3</v>
      </c>
      <c r="N60" s="8">
        <f t="shared" ref="N60:T60" si="106">+N12/M12-1</f>
        <v>0.29139072847682113</v>
      </c>
      <c r="O60" s="8">
        <f t="shared" si="106"/>
        <v>0.53333333333333321</v>
      </c>
      <c r="P60" s="8">
        <f t="shared" si="106"/>
        <v>0.93979933110367897</v>
      </c>
      <c r="Q60" s="8">
        <f t="shared" si="106"/>
        <v>0.8362068965517242</v>
      </c>
      <c r="R60" s="8">
        <f t="shared" si="106"/>
        <v>0.27699530516431925</v>
      </c>
      <c r="S60" s="8">
        <f t="shared" si="106"/>
        <v>9.1176470588235414E-2</v>
      </c>
      <c r="T60" s="8">
        <f t="shared" si="106"/>
        <v>0.14016172506738522</v>
      </c>
      <c r="U60" s="8">
        <v>0.1</v>
      </c>
      <c r="V60" s="8">
        <v>0.09</v>
      </c>
      <c r="W60" s="8">
        <v>0.08</v>
      </c>
      <c r="X60" s="8">
        <v>0.08</v>
      </c>
      <c r="Y60" s="8">
        <v>0.08</v>
      </c>
      <c r="Z60" s="8">
        <v>0.08</v>
      </c>
      <c r="AA60" s="8">
        <v>0.08</v>
      </c>
      <c r="AB60" s="8">
        <v>0.08</v>
      </c>
      <c r="AC60" s="8">
        <v>0.08</v>
      </c>
      <c r="AD60" s="8">
        <v>0.08</v>
      </c>
    </row>
    <row r="61" spans="1:30" s="9" customFormat="1" x14ac:dyDescent="0.25">
      <c r="B61" s="5" t="s">
        <v>72</v>
      </c>
      <c r="G61" s="9">
        <f t="shared" ref="G61:J61" si="107">+G13/C13-1</f>
        <v>0.610106126386879</v>
      </c>
      <c r="H61" s="9">
        <f t="shared" si="107"/>
        <v>0.46806492411467127</v>
      </c>
      <c r="I61" s="9">
        <f t="shared" si="107"/>
        <v>0.32959575095898486</v>
      </c>
      <c r="J61" s="9">
        <f t="shared" si="107"/>
        <v>4.9687869073730573E-2</v>
      </c>
      <c r="N61" s="9">
        <f t="shared" ref="N61:AD61" si="108">+N13/M13-1</f>
        <v>1.2490203945419776E-2</v>
      </c>
      <c r="O61" s="9">
        <f t="shared" si="108"/>
        <v>4.673727872009481E-2</v>
      </c>
      <c r="P61" s="9">
        <f t="shared" si="108"/>
        <v>9.4607981885083348E-2</v>
      </c>
      <c r="Q61" s="9">
        <f t="shared" si="108"/>
        <v>-3.4100458982481041E-2</v>
      </c>
      <c r="R61" s="9">
        <f t="shared" si="108"/>
        <v>-1.6114513268413289E-2</v>
      </c>
      <c r="S61" s="9">
        <f t="shared" si="108"/>
        <v>0.35370874565710175</v>
      </c>
      <c r="T61" s="9">
        <f t="shared" si="108"/>
        <v>0.33767995779000559</v>
      </c>
      <c r="U61" s="9">
        <f t="shared" si="108"/>
        <v>0.13140117578557864</v>
      </c>
      <c r="V61" s="9">
        <f t="shared" si="108"/>
        <v>0.10785083170739318</v>
      </c>
      <c r="W61" s="9">
        <f t="shared" si="108"/>
        <v>9.7945526726420873E-2</v>
      </c>
      <c r="X61" s="9">
        <f t="shared" si="108"/>
        <v>9.3260608469510231E-2</v>
      </c>
      <c r="Y61" s="9">
        <f t="shared" si="108"/>
        <v>8.5764053230149129E-2</v>
      </c>
      <c r="Z61" s="9">
        <f t="shared" si="108"/>
        <v>8.3119061835124963E-2</v>
      </c>
      <c r="AA61" s="9">
        <f t="shared" si="108"/>
        <v>8.3180645521849117E-2</v>
      </c>
      <c r="AB61" s="9">
        <f t="shared" si="108"/>
        <v>8.3240434460494894E-2</v>
      </c>
      <c r="AC61" s="9">
        <f t="shared" si="108"/>
        <v>8.3298473914226623E-2</v>
      </c>
      <c r="AD61" s="9">
        <f t="shared" si="108"/>
        <v>8.335480841041587E-2</v>
      </c>
    </row>
    <row r="62" spans="1:30" s="8" customFormat="1" x14ac:dyDescent="0.25"/>
    <row r="63" spans="1:30" s="8" customFormat="1" x14ac:dyDescent="0.25">
      <c r="A63" s="8" t="s">
        <v>95</v>
      </c>
      <c r="B63" s="8" t="s">
        <v>64</v>
      </c>
      <c r="C63" s="8">
        <f t="shared" ref="C63:J73" si="109">+C14/C$9</f>
        <v>0.51357181376954886</v>
      </c>
      <c r="D63" s="8">
        <f t="shared" si="109"/>
        <v>0.46323529411764708</v>
      </c>
      <c r="E63" s="8">
        <f t="shared" si="109"/>
        <v>0.44891368173810919</v>
      </c>
      <c r="F63" s="8">
        <f t="shared" si="109"/>
        <v>0.44535479151426471</v>
      </c>
      <c r="G63" s="8">
        <f t="shared" si="109"/>
        <v>0.44449170565716717</v>
      </c>
      <c r="H63" s="8">
        <f t="shared" si="109"/>
        <v>0.40879641166209818</v>
      </c>
      <c r="I63" s="8">
        <f t="shared" si="109"/>
        <v>0.41996209728363865</v>
      </c>
      <c r="J63" s="8">
        <f t="shared" si="109"/>
        <v>0.44905130007027394</v>
      </c>
      <c r="M63" s="8">
        <f t="shared" ref="M63:T73" si="110">+M14/M$9</f>
        <v>0.61176040905770634</v>
      </c>
      <c r="N63" s="8">
        <f t="shared" si="110"/>
        <v>0.63264454184930075</v>
      </c>
      <c r="O63" s="8">
        <f t="shared" si="110"/>
        <v>0.56444087693774136</v>
      </c>
      <c r="P63" s="8">
        <f t="shared" si="110"/>
        <v>0.51847766133480422</v>
      </c>
      <c r="Q63" s="8">
        <f t="shared" si="110"/>
        <v>0.53564601109712318</v>
      </c>
      <c r="R63" s="8">
        <f t="shared" si="110"/>
        <v>0.52374965942171003</v>
      </c>
      <c r="S63" s="8">
        <f t="shared" si="110"/>
        <v>0.46557619084621954</v>
      </c>
      <c r="T63" s="8">
        <f t="shared" si="110"/>
        <v>0.42960576571789166</v>
      </c>
      <c r="U63" s="8">
        <v>0.44</v>
      </c>
      <c r="V63" s="8">
        <v>0.46</v>
      </c>
      <c r="W63" s="8">
        <v>0.48</v>
      </c>
      <c r="X63" s="8">
        <v>0.49</v>
      </c>
      <c r="Y63" s="8">
        <v>0.5</v>
      </c>
      <c r="Z63" s="8">
        <v>0.51</v>
      </c>
      <c r="AA63" s="8">
        <v>0.51</v>
      </c>
      <c r="AB63" s="8">
        <v>0.51</v>
      </c>
      <c r="AC63" s="8">
        <v>0.51</v>
      </c>
      <c r="AD63" s="8">
        <v>0.51</v>
      </c>
    </row>
    <row r="64" spans="1:30" s="8" customFormat="1" x14ac:dyDescent="0.25">
      <c r="A64" s="8" t="s">
        <v>95</v>
      </c>
      <c r="B64" s="8" t="s">
        <v>73</v>
      </c>
      <c r="C64" s="8">
        <f t="shared" si="109"/>
        <v>0.10929354664749237</v>
      </c>
      <c r="D64" s="8">
        <f t="shared" si="109"/>
        <v>9.9111519607843146E-2</v>
      </c>
      <c r="E64" s="8">
        <f t="shared" si="109"/>
        <v>9.8209042865531421E-2</v>
      </c>
      <c r="F64" s="8">
        <f t="shared" si="109"/>
        <v>0.1078273591806876</v>
      </c>
      <c r="G64" s="8">
        <f t="shared" si="109"/>
        <v>0.12023252516659577</v>
      </c>
      <c r="H64" s="8">
        <f t="shared" si="109"/>
        <v>0.1237229005731373</v>
      </c>
      <c r="I64" s="8">
        <f t="shared" si="109"/>
        <v>0.12293114339861023</v>
      </c>
      <c r="J64" s="8">
        <f t="shared" si="109"/>
        <v>0.13661278988053405</v>
      </c>
      <c r="M64" s="8">
        <f t="shared" si="110"/>
        <v>0.16033601168736306</v>
      </c>
      <c r="N64" s="8">
        <f t="shared" si="110"/>
        <v>0.14746399499060739</v>
      </c>
      <c r="O64" s="8">
        <f t="shared" si="110"/>
        <v>0.11739326744594392</v>
      </c>
      <c r="P64" s="8">
        <f t="shared" si="110"/>
        <v>0.11789851075565362</v>
      </c>
      <c r="Q64" s="8">
        <f t="shared" si="110"/>
        <v>0.1198769058609596</v>
      </c>
      <c r="R64" s="8">
        <f t="shared" si="110"/>
        <v>9.9950765524394955E-2</v>
      </c>
      <c r="S64" s="8">
        <f t="shared" si="110"/>
        <v>0.10338798663454814</v>
      </c>
      <c r="T64" s="8">
        <f t="shared" si="110"/>
        <v>0.12574313328240727</v>
      </c>
      <c r="U64" s="8">
        <v>0.12</v>
      </c>
      <c r="V64" s="8">
        <v>0.12</v>
      </c>
      <c r="W64" s="8">
        <v>0.12</v>
      </c>
      <c r="X64" s="8">
        <v>0.12</v>
      </c>
      <c r="Y64" s="8">
        <v>0.12</v>
      </c>
      <c r="Z64" s="8">
        <v>0.12</v>
      </c>
      <c r="AA64" s="8">
        <v>0.12</v>
      </c>
      <c r="AB64" s="8">
        <v>0.12</v>
      </c>
      <c r="AC64" s="8">
        <v>0.12</v>
      </c>
      <c r="AD64" s="8">
        <v>0.12</v>
      </c>
    </row>
    <row r="65" spans="1:30" s="8" customFormat="1" x14ac:dyDescent="0.25">
      <c r="A65" s="8" t="s">
        <v>95</v>
      </c>
      <c r="B65" s="8" t="s">
        <v>74</v>
      </c>
      <c r="C65" s="8">
        <f t="shared" si="109"/>
        <v>2.1930612978608665E-2</v>
      </c>
      <c r="D65" s="8">
        <f t="shared" si="109"/>
        <v>1.8841911764705885E-2</v>
      </c>
      <c r="E65" s="8">
        <f t="shared" si="109"/>
        <v>1.8203170874926601E-2</v>
      </c>
      <c r="F65" s="8">
        <f t="shared" si="109"/>
        <v>1.8434528163862467E-2</v>
      </c>
      <c r="G65" s="8">
        <f t="shared" si="109"/>
        <v>1.7722954771019424E-2</v>
      </c>
      <c r="H65" s="8">
        <f t="shared" si="109"/>
        <v>1.594816845252928E-2</v>
      </c>
      <c r="I65" s="8">
        <f t="shared" si="109"/>
        <v>1.6550852811118129E-2</v>
      </c>
      <c r="J65" s="8">
        <f t="shared" si="109"/>
        <v>1.953619114546731E-2</v>
      </c>
      <c r="M65" s="8">
        <f t="shared" si="110"/>
        <v>2.5566106647187729E-2</v>
      </c>
      <c r="N65" s="8">
        <f t="shared" si="110"/>
        <v>2.5255687747860571E-2</v>
      </c>
      <c r="O65" s="8">
        <f t="shared" si="110"/>
        <v>2.3980334119299652E-2</v>
      </c>
      <c r="P65" s="8">
        <f t="shared" si="110"/>
        <v>2.2430593859165286E-2</v>
      </c>
      <c r="Q65" s="8">
        <f t="shared" si="110"/>
        <v>2.3406537044808134E-2</v>
      </c>
      <c r="R65" s="8">
        <f t="shared" si="110"/>
        <v>2.3565627643963038E-2</v>
      </c>
      <c r="S65" s="8">
        <f t="shared" si="110"/>
        <v>1.9232263579143677E-2</v>
      </c>
      <c r="T65" s="8">
        <f t="shared" si="110"/>
        <v>1.7370221528446642E-2</v>
      </c>
      <c r="U65" s="8">
        <v>1.7999999999999999E-2</v>
      </c>
      <c r="V65" s="8">
        <v>1.7999999999999999E-2</v>
      </c>
      <c r="W65" s="8">
        <v>1.9E-2</v>
      </c>
      <c r="X65" s="8">
        <v>1.9E-2</v>
      </c>
      <c r="Y65" s="8">
        <v>0.02</v>
      </c>
      <c r="Z65" s="8">
        <v>0.02</v>
      </c>
      <c r="AA65" s="8">
        <v>0.02</v>
      </c>
      <c r="AB65" s="8">
        <v>0.02</v>
      </c>
      <c r="AC65" s="8">
        <v>0.02</v>
      </c>
      <c r="AD65" s="8">
        <v>0.02</v>
      </c>
    </row>
    <row r="66" spans="1:30" s="8" customFormat="1" x14ac:dyDescent="0.25">
      <c r="A66" s="8" t="s">
        <v>95</v>
      </c>
      <c r="B66" s="8" t="s">
        <v>75</v>
      </c>
      <c r="C66" s="8">
        <f t="shared" si="109"/>
        <v>1.5998561927017797E-2</v>
      </c>
      <c r="D66" s="8">
        <f t="shared" si="109"/>
        <v>1.4552696078431373E-2</v>
      </c>
      <c r="E66" s="8">
        <f t="shared" si="109"/>
        <v>1.4973576042278331E-2</v>
      </c>
      <c r="F66" s="8">
        <f t="shared" si="109"/>
        <v>1.3460131675201163E-2</v>
      </c>
      <c r="G66" s="8">
        <f t="shared" si="109"/>
        <v>1.4745498369488163E-2</v>
      </c>
      <c r="H66" s="8">
        <f t="shared" si="109"/>
        <v>1.5200598056316969E-2</v>
      </c>
      <c r="I66" s="8">
        <f t="shared" si="109"/>
        <v>1.6677195198989261E-2</v>
      </c>
      <c r="J66" s="8">
        <f t="shared" si="109"/>
        <v>1.6303583977512297E-2</v>
      </c>
      <c r="M66" s="8">
        <f t="shared" si="110"/>
        <v>1.5026609621204216E-2</v>
      </c>
      <c r="N66" s="8">
        <f t="shared" si="110"/>
        <v>1.5289083698601545E-2</v>
      </c>
      <c r="O66" s="8">
        <f t="shared" si="110"/>
        <v>1.545176340741484E-2</v>
      </c>
      <c r="P66" s="8">
        <f t="shared" si="110"/>
        <v>1.5122265122265123E-2</v>
      </c>
      <c r="Q66" s="8">
        <f t="shared" si="110"/>
        <v>1.5153634540961441E-2</v>
      </c>
      <c r="R66" s="8">
        <f t="shared" si="110"/>
        <v>1.6060955148826737E-2</v>
      </c>
      <c r="S66" s="8">
        <f t="shared" si="110"/>
        <v>1.4686455824073352E-2</v>
      </c>
      <c r="T66" s="8">
        <f t="shared" si="110"/>
        <v>1.5742801155800592E-2</v>
      </c>
      <c r="U66" s="8">
        <v>1.4999999999999999E-2</v>
      </c>
      <c r="V66" s="8">
        <v>1.4999999999999999E-2</v>
      </c>
      <c r="W66" s="8">
        <v>1.4999999999999999E-2</v>
      </c>
      <c r="X66" s="8">
        <v>1.4999999999999999E-2</v>
      </c>
      <c r="Y66" s="8">
        <v>1.4999999999999999E-2</v>
      </c>
      <c r="Z66" s="8">
        <v>1.4999999999999999E-2</v>
      </c>
      <c r="AA66" s="8">
        <v>1.4999999999999999E-2</v>
      </c>
      <c r="AB66" s="8">
        <v>1.4999999999999999E-2</v>
      </c>
      <c r="AC66" s="8">
        <v>1.4999999999999999E-2</v>
      </c>
      <c r="AD66" s="8">
        <v>1.4999999999999999E-2</v>
      </c>
    </row>
    <row r="67" spans="1:30" s="8" customFormat="1" x14ac:dyDescent="0.25">
      <c r="A67" s="8" t="s">
        <v>95</v>
      </c>
      <c r="B67" s="8" t="s">
        <v>76</v>
      </c>
      <c r="C67" s="8">
        <f t="shared" si="109"/>
        <v>8.9879561387740427E-3</v>
      </c>
      <c r="D67" s="8">
        <f t="shared" si="109"/>
        <v>7.1997549019607848E-3</v>
      </c>
      <c r="E67" s="8">
        <f t="shared" si="109"/>
        <v>6.6059894304169109E-3</v>
      </c>
      <c r="F67" s="8">
        <f t="shared" si="109"/>
        <v>6.7300658376005847E-3</v>
      </c>
      <c r="G67" s="8">
        <f t="shared" si="109"/>
        <v>6.6638309939033042E-3</v>
      </c>
      <c r="H67" s="8">
        <f t="shared" si="109"/>
        <v>5.7313730376277097E-3</v>
      </c>
      <c r="I67" s="8">
        <f t="shared" si="109"/>
        <v>6.0644346178142768E-3</v>
      </c>
      <c r="J67" s="8">
        <f t="shared" si="109"/>
        <v>6.7463106113843947E-3</v>
      </c>
      <c r="M67" s="8">
        <f t="shared" si="110"/>
        <v>8.4002921840759682E-3</v>
      </c>
      <c r="N67" s="8">
        <f t="shared" si="110"/>
        <v>9.4447923189313297E-3</v>
      </c>
      <c r="O67" s="8">
        <f t="shared" si="110"/>
        <v>8.7292429639291621E-3</v>
      </c>
      <c r="P67" s="8">
        <f t="shared" si="110"/>
        <v>7.8093399521970948E-3</v>
      </c>
      <c r="Q67" s="8">
        <f t="shared" si="110"/>
        <v>8.6725416142117793E-3</v>
      </c>
      <c r="R67" s="8">
        <f t="shared" si="110"/>
        <v>8.5562826536904335E-3</v>
      </c>
      <c r="S67" s="8">
        <f t="shared" si="110"/>
        <v>7.3043748543010333E-3</v>
      </c>
      <c r="T67" s="8">
        <f t="shared" si="110"/>
        <v>6.2771928659204881E-3</v>
      </c>
      <c r="U67" s="8">
        <v>7.0000000000000001E-3</v>
      </c>
      <c r="V67" s="8">
        <v>7.0000000000000001E-3</v>
      </c>
      <c r="W67" s="8">
        <v>7.0000000000000001E-3</v>
      </c>
      <c r="X67" s="8">
        <v>7.0000000000000001E-3</v>
      </c>
      <c r="Y67" s="8">
        <v>7.0000000000000001E-3</v>
      </c>
      <c r="Z67" s="8">
        <v>7.0000000000000001E-3</v>
      </c>
      <c r="AA67" s="8">
        <v>7.0000000000000001E-3</v>
      </c>
      <c r="AB67" s="8">
        <v>7.0000000000000001E-3</v>
      </c>
      <c r="AC67" s="8">
        <v>7.0000000000000001E-3</v>
      </c>
      <c r="AD67" s="8">
        <v>7.0000000000000001E-3</v>
      </c>
    </row>
    <row r="68" spans="1:30" s="8" customFormat="1" x14ac:dyDescent="0.25">
      <c r="A68" s="8" t="s">
        <v>95</v>
      </c>
      <c r="B68" s="8" t="s">
        <v>77</v>
      </c>
      <c r="C68" s="8">
        <f t="shared" si="109"/>
        <v>4.2243393852238006E-2</v>
      </c>
      <c r="D68" s="8">
        <f t="shared" si="109"/>
        <v>3.5692401960784319E-2</v>
      </c>
      <c r="E68" s="8">
        <f t="shared" si="109"/>
        <v>3.4057545507927181E-2</v>
      </c>
      <c r="F68" s="8">
        <f t="shared" si="109"/>
        <v>3.4820775420629099E-2</v>
      </c>
      <c r="G68" s="8">
        <f t="shared" si="109"/>
        <v>3.4453424074861766E-2</v>
      </c>
      <c r="H68" s="8">
        <f t="shared" si="109"/>
        <v>3.0525791178669322E-2</v>
      </c>
      <c r="I68" s="8">
        <f t="shared" si="109"/>
        <v>3.0448515476942516E-2</v>
      </c>
      <c r="J68" s="8">
        <f t="shared" si="109"/>
        <v>3.4293745607870671E-2</v>
      </c>
      <c r="M68" s="8">
        <f t="shared" si="110"/>
        <v>3.9027444432849841E-2</v>
      </c>
      <c r="N68" s="8">
        <f t="shared" si="110"/>
        <v>4.3623460655395525E-2</v>
      </c>
      <c r="O68" s="8">
        <f t="shared" si="110"/>
        <v>4.1388651984146894E-2</v>
      </c>
      <c r="P68" s="8">
        <f t="shared" si="110"/>
        <v>3.9524728810443097E-2</v>
      </c>
      <c r="Q68" s="8">
        <f t="shared" si="110"/>
        <v>4.1870657900871917E-2</v>
      </c>
      <c r="R68" s="8">
        <f t="shared" si="110"/>
        <v>4.5075835432570273E-2</v>
      </c>
      <c r="S68" s="8">
        <f t="shared" si="110"/>
        <v>3.6444168156033879E-2</v>
      </c>
      <c r="T68" s="8">
        <f t="shared" si="110"/>
        <v>3.231591882825733E-2</v>
      </c>
      <c r="U68" s="8">
        <v>3.3000000000000002E-2</v>
      </c>
      <c r="V68" s="8">
        <v>3.3000000000000002E-2</v>
      </c>
      <c r="W68" s="8">
        <v>3.4000000000000002E-2</v>
      </c>
      <c r="X68" s="8">
        <v>3.4000000000000002E-2</v>
      </c>
      <c r="Y68" s="8">
        <v>3.5000000000000003E-2</v>
      </c>
      <c r="Z68" s="8">
        <v>3.5000000000000003E-2</v>
      </c>
      <c r="AA68" s="8">
        <v>3.5999999999999997E-2</v>
      </c>
      <c r="AB68" s="8">
        <v>3.5999999999999997E-2</v>
      </c>
      <c r="AC68" s="8">
        <v>3.5999999999999997E-2</v>
      </c>
      <c r="AD68" s="8">
        <v>3.5999999999999997E-2</v>
      </c>
    </row>
    <row r="69" spans="1:30" s="8" customFormat="1" x14ac:dyDescent="0.25">
      <c r="A69" s="8" t="s">
        <v>95</v>
      </c>
      <c r="B69" s="8" t="s">
        <v>78</v>
      </c>
      <c r="C69" s="8">
        <f t="shared" si="109"/>
        <v>0.13589789681826353</v>
      </c>
      <c r="D69" s="8">
        <f t="shared" si="109"/>
        <v>0.14568014705882354</v>
      </c>
      <c r="E69" s="8">
        <f t="shared" si="109"/>
        <v>0.14078097475044041</v>
      </c>
      <c r="F69" s="8">
        <f t="shared" si="109"/>
        <v>0.14294074615947325</v>
      </c>
      <c r="G69" s="8">
        <f t="shared" si="109"/>
        <v>0.14603714731320006</v>
      </c>
      <c r="H69" s="8">
        <f t="shared" si="109"/>
        <v>0.15150760029902816</v>
      </c>
      <c r="I69" s="8">
        <f t="shared" si="109"/>
        <v>0.15628553379658877</v>
      </c>
      <c r="J69" s="8">
        <f t="shared" si="109"/>
        <v>0.13056921995783552</v>
      </c>
      <c r="M69" s="8">
        <f t="shared" si="110"/>
        <v>0.10283835959511635</v>
      </c>
      <c r="N69" s="8">
        <f t="shared" si="110"/>
        <v>0.10394489668127739</v>
      </c>
      <c r="O69" s="8">
        <f t="shared" si="110"/>
        <v>0.10359705011789495</v>
      </c>
      <c r="P69" s="8">
        <f t="shared" si="110"/>
        <v>0.11137157565728996</v>
      </c>
      <c r="Q69" s="8">
        <f t="shared" si="110"/>
        <v>0.10327784771762952</v>
      </c>
      <c r="R69" s="8">
        <f t="shared" si="110"/>
        <v>0.11959675530465623</v>
      </c>
      <c r="S69" s="8">
        <f t="shared" si="110"/>
        <v>0.14154168933095035</v>
      </c>
      <c r="T69" s="8">
        <f t="shared" si="110"/>
        <v>0.14653425885947721</v>
      </c>
      <c r="U69" s="8">
        <v>0.15</v>
      </c>
      <c r="V69" s="8">
        <v>0.14799999999999999</v>
      </c>
      <c r="W69" s="8">
        <v>0.14599999999999999</v>
      </c>
      <c r="X69" s="8">
        <v>0.14399999999999999</v>
      </c>
      <c r="Y69" s="8">
        <v>0.14199999999999999</v>
      </c>
      <c r="Z69" s="8">
        <v>0.14000000000000001</v>
      </c>
      <c r="AA69" s="8">
        <v>0.14000000000000001</v>
      </c>
      <c r="AB69" s="8">
        <v>0.14000000000000001</v>
      </c>
      <c r="AC69" s="8">
        <v>0.14000000000000001</v>
      </c>
      <c r="AD69" s="8">
        <v>0.14000000000000001</v>
      </c>
    </row>
    <row r="70" spans="1:30" s="8" customFormat="1" x14ac:dyDescent="0.25">
      <c r="A70" s="8" t="s">
        <v>95</v>
      </c>
      <c r="B70" s="8" t="s">
        <v>79</v>
      </c>
      <c r="C70" s="8">
        <f t="shared" si="109"/>
        <v>0.1004853496314938</v>
      </c>
      <c r="D70" s="8">
        <f t="shared" si="109"/>
        <v>0.10631127450980393</v>
      </c>
      <c r="E70" s="8">
        <f t="shared" si="109"/>
        <v>0.10422783323546682</v>
      </c>
      <c r="F70" s="8">
        <f t="shared" si="109"/>
        <v>9.8317483540599798E-2</v>
      </c>
      <c r="G70" s="8">
        <f t="shared" si="109"/>
        <v>9.5278604849000442E-2</v>
      </c>
      <c r="H70" s="8">
        <f t="shared" si="109"/>
        <v>9.4193869922751056E-2</v>
      </c>
      <c r="I70" s="8">
        <f t="shared" si="109"/>
        <v>9.134554643082754E-2</v>
      </c>
      <c r="J70" s="8">
        <f t="shared" si="109"/>
        <v>9.3605059732958476E-2</v>
      </c>
      <c r="M70" s="8">
        <f t="shared" si="110"/>
        <v>0</v>
      </c>
      <c r="N70" s="8">
        <f t="shared" si="110"/>
        <v>0</v>
      </c>
      <c r="O70" s="8">
        <f t="shared" si="110"/>
        <v>9.2961420759544486E-2</v>
      </c>
      <c r="P70" s="8">
        <f t="shared" si="110"/>
        <v>0.10034013605442178</v>
      </c>
      <c r="Q70" s="8">
        <f t="shared" si="110"/>
        <v>9.9221336317433684E-2</v>
      </c>
      <c r="R70" s="8">
        <f t="shared" si="110"/>
        <v>0.10387040338809672</v>
      </c>
      <c r="S70" s="8">
        <f t="shared" si="110"/>
        <v>0.10237780713342139</v>
      </c>
      <c r="T70" s="8">
        <f t="shared" si="110"/>
        <v>9.3560065096814901E-2</v>
      </c>
      <c r="U70" s="8">
        <v>9.5000000000000001E-2</v>
      </c>
      <c r="V70" s="8">
        <v>9.6000000000000002E-2</v>
      </c>
      <c r="W70" s="8">
        <v>9.7000000000000003E-2</v>
      </c>
      <c r="X70" s="8">
        <v>9.8000000000000004E-2</v>
      </c>
      <c r="Y70" s="8">
        <v>9.9000000000000005E-2</v>
      </c>
      <c r="Z70" s="8">
        <v>0.1</v>
      </c>
      <c r="AA70" s="8">
        <v>0.1</v>
      </c>
      <c r="AB70" s="8">
        <v>0.1</v>
      </c>
      <c r="AC70" s="8">
        <v>0.1</v>
      </c>
      <c r="AD70" s="8">
        <v>0.1</v>
      </c>
    </row>
    <row r="71" spans="1:30" s="8" customFormat="1" x14ac:dyDescent="0.25">
      <c r="A71" s="8" t="s">
        <v>95</v>
      </c>
      <c r="B71" s="8" t="s">
        <v>80</v>
      </c>
      <c r="C71" s="8">
        <f t="shared" si="109"/>
        <v>-1.5639043681466836E-2</v>
      </c>
      <c r="D71" s="8">
        <f t="shared" si="109"/>
        <v>1.5318627450980395E-4</v>
      </c>
      <c r="E71" s="8">
        <f t="shared" si="109"/>
        <v>0</v>
      </c>
      <c r="F71" s="8">
        <f t="shared" si="109"/>
        <v>-1.4630577907827303E-4</v>
      </c>
      <c r="G71" s="8">
        <f t="shared" si="109"/>
        <v>-3.8281582305401962E-3</v>
      </c>
      <c r="H71" s="8">
        <f t="shared" si="109"/>
        <v>-1.7443309244953898E-3</v>
      </c>
      <c r="I71" s="8">
        <f t="shared" si="109"/>
        <v>-7.4542008843967158E-3</v>
      </c>
      <c r="J71" s="8">
        <f t="shared" si="109"/>
        <v>-3.5137034434293722E-3</v>
      </c>
      <c r="M71" s="8">
        <f t="shared" si="110"/>
        <v>-8.8698737347386002E-4</v>
      </c>
      <c r="N71" s="8">
        <f t="shared" si="110"/>
        <v>-1.5654351909830933E-3</v>
      </c>
      <c r="O71" s="8">
        <f t="shared" si="110"/>
        <v>-3.5117644107760996E-4</v>
      </c>
      <c r="P71" s="8">
        <f t="shared" si="110"/>
        <v>-1.8385732671446958E-4</v>
      </c>
      <c r="Q71" s="8">
        <f t="shared" si="110"/>
        <v>-2.750967501282231E-3</v>
      </c>
      <c r="R71" s="8">
        <f t="shared" si="110"/>
        <v>-1.5774152378311972E-3</v>
      </c>
      <c r="S71" s="8">
        <f t="shared" si="110"/>
        <v>-3.3802160230010096E-3</v>
      </c>
      <c r="T71" s="8">
        <f t="shared" si="110"/>
        <v>-4.1515825832807466E-3</v>
      </c>
      <c r="U71" s="8">
        <v>-1E-3</v>
      </c>
      <c r="V71" s="8">
        <v>-1E-3</v>
      </c>
      <c r="W71" s="8">
        <v>-1E-3</v>
      </c>
      <c r="X71" s="8">
        <v>-1E-3</v>
      </c>
      <c r="Y71" s="8">
        <v>-1E-3</v>
      </c>
      <c r="Z71" s="8">
        <v>-1E-3</v>
      </c>
      <c r="AA71" s="8">
        <v>-1E-3</v>
      </c>
      <c r="AB71" s="8">
        <v>-1E-3</v>
      </c>
      <c r="AC71" s="8">
        <v>-1E-3</v>
      </c>
      <c r="AD71" s="8">
        <v>-1E-3</v>
      </c>
    </row>
    <row r="72" spans="1:30" s="8" customFormat="1" x14ac:dyDescent="0.25">
      <c r="A72" s="8" t="s">
        <v>95</v>
      </c>
      <c r="B72" s="8" t="s">
        <v>81</v>
      </c>
      <c r="C72" s="8">
        <f t="shared" si="109"/>
        <v>1.2403379471508181E-2</v>
      </c>
      <c r="D72" s="8">
        <f t="shared" si="109"/>
        <v>1.1488970588235295E-2</v>
      </c>
      <c r="E72" s="8">
        <f t="shared" si="109"/>
        <v>1.0129183793305931E-2</v>
      </c>
      <c r="F72" s="8">
        <f t="shared" si="109"/>
        <v>9.2172640819312372E-3</v>
      </c>
      <c r="G72" s="8">
        <f t="shared" si="109"/>
        <v>9.9248546717708788E-3</v>
      </c>
      <c r="H72" s="8">
        <f t="shared" si="109"/>
        <v>9.9676052828307996E-3</v>
      </c>
      <c r="I72" s="8">
        <f t="shared" si="109"/>
        <v>7.7068856601389766E-3</v>
      </c>
      <c r="J72" s="8">
        <f t="shared" si="109"/>
        <v>8.5734364019676729E-3</v>
      </c>
      <c r="M72" s="8">
        <f t="shared" si="110"/>
        <v>0</v>
      </c>
      <c r="N72" s="8">
        <f t="shared" si="110"/>
        <v>0</v>
      </c>
      <c r="O72" s="8">
        <f t="shared" si="110"/>
        <v>0</v>
      </c>
      <c r="P72" s="8">
        <f t="shared" si="110"/>
        <v>0</v>
      </c>
      <c r="Q72" s="8">
        <f t="shared" si="110"/>
        <v>6.3878397911129765E-3</v>
      </c>
      <c r="R72" s="8">
        <f t="shared" si="110"/>
        <v>1.0755103894303618E-2</v>
      </c>
      <c r="S72" s="8">
        <f t="shared" si="110"/>
        <v>1.0723443935037687E-2</v>
      </c>
      <c r="T72" s="8">
        <f t="shared" si="110"/>
        <v>9.0338437012189039E-3</v>
      </c>
      <c r="U72" s="8">
        <v>0.01</v>
      </c>
      <c r="V72" s="8">
        <v>0.01</v>
      </c>
      <c r="W72" s="8">
        <v>0.01</v>
      </c>
      <c r="X72" s="8">
        <v>0.01</v>
      </c>
      <c r="Y72" s="8">
        <v>0.01</v>
      </c>
      <c r="Z72" s="8">
        <v>0.01</v>
      </c>
      <c r="AA72" s="8">
        <v>0.01</v>
      </c>
      <c r="AB72" s="8">
        <v>0.01</v>
      </c>
      <c r="AC72" s="8">
        <v>0.01</v>
      </c>
      <c r="AD72" s="8">
        <v>0.01</v>
      </c>
    </row>
    <row r="73" spans="1:30" s="8" customFormat="1" x14ac:dyDescent="0.25">
      <c r="A73" s="8" t="s">
        <v>95</v>
      </c>
      <c r="B73" s="8" t="s">
        <v>82</v>
      </c>
      <c r="C73" s="8">
        <f t="shared" si="109"/>
        <v>7.190364911019235E-4</v>
      </c>
      <c r="D73" s="8">
        <f t="shared" si="109"/>
        <v>1.5318627450980395E-4</v>
      </c>
      <c r="E73" s="8">
        <f t="shared" si="109"/>
        <v>8.8079859072225477E-4</v>
      </c>
      <c r="F73" s="8">
        <f t="shared" si="109"/>
        <v>1.3167520117044616E-3</v>
      </c>
      <c r="G73" s="8">
        <f t="shared" si="109"/>
        <v>8.507018290089324E-4</v>
      </c>
      <c r="H73" s="8">
        <f t="shared" si="109"/>
        <v>9.9676052828308001E-4</v>
      </c>
      <c r="I73" s="8">
        <f t="shared" si="109"/>
        <v>1.5161086544535692E-3</v>
      </c>
      <c r="J73" s="8">
        <f t="shared" si="109"/>
        <v>2.1082220660576237E-3</v>
      </c>
      <c r="M73" s="8">
        <f t="shared" si="110"/>
        <v>5.3219242408431592E-3</v>
      </c>
      <c r="N73" s="8">
        <f t="shared" si="110"/>
        <v>6.3661031099979124E-3</v>
      </c>
      <c r="O73" s="8">
        <f t="shared" si="110"/>
        <v>3.4114282847539255E-3</v>
      </c>
      <c r="P73" s="8">
        <f t="shared" si="110"/>
        <v>1.9534840963412393E-2</v>
      </c>
      <c r="Q73" s="8">
        <f t="shared" si="110"/>
        <v>1.6319298736420013E-3</v>
      </c>
      <c r="R73" s="8">
        <f t="shared" si="110"/>
        <v>3.2026309374148551E-3</v>
      </c>
      <c r="S73" s="8">
        <f t="shared" si="110"/>
        <v>7.7706115471287587E-4</v>
      </c>
      <c r="T73" s="8">
        <f t="shared" si="110"/>
        <v>1.3617190873160847E-3</v>
      </c>
      <c r="U73" s="8">
        <v>2E-3</v>
      </c>
      <c r="V73" s="8">
        <v>2E-3</v>
      </c>
      <c r="W73" s="8">
        <v>2E-3</v>
      </c>
      <c r="X73" s="8">
        <v>2E-3</v>
      </c>
      <c r="Y73" s="8">
        <v>2E-3</v>
      </c>
      <c r="Z73" s="8">
        <v>2E-3</v>
      </c>
      <c r="AA73" s="8">
        <v>2E-3</v>
      </c>
      <c r="AB73" s="8">
        <v>2E-3</v>
      </c>
      <c r="AC73" s="8">
        <v>2E-3</v>
      </c>
      <c r="AD73" s="8">
        <v>2E-3</v>
      </c>
    </row>
    <row r="74" spans="1:30" s="8" customFormat="1" x14ac:dyDescent="0.25"/>
    <row r="75" spans="1:30" s="8" customFormat="1" x14ac:dyDescent="0.25">
      <c r="A75" s="8" t="s">
        <v>95</v>
      </c>
      <c r="B75" s="8" t="s">
        <v>83</v>
      </c>
      <c r="C75" s="8">
        <f t="shared" ref="C75:J80" si="111">+C26/C$10</f>
        <v>0.83626634958382873</v>
      </c>
      <c r="D75" s="8">
        <f t="shared" si="111"/>
        <v>0.83708902844477284</v>
      </c>
      <c r="E75" s="8">
        <f t="shared" si="111"/>
        <v>0.84174311926605505</v>
      </c>
      <c r="F75" s="8">
        <f t="shared" si="111"/>
        <v>0.85268839966130416</v>
      </c>
      <c r="G75" s="8">
        <f t="shared" si="111"/>
        <v>0.85402318158911472</v>
      </c>
      <c r="H75" s="8">
        <f t="shared" si="111"/>
        <v>0.8152810623976714</v>
      </c>
      <c r="I75" s="8">
        <f t="shared" si="111"/>
        <v>0.82608695652173914</v>
      </c>
      <c r="J75" s="8">
        <f t="shared" si="111"/>
        <v>0.84020037570444528</v>
      </c>
      <c r="M75" s="8">
        <f t="shared" ref="M75:T80" si="112">+M26/M$10</f>
        <v>0.77942073170731718</v>
      </c>
      <c r="N75" s="8">
        <f t="shared" si="112"/>
        <v>0.78336194786951763</v>
      </c>
      <c r="O75" s="8">
        <f t="shared" si="112"/>
        <v>0.7973680486769491</v>
      </c>
      <c r="P75" s="8">
        <f t="shared" si="112"/>
        <v>0.80847522724363075</v>
      </c>
      <c r="Q75" s="8">
        <f t="shared" si="112"/>
        <v>0.82082881906825578</v>
      </c>
      <c r="R75" s="8">
        <f t="shared" si="112"/>
        <v>0.83415156940888058</v>
      </c>
      <c r="S75" s="8">
        <f t="shared" si="112"/>
        <v>0.84368752883284637</v>
      </c>
      <c r="T75" s="8">
        <f t="shared" si="112"/>
        <v>0.83424484644509878</v>
      </c>
      <c r="U75" s="8">
        <v>0.83</v>
      </c>
      <c r="V75" s="8">
        <v>0.82499999999999996</v>
      </c>
      <c r="W75" s="8">
        <v>0.82</v>
      </c>
      <c r="X75" s="8">
        <v>0.82</v>
      </c>
      <c r="Y75" s="8">
        <v>0.82</v>
      </c>
      <c r="Z75" s="8">
        <v>0.81499999999999995</v>
      </c>
      <c r="AA75" s="8">
        <v>0.81499999999999995</v>
      </c>
      <c r="AB75" s="8">
        <v>0.81499999999999995</v>
      </c>
      <c r="AC75" s="8">
        <v>0.81499999999999995</v>
      </c>
      <c r="AD75" s="8">
        <v>0.81499999999999995</v>
      </c>
    </row>
    <row r="76" spans="1:30" s="8" customFormat="1" x14ac:dyDescent="0.25">
      <c r="A76" s="8" t="s">
        <v>95</v>
      </c>
      <c r="B76" s="8" t="s">
        <v>84</v>
      </c>
      <c r="C76" s="8">
        <f t="shared" si="111"/>
        <v>1.0305192231470471E-2</v>
      </c>
      <c r="D76" s="8">
        <f t="shared" si="111"/>
        <v>9.2353158478019944E-3</v>
      </c>
      <c r="E76" s="8">
        <f t="shared" si="111"/>
        <v>8.846657929226738E-3</v>
      </c>
      <c r="F76" s="8">
        <f t="shared" si="111"/>
        <v>5.7154953429297221E-3</v>
      </c>
      <c r="G76" s="8">
        <f t="shared" si="111"/>
        <v>5.5434234839576687E-3</v>
      </c>
      <c r="H76" s="8">
        <f t="shared" si="111"/>
        <v>7.8224486083318164E-3</v>
      </c>
      <c r="I76" s="8">
        <f t="shared" si="111"/>
        <v>8.5403726708074539E-3</v>
      </c>
      <c r="J76" s="8">
        <f t="shared" si="111"/>
        <v>7.9628470048006654E-3</v>
      </c>
      <c r="M76" s="8">
        <f t="shared" si="112"/>
        <v>1.9817073170731708E-2</v>
      </c>
      <c r="N76" s="8">
        <f t="shared" si="112"/>
        <v>2.0446386764476351E-2</v>
      </c>
      <c r="O76" s="8">
        <f t="shared" si="112"/>
        <v>2.1366916654874769E-2</v>
      </c>
      <c r="P76" s="8">
        <f t="shared" si="112"/>
        <v>1.7027269235693254E-2</v>
      </c>
      <c r="Q76" s="8">
        <f t="shared" si="112"/>
        <v>1.4626218851570966E-2</v>
      </c>
      <c r="R76" s="8">
        <f t="shared" si="112"/>
        <v>1.2321672667064553E-2</v>
      </c>
      <c r="S76" s="8">
        <f t="shared" si="112"/>
        <v>8.0731969860064583E-3</v>
      </c>
      <c r="T76" s="8">
        <f t="shared" si="112"/>
        <v>7.3926050577291626E-3</v>
      </c>
      <c r="U76" s="8">
        <v>8.0000000000000002E-3</v>
      </c>
      <c r="V76" s="8">
        <v>8.9999999999999993E-3</v>
      </c>
      <c r="W76" s="8">
        <v>0.01</v>
      </c>
      <c r="X76" s="8">
        <v>1.0999999999999999E-2</v>
      </c>
      <c r="Y76" s="8">
        <v>1.2E-2</v>
      </c>
      <c r="Z76" s="8">
        <v>1.4999999999999999E-2</v>
      </c>
      <c r="AA76" s="8">
        <v>1.4999999999999999E-2</v>
      </c>
      <c r="AB76" s="8">
        <v>1.4999999999999999E-2</v>
      </c>
      <c r="AC76" s="8">
        <v>1.4999999999999999E-2</v>
      </c>
      <c r="AD76" s="8">
        <v>1.4999999999999999E-2</v>
      </c>
    </row>
    <row r="77" spans="1:30" s="8" customFormat="1" x14ac:dyDescent="0.25">
      <c r="A77" s="8" t="s">
        <v>95</v>
      </c>
      <c r="B77" s="8" t="s">
        <v>85</v>
      </c>
      <c r="C77" s="8">
        <f t="shared" si="111"/>
        <v>9.512485136741973E-3</v>
      </c>
      <c r="D77" s="8">
        <f t="shared" si="111"/>
        <v>8.8659032138899158E-3</v>
      </c>
      <c r="E77" s="8">
        <f t="shared" si="111"/>
        <v>7.8636959370904317E-3</v>
      </c>
      <c r="F77" s="8">
        <f t="shared" si="111"/>
        <v>8.8907705334462343E-3</v>
      </c>
      <c r="G77" s="8">
        <f t="shared" si="111"/>
        <v>8.7350915504787515E-3</v>
      </c>
      <c r="H77" s="8">
        <f t="shared" si="111"/>
        <v>1.0005457522284883E-2</v>
      </c>
      <c r="I77" s="8">
        <f t="shared" si="111"/>
        <v>9.8990683229813643E-3</v>
      </c>
      <c r="J77" s="8">
        <f t="shared" si="111"/>
        <v>1.0227509914422872E-2</v>
      </c>
      <c r="M77" s="8">
        <f t="shared" si="112"/>
        <v>2.184959349593496E-2</v>
      </c>
      <c r="N77" s="8">
        <f t="shared" si="112"/>
        <v>2.1226783205868578E-2</v>
      </c>
      <c r="O77" s="8">
        <f t="shared" si="112"/>
        <v>1.853686146879864E-2</v>
      </c>
      <c r="P77" s="8">
        <f t="shared" si="112"/>
        <v>1.7667392139290743E-2</v>
      </c>
      <c r="Q77" s="8">
        <f t="shared" si="112"/>
        <v>1.530335861321777E-2</v>
      </c>
      <c r="R77" s="8">
        <f t="shared" si="112"/>
        <v>1.2450023424013142E-2</v>
      </c>
      <c r="S77" s="8">
        <f t="shared" si="112"/>
        <v>8.765185299092728E-3</v>
      </c>
      <c r="T77" s="8">
        <f t="shared" si="112"/>
        <v>9.676062263357172E-3</v>
      </c>
      <c r="U77" s="8">
        <v>1.0999999999999999E-2</v>
      </c>
      <c r="V77" s="8">
        <v>1.2E-2</v>
      </c>
      <c r="W77" s="8">
        <v>1.2999999999999999E-2</v>
      </c>
      <c r="X77" s="8">
        <v>1.4E-2</v>
      </c>
      <c r="Y77" s="8">
        <v>1.4999999999999999E-2</v>
      </c>
      <c r="Z77" s="8">
        <v>1.4999999999999999E-2</v>
      </c>
      <c r="AA77" s="8">
        <v>1.4999999999999999E-2</v>
      </c>
      <c r="AB77" s="8">
        <v>1.4999999999999999E-2</v>
      </c>
      <c r="AC77" s="8">
        <v>1.4999999999999999E-2</v>
      </c>
      <c r="AD77" s="8">
        <v>1.4999999999999999E-2</v>
      </c>
    </row>
    <row r="78" spans="1:30" s="8" customFormat="1" x14ac:dyDescent="0.25">
      <c r="A78" s="8" t="s">
        <v>95</v>
      </c>
      <c r="B78" s="8" t="s">
        <v>86</v>
      </c>
      <c r="C78" s="8">
        <f t="shared" si="111"/>
        <v>0.10344827586206896</v>
      </c>
      <c r="D78" s="8">
        <f t="shared" si="111"/>
        <v>0.10749907646841524</v>
      </c>
      <c r="E78" s="8">
        <f t="shared" si="111"/>
        <v>0.10157273918741809</v>
      </c>
      <c r="F78" s="8">
        <f t="shared" si="111"/>
        <v>9.716342082980528E-2</v>
      </c>
      <c r="G78" s="8">
        <f t="shared" si="111"/>
        <v>8.4327229968083325E-2</v>
      </c>
      <c r="H78" s="8">
        <f t="shared" si="111"/>
        <v>0.10551209750773148</v>
      </c>
      <c r="I78" s="8">
        <f t="shared" si="111"/>
        <v>0.10947204968944098</v>
      </c>
      <c r="J78" s="8">
        <f t="shared" si="111"/>
        <v>0.11166771029012726</v>
      </c>
      <c r="M78" s="8">
        <f t="shared" si="112"/>
        <v>0.12516937669376696</v>
      </c>
      <c r="N78" s="8">
        <f t="shared" si="112"/>
        <v>0.13297955361323552</v>
      </c>
      <c r="O78" s="8">
        <f t="shared" si="112"/>
        <v>0.11843780953728597</v>
      </c>
      <c r="P78" s="8">
        <f t="shared" si="112"/>
        <v>0.11688644219690179</v>
      </c>
      <c r="Q78" s="8">
        <f t="shared" si="112"/>
        <v>0.12730227518959913</v>
      </c>
      <c r="R78" s="8">
        <f t="shared" si="112"/>
        <v>0.11679918882321608</v>
      </c>
      <c r="S78" s="8">
        <f t="shared" si="112"/>
        <v>0.10156850684299554</v>
      </c>
      <c r="T78" s="8">
        <f t="shared" si="112"/>
        <v>0.10194923573131397</v>
      </c>
      <c r="U78" s="8">
        <v>0.104</v>
      </c>
      <c r="V78" s="8">
        <v>0.106</v>
      </c>
      <c r="W78" s="8">
        <v>0.108</v>
      </c>
      <c r="X78" s="8">
        <v>0.11</v>
      </c>
      <c r="Y78" s="8">
        <v>0.112</v>
      </c>
      <c r="Z78" s="8">
        <v>0.115</v>
      </c>
      <c r="AA78" s="8">
        <v>0.115</v>
      </c>
      <c r="AB78" s="8">
        <v>0.115</v>
      </c>
      <c r="AC78" s="8">
        <v>0.115</v>
      </c>
      <c r="AD78" s="8">
        <v>0.115</v>
      </c>
    </row>
    <row r="79" spans="1:30" s="8" customFormat="1" x14ac:dyDescent="0.25">
      <c r="A79" s="8" t="s">
        <v>95</v>
      </c>
      <c r="B79" s="8" t="s">
        <v>87</v>
      </c>
      <c r="C79" s="8">
        <f t="shared" si="111"/>
        <v>0</v>
      </c>
      <c r="D79" s="8">
        <f t="shared" si="111"/>
        <v>-2.5489471739933506E-2</v>
      </c>
      <c r="E79" s="8">
        <f t="shared" si="111"/>
        <v>0</v>
      </c>
      <c r="F79" s="8">
        <f t="shared" si="111"/>
        <v>0</v>
      </c>
      <c r="G79" s="8">
        <f t="shared" si="111"/>
        <v>0</v>
      </c>
      <c r="H79" s="8">
        <f t="shared" si="111"/>
        <v>-7.2766963798435503E-4</v>
      </c>
      <c r="I79" s="8">
        <f t="shared" si="111"/>
        <v>0</v>
      </c>
      <c r="J79" s="8">
        <f t="shared" si="111"/>
        <v>0</v>
      </c>
      <c r="M79" s="8">
        <f t="shared" si="112"/>
        <v>0</v>
      </c>
      <c r="N79" s="8">
        <f t="shared" si="112"/>
        <v>0</v>
      </c>
      <c r="O79" s="8">
        <f t="shared" si="112"/>
        <v>-2.8300551860761287E-4</v>
      </c>
      <c r="P79" s="8">
        <f t="shared" si="112"/>
        <v>-2.4324670336704646E-3</v>
      </c>
      <c r="Q79" s="8">
        <f t="shared" si="112"/>
        <v>0</v>
      </c>
      <c r="R79" s="8">
        <f t="shared" si="112"/>
        <v>0</v>
      </c>
      <c r="S79" s="8">
        <f t="shared" si="112"/>
        <v>-5.305243733661388E-3</v>
      </c>
      <c r="T79" s="8">
        <f t="shared" si="112"/>
        <v>-1.8697704856728836E-4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  <c r="AA79" s="8">
        <v>0</v>
      </c>
      <c r="AB79" s="8">
        <v>0</v>
      </c>
      <c r="AC79" s="8">
        <v>0</v>
      </c>
      <c r="AD79" s="8">
        <v>0</v>
      </c>
    </row>
    <row r="80" spans="1:30" s="8" customFormat="1" x14ac:dyDescent="0.25">
      <c r="A80" s="8" t="s">
        <v>95</v>
      </c>
      <c r="B80" s="8" t="s">
        <v>88</v>
      </c>
      <c r="C80" s="8">
        <f t="shared" si="111"/>
        <v>8.3234244946492272E-3</v>
      </c>
      <c r="D80" s="8">
        <f t="shared" si="111"/>
        <v>7.3882526782415962E-3</v>
      </c>
      <c r="E80" s="8">
        <f t="shared" si="111"/>
        <v>6.5203145478374839E-3</v>
      </c>
      <c r="F80" s="8">
        <f t="shared" si="111"/>
        <v>7.8535139712108421E-3</v>
      </c>
      <c r="G80" s="8">
        <f t="shared" si="111"/>
        <v>1.1926759616999832E-2</v>
      </c>
      <c r="H80" s="8">
        <f t="shared" si="111"/>
        <v>1.2188466436237947E-2</v>
      </c>
      <c r="I80" s="8">
        <f t="shared" si="111"/>
        <v>1.6498447204968944E-2</v>
      </c>
      <c r="J80" s="8">
        <f t="shared" si="111"/>
        <v>5.2807347109162996E-2</v>
      </c>
      <c r="M80" s="8">
        <f t="shared" si="112"/>
        <v>1.8631436314363144E-2</v>
      </c>
      <c r="N80" s="8">
        <f t="shared" si="112"/>
        <v>3.0747619790853751E-2</v>
      </c>
      <c r="O80" s="8">
        <f t="shared" si="112"/>
        <v>1.6980331116456769E-2</v>
      </c>
      <c r="P80" s="8">
        <f t="shared" si="112"/>
        <v>1.2290359749071821E-2</v>
      </c>
      <c r="Q80" s="8">
        <f t="shared" si="112"/>
        <v>4.9295774647887321E-2</v>
      </c>
      <c r="R80" s="8">
        <f t="shared" si="112"/>
        <v>1.1808269639270197E-2</v>
      </c>
      <c r="S80" s="8">
        <f t="shared" si="112"/>
        <v>7.534983853606029E-3</v>
      </c>
      <c r="T80" s="8">
        <f t="shared" si="112"/>
        <v>2.2250268779507313E-2</v>
      </c>
      <c r="U80" s="8">
        <v>0.02</v>
      </c>
      <c r="V80" s="8">
        <v>0.02</v>
      </c>
      <c r="W80" s="8">
        <v>0.02</v>
      </c>
      <c r="X80" s="8">
        <v>0.02</v>
      </c>
      <c r="Y80" s="8">
        <v>0.02</v>
      </c>
      <c r="Z80" s="8">
        <v>0.02</v>
      </c>
      <c r="AA80" s="8">
        <v>0.02</v>
      </c>
      <c r="AB80" s="8">
        <v>0.02</v>
      </c>
      <c r="AC80" s="8">
        <v>0.02</v>
      </c>
      <c r="AD80" s="8">
        <v>0.02</v>
      </c>
    </row>
    <row r="81" spans="1:30" s="8" customFormat="1" x14ac:dyDescent="0.25"/>
    <row r="82" spans="1:30" s="8" customFormat="1" x14ac:dyDescent="0.25">
      <c r="A82" s="8" t="s">
        <v>95</v>
      </c>
      <c r="B82" s="8" t="s">
        <v>89</v>
      </c>
      <c r="C82" s="8">
        <f t="shared" ref="C82:J82" si="113">+C33/C$11</f>
        <v>0.98141891891891886</v>
      </c>
      <c r="D82" s="8">
        <f t="shared" si="113"/>
        <v>0.98151260504201676</v>
      </c>
      <c r="E82" s="8">
        <f t="shared" si="113"/>
        <v>0.98045112781954891</v>
      </c>
      <c r="F82" s="8">
        <f t="shared" si="113"/>
        <v>0.98403483309143713</v>
      </c>
      <c r="G82" s="8">
        <f t="shared" si="113"/>
        <v>0.97831632653061218</v>
      </c>
      <c r="H82" s="8">
        <f t="shared" si="113"/>
        <v>0.98051157125456767</v>
      </c>
      <c r="I82" s="8">
        <f t="shared" si="113"/>
        <v>0.9899216125419934</v>
      </c>
      <c r="J82" s="8">
        <f t="shared" si="113"/>
        <v>0.98177920685959241</v>
      </c>
      <c r="M82" s="8">
        <f t="shared" ref="M82:T82" si="114">+M33/M$11</f>
        <v>0.98290188010743462</v>
      </c>
      <c r="N82" s="8">
        <f t="shared" si="114"/>
        <v>0.98523985239852396</v>
      </c>
      <c r="O82" s="8">
        <f t="shared" si="114"/>
        <v>0.97824696097248875</v>
      </c>
      <c r="P82" s="8">
        <f t="shared" si="114"/>
        <v>0.9774474628395694</v>
      </c>
      <c r="Q82" s="8">
        <f t="shared" si="114"/>
        <v>0.97746811525743982</v>
      </c>
      <c r="R82" s="8">
        <f t="shared" si="114"/>
        <v>0.98390243902439023</v>
      </c>
      <c r="S82" s="8">
        <f t="shared" si="114"/>
        <v>0.98189689098780009</v>
      </c>
      <c r="T82" s="8">
        <f t="shared" si="114"/>
        <v>0.98280384727484693</v>
      </c>
      <c r="U82" s="8">
        <v>0.98099999999999998</v>
      </c>
      <c r="V82" s="8">
        <v>0.98099999999999998</v>
      </c>
      <c r="W82" s="8">
        <v>0.98099999999999998</v>
      </c>
      <c r="X82" s="8">
        <v>0.98099999999999998</v>
      </c>
      <c r="Y82" s="8">
        <v>0.98099999999999998</v>
      </c>
      <c r="Z82" s="8">
        <v>0.98099999999999998</v>
      </c>
      <c r="AA82" s="8">
        <v>0.98099999999999998</v>
      </c>
      <c r="AB82" s="8">
        <v>0.98099999999999998</v>
      </c>
      <c r="AC82" s="8">
        <v>0.98099999999999998</v>
      </c>
      <c r="AD82" s="8">
        <v>0.98099999999999998</v>
      </c>
    </row>
    <row r="83" spans="1:30" s="8" customFormat="1" x14ac:dyDescent="0.25">
      <c r="A83" s="8" t="s">
        <v>95</v>
      </c>
      <c r="B83" s="8" t="s">
        <v>90</v>
      </c>
      <c r="C83" s="8">
        <f t="shared" ref="C83:J83" si="115">+C34/C$12</f>
        <v>0.81347150259067347</v>
      </c>
      <c r="D83" s="8">
        <f t="shared" si="115"/>
        <v>0.82748538011695905</v>
      </c>
      <c r="E83" s="8">
        <f t="shared" si="115"/>
        <v>0.79281767955801097</v>
      </c>
      <c r="F83" s="8">
        <f t="shared" si="115"/>
        <v>0.74619289340101524</v>
      </c>
      <c r="G83" s="8">
        <f t="shared" si="115"/>
        <v>0.81981776765375858</v>
      </c>
      <c r="H83" s="8">
        <f t="shared" si="115"/>
        <v>0.79759036144578321</v>
      </c>
      <c r="I83" s="8">
        <f t="shared" si="115"/>
        <v>0.77828054298642524</v>
      </c>
      <c r="J83" s="8">
        <f t="shared" si="115"/>
        <v>0.63914141414141445</v>
      </c>
      <c r="M83" s="8">
        <f t="shared" ref="M83:T83" si="116">+M34/M$12</f>
        <v>0.29139072847682124</v>
      </c>
      <c r="N83" s="8">
        <f t="shared" si="116"/>
        <v>0.28717948717948716</v>
      </c>
      <c r="O83" s="8">
        <f t="shared" si="116"/>
        <v>0.34782608695652178</v>
      </c>
      <c r="P83" s="8">
        <f t="shared" si="116"/>
        <v>0.60862068965517235</v>
      </c>
      <c r="Q83" s="8">
        <f t="shared" si="116"/>
        <v>0.78497652582159616</v>
      </c>
      <c r="R83" s="8">
        <f t="shared" si="116"/>
        <v>0.9</v>
      </c>
      <c r="S83" s="8">
        <f t="shared" si="116"/>
        <v>0.79380053908355785</v>
      </c>
      <c r="T83" s="8">
        <f t="shared" si="116"/>
        <v>0.76122931442080388</v>
      </c>
      <c r="U83" s="8">
        <v>0.75</v>
      </c>
      <c r="V83" s="8">
        <v>0.75</v>
      </c>
      <c r="W83" s="8">
        <v>0.75</v>
      </c>
      <c r="X83" s="8">
        <v>0.75</v>
      </c>
      <c r="Y83" s="8">
        <v>0.75</v>
      </c>
      <c r="Z83" s="8">
        <v>0.75</v>
      </c>
      <c r="AA83" s="8">
        <v>0.75</v>
      </c>
      <c r="AB83" s="8">
        <v>0.75</v>
      </c>
      <c r="AC83" s="8">
        <v>0.75</v>
      </c>
      <c r="AD83" s="8">
        <v>0.75</v>
      </c>
    </row>
    <row r="84" spans="1:30" s="2" customFormat="1" x14ac:dyDescent="0.25">
      <c r="A84" s="8"/>
    </row>
    <row r="85" spans="1:30" s="8" customFormat="1" x14ac:dyDescent="0.25">
      <c r="A85" s="8" t="s">
        <v>95</v>
      </c>
      <c r="B85" s="8" t="s">
        <v>91</v>
      </c>
      <c r="C85" s="8">
        <f>+C40/C39</f>
        <v>0.25550942190993192</v>
      </c>
      <c r="D85" s="8">
        <f t="shared" ref="D85:T85" si="117">+D40/D39</f>
        <v>0.17123287671232909</v>
      </c>
      <c r="E85" s="8">
        <f t="shared" si="117"/>
        <v>0.26068821689259591</v>
      </c>
      <c r="F85" s="8">
        <f t="shared" si="117"/>
        <v>0.23738188522701054</v>
      </c>
      <c r="G85" s="8">
        <f t="shared" si="117"/>
        <v>0.2459638097301986</v>
      </c>
      <c r="H85" s="8">
        <f t="shared" si="117"/>
        <v>0.2301790281329926</v>
      </c>
      <c r="I85" s="8">
        <f t="shared" si="117"/>
        <v>0.22755013077593769</v>
      </c>
      <c r="J85" s="8">
        <f t="shared" si="117"/>
        <v>0.28996352071835813</v>
      </c>
      <c r="M85" s="8">
        <f t="shared" si="117"/>
        <v>0.3831259784131148</v>
      </c>
      <c r="N85" s="8">
        <f t="shared" si="117"/>
        <v>0.33684210526315572</v>
      </c>
      <c r="O85" s="8">
        <f t="shared" si="117"/>
        <v>-0.15922330097087295</v>
      </c>
      <c r="P85" s="8">
        <f t="shared" si="117"/>
        <v>0.20328102710413787</v>
      </c>
      <c r="Q85" s="8">
        <f t="shared" si="117"/>
        <v>0.22343112492714209</v>
      </c>
      <c r="R85" s="8">
        <f t="shared" si="117"/>
        <v>0.23173967188261299</v>
      </c>
      <c r="S85" s="8">
        <f t="shared" si="117"/>
        <v>0.22927180966113894</v>
      </c>
      <c r="T85" s="8">
        <f t="shared" si="117"/>
        <v>0.2412394982015065</v>
      </c>
      <c r="U85" s="8">
        <v>0.25</v>
      </c>
      <c r="V85" s="8">
        <v>0.25</v>
      </c>
      <c r="W85" s="8">
        <v>0.25</v>
      </c>
      <c r="X85" s="8">
        <v>0.25</v>
      </c>
      <c r="Y85" s="8">
        <v>0.25</v>
      </c>
      <c r="Z85" s="8">
        <v>0.25</v>
      </c>
      <c r="AA85" s="8">
        <v>0.25</v>
      </c>
      <c r="AB85" s="8">
        <v>0.25</v>
      </c>
      <c r="AC85" s="8">
        <v>0.25</v>
      </c>
      <c r="AD85" s="8">
        <v>0.25</v>
      </c>
    </row>
    <row r="86" spans="1:30" s="8" customFormat="1" x14ac:dyDescent="0.25">
      <c r="A86" s="8" t="s">
        <v>95</v>
      </c>
      <c r="B86" s="8" t="s">
        <v>92</v>
      </c>
      <c r="N86" s="8">
        <f>+N37/M7</f>
        <v>3.2059613551685309E-2</v>
      </c>
      <c r="O86" s="8">
        <f t="shared" ref="O86:S86" si="118">+O37/N7</f>
        <v>2.4414062500000003E-2</v>
      </c>
      <c r="P86" s="8">
        <f t="shared" si="118"/>
        <v>2.5385312783318223E-2</v>
      </c>
      <c r="Q86" s="8">
        <f t="shared" si="118"/>
        <v>3.6127167630057806E-2</v>
      </c>
      <c r="R86" s="8">
        <f t="shared" si="118"/>
        <v>5.8106169296987094E-2</v>
      </c>
      <c r="S86" s="8">
        <f t="shared" si="118"/>
        <v>8.8676273262936783E-2</v>
      </c>
      <c r="T86" s="8">
        <f>+T37/S7</f>
        <v>8.9805825242718455E-3</v>
      </c>
      <c r="U86" s="8">
        <v>6.6000000000000003E-2</v>
      </c>
      <c r="V86" s="8">
        <v>6.6000000000000003E-2</v>
      </c>
      <c r="W86" s="8">
        <v>6.6000000000000003E-2</v>
      </c>
      <c r="X86" s="8">
        <v>4.4999999999999998E-2</v>
      </c>
      <c r="Y86" s="8">
        <v>4.2000000000000003E-2</v>
      </c>
      <c r="Z86" s="8">
        <v>3.9E-2</v>
      </c>
      <c r="AA86" s="8">
        <v>3.9E-2</v>
      </c>
      <c r="AB86" s="8">
        <v>3.9E-2</v>
      </c>
      <c r="AC86" s="8">
        <v>3.9E-2</v>
      </c>
      <c r="AD86" s="8">
        <v>3.9E-2</v>
      </c>
    </row>
    <row r="87" spans="1:30" s="2" customFormat="1" x14ac:dyDescent="0.25"/>
    <row r="88" spans="1:30" s="2" customFormat="1" x14ac:dyDescent="0.25"/>
    <row r="89" spans="1:30" s="2" customFormat="1" x14ac:dyDescent="0.25"/>
    <row r="90" spans="1:30" s="2" customFormat="1" x14ac:dyDescent="0.25"/>
    <row r="91" spans="1:30" s="2" customFormat="1" x14ac:dyDescent="0.25"/>
    <row r="92" spans="1:30" s="2" customFormat="1" x14ac:dyDescent="0.25"/>
    <row r="93" spans="1:30" s="2" customFormat="1" x14ac:dyDescent="0.25"/>
    <row r="94" spans="1:30" s="2" customFormat="1" x14ac:dyDescent="0.25"/>
    <row r="95" spans="1:30" s="2" customFormat="1" x14ac:dyDescent="0.25"/>
    <row r="96" spans="1:30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="2" customFormat="1" x14ac:dyDescent="0.25"/>
    <row r="130" s="2" customFormat="1" x14ac:dyDescent="0.25"/>
    <row r="131" s="2" customFormat="1" x14ac:dyDescent="0.25"/>
    <row r="132" s="2" customFormat="1" x14ac:dyDescent="0.25"/>
    <row r="133" s="2" customFormat="1" x14ac:dyDescent="0.25"/>
    <row r="134" s="2" customFormat="1" x14ac:dyDescent="0.25"/>
    <row r="135" s="2" customFormat="1" x14ac:dyDescent="0.25"/>
    <row r="136" s="2" customFormat="1" x14ac:dyDescent="0.25"/>
    <row r="137" s="2" customFormat="1" x14ac:dyDescent="0.25"/>
    <row r="138" s="2" customFormat="1" x14ac:dyDescent="0.25"/>
    <row r="139" s="2" customFormat="1" x14ac:dyDescent="0.25"/>
    <row r="140" s="2" customFormat="1" x14ac:dyDescent="0.25"/>
  </sheetData>
  <pageMargins left="0.7" right="0.7" top="0.75" bottom="0.75" header="0.3" footer="0.3"/>
  <pageSetup orientation="portrait" verticalDpi="597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78063-0DF5-4A99-9A0D-AA815BF05A21}">
  <dimension ref="B2:C4"/>
  <sheetViews>
    <sheetView workbookViewId="0">
      <selection activeCell="C4" sqref="C4"/>
    </sheetView>
  </sheetViews>
  <sheetFormatPr defaultRowHeight="15" x14ac:dyDescent="0.25"/>
  <cols>
    <col min="2" max="2" width="18.85546875" bestFit="1" customWidth="1"/>
    <col min="3" max="6" width="10" customWidth="1"/>
  </cols>
  <sheetData>
    <row r="2" spans="2:3" x14ac:dyDescent="0.25">
      <c r="B2" t="s">
        <v>18</v>
      </c>
      <c r="C2" s="3">
        <v>-0.01</v>
      </c>
    </row>
    <row r="3" spans="2:3" x14ac:dyDescent="0.25">
      <c r="B3" t="s">
        <v>19</v>
      </c>
      <c r="C3" s="3">
        <v>8.5000000000000006E-2</v>
      </c>
    </row>
    <row r="4" spans="2:3" x14ac:dyDescent="0.25">
      <c r="B4" t="s">
        <v>8</v>
      </c>
      <c r="C4" s="2">
        <f>+NPV(C3,Model!U41:DQ41)</f>
        <v>3083.7037867156318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Dash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2023-02-12T18:42:19Z</dcterms:created>
  <dcterms:modified xsi:type="dcterms:W3CDTF">2023-04-20T16:19:44Z</dcterms:modified>
</cp:coreProperties>
</file>