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B8E69164-60CD-4EA6-9505-7901183A6E0C}" xr6:coauthVersionLast="47" xr6:coauthVersionMax="47" xr10:uidLastSave="{00000000-0000-0000-0000-000000000000}"/>
  <bookViews>
    <workbookView xWindow="16545" yWindow="6030" windowWidth="27045" windowHeight="15045" xr2:uid="{9987E3B3-A763-45BC-85F4-2591A398EDE1}"/>
  </bookViews>
  <sheets>
    <sheet name="Main" sheetId="2" r:id="rId1"/>
    <sheet name="Model" sheetId="1"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2" i="2" l="1"/>
  <c r="N16" i="2"/>
  <c r="N15" i="2"/>
  <c r="AJ22" i="1"/>
  <c r="AK22" i="1" s="1"/>
  <c r="AI22" i="1"/>
  <c r="AG18" i="1"/>
  <c r="AF18" i="1"/>
  <c r="AE18" i="1"/>
  <c r="AD18" i="1"/>
  <c r="AC18" i="1"/>
  <c r="AA18" i="1"/>
  <c r="Z18" i="1"/>
  <c r="Y18" i="1"/>
  <c r="Y20" i="1"/>
  <c r="AH17" i="1"/>
  <c r="AG17" i="1"/>
  <c r="AF17" i="1"/>
  <c r="AE17" i="1"/>
  <c r="AD17" i="1"/>
  <c r="AC17" i="1"/>
  <c r="AB17" i="1"/>
  <c r="AA17" i="1"/>
  <c r="Z17" i="1"/>
  <c r="Y17" i="1"/>
  <c r="AH11" i="1"/>
  <c r="AG11" i="1"/>
  <c r="AF11" i="1"/>
  <c r="AE11" i="1"/>
  <c r="AD11" i="1"/>
  <c r="AC11" i="1"/>
  <c r="AB11" i="1"/>
  <c r="AA11" i="1"/>
  <c r="Z11" i="1"/>
  <c r="Y11" i="1"/>
  <c r="Z9" i="1"/>
  <c r="AA9" i="1" s="1"/>
  <c r="AB9" i="1" s="1"/>
  <c r="AC9" i="1" s="1"/>
  <c r="AD9" i="1" s="1"/>
  <c r="AE9" i="1" s="1"/>
  <c r="AF9" i="1" s="1"/>
  <c r="AG9" i="1" s="1"/>
  <c r="AH9" i="1" s="1"/>
  <c r="Y9" i="1"/>
  <c r="V34" i="1"/>
  <c r="AL22" i="1" l="1"/>
  <c r="AM22" i="1" s="1"/>
  <c r="AN22" i="1" s="1"/>
  <c r="AO22" i="1" s="1"/>
  <c r="AP22" i="1" s="1"/>
  <c r="AQ22" i="1" s="1"/>
  <c r="AR22" i="1" s="1"/>
  <c r="AS22" i="1" s="1"/>
  <c r="AT22" i="1" s="1"/>
  <c r="AU22" i="1" s="1"/>
  <c r="AV22" i="1" s="1"/>
  <c r="AW22" i="1" s="1"/>
  <c r="AX22" i="1" s="1"/>
  <c r="AY22" i="1" s="1"/>
  <c r="AZ22" i="1" s="1"/>
  <c r="BA22" i="1" s="1"/>
  <c r="BB22" i="1" s="1"/>
  <c r="BC22" i="1" s="1"/>
  <c r="BD22" i="1" s="1"/>
  <c r="BE22" i="1" s="1"/>
  <c r="BF22" i="1" s="1"/>
  <c r="BG22" i="1" s="1"/>
  <c r="BH22" i="1" s="1"/>
  <c r="BI22" i="1" s="1"/>
  <c r="BJ22" i="1" s="1"/>
  <c r="BK22" i="1" s="1"/>
  <c r="BL22" i="1" s="1"/>
  <c r="BM22" i="1" s="1"/>
  <c r="BN22" i="1" s="1"/>
  <c r="BO22" i="1" s="1"/>
  <c r="BP22" i="1" s="1"/>
  <c r="BQ22" i="1" s="1"/>
  <c r="BR22" i="1" s="1"/>
  <c r="BS22" i="1" s="1"/>
  <c r="BT22" i="1" s="1"/>
  <c r="BU22" i="1" s="1"/>
  <c r="BV22" i="1" s="1"/>
  <c r="BW22" i="1" s="1"/>
  <c r="BX22" i="1" s="1"/>
  <c r="BY22" i="1" s="1"/>
  <c r="BZ22" i="1" s="1"/>
  <c r="CA22" i="1" s="1"/>
  <c r="CB22" i="1" s="1"/>
  <c r="CC22" i="1" s="1"/>
  <c r="CD22" i="1" s="1"/>
  <c r="CE22" i="1" s="1"/>
  <c r="CF22" i="1" s="1"/>
  <c r="CG22" i="1" s="1"/>
  <c r="CH22" i="1" s="1"/>
  <c r="CI22" i="1" s="1"/>
  <c r="CJ22" i="1" s="1"/>
  <c r="CK22" i="1" s="1"/>
  <c r="CL22" i="1" s="1"/>
  <c r="CM22" i="1" s="1"/>
  <c r="CN22" i="1" s="1"/>
  <c r="CO22" i="1" s="1"/>
  <c r="CP22" i="1" s="1"/>
  <c r="CQ22" i="1" s="1"/>
  <c r="CR22" i="1" s="1"/>
  <c r="CS22" i="1" s="1"/>
  <c r="CT22" i="1" s="1"/>
  <c r="CU22" i="1" s="1"/>
  <c r="CV22" i="1" s="1"/>
  <c r="CW22" i="1" s="1"/>
  <c r="CX22" i="1" s="1"/>
  <c r="CY22" i="1" s="1"/>
  <c r="CZ22" i="1" s="1"/>
  <c r="DA22" i="1" s="1"/>
  <c r="DB22" i="1" s="1"/>
  <c r="DC22" i="1" s="1"/>
  <c r="DD22" i="1" s="1"/>
  <c r="DE22" i="1" s="1"/>
  <c r="DF22" i="1" s="1"/>
  <c r="DG22" i="1" s="1"/>
  <c r="DH22" i="1" s="1"/>
  <c r="DI22" i="1" s="1"/>
  <c r="DJ22" i="1" s="1"/>
  <c r="DK22" i="1" s="1"/>
  <c r="DL22" i="1" s="1"/>
  <c r="DM22" i="1" s="1"/>
  <c r="DN22" i="1" s="1"/>
  <c r="DO22" i="1" s="1"/>
  <c r="DP22" i="1" s="1"/>
  <c r="DQ22" i="1" s="1"/>
  <c r="DR22" i="1" s="1"/>
  <c r="DS22" i="1" s="1"/>
  <c r="DT22" i="1" s="1"/>
  <c r="DU22" i="1" s="1"/>
  <c r="DV22" i="1" s="1"/>
  <c r="DW22" i="1" s="1"/>
  <c r="DX22" i="1" s="1"/>
  <c r="DY22" i="1" s="1"/>
  <c r="DZ22" i="1" s="1"/>
  <c r="EA22" i="1" s="1"/>
  <c r="EB22" i="1" s="1"/>
  <c r="EC22" i="1" s="1"/>
  <c r="ED22" i="1" s="1"/>
  <c r="EE22" i="1" s="1"/>
  <c r="Y21" i="1"/>
  <c r="Y22" i="1" s="1"/>
  <c r="Y41" i="1" s="1"/>
  <c r="C4" i="3" l="1"/>
  <c r="Y7" i="1"/>
  <c r="Z20" i="1" s="1"/>
  <c r="Z21" i="1" s="1"/>
  <c r="Z22" i="1" s="1"/>
  <c r="Z7" i="1" l="1"/>
  <c r="Z41" i="1"/>
  <c r="AA20" i="1"/>
  <c r="AA21" i="1" l="1"/>
  <c r="AA22" i="1" s="1"/>
  <c r="AA7" i="1" l="1"/>
  <c r="AB18" i="1" s="1"/>
  <c r="AB20" i="1" s="1"/>
  <c r="AA41" i="1"/>
  <c r="AB21" i="1" l="1"/>
  <c r="AB22" i="1" s="1"/>
  <c r="AB7" i="1" l="1"/>
  <c r="AB41" i="1"/>
  <c r="AC20" i="1" l="1"/>
  <c r="AC21" i="1" s="1"/>
  <c r="AC22" i="1" s="1"/>
  <c r="AC7" i="1" l="1"/>
  <c r="AD20" i="1" s="1"/>
  <c r="AC41" i="1"/>
  <c r="AD21" i="1" l="1"/>
  <c r="AD22" i="1" s="1"/>
  <c r="AD7" i="1" l="1"/>
  <c r="AD41" i="1"/>
  <c r="AE20" i="1" l="1"/>
  <c r="AE21" i="1" s="1"/>
  <c r="AE22" i="1" s="1"/>
  <c r="AE7" i="1" l="1"/>
  <c r="AF20" i="1" s="1"/>
  <c r="AE41" i="1"/>
  <c r="AF21" i="1" l="1"/>
  <c r="AF22" i="1" s="1"/>
  <c r="AF7" i="1" l="1"/>
  <c r="AF41" i="1"/>
  <c r="AG20" i="1" l="1"/>
  <c r="AG21" i="1" s="1"/>
  <c r="AG22" i="1" s="1"/>
  <c r="AG7" i="1" l="1"/>
  <c r="AH18" i="1" s="1"/>
  <c r="AG41" i="1"/>
  <c r="AH20" i="1"/>
  <c r="AH21" i="1" l="1"/>
  <c r="AH22" i="1" s="1"/>
  <c r="AH7" i="1" l="1"/>
  <c r="AH41" i="1"/>
  <c r="W37" i="1" l="1"/>
  <c r="V37" i="1"/>
  <c r="U37" i="1"/>
  <c r="T37" i="1"/>
  <c r="S37" i="1"/>
  <c r="R37" i="1"/>
  <c r="X37" i="1"/>
  <c r="X40" i="1"/>
  <c r="W40" i="1"/>
  <c r="V40" i="1"/>
  <c r="U40" i="1"/>
  <c r="T40" i="1"/>
  <c r="S40" i="1"/>
  <c r="R40" i="1"/>
  <c r="X39" i="1"/>
  <c r="W39" i="1"/>
  <c r="V39" i="1"/>
  <c r="U39" i="1"/>
  <c r="T39" i="1"/>
  <c r="S39" i="1"/>
  <c r="R39" i="1"/>
  <c r="X35" i="1"/>
  <c r="W35" i="1"/>
  <c r="V35" i="1"/>
  <c r="U35" i="1"/>
  <c r="T35" i="1"/>
  <c r="S35" i="1"/>
  <c r="R35" i="1"/>
  <c r="Q35" i="1"/>
  <c r="W32" i="1"/>
  <c r="L33" i="1"/>
  <c r="P16" i="1"/>
  <c r="P17" i="1" s="1"/>
  <c r="P11" i="1"/>
  <c r="P7" i="1"/>
  <c r="L40" i="1"/>
  <c r="K40" i="1"/>
  <c r="L39" i="1"/>
  <c r="K39" i="1"/>
  <c r="L35" i="1"/>
  <c r="K35" i="1"/>
  <c r="Q26" i="1"/>
  <c r="R26" i="1"/>
  <c r="Q19" i="1"/>
  <c r="Q18" i="1"/>
  <c r="Q15" i="1"/>
  <c r="Q13" i="1"/>
  <c r="Q16" i="1" s="1"/>
  <c r="Q17" i="1" s="1"/>
  <c r="Q33" i="1" s="1"/>
  <c r="R19" i="1"/>
  <c r="R18" i="1"/>
  <c r="R15" i="1"/>
  <c r="R13" i="1"/>
  <c r="R16" i="1" s="1"/>
  <c r="R17" i="1" s="1"/>
  <c r="Q6" i="1"/>
  <c r="Q7" i="1" s="1"/>
  <c r="R6" i="1"/>
  <c r="R7" i="1" s="1"/>
  <c r="S26" i="1"/>
  <c r="T26" i="1"/>
  <c r="S19" i="1"/>
  <c r="S18" i="1"/>
  <c r="S15" i="1"/>
  <c r="S13" i="1"/>
  <c r="S16" i="1" s="1"/>
  <c r="S17" i="1" s="1"/>
  <c r="T19" i="1"/>
  <c r="T18" i="1"/>
  <c r="T15" i="1"/>
  <c r="T13" i="1"/>
  <c r="T16" i="1" s="1"/>
  <c r="T17" i="1" s="1"/>
  <c r="T20" i="1" s="1"/>
  <c r="T22" i="1" s="1"/>
  <c r="T24" i="1" s="1"/>
  <c r="S6" i="1"/>
  <c r="S7" i="1" s="1"/>
  <c r="T6" i="1"/>
  <c r="T7" i="1" s="1"/>
  <c r="U26" i="1"/>
  <c r="V26" i="1"/>
  <c r="U19" i="1"/>
  <c r="U18" i="1"/>
  <c r="U15" i="1"/>
  <c r="U13" i="1"/>
  <c r="V18" i="1"/>
  <c r="V15" i="1"/>
  <c r="V13" i="1"/>
  <c r="V16" i="1" s="1"/>
  <c r="V17" i="1" s="1"/>
  <c r="V20" i="1" s="1"/>
  <c r="V22" i="1" s="1"/>
  <c r="V24" i="1" s="1"/>
  <c r="U6" i="1"/>
  <c r="U7" i="1" s="1"/>
  <c r="V6" i="1"/>
  <c r="V7" i="1" s="1"/>
  <c r="M21" i="1"/>
  <c r="M14" i="1"/>
  <c r="M12" i="1"/>
  <c r="M40" i="1" s="1"/>
  <c r="M10" i="1"/>
  <c r="M9" i="1"/>
  <c r="M39" i="1" s="1"/>
  <c r="K19" i="1"/>
  <c r="K18" i="1"/>
  <c r="K15" i="1"/>
  <c r="K13" i="1"/>
  <c r="K16" i="1"/>
  <c r="K17" i="1" s="1"/>
  <c r="K33" i="1" s="1"/>
  <c r="K11" i="1"/>
  <c r="K32" i="1" s="1"/>
  <c r="L18" i="1"/>
  <c r="L15" i="1"/>
  <c r="L13" i="1"/>
  <c r="L16" i="1" s="1"/>
  <c r="L17" i="1" s="1"/>
  <c r="L11" i="1"/>
  <c r="L32" i="1" s="1"/>
  <c r="M6" i="1"/>
  <c r="M7" i="1" s="1"/>
  <c r="W26" i="1"/>
  <c r="X26" i="1"/>
  <c r="W19" i="1"/>
  <c r="W18" i="1"/>
  <c r="W15" i="1"/>
  <c r="W13" i="1"/>
  <c r="U11" i="1"/>
  <c r="U32" i="1" s="1"/>
  <c r="T11" i="1"/>
  <c r="T32" i="1" s="1"/>
  <c r="S11" i="1"/>
  <c r="S32" i="1" s="1"/>
  <c r="R11" i="1"/>
  <c r="R32" i="1" s="1"/>
  <c r="Q11" i="1"/>
  <c r="Q32" i="1" s="1"/>
  <c r="V11" i="1"/>
  <c r="V32" i="1" s="1"/>
  <c r="W11" i="1"/>
  <c r="X19" i="1"/>
  <c r="X18" i="1"/>
  <c r="X15" i="1"/>
  <c r="X13" i="1"/>
  <c r="X11" i="1"/>
  <c r="X32" i="1" s="1"/>
  <c r="W6" i="1"/>
  <c r="W7" i="1" s="1"/>
  <c r="X6" i="1"/>
  <c r="X7" i="1" s="1"/>
  <c r="X16" i="1" l="1"/>
  <c r="X17" i="1" s="1"/>
  <c r="V33" i="1"/>
  <c r="R20" i="1"/>
  <c r="T34" i="1"/>
  <c r="S29" i="1"/>
  <c r="S43" i="1" s="1"/>
  <c r="R33" i="1"/>
  <c r="V29" i="1"/>
  <c r="S33" i="1"/>
  <c r="U16" i="1"/>
  <c r="U17" i="1" s="1"/>
  <c r="U33" i="1" s="1"/>
  <c r="T33" i="1"/>
  <c r="Q20" i="1"/>
  <c r="Q29" i="1"/>
  <c r="X29" i="1"/>
  <c r="M35" i="1"/>
  <c r="R29" i="1"/>
  <c r="W16" i="1"/>
  <c r="W17" i="1" s="1"/>
  <c r="W33" i="1" s="1"/>
  <c r="T29" i="1"/>
  <c r="P29" i="1"/>
  <c r="P20" i="1"/>
  <c r="P22" i="1" s="1"/>
  <c r="P24" i="1" s="1"/>
  <c r="M11" i="1"/>
  <c r="M32" i="1" s="1"/>
  <c r="M19" i="1"/>
  <c r="M18" i="1"/>
  <c r="M15" i="1"/>
  <c r="K20" i="1"/>
  <c r="S20" i="1"/>
  <c r="L20" i="1"/>
  <c r="I35" i="1"/>
  <c r="H35" i="1"/>
  <c r="G35" i="1"/>
  <c r="F35" i="1"/>
  <c r="E35" i="1"/>
  <c r="D35" i="1"/>
  <c r="C35" i="1"/>
  <c r="J35" i="1"/>
  <c r="I40" i="1"/>
  <c r="H40" i="1"/>
  <c r="G40" i="1"/>
  <c r="J40" i="1"/>
  <c r="I39" i="1"/>
  <c r="H39" i="1"/>
  <c r="G39" i="1"/>
  <c r="J39" i="1"/>
  <c r="C13" i="1"/>
  <c r="C16" i="1" s="1"/>
  <c r="C17" i="1" s="1"/>
  <c r="C11" i="1"/>
  <c r="C32" i="1" s="1"/>
  <c r="G13" i="1"/>
  <c r="G16" i="1" s="1"/>
  <c r="G17" i="1" s="1"/>
  <c r="G11" i="1"/>
  <c r="G32" i="1" s="1"/>
  <c r="D13" i="1"/>
  <c r="D16" i="1" s="1"/>
  <c r="D17" i="1" s="1"/>
  <c r="D11" i="1"/>
  <c r="D32" i="1" s="1"/>
  <c r="H13" i="1"/>
  <c r="H16" i="1" s="1"/>
  <c r="H17" i="1" s="1"/>
  <c r="H11" i="1"/>
  <c r="H32" i="1" s="1"/>
  <c r="E13" i="1"/>
  <c r="E16" i="1" s="1"/>
  <c r="E17" i="1" s="1"/>
  <c r="E11" i="1"/>
  <c r="E32" i="1" s="1"/>
  <c r="I13" i="1"/>
  <c r="I16" i="1" s="1"/>
  <c r="I17" i="1" s="1"/>
  <c r="I11" i="1"/>
  <c r="I32" i="1" s="1"/>
  <c r="F13" i="1"/>
  <c r="F16" i="1" s="1"/>
  <c r="F17" i="1" s="1"/>
  <c r="F11" i="1"/>
  <c r="F32" i="1" s="1"/>
  <c r="J13" i="1"/>
  <c r="J16" i="1" s="1"/>
  <c r="J17" i="1" s="1"/>
  <c r="J11" i="1"/>
  <c r="J32" i="1" s="1"/>
  <c r="N9" i="2"/>
  <c r="X20" i="1" l="1"/>
  <c r="X33" i="1"/>
  <c r="G20" i="1"/>
  <c r="G33" i="1"/>
  <c r="U29" i="1"/>
  <c r="U43" i="1" s="1"/>
  <c r="J20" i="1"/>
  <c r="J33" i="1"/>
  <c r="S22" i="1"/>
  <c r="S34" i="1"/>
  <c r="U20" i="1"/>
  <c r="C20" i="1"/>
  <c r="C22" i="1" s="1"/>
  <c r="C24" i="1" s="1"/>
  <c r="C33" i="1"/>
  <c r="H20" i="1"/>
  <c r="H22" i="1" s="1"/>
  <c r="H33" i="1"/>
  <c r="T43" i="1"/>
  <c r="Q22" i="1"/>
  <c r="Q24" i="1" s="1"/>
  <c r="Q34" i="1"/>
  <c r="F20" i="1"/>
  <c r="F33" i="1"/>
  <c r="I20" i="1"/>
  <c r="I33" i="1"/>
  <c r="V43" i="1"/>
  <c r="E20" i="1"/>
  <c r="E33" i="1"/>
  <c r="D20" i="1"/>
  <c r="D22" i="1" s="1"/>
  <c r="D24" i="1" s="1"/>
  <c r="D33" i="1"/>
  <c r="R43" i="1"/>
  <c r="R22" i="1"/>
  <c r="R34" i="1"/>
  <c r="E22" i="1"/>
  <c r="E24" i="1" s="1"/>
  <c r="E34" i="1"/>
  <c r="G22" i="1"/>
  <c r="G24" i="1" s="1"/>
  <c r="G34" i="1"/>
  <c r="L22" i="1"/>
  <c r="L34" i="1"/>
  <c r="F22" i="1"/>
  <c r="F24" i="1" s="1"/>
  <c r="F34" i="1"/>
  <c r="J22" i="1"/>
  <c r="J24" i="1" s="1"/>
  <c r="J34" i="1"/>
  <c r="I22" i="1"/>
  <c r="I34" i="1"/>
  <c r="W20" i="1"/>
  <c r="W29" i="1"/>
  <c r="W43" i="1" s="1"/>
  <c r="K22" i="1"/>
  <c r="K34" i="1"/>
  <c r="M13" i="1"/>
  <c r="M16" i="1" s="1"/>
  <c r="M17" i="1" s="1"/>
  <c r="H34" i="1" l="1"/>
  <c r="X22" i="1"/>
  <c r="X24" i="1" s="1"/>
  <c r="X34" i="1"/>
  <c r="X43" i="1"/>
  <c r="R24" i="1"/>
  <c r="R41" i="1"/>
  <c r="U22" i="1"/>
  <c r="U34" i="1"/>
  <c r="S24" i="1"/>
  <c r="S41" i="1"/>
  <c r="T41" i="1"/>
  <c r="W22" i="1"/>
  <c r="W34" i="1"/>
  <c r="D34" i="1"/>
  <c r="C34" i="1"/>
  <c r="M20" i="1"/>
  <c r="M22" i="1" s="1"/>
  <c r="M33" i="1"/>
  <c r="G41" i="1"/>
  <c r="L24" i="1"/>
  <c r="L41" i="1"/>
  <c r="K24" i="1"/>
  <c r="K41" i="1"/>
  <c r="I24" i="1"/>
  <c r="I41" i="1"/>
  <c r="H24" i="1"/>
  <c r="H41" i="1"/>
  <c r="J41" i="1"/>
  <c r="W24" i="1" l="1"/>
  <c r="W41" i="1"/>
  <c r="X41" i="1"/>
  <c r="M34" i="1"/>
  <c r="U24" i="1"/>
  <c r="V41" i="1"/>
  <c r="U41" i="1"/>
  <c r="M24" i="1"/>
  <c r="M41" i="1"/>
</calcChain>
</file>

<file path=xl/sharedStrings.xml><?xml version="1.0" encoding="utf-8"?>
<sst xmlns="http://schemas.openxmlformats.org/spreadsheetml/2006/main" count="66" uniqueCount="58">
  <si>
    <t>20Q2</t>
  </si>
  <si>
    <t>20Q3</t>
  </si>
  <si>
    <t>20Q4</t>
  </si>
  <si>
    <t>21Q1</t>
  </si>
  <si>
    <t>21Q2</t>
  </si>
  <si>
    <t>21Q3</t>
  </si>
  <si>
    <t>21Q4</t>
  </si>
  <si>
    <t>22Q1</t>
  </si>
  <si>
    <t>22Q2</t>
  </si>
  <si>
    <t>22Q3</t>
  </si>
  <si>
    <t>22Q4</t>
  </si>
  <si>
    <t>Revenue</t>
  </si>
  <si>
    <t>COGS</t>
  </si>
  <si>
    <t>R&amp;D</t>
  </si>
  <si>
    <t>SG&amp;A</t>
  </si>
  <si>
    <t>Total Operating Expenses</t>
  </si>
  <si>
    <t>Operating Income</t>
  </si>
  <si>
    <t>Net income</t>
  </si>
  <si>
    <t>Shares</t>
  </si>
  <si>
    <t>EPS</t>
  </si>
  <si>
    <t>Gross margin</t>
  </si>
  <si>
    <t>Revenue y/y</t>
  </si>
  <si>
    <t>R&amp;D y/y</t>
  </si>
  <si>
    <t>Net income y/y</t>
  </si>
  <si>
    <t>Price</t>
  </si>
  <si>
    <t>MkCap</t>
  </si>
  <si>
    <t>Cash</t>
  </si>
  <si>
    <t>Debt</t>
  </si>
  <si>
    <t>EV</t>
  </si>
  <si>
    <t>ON semi</t>
  </si>
  <si>
    <t>ON</t>
  </si>
  <si>
    <t>Return on R&amp;D</t>
  </si>
  <si>
    <t>Inventories</t>
  </si>
  <si>
    <t>PPE</t>
  </si>
  <si>
    <t>Net cash</t>
  </si>
  <si>
    <t>EBT</t>
  </si>
  <si>
    <t>Other opex</t>
  </si>
  <si>
    <t>Interest, net (loss)</t>
  </si>
  <si>
    <t>Other, net (loss)</t>
  </si>
  <si>
    <t>Taxes, net (provision)</t>
  </si>
  <si>
    <t>CF Depr&amp;Amort</t>
  </si>
  <si>
    <t>CF Capex</t>
  </si>
  <si>
    <t>Updated</t>
  </si>
  <si>
    <t>NPV</t>
  </si>
  <si>
    <t>NPV/Sh</t>
  </si>
  <si>
    <t>Amort intangibles</t>
  </si>
  <si>
    <t>EBITDA</t>
  </si>
  <si>
    <t>Tax rate</t>
  </si>
  <si>
    <t>Operating margin</t>
  </si>
  <si>
    <t>Gross income</t>
  </si>
  <si>
    <t>EBITDA y/y</t>
  </si>
  <si>
    <t>u</t>
  </si>
  <si>
    <t>Interest on cash</t>
  </si>
  <si>
    <t>Maturity decay</t>
  </si>
  <si>
    <t>Discount</t>
  </si>
  <si>
    <t>x</t>
  </si>
  <si>
    <t>During 2022, we completed the divestitures of certain manufacturing facilities. We believe these actions, among others, will allow us to transition from sub-scale factories into a lighter internal fabrication model where our financial performance will be less volatile and not as heavily influenced by our internal manufacturing volumes</t>
  </si>
  <si>
    <t>We use third-party contractors for some of our manufacturing activities, primarily for wafer fabrication and the assembly and testing of finished goods. Our agreements with these contract manufacturers typically require us to forecast product needs and commit to purchase services consistent with these forecasts. In some cases, longer-term commitments are required in the early stages of the relationship. These manufacturers collectively accounted for approximately 43% of our total manufacturing input costs in 2022, 37% in 2021 and 33% in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</si>
</sst>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1">
    <xf numFmtId="0" fontId="0" fillId="0" borderId="0" xfId="0"/>
    <xf numFmtId="3" fontId="0" fillId="0" borderId="0" xfId="0" applyNumberFormat="1"/>
    <xf numFmtId="14" fontId="0" fillId="0" borderId="0" xfId="0" applyNumberFormat="1"/>
    <xf numFmtId="0" fontId="0" fillId="2" borderId="0" xfId="0" applyFill="1"/>
    <xf numFmtId="0" fontId="1" fillId="0" borderId="0" xfId="0" applyFont="1"/>
    <xf numFmtId="3" fontId="1" fillId="0" borderId="0" xfId="0" applyNumberFormat="1" applyFont="1"/>
    <xf numFmtId="0" fontId="1" fillId="2" borderId="0" xfId="0" applyFont="1" applyFill="1"/>
    <xf numFmtId="2" fontId="1" fillId="0" borderId="0" xfId="0" applyNumberFormat="1" applyFont="1"/>
    <xf numFmtId="2" fontId="0" fillId="0" borderId="0" xfId="0" applyNumberFormat="1"/>
    <xf numFmtId="2" fontId="0" fillId="2" borderId="0" xfId="0" applyNumberFormat="1" applyFill="1"/>
    <xf numFmtId="9" fontId="0" fillId="0" borderId="0" xfId="0" applyNumberFormat="1"/>
    <xf numFmtId="9" fontId="0" fillId="2" borderId="0" xfId="0" applyNumberFormat="1" applyFill="1"/>
    <xf numFmtId="44" fontId="0" fillId="0" borderId="0" xfId="0" applyNumberFormat="1"/>
    <xf numFmtId="1" fontId="0" fillId="0" borderId="0" xfId="0" applyNumberFormat="1"/>
    <xf numFmtId="1" fontId="0" fillId="2" borderId="0" xfId="0" applyNumberFormat="1" applyFill="1"/>
    <xf numFmtId="3" fontId="0" fillId="2" borderId="0" xfId="0" applyNumberFormat="1" applyFill="1"/>
    <xf numFmtId="164" fontId="0" fillId="0" borderId="0" xfId="0" applyNumberFormat="1"/>
    <xf numFmtId="164" fontId="0" fillId="2" borderId="0" xfId="0" applyNumberFormat="1" applyFill="1"/>
    <xf numFmtId="164" fontId="1" fillId="0" borderId="0" xfId="0" applyNumberFormat="1" applyFont="1"/>
    <xf numFmtId="164" fontId="1" fillId="2" borderId="0" xfId="0" applyNumberFormat="1" applyFont="1" applyFill="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37367</xdr:colOff>
      <xdr:row>0</xdr:row>
      <xdr:rowOff>0</xdr:rowOff>
    </xdr:from>
    <xdr:to>
      <xdr:col>13</xdr:col>
      <xdr:colOff>37367</xdr:colOff>
      <xdr:row>57</xdr:row>
      <xdr:rowOff>168519</xdr:rowOff>
    </xdr:to>
    <xdr:cxnSp macro="">
      <xdr:nvCxnSpPr>
        <xdr:cNvPr id="2" name="Straight Connector 1">
          <a:extLst>
            <a:ext uri="{FF2B5EF4-FFF2-40B4-BE49-F238E27FC236}">
              <a16:creationId xmlns:a16="http://schemas.microsoft.com/office/drawing/2014/main" id="{8135A0AD-E217-440C-A006-C3C2F55261D3}"/>
            </a:ext>
          </a:extLst>
        </xdr:cNvPr>
        <xdr:cNvCxnSpPr/>
      </xdr:nvCxnSpPr>
      <xdr:spPr>
        <a:xfrm>
          <a:off x="9019442" y="0"/>
          <a:ext cx="0" cy="9884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599342</xdr:colOff>
      <xdr:row>0</xdr:row>
      <xdr:rowOff>0</xdr:rowOff>
    </xdr:from>
    <xdr:to>
      <xdr:col>23</xdr:col>
      <xdr:colOff>599342</xdr:colOff>
      <xdr:row>57</xdr:row>
      <xdr:rowOff>168519</xdr:rowOff>
    </xdr:to>
    <xdr:cxnSp macro="">
      <xdr:nvCxnSpPr>
        <xdr:cNvPr id="3" name="Straight Connector 2">
          <a:extLst>
            <a:ext uri="{FF2B5EF4-FFF2-40B4-BE49-F238E27FC236}">
              <a16:creationId xmlns:a16="http://schemas.microsoft.com/office/drawing/2014/main" id="{45B1062D-6203-4C55-969A-17BEA920E09B}"/>
            </a:ext>
          </a:extLst>
        </xdr:cNvPr>
        <xdr:cNvCxnSpPr/>
      </xdr:nvCxnSpPr>
      <xdr:spPr>
        <a:xfrm>
          <a:off x="15363092" y="0"/>
          <a:ext cx="0" cy="10646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34</xdr:col>
      <xdr:colOff>27842</xdr:colOff>
      <xdr:row>0</xdr:row>
      <xdr:rowOff>0</xdr:rowOff>
    </xdr:from>
    <xdr:to>
      <xdr:col>34</xdr:col>
      <xdr:colOff>27842</xdr:colOff>
      <xdr:row>57</xdr:row>
      <xdr:rowOff>168519</xdr:rowOff>
    </xdr:to>
    <xdr:cxnSp macro="">
      <xdr:nvCxnSpPr>
        <xdr:cNvPr id="4" name="Straight Connector 3">
          <a:extLst>
            <a:ext uri="{FF2B5EF4-FFF2-40B4-BE49-F238E27FC236}">
              <a16:creationId xmlns:a16="http://schemas.microsoft.com/office/drawing/2014/main" id="{496592EB-7BBC-4F22-B93B-53FDC6934F18}"/>
            </a:ext>
          </a:extLst>
        </xdr:cNvPr>
        <xdr:cNvCxnSpPr/>
      </xdr:nvCxnSpPr>
      <xdr:spPr>
        <a:xfrm>
          <a:off x="21735317" y="0"/>
          <a:ext cx="0" cy="9884019"/>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BA3C-E0A0-4BAF-9A3B-BC4AD16B37E0}">
  <dimension ref="B2:N17"/>
  <sheetViews>
    <sheetView tabSelected="1" workbookViewId="0">
      <selection activeCell="B8" sqref="B8:K13"/>
    </sheetView>
  </sheetViews>
  <sheetFormatPr defaultRowHeight="15" x14ac:dyDescent="0.25"/>
  <cols>
    <col min="13" max="13" width="9.7109375" bestFit="1" customWidth="1"/>
    <col min="14" max="14" width="10.140625" customWidth="1"/>
  </cols>
  <sheetData>
    <row r="2" spans="2:14" x14ac:dyDescent="0.25">
      <c r="B2" s="20" t="s">
        <v>56</v>
      </c>
      <c r="C2" s="20"/>
      <c r="D2" s="20"/>
      <c r="E2" s="20"/>
      <c r="F2" s="20"/>
      <c r="G2" s="20"/>
      <c r="H2" s="20"/>
      <c r="I2" s="20"/>
      <c r="J2" s="20"/>
      <c r="K2" s="20"/>
    </row>
    <row r="3" spans="2:14" x14ac:dyDescent="0.25">
      <c r="B3" s="20"/>
      <c r="C3" s="20"/>
      <c r="D3" s="20"/>
      <c r="E3" s="20"/>
      <c r="F3" s="20"/>
      <c r="G3" s="20"/>
      <c r="H3" s="20"/>
      <c r="I3" s="20"/>
      <c r="J3" s="20"/>
      <c r="K3" s="20"/>
      <c r="M3" t="s">
        <v>42</v>
      </c>
      <c r="N3" s="2">
        <v>44981</v>
      </c>
    </row>
    <row r="4" spans="2:14" x14ac:dyDescent="0.25">
      <c r="B4" s="20"/>
      <c r="C4" s="20"/>
      <c r="D4" s="20"/>
      <c r="E4" s="20"/>
      <c r="F4" s="20"/>
      <c r="G4" s="20"/>
      <c r="H4" s="20"/>
      <c r="I4" s="20"/>
      <c r="J4" s="20"/>
      <c r="K4" s="20"/>
    </row>
    <row r="5" spans="2:14" x14ac:dyDescent="0.25">
      <c r="B5" s="20"/>
      <c r="C5" s="20"/>
      <c r="D5" s="20"/>
      <c r="E5" s="20"/>
      <c r="F5" s="20"/>
      <c r="G5" s="20"/>
      <c r="H5" s="20"/>
      <c r="I5" s="20"/>
      <c r="J5" s="20"/>
      <c r="K5" s="20"/>
      <c r="M5" t="s">
        <v>29</v>
      </c>
    </row>
    <row r="6" spans="2:14" x14ac:dyDescent="0.25">
      <c r="B6" s="20"/>
      <c r="C6" s="20"/>
      <c r="D6" s="20"/>
      <c r="E6" s="20"/>
      <c r="F6" s="20"/>
      <c r="G6" s="20"/>
      <c r="H6" s="20"/>
      <c r="I6" s="20"/>
      <c r="J6" s="20"/>
      <c r="K6" s="20"/>
      <c r="M6" t="s">
        <v>30</v>
      </c>
    </row>
    <row r="7" spans="2:14" x14ac:dyDescent="0.25">
      <c r="M7" t="s">
        <v>24</v>
      </c>
      <c r="N7" s="12">
        <v>76.28</v>
      </c>
    </row>
    <row r="8" spans="2:14" ht="15" customHeight="1" x14ac:dyDescent="0.25">
      <c r="B8" s="20" t="s">
        <v>57</v>
      </c>
      <c r="C8" s="20"/>
      <c r="D8" s="20"/>
      <c r="E8" s="20"/>
      <c r="F8" s="20"/>
      <c r="G8" s="20"/>
      <c r="H8" s="20"/>
      <c r="I8" s="20"/>
      <c r="J8" s="20"/>
      <c r="K8" s="20"/>
      <c r="M8" t="s">
        <v>18</v>
      </c>
      <c r="N8" s="1">
        <v>433.2</v>
      </c>
    </row>
    <row r="9" spans="2:14" x14ac:dyDescent="0.25">
      <c r="B9" s="20"/>
      <c r="C9" s="20"/>
      <c r="D9" s="20"/>
      <c r="E9" s="20"/>
      <c r="F9" s="20"/>
      <c r="G9" s="20"/>
      <c r="H9" s="20"/>
      <c r="I9" s="20"/>
      <c r="J9" s="20"/>
      <c r="K9" s="20"/>
      <c r="M9" t="s">
        <v>25</v>
      </c>
      <c r="N9" s="1">
        <f>N8*N7</f>
        <v>33044.495999999999</v>
      </c>
    </row>
    <row r="10" spans="2:14" x14ac:dyDescent="0.25">
      <c r="B10" s="20"/>
      <c r="C10" s="20"/>
      <c r="D10" s="20"/>
      <c r="E10" s="20"/>
      <c r="F10" s="20"/>
      <c r="G10" s="20"/>
      <c r="H10" s="20"/>
      <c r="I10" s="20"/>
      <c r="J10" s="20"/>
      <c r="K10" s="20"/>
      <c r="M10" t="s">
        <v>26</v>
      </c>
      <c r="N10" s="1">
        <v>2919</v>
      </c>
    </row>
    <row r="11" spans="2:14" x14ac:dyDescent="0.25">
      <c r="B11" s="20"/>
      <c r="C11" s="20"/>
      <c r="D11" s="20"/>
      <c r="E11" s="20"/>
      <c r="F11" s="20"/>
      <c r="G11" s="20"/>
      <c r="H11" s="20"/>
      <c r="I11" s="20"/>
      <c r="J11" s="20"/>
      <c r="K11" s="20"/>
      <c r="M11" t="s">
        <v>27</v>
      </c>
      <c r="N11" s="1">
        <v>4045.6</v>
      </c>
    </row>
    <row r="12" spans="2:14" x14ac:dyDescent="0.25">
      <c r="B12" s="20"/>
      <c r="C12" s="20"/>
      <c r="D12" s="20"/>
      <c r="E12" s="20"/>
      <c r="F12" s="20"/>
      <c r="G12" s="20"/>
      <c r="H12" s="20"/>
      <c r="I12" s="20"/>
      <c r="J12" s="20"/>
      <c r="K12" s="20"/>
      <c r="M12" t="s">
        <v>28</v>
      </c>
      <c r="N12" s="1">
        <f>N9-N10+N11</f>
        <v>34171.095999999998</v>
      </c>
    </row>
    <row r="13" spans="2:14" x14ac:dyDescent="0.25">
      <c r="B13" s="20"/>
      <c r="C13" s="20"/>
      <c r="D13" s="20"/>
      <c r="E13" s="20"/>
      <c r="F13" s="20"/>
      <c r="G13" s="20"/>
      <c r="H13" s="20"/>
      <c r="I13" s="20"/>
      <c r="J13" s="20"/>
      <c r="K13" s="20"/>
    </row>
    <row r="15" spans="2:14" x14ac:dyDescent="0.25">
      <c r="M15" t="s">
        <v>43</v>
      </c>
      <c r="N15" s="1">
        <f>Dash!C4</f>
        <v>35110.668973847663</v>
      </c>
    </row>
    <row r="16" spans="2:14" x14ac:dyDescent="0.25">
      <c r="M16" t="s">
        <v>44</v>
      </c>
      <c r="N16" s="12">
        <f>N15/N8</f>
        <v>81.049559034736063</v>
      </c>
    </row>
    <row r="17" spans="13:13" x14ac:dyDescent="0.25">
      <c r="M17" s="2"/>
    </row>
  </sheetData>
  <mergeCells count="2">
    <mergeCell ref="B2:K6"/>
    <mergeCell ref="B8:K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A00E3-24DC-43B1-BFCC-AE8020CB1EB8}">
  <dimension ref="A1:HJ43"/>
  <sheetViews>
    <sheetView workbookViewId="0">
      <pane xSplit="2" ySplit="2" topLeftCell="U3" activePane="bottomRight" state="frozen"/>
      <selection pane="topRight" activeCell="C1" sqref="C1"/>
      <selection pane="bottomLeft" activeCell="A3" sqref="A3"/>
      <selection pane="bottomRight" activeCell="AK16" sqref="AK16"/>
    </sheetView>
  </sheetViews>
  <sheetFormatPr defaultRowHeight="15" x14ac:dyDescent="0.25"/>
  <cols>
    <col min="2" max="2" width="23.85546875" bestFit="1" customWidth="1"/>
    <col min="3" max="10" width="9.140625" style="1"/>
    <col min="11" max="11" width="10.28515625" style="1" bestFit="1" customWidth="1"/>
    <col min="12" max="12" width="9.140625" style="1"/>
    <col min="15" max="15" width="4.42578125" style="3" customWidth="1"/>
  </cols>
  <sheetData>
    <row r="1" spans="2:135" x14ac:dyDescent="0.25">
      <c r="K1" s="2"/>
    </row>
    <row r="2" spans="2:135" s="13" customFormat="1" x14ac:dyDescent="0.25">
      <c r="C2" s="13" t="s">
        <v>0</v>
      </c>
      <c r="D2" s="13" t="s">
        <v>1</v>
      </c>
      <c r="E2" s="13" t="s">
        <v>2</v>
      </c>
      <c r="F2" s="13" t="s">
        <v>3</v>
      </c>
      <c r="G2" s="13" t="s">
        <v>4</v>
      </c>
      <c r="H2" s="13" t="s">
        <v>5</v>
      </c>
      <c r="I2" s="13" t="s">
        <v>6</v>
      </c>
      <c r="J2" s="13" t="s">
        <v>7</v>
      </c>
      <c r="K2" s="13" t="s">
        <v>8</v>
      </c>
      <c r="L2" s="13" t="s">
        <v>9</v>
      </c>
      <c r="M2" s="13" t="s">
        <v>10</v>
      </c>
      <c r="O2" s="14"/>
      <c r="Q2" s="13">
        <v>2015</v>
      </c>
      <c r="R2" s="13">
        <v>2016</v>
      </c>
      <c r="S2" s="13">
        <v>2017</v>
      </c>
      <c r="T2" s="13">
        <v>2018</v>
      </c>
      <c r="U2" s="13">
        <v>2019</v>
      </c>
      <c r="V2" s="13">
        <v>2020</v>
      </c>
      <c r="W2" s="13">
        <v>2021</v>
      </c>
      <c r="X2" s="13">
        <v>2022</v>
      </c>
      <c r="Y2" s="13">
        <v>2023</v>
      </c>
      <c r="Z2" s="13">
        <v>2024</v>
      </c>
      <c r="AA2" s="13">
        <v>2025</v>
      </c>
      <c r="AB2" s="13">
        <v>2026</v>
      </c>
      <c r="AC2" s="13">
        <v>2027</v>
      </c>
      <c r="AD2" s="13">
        <v>2028</v>
      </c>
      <c r="AE2" s="13">
        <v>2029</v>
      </c>
      <c r="AF2" s="13">
        <v>2030</v>
      </c>
      <c r="AG2" s="13">
        <v>2031</v>
      </c>
      <c r="AH2" s="13">
        <v>2032</v>
      </c>
      <c r="AI2" s="13">
        <v>2033</v>
      </c>
      <c r="AJ2" s="13">
        <v>2034</v>
      </c>
      <c r="AK2" s="13">
        <v>2035</v>
      </c>
      <c r="AL2" s="13">
        <v>2036</v>
      </c>
      <c r="AM2" s="13">
        <v>2037</v>
      </c>
      <c r="AN2" s="13">
        <v>2038</v>
      </c>
      <c r="AO2" s="13">
        <v>2039</v>
      </c>
      <c r="AP2" s="13">
        <v>2040</v>
      </c>
      <c r="AQ2" s="13">
        <v>2041</v>
      </c>
      <c r="AR2" s="13">
        <v>2042</v>
      </c>
      <c r="AS2" s="13">
        <v>2043</v>
      </c>
      <c r="AT2" s="13">
        <v>2044</v>
      </c>
      <c r="AU2" s="13">
        <v>2045</v>
      </c>
      <c r="AV2" s="13">
        <v>2046</v>
      </c>
      <c r="AW2" s="13">
        <v>2047</v>
      </c>
      <c r="AX2" s="13">
        <v>2048</v>
      </c>
      <c r="AY2" s="13">
        <v>2049</v>
      </c>
      <c r="AZ2" s="13">
        <v>2050</v>
      </c>
      <c r="BA2" s="13">
        <v>2051</v>
      </c>
      <c r="BB2" s="13">
        <v>2052</v>
      </c>
      <c r="BC2" s="13">
        <v>2053</v>
      </c>
      <c r="BD2" s="13">
        <v>2054</v>
      </c>
      <c r="BE2" s="13">
        <v>2055</v>
      </c>
      <c r="BF2" s="13">
        <v>2056</v>
      </c>
      <c r="BG2" s="13">
        <v>2057</v>
      </c>
      <c r="BH2" s="13">
        <v>2058</v>
      </c>
      <c r="BI2" s="13">
        <v>2059</v>
      </c>
      <c r="BJ2" s="13">
        <v>2060</v>
      </c>
      <c r="BK2" s="13">
        <v>2061</v>
      </c>
      <c r="BL2" s="13">
        <v>2062</v>
      </c>
      <c r="BM2" s="13">
        <v>2063</v>
      </c>
      <c r="BN2" s="13">
        <v>2064</v>
      </c>
      <c r="BO2" s="13">
        <v>2065</v>
      </c>
      <c r="BP2" s="13">
        <v>2066</v>
      </c>
      <c r="BQ2" s="13">
        <v>2067</v>
      </c>
      <c r="BR2" s="13">
        <v>2068</v>
      </c>
      <c r="BS2" s="13">
        <v>2069</v>
      </c>
      <c r="BT2" s="13">
        <v>2070</v>
      </c>
      <c r="BU2" s="13">
        <v>2071</v>
      </c>
      <c r="BV2" s="13">
        <v>2072</v>
      </c>
      <c r="BW2" s="13">
        <v>2073</v>
      </c>
      <c r="BX2" s="13">
        <v>2074</v>
      </c>
      <c r="BY2" s="13">
        <v>2075</v>
      </c>
      <c r="BZ2" s="13">
        <v>2076</v>
      </c>
      <c r="CA2" s="13">
        <v>2077</v>
      </c>
      <c r="CB2" s="13">
        <v>2078</v>
      </c>
      <c r="CC2" s="13">
        <v>2079</v>
      </c>
      <c r="CD2" s="13">
        <v>2080</v>
      </c>
      <c r="CE2" s="13">
        <v>2081</v>
      </c>
      <c r="CF2" s="13">
        <v>2082</v>
      </c>
      <c r="CG2" s="13">
        <v>2083</v>
      </c>
      <c r="CH2" s="13">
        <v>2084</v>
      </c>
      <c r="CI2" s="13">
        <v>2085</v>
      </c>
      <c r="CJ2" s="13">
        <v>2086</v>
      </c>
      <c r="CK2" s="13">
        <v>2087</v>
      </c>
      <c r="CL2" s="13">
        <v>2088</v>
      </c>
      <c r="CM2" s="13">
        <v>2089</v>
      </c>
      <c r="CN2" s="13">
        <v>2090</v>
      </c>
      <c r="CO2" s="13">
        <v>2091</v>
      </c>
      <c r="CP2" s="13">
        <v>2092</v>
      </c>
      <c r="CQ2" s="13">
        <v>2093</v>
      </c>
      <c r="CR2" s="13">
        <v>2094</v>
      </c>
      <c r="CS2" s="13">
        <v>2095</v>
      </c>
      <c r="CT2" s="13">
        <v>2096</v>
      </c>
      <c r="CU2" s="13">
        <v>2097</v>
      </c>
      <c r="CV2" s="13">
        <v>2098</v>
      </c>
      <c r="CW2" s="13">
        <v>2099</v>
      </c>
      <c r="CX2" s="13">
        <v>2100</v>
      </c>
      <c r="CY2" s="13">
        <v>2101</v>
      </c>
      <c r="CZ2" s="13">
        <v>2102</v>
      </c>
      <c r="DA2" s="13">
        <v>2103</v>
      </c>
      <c r="DB2" s="13">
        <v>2104</v>
      </c>
      <c r="DC2" s="13">
        <v>2105</v>
      </c>
      <c r="DD2" s="13">
        <v>2106</v>
      </c>
      <c r="DE2" s="13">
        <v>2107</v>
      </c>
      <c r="DF2" s="13">
        <v>2108</v>
      </c>
      <c r="DG2" s="13">
        <v>2109</v>
      </c>
      <c r="DH2" s="13">
        <v>2110</v>
      </c>
      <c r="DI2" s="13">
        <v>2111</v>
      </c>
      <c r="DJ2" s="13">
        <v>2112</v>
      </c>
      <c r="DK2" s="13">
        <v>2113</v>
      </c>
      <c r="DL2" s="13">
        <v>2114</v>
      </c>
      <c r="DM2" s="13">
        <v>2115</v>
      </c>
      <c r="DN2" s="13">
        <v>2116</v>
      </c>
      <c r="DO2" s="13">
        <v>2117</v>
      </c>
      <c r="DP2" s="13">
        <v>2118</v>
      </c>
      <c r="DQ2" s="13">
        <v>2119</v>
      </c>
      <c r="DR2" s="13">
        <v>2120</v>
      </c>
      <c r="DS2" s="13">
        <v>2121</v>
      </c>
      <c r="DT2" s="13">
        <v>2122</v>
      </c>
      <c r="DU2" s="13">
        <v>2123</v>
      </c>
      <c r="DV2" s="13">
        <v>2124</v>
      </c>
      <c r="DW2" s="13">
        <v>2125</v>
      </c>
      <c r="DX2" s="13">
        <v>2126</v>
      </c>
      <c r="DY2" s="13">
        <v>2127</v>
      </c>
      <c r="DZ2" s="13">
        <v>2128</v>
      </c>
      <c r="EA2" s="13">
        <v>2129</v>
      </c>
      <c r="EB2" s="13">
        <v>2130</v>
      </c>
      <c r="EC2" s="13">
        <v>2131</v>
      </c>
      <c r="ED2" s="13">
        <v>2132</v>
      </c>
      <c r="EE2" s="13">
        <v>2133</v>
      </c>
    </row>
    <row r="3" spans="2:135" s="1" customFormat="1" x14ac:dyDescent="0.25">
      <c r="B3" s="1" t="s">
        <v>26</v>
      </c>
      <c r="M3" s="1">
        <v>2919</v>
      </c>
      <c r="O3" s="15"/>
      <c r="Q3" s="1">
        <v>617.6</v>
      </c>
      <c r="R3" s="1">
        <v>1028.0999999999999</v>
      </c>
      <c r="S3" s="1">
        <v>949.2</v>
      </c>
      <c r="T3" s="1">
        <v>1069.5999999999999</v>
      </c>
      <c r="U3" s="1">
        <v>894.2</v>
      </c>
      <c r="V3" s="1">
        <v>1080.7</v>
      </c>
      <c r="W3" s="1">
        <v>1352.6</v>
      </c>
      <c r="X3" s="1">
        <v>2919</v>
      </c>
    </row>
    <row r="4" spans="2:135" s="1" customFormat="1" x14ac:dyDescent="0.25">
      <c r="B4" s="1" t="s">
        <v>32</v>
      </c>
      <c r="M4" s="1">
        <v>1616.8</v>
      </c>
      <c r="O4" s="15"/>
      <c r="Q4" s="1">
        <v>750.4</v>
      </c>
      <c r="R4" s="1">
        <v>1030.2</v>
      </c>
      <c r="S4" s="1">
        <v>1089.5</v>
      </c>
      <c r="T4" s="1">
        <v>1225.2</v>
      </c>
      <c r="U4" s="1">
        <v>1232.4000000000001</v>
      </c>
      <c r="V4" s="1">
        <v>1251.4000000000001</v>
      </c>
      <c r="W4" s="1">
        <v>1379.5</v>
      </c>
      <c r="X4" s="1">
        <v>1616.8</v>
      </c>
    </row>
    <row r="5" spans="2:135" s="1" customFormat="1" x14ac:dyDescent="0.25">
      <c r="B5" s="1" t="s">
        <v>33</v>
      </c>
      <c r="M5" s="1">
        <v>3450.7</v>
      </c>
      <c r="O5" s="15"/>
      <c r="Q5" s="1">
        <v>1274.0999999999999</v>
      </c>
      <c r="R5" s="1">
        <v>2159.1</v>
      </c>
      <c r="S5" s="1">
        <v>2279.1</v>
      </c>
      <c r="T5" s="1">
        <v>2549.6</v>
      </c>
      <c r="U5" s="1">
        <v>2591.6</v>
      </c>
      <c r="V5" s="1">
        <v>2512.3000000000002</v>
      </c>
      <c r="W5" s="1">
        <v>2524.3000000000002</v>
      </c>
      <c r="X5" s="1">
        <v>3450.7</v>
      </c>
    </row>
    <row r="6" spans="2:135" s="1" customFormat="1" x14ac:dyDescent="0.25">
      <c r="B6" s="1" t="s">
        <v>27</v>
      </c>
      <c r="M6" s="1">
        <f>852.1+147.8+3045.7</f>
        <v>4045.6</v>
      </c>
      <c r="O6" s="15"/>
      <c r="Q6" s="1">
        <f>246.2+543.4+850.5</f>
        <v>1640.1</v>
      </c>
      <c r="R6" s="1">
        <f>434+553.8+3068.5</f>
        <v>4056.3</v>
      </c>
      <c r="S6" s="1">
        <f>548+248.1+2703.7</f>
        <v>3499.7999999999997</v>
      </c>
      <c r="T6" s="1">
        <f>671.7+138.5+2627.6</f>
        <v>3437.8</v>
      </c>
      <c r="U6" s="1">
        <f>543.6+736+2876.5</f>
        <v>4156.1000000000004</v>
      </c>
      <c r="V6" s="1">
        <f>572.9+531.6+2959.7</f>
        <v>4064.2</v>
      </c>
      <c r="W6" s="1">
        <f>635.1+160.7+2913.9</f>
        <v>3709.7</v>
      </c>
      <c r="X6" s="1">
        <f>852.1+147.8+3045.7</f>
        <v>4045.6</v>
      </c>
    </row>
    <row r="7" spans="2:135" s="1" customFormat="1" x14ac:dyDescent="0.25">
      <c r="B7" s="1" t="s">
        <v>34</v>
      </c>
      <c r="M7" s="1">
        <f>M3-M6</f>
        <v>-1126.5999999999999</v>
      </c>
      <c r="O7" s="15"/>
      <c r="P7" s="1">
        <f>P3-P6</f>
        <v>0</v>
      </c>
      <c r="Q7" s="1">
        <f>Q3-Q6</f>
        <v>-1022.4999999999999</v>
      </c>
      <c r="R7" s="1">
        <f>R3-R6</f>
        <v>-3028.2000000000003</v>
      </c>
      <c r="S7" s="1">
        <f t="shared" ref="S7:X7" si="0">S3-S6</f>
        <v>-2550.5999999999995</v>
      </c>
      <c r="T7" s="1">
        <f t="shared" si="0"/>
        <v>-2368.2000000000003</v>
      </c>
      <c r="U7" s="1">
        <f t="shared" si="0"/>
        <v>-3261.9000000000005</v>
      </c>
      <c r="V7" s="1">
        <f t="shared" si="0"/>
        <v>-2983.5</v>
      </c>
      <c r="W7" s="1">
        <f t="shared" si="0"/>
        <v>-2357.1</v>
      </c>
      <c r="X7" s="1">
        <f t="shared" si="0"/>
        <v>-1126.5999999999999</v>
      </c>
      <c r="Y7" s="1">
        <f>X7+Y22</f>
        <v>835.61008250000054</v>
      </c>
      <c r="Z7" s="1">
        <f>Y7+Z22</f>
        <v>2964.5088816781254</v>
      </c>
      <c r="AA7" s="1">
        <f>Z7+AA22</f>
        <v>5212.6740919296763</v>
      </c>
      <c r="AB7" s="1">
        <f>AA7+AB22</f>
        <v>7527.0087316934514</v>
      </c>
      <c r="AC7" s="1">
        <f t="shared" ref="AC7:AH7" si="1">AB7+AC22</f>
        <v>9829.9707651930621</v>
      </c>
      <c r="AD7" s="1">
        <f t="shared" si="1"/>
        <v>12069.517809135405</v>
      </c>
      <c r="AE7" s="1">
        <f t="shared" si="1"/>
        <v>14508.035393210032</v>
      </c>
      <c r="AF7" s="1">
        <f t="shared" si="1"/>
        <v>17160.238159434226</v>
      </c>
      <c r="AG7" s="1">
        <f t="shared" si="1"/>
        <v>20041.856638748759</v>
      </c>
      <c r="AH7" s="1">
        <f t="shared" si="1"/>
        <v>23169.705266771249</v>
      </c>
    </row>
    <row r="8" spans="2:135" s="1" customFormat="1" x14ac:dyDescent="0.25">
      <c r="O8" s="15"/>
    </row>
    <row r="9" spans="2:135" s="4" customFormat="1" x14ac:dyDescent="0.25">
      <c r="B9" s="4" t="s">
        <v>11</v>
      </c>
      <c r="C9" s="5">
        <v>1213.5</v>
      </c>
      <c r="D9" s="5">
        <v>1317.3</v>
      </c>
      <c r="E9" s="5">
        <v>1446.3</v>
      </c>
      <c r="F9" s="5">
        <v>1481.7</v>
      </c>
      <c r="G9" s="5">
        <v>1669.9</v>
      </c>
      <c r="H9" s="5">
        <v>1742.1</v>
      </c>
      <c r="I9" s="5">
        <v>1846.1</v>
      </c>
      <c r="J9" s="5">
        <v>1945</v>
      </c>
      <c r="K9" s="5">
        <v>2085</v>
      </c>
      <c r="L9" s="5">
        <v>2192.6</v>
      </c>
      <c r="M9" s="5">
        <f>X9-L9-K9-J9</f>
        <v>2103.6000000000004</v>
      </c>
      <c r="O9" s="6"/>
      <c r="P9" s="5"/>
      <c r="Q9" s="5">
        <v>3495.8</v>
      </c>
      <c r="R9" s="5">
        <v>3906.9</v>
      </c>
      <c r="S9" s="5">
        <v>5543.1</v>
      </c>
      <c r="T9" s="5">
        <v>5878.3</v>
      </c>
      <c r="U9" s="5">
        <v>5518</v>
      </c>
      <c r="V9" s="5">
        <v>5255</v>
      </c>
      <c r="W9" s="5">
        <v>6739.8</v>
      </c>
      <c r="X9" s="5">
        <v>8326.2000000000007</v>
      </c>
      <c r="Y9" s="5">
        <f>X9*(1+Y39)</f>
        <v>9450.237000000001</v>
      </c>
      <c r="Z9" s="5">
        <f t="shared" ref="Z9:AH9" si="2">Y9*(1+Z39)</f>
        <v>10726.018995</v>
      </c>
      <c r="AA9" s="5">
        <f t="shared" si="2"/>
        <v>11959.511179425001</v>
      </c>
      <c r="AB9" s="5">
        <f t="shared" si="2"/>
        <v>13095.664741470375</v>
      </c>
      <c r="AC9" s="5">
        <f t="shared" si="2"/>
        <v>14077.839597080652</v>
      </c>
      <c r="AD9" s="5">
        <f t="shared" si="2"/>
        <v>14992.899170890894</v>
      </c>
      <c r="AE9" s="5">
        <f t="shared" si="2"/>
        <v>15967.437616998801</v>
      </c>
      <c r="AF9" s="5">
        <f t="shared" si="2"/>
        <v>17005.321062103721</v>
      </c>
      <c r="AG9" s="5">
        <f t="shared" si="2"/>
        <v>18110.666931140462</v>
      </c>
      <c r="AH9" s="5">
        <f t="shared" si="2"/>
        <v>19287.860281664591</v>
      </c>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row>
    <row r="10" spans="2:135" x14ac:dyDescent="0.25">
      <c r="B10" t="s">
        <v>12</v>
      </c>
      <c r="C10" s="1">
        <v>839.2</v>
      </c>
      <c r="D10" s="1">
        <v>876.1</v>
      </c>
      <c r="E10" s="1">
        <v>948.7</v>
      </c>
      <c r="F10" s="1">
        <v>960.5</v>
      </c>
      <c r="G10" s="1">
        <v>1029.8</v>
      </c>
      <c r="H10" s="1">
        <v>1021.3</v>
      </c>
      <c r="I10" s="1">
        <v>1013.9</v>
      </c>
      <c r="J10" s="1">
        <v>983.7</v>
      </c>
      <c r="K10" s="1">
        <v>1047.9000000000001</v>
      </c>
      <c r="L10" s="1">
        <v>1134.3</v>
      </c>
      <c r="M10" s="1">
        <f>X10-L10-K10-J10</f>
        <v>1083.0999999999997</v>
      </c>
      <c r="P10" s="1"/>
      <c r="Q10" s="1">
        <v>2302.6</v>
      </c>
      <c r="R10" s="1">
        <v>2610</v>
      </c>
      <c r="S10" s="1">
        <v>3507.5</v>
      </c>
      <c r="T10" s="1">
        <v>3639.6</v>
      </c>
      <c r="U10" s="1">
        <v>3544.3</v>
      </c>
      <c r="V10" s="1">
        <v>3539.2</v>
      </c>
      <c r="W10" s="1">
        <v>4025.5</v>
      </c>
      <c r="X10" s="1">
        <v>4249</v>
      </c>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row>
    <row r="11" spans="2:135" s="4" customFormat="1" x14ac:dyDescent="0.25">
      <c r="B11" s="4" t="s">
        <v>49</v>
      </c>
      <c r="C11" s="5">
        <f t="shared" ref="C11:J11" si="3">C9-C10</f>
        <v>374.29999999999995</v>
      </c>
      <c r="D11" s="5">
        <f t="shared" si="3"/>
        <v>441.19999999999993</v>
      </c>
      <c r="E11" s="5">
        <f t="shared" si="3"/>
        <v>497.59999999999991</v>
      </c>
      <c r="F11" s="5">
        <f t="shared" si="3"/>
        <v>521.20000000000005</v>
      </c>
      <c r="G11" s="5">
        <f t="shared" si="3"/>
        <v>640.10000000000014</v>
      </c>
      <c r="H11" s="5">
        <f t="shared" si="3"/>
        <v>720.8</v>
      </c>
      <c r="I11" s="5">
        <f t="shared" si="3"/>
        <v>832.19999999999993</v>
      </c>
      <c r="J11" s="5">
        <f t="shared" si="3"/>
        <v>961.3</v>
      </c>
      <c r="K11" s="5">
        <f t="shared" ref="K11" si="4">+K9-K10</f>
        <v>1037.0999999999999</v>
      </c>
      <c r="L11" s="5">
        <f t="shared" ref="L11:M11" si="5">+L9-L10</f>
        <v>1058.3</v>
      </c>
      <c r="M11" s="5">
        <f t="shared" si="5"/>
        <v>1020.5000000000007</v>
      </c>
      <c r="O11" s="6"/>
      <c r="P11" s="5">
        <f t="shared" ref="P11:U11" si="6">+P9-P10</f>
        <v>0</v>
      </c>
      <c r="Q11" s="5">
        <f t="shared" si="6"/>
        <v>1193.2000000000003</v>
      </c>
      <c r="R11" s="5">
        <f t="shared" si="6"/>
        <v>1296.9000000000001</v>
      </c>
      <c r="S11" s="5">
        <f t="shared" si="6"/>
        <v>2035.6000000000004</v>
      </c>
      <c r="T11" s="5">
        <f t="shared" si="6"/>
        <v>2238.7000000000003</v>
      </c>
      <c r="U11" s="5">
        <f t="shared" si="6"/>
        <v>1973.6999999999998</v>
      </c>
      <c r="V11" s="5">
        <f>+V9-V10</f>
        <v>1715.8000000000002</v>
      </c>
      <c r="W11" s="5">
        <f>+W9-W10</f>
        <v>2714.3</v>
      </c>
      <c r="X11" s="5">
        <f>+X9-X10</f>
        <v>4077.2000000000007</v>
      </c>
      <c r="Y11" s="5">
        <f>Y9*Y32</f>
        <v>4441.61139</v>
      </c>
      <c r="Z11" s="5">
        <f t="shared" ref="Z11:AH11" si="7">Z9*Z32</f>
        <v>5148.4891176000001</v>
      </c>
      <c r="AA11" s="5">
        <f t="shared" si="7"/>
        <v>5860.1604779182499</v>
      </c>
      <c r="AB11" s="5">
        <f t="shared" si="7"/>
        <v>6547.8323707351874</v>
      </c>
      <c r="AC11" s="5">
        <f t="shared" si="7"/>
        <v>7179.6981945111329</v>
      </c>
      <c r="AD11" s="5">
        <f t="shared" si="7"/>
        <v>7796.3075688632653</v>
      </c>
      <c r="AE11" s="5">
        <f t="shared" si="7"/>
        <v>8303.0675608393776</v>
      </c>
      <c r="AF11" s="5">
        <f t="shared" si="7"/>
        <v>8842.7669522939359</v>
      </c>
      <c r="AG11" s="5">
        <f t="shared" si="7"/>
        <v>9417.5468041930399</v>
      </c>
      <c r="AH11" s="5">
        <f t="shared" si="7"/>
        <v>10029.687346465587</v>
      </c>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row>
    <row r="12" spans="2:135" x14ac:dyDescent="0.25">
      <c r="B12" t="s">
        <v>13</v>
      </c>
      <c r="C12" s="1">
        <v>156.1</v>
      </c>
      <c r="D12" s="1">
        <v>156.1</v>
      </c>
      <c r="E12" s="1">
        <v>159.74</v>
      </c>
      <c r="F12" s="1">
        <v>173.6</v>
      </c>
      <c r="G12" s="1">
        <v>166.3</v>
      </c>
      <c r="H12" s="1">
        <v>154.5</v>
      </c>
      <c r="I12" s="1">
        <v>160.6</v>
      </c>
      <c r="J12" s="1">
        <v>156.80000000000001</v>
      </c>
      <c r="K12" s="1">
        <v>161.6</v>
      </c>
      <c r="L12" s="1">
        <v>145.4</v>
      </c>
      <c r="M12" s="1">
        <f t="shared" ref="M12:M15" si="8">X12-L12-K12-J12</f>
        <v>136.40000000000003</v>
      </c>
      <c r="P12" s="1"/>
      <c r="Q12" s="1">
        <v>396.7</v>
      </c>
      <c r="R12" s="1">
        <v>452.3</v>
      </c>
      <c r="S12" s="1">
        <v>594.70000000000005</v>
      </c>
      <c r="T12" s="1">
        <v>650.70000000000005</v>
      </c>
      <c r="U12" s="1">
        <v>640.9</v>
      </c>
      <c r="V12" s="1">
        <v>642.9</v>
      </c>
      <c r="W12" s="1">
        <v>655</v>
      </c>
      <c r="X12" s="1">
        <v>600.20000000000005</v>
      </c>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row>
    <row r="13" spans="2:135" x14ac:dyDescent="0.25">
      <c r="B13" t="s">
        <v>14</v>
      </c>
      <c r="C13" s="1">
        <f>65.6+62.9+16.2+1.3</f>
        <v>146</v>
      </c>
      <c r="D13" s="1">
        <f>65.3+62.2+9</f>
        <v>136.5</v>
      </c>
      <c r="E13" s="1">
        <f>71+62.4+7.2</f>
        <v>140.6</v>
      </c>
      <c r="F13" s="1">
        <f>78.9+72.4+42.5+2.9</f>
        <v>196.70000000000002</v>
      </c>
      <c r="G13" s="1">
        <f>76.1+73.2+17.5</f>
        <v>166.8</v>
      </c>
      <c r="H13" s="1">
        <f>68.4+75.7+-1.7</f>
        <v>142.40000000000003</v>
      </c>
      <c r="I13" s="1">
        <f>70.2+83.5+13.1</f>
        <v>166.79999999999998</v>
      </c>
      <c r="J13" s="1">
        <f>71.1+77.9-13</f>
        <v>136</v>
      </c>
      <c r="K13" s="1">
        <f>73.1+83.2</f>
        <v>156.30000000000001</v>
      </c>
      <c r="L13" s="1">
        <f>69.5+84.9</f>
        <v>154.4</v>
      </c>
      <c r="M13" s="1">
        <f t="shared" si="8"/>
        <v>184.39999999999992</v>
      </c>
      <c r="P13" s="1"/>
      <c r="Q13" s="1">
        <f>204.3+182.3</f>
        <v>386.6</v>
      </c>
      <c r="R13" s="1">
        <f>238+230.3</f>
        <v>468.3</v>
      </c>
      <c r="S13" s="1">
        <f>316.6+285</f>
        <v>601.6</v>
      </c>
      <c r="T13" s="1">
        <f>324.7+293.3</f>
        <v>618</v>
      </c>
      <c r="U13" s="1">
        <f>301+284</f>
        <v>585</v>
      </c>
      <c r="V13" s="1">
        <f>278.7+258.7</f>
        <v>537.4</v>
      </c>
      <c r="W13" s="1">
        <f>293.6+304.8</f>
        <v>598.40000000000009</v>
      </c>
      <c r="X13" s="1">
        <f>287.9+343.2</f>
        <v>631.09999999999991</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row>
    <row r="14" spans="2:135" x14ac:dyDescent="0.25">
      <c r="B14" t="s">
        <v>45</v>
      </c>
      <c r="C14" s="1">
        <v>29.1</v>
      </c>
      <c r="D14" s="1">
        <v>29.6</v>
      </c>
      <c r="E14" s="1">
        <v>29.3</v>
      </c>
      <c r="F14" s="1">
        <v>25</v>
      </c>
      <c r="G14" s="1">
        <v>24.8</v>
      </c>
      <c r="H14" s="1">
        <v>24.7</v>
      </c>
      <c r="I14" s="1">
        <v>24.5</v>
      </c>
      <c r="J14" s="1">
        <v>21.3</v>
      </c>
      <c r="K14" s="1">
        <v>21.9</v>
      </c>
      <c r="L14" s="1">
        <v>21.9</v>
      </c>
      <c r="M14" s="1">
        <f t="shared" si="8"/>
        <v>16.100000000000005</v>
      </c>
      <c r="P14" s="1"/>
      <c r="Q14" s="1">
        <v>135.69999999999999</v>
      </c>
      <c r="R14" s="1">
        <v>104.8</v>
      </c>
      <c r="S14" s="1">
        <v>123.8</v>
      </c>
      <c r="T14" s="1">
        <v>111.7</v>
      </c>
      <c r="U14" s="1">
        <v>115.2</v>
      </c>
      <c r="V14" s="1">
        <v>120.3</v>
      </c>
      <c r="W14" s="1">
        <v>99</v>
      </c>
      <c r="X14" s="1">
        <v>81.2</v>
      </c>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row>
    <row r="15" spans="2:135" x14ac:dyDescent="0.25">
      <c r="B15" t="s">
        <v>36</v>
      </c>
      <c r="K15" s="1">
        <f>-1.7+115</f>
        <v>113.3</v>
      </c>
      <c r="L15" s="1">
        <f>40.3+271.8</f>
        <v>312.10000000000002</v>
      </c>
      <c r="M15" s="1">
        <f t="shared" si="8"/>
        <v>-20.700000000000031</v>
      </c>
      <c r="P15" s="1"/>
      <c r="Q15" s="1">
        <f>9.3+3.8</f>
        <v>13.100000000000001</v>
      </c>
      <c r="R15" s="1">
        <f>33.2+2.2</f>
        <v>35.400000000000006</v>
      </c>
      <c r="S15" s="1">
        <f>20.8+13.1</f>
        <v>33.9</v>
      </c>
      <c r="T15" s="1">
        <f>4.3+6.8</f>
        <v>11.1</v>
      </c>
      <c r="U15" s="1">
        <f>169.5+28.7+1.6</f>
        <v>199.79999999999998</v>
      </c>
      <c r="V15" s="1">
        <f>65.2+1.3</f>
        <v>66.5</v>
      </c>
      <c r="W15" s="1">
        <f>71.4+2.9</f>
        <v>74.300000000000011</v>
      </c>
      <c r="X15" s="1">
        <f>17.9+386.8</f>
        <v>404.7</v>
      </c>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row>
    <row r="16" spans="2:135" x14ac:dyDescent="0.25">
      <c r="B16" t="s">
        <v>15</v>
      </c>
      <c r="C16" s="1">
        <f t="shared" ref="C16:J16" si="9">C14+C13+C12+C10</f>
        <v>1170.4000000000001</v>
      </c>
      <c r="D16" s="1">
        <f t="shared" si="9"/>
        <v>1198.3</v>
      </c>
      <c r="E16" s="1">
        <f t="shared" si="9"/>
        <v>1278.3400000000001</v>
      </c>
      <c r="F16" s="1">
        <f t="shared" si="9"/>
        <v>1355.8</v>
      </c>
      <c r="G16" s="1">
        <f t="shared" si="9"/>
        <v>1387.7</v>
      </c>
      <c r="H16" s="1">
        <f t="shared" si="9"/>
        <v>1342.9</v>
      </c>
      <c r="I16" s="1">
        <f t="shared" si="9"/>
        <v>1365.8</v>
      </c>
      <c r="J16" s="1">
        <f t="shared" si="9"/>
        <v>1297.8000000000002</v>
      </c>
      <c r="K16" s="1">
        <f t="shared" ref="K16" si="10">SUM(K12:K15,K10)</f>
        <v>1501</v>
      </c>
      <c r="L16" s="1">
        <f t="shared" ref="L16:M16" si="11">SUM(L12:L15,L10)</f>
        <v>1768.1</v>
      </c>
      <c r="M16" s="1">
        <f t="shared" si="11"/>
        <v>1399.2999999999997</v>
      </c>
      <c r="P16" s="1">
        <f t="shared" ref="P16:U16" si="12">SUM(P12:P15,P10)</f>
        <v>0</v>
      </c>
      <c r="Q16" s="1">
        <f t="shared" si="12"/>
        <v>3234.7</v>
      </c>
      <c r="R16" s="1">
        <f t="shared" si="12"/>
        <v>3670.8</v>
      </c>
      <c r="S16" s="1">
        <f t="shared" si="12"/>
        <v>4861.5</v>
      </c>
      <c r="T16" s="1">
        <f t="shared" si="12"/>
        <v>5031.1000000000004</v>
      </c>
      <c r="U16" s="1">
        <f t="shared" si="12"/>
        <v>5085.2000000000007</v>
      </c>
      <c r="V16" s="1">
        <f>SUM(V12:V15,V10)</f>
        <v>4906.2999999999993</v>
      </c>
      <c r="W16" s="1">
        <f>SUM(W12:W15,W10)</f>
        <v>5452.2</v>
      </c>
      <c r="X16" s="1">
        <f>SUM(X12:X15,X10)</f>
        <v>5966.2</v>
      </c>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row>
    <row r="17" spans="1:218" s="4" customFormat="1" x14ac:dyDescent="0.25">
      <c r="B17" s="4" t="s">
        <v>16</v>
      </c>
      <c r="C17" s="5">
        <f t="shared" ref="C17:J17" si="13">+C9-C16</f>
        <v>43.099999999999909</v>
      </c>
      <c r="D17" s="5">
        <f t="shared" si="13"/>
        <v>119</v>
      </c>
      <c r="E17" s="5">
        <f t="shared" si="13"/>
        <v>167.95999999999981</v>
      </c>
      <c r="F17" s="5">
        <f t="shared" si="13"/>
        <v>125.90000000000009</v>
      </c>
      <c r="G17" s="5">
        <f t="shared" si="13"/>
        <v>282.20000000000005</v>
      </c>
      <c r="H17" s="5">
        <f t="shared" si="13"/>
        <v>399.19999999999982</v>
      </c>
      <c r="I17" s="5">
        <f t="shared" si="13"/>
        <v>480.29999999999995</v>
      </c>
      <c r="J17" s="5">
        <f t="shared" si="13"/>
        <v>647.19999999999982</v>
      </c>
      <c r="K17" s="5">
        <f t="shared" ref="K17" si="14">K9-K16</f>
        <v>584</v>
      </c>
      <c r="L17" s="5">
        <f t="shared" ref="L17:M17" si="15">L9-L16</f>
        <v>424.5</v>
      </c>
      <c r="M17" s="5">
        <f t="shared" si="15"/>
        <v>704.30000000000064</v>
      </c>
      <c r="O17" s="6"/>
      <c r="P17" s="5">
        <f t="shared" ref="P17:U17" si="16">P9-P16</f>
        <v>0</v>
      </c>
      <c r="Q17" s="5">
        <f t="shared" si="16"/>
        <v>261.10000000000036</v>
      </c>
      <c r="R17" s="5">
        <f t="shared" si="16"/>
        <v>236.09999999999991</v>
      </c>
      <c r="S17" s="5">
        <f t="shared" si="16"/>
        <v>681.60000000000036</v>
      </c>
      <c r="T17" s="5">
        <f t="shared" si="16"/>
        <v>847.19999999999982</v>
      </c>
      <c r="U17" s="5">
        <f t="shared" si="16"/>
        <v>432.79999999999927</v>
      </c>
      <c r="V17" s="5">
        <f>V9-V16</f>
        <v>348.70000000000073</v>
      </c>
      <c r="W17" s="5">
        <f>W9-W16</f>
        <v>1287.6000000000004</v>
      </c>
      <c r="X17" s="5">
        <f>X9-X16</f>
        <v>2360.0000000000009</v>
      </c>
      <c r="Y17" s="5">
        <f>Y9*Y33</f>
        <v>2362.5592500000002</v>
      </c>
      <c r="Z17" s="5">
        <f t="shared" ref="Z17:AH17" si="17">Z9*Z33</f>
        <v>2466.98436885</v>
      </c>
      <c r="AA17" s="5">
        <f t="shared" si="17"/>
        <v>2511.4973476792502</v>
      </c>
      <c r="AB17" s="5">
        <f t="shared" si="17"/>
        <v>2488.1763008793714</v>
      </c>
      <c r="AC17" s="5">
        <f t="shared" si="17"/>
        <v>2393.232731503711</v>
      </c>
      <c r="AD17" s="5">
        <f t="shared" si="17"/>
        <v>2248.934875633634</v>
      </c>
      <c r="AE17" s="5">
        <f t="shared" si="17"/>
        <v>2395.1156425498202</v>
      </c>
      <c r="AF17" s="5">
        <f t="shared" si="17"/>
        <v>2550.7981593155582</v>
      </c>
      <c r="AG17" s="5">
        <f t="shared" si="17"/>
        <v>2716.6000396710692</v>
      </c>
      <c r="AH17" s="5">
        <f t="shared" si="17"/>
        <v>2893.1790422496883</v>
      </c>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row>
    <row r="18" spans="1:218" x14ac:dyDescent="0.25">
      <c r="B18" t="s">
        <v>37</v>
      </c>
      <c r="C18" s="1">
        <v>-40.4</v>
      </c>
      <c r="D18" s="1">
        <v>-41.300000000000004</v>
      </c>
      <c r="E18" s="1">
        <v>-41.25</v>
      </c>
      <c r="F18" s="1">
        <v>-33.799999999999997</v>
      </c>
      <c r="G18" s="1">
        <v>-32.9</v>
      </c>
      <c r="H18" s="1">
        <v>-31.4</v>
      </c>
      <c r="I18" s="1">
        <v>-31.7</v>
      </c>
      <c r="J18" s="1">
        <v>-21.200000000000003</v>
      </c>
      <c r="K18" s="1">
        <f>-22.1+1.1</f>
        <v>-21</v>
      </c>
      <c r="L18" s="1">
        <f>-23.7+4.9</f>
        <v>-18.799999999999997</v>
      </c>
      <c r="M18" s="1">
        <f t="shared" ref="M18:M19" si="18">X18-L18-K18-J18</f>
        <v>-18.400000000000006</v>
      </c>
      <c r="P18" s="1"/>
      <c r="Q18" s="1">
        <f>-49.7+1.1</f>
        <v>-48.6</v>
      </c>
      <c r="R18" s="1">
        <f>-145.3+4.5</f>
        <v>-140.80000000000001</v>
      </c>
      <c r="S18" s="1">
        <f>-141.2+3</f>
        <v>-138.19999999999999</v>
      </c>
      <c r="T18" s="1">
        <f>-128.2+6.1</f>
        <v>-122.1</v>
      </c>
      <c r="U18" s="1">
        <f>-148.3+10.2</f>
        <v>-138.10000000000002</v>
      </c>
      <c r="V18" s="1">
        <f>-168.4+4.9</f>
        <v>-163.5</v>
      </c>
      <c r="W18" s="1">
        <f>-130.4+1.4</f>
        <v>-129</v>
      </c>
      <c r="X18" s="1">
        <f>-94.9+15.5</f>
        <v>-79.400000000000006</v>
      </c>
      <c r="Y18" s="1">
        <f>X7*Y37</f>
        <v>-54.076799999999999</v>
      </c>
      <c r="Z18" s="1">
        <f>Y7*Z37</f>
        <v>37.602453712500022</v>
      </c>
      <c r="AA18" s="1">
        <f>Z7*AA37</f>
        <v>133.40289967551564</v>
      </c>
      <c r="AB18" s="1">
        <f t="shared" ref="AB18:AH18" si="19">AA7*AB37</f>
        <v>234.57033413683541</v>
      </c>
      <c r="AC18" s="1">
        <f>AB7*AC37</f>
        <v>316.134366731125</v>
      </c>
      <c r="AD18" s="1">
        <f>AC7*AD37</f>
        <v>385.82635253382767</v>
      </c>
      <c r="AE18" s="1">
        <f>AD7*AE37</f>
        <v>473.72857400856464</v>
      </c>
      <c r="AF18" s="1">
        <f>AE7*AF37</f>
        <v>569.44038918349372</v>
      </c>
      <c r="AG18" s="1">
        <f>AF7*AG37</f>
        <v>673.53934775779339</v>
      </c>
      <c r="AH18" s="1">
        <f t="shared" si="19"/>
        <v>786.64287307088875</v>
      </c>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row>
    <row r="19" spans="1:218" x14ac:dyDescent="0.25">
      <c r="B19" t="s">
        <v>38</v>
      </c>
      <c r="C19" s="1">
        <v>-2.8</v>
      </c>
      <c r="D19" s="1">
        <v>0.4</v>
      </c>
      <c r="E19" s="1">
        <v>-6.3</v>
      </c>
      <c r="F19" s="1">
        <v>4.5</v>
      </c>
      <c r="G19" s="1">
        <v>-27.3</v>
      </c>
      <c r="H19" s="1">
        <v>4.3999999999999995</v>
      </c>
      <c r="I19" s="1">
        <v>17.599999999999998</v>
      </c>
      <c r="J19" s="1">
        <v>2</v>
      </c>
      <c r="K19" s="1">
        <f>-7.3+1.9+6.4</f>
        <v>1</v>
      </c>
      <c r="L19" s="1">
        <v>1.1000000000000001</v>
      </c>
      <c r="M19" s="1">
        <f t="shared" si="18"/>
        <v>77.5</v>
      </c>
      <c r="P19" s="1"/>
      <c r="Q19" s="1">
        <f>-0.4+7.7</f>
        <v>7.3</v>
      </c>
      <c r="R19" s="1">
        <f>92.2-6.3-0.6</f>
        <v>85.300000000000011</v>
      </c>
      <c r="S19" s="1">
        <f>-47.2+12.5+47.6-8.8</f>
        <v>4.0999999999999979</v>
      </c>
      <c r="T19" s="1">
        <f>-4.6+5+36.6-7.1</f>
        <v>29.9</v>
      </c>
      <c r="U19" s="1">
        <f>-6.2-11.8</f>
        <v>-18</v>
      </c>
      <c r="V19" s="1">
        <v>-8.6</v>
      </c>
      <c r="W19" s="1">
        <f>-29+10.2+18</f>
        <v>-0.80000000000000071</v>
      </c>
      <c r="X19" s="1">
        <f>-7.1+67+21.7</f>
        <v>81.599999999999994</v>
      </c>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row>
    <row r="20" spans="1:218" s="4" customFormat="1" x14ac:dyDescent="0.25">
      <c r="B20" s="4" t="s">
        <v>35</v>
      </c>
      <c r="C20" s="5">
        <f>C17+C18+C19</f>
        <v>-0.10000000000008935</v>
      </c>
      <c r="D20" s="5">
        <f t="shared" ref="D20:J20" si="20">D17+D18+D19</f>
        <v>78.099999999999994</v>
      </c>
      <c r="E20" s="5">
        <f t="shared" si="20"/>
        <v>120.40999999999981</v>
      </c>
      <c r="F20" s="5">
        <f t="shared" si="20"/>
        <v>96.600000000000094</v>
      </c>
      <c r="G20" s="5">
        <f t="shared" si="20"/>
        <v>222.00000000000003</v>
      </c>
      <c r="H20" s="5">
        <f t="shared" si="20"/>
        <v>372.19999999999982</v>
      </c>
      <c r="I20" s="5">
        <f t="shared" si="20"/>
        <v>466.2</v>
      </c>
      <c r="J20" s="5">
        <f t="shared" si="20"/>
        <v>627.99999999999977</v>
      </c>
      <c r="K20" s="5">
        <f t="shared" ref="K20" si="21">+K17+K18+K19</f>
        <v>564</v>
      </c>
      <c r="L20" s="5">
        <f t="shared" ref="L20:M20" si="22">+L17+L18+L19</f>
        <v>406.8</v>
      </c>
      <c r="M20" s="5">
        <f t="shared" si="22"/>
        <v>763.40000000000066</v>
      </c>
      <c r="O20" s="6"/>
      <c r="P20" s="5">
        <f t="shared" ref="P20:U20" si="23">+P17+P18+P19</f>
        <v>0</v>
      </c>
      <c r="Q20" s="5">
        <f t="shared" si="23"/>
        <v>219.80000000000038</v>
      </c>
      <c r="R20" s="5">
        <f t="shared" si="23"/>
        <v>180.59999999999991</v>
      </c>
      <c r="S20" s="5">
        <f t="shared" si="23"/>
        <v>547.50000000000034</v>
      </c>
      <c r="T20" s="5">
        <f t="shared" si="23"/>
        <v>754.99999999999977</v>
      </c>
      <c r="U20" s="5">
        <f t="shared" si="23"/>
        <v>276.69999999999925</v>
      </c>
      <c r="V20" s="5">
        <f>+V17+V18+V19</f>
        <v>176.60000000000073</v>
      </c>
      <c r="W20" s="5">
        <f>+W17+W18+W19</f>
        <v>1157.8000000000004</v>
      </c>
      <c r="X20" s="5">
        <f>+X17+X18+X19</f>
        <v>2362.2000000000007</v>
      </c>
      <c r="Y20" s="5">
        <f t="shared" ref="Y20:AH20" si="24">+Y17+Y18+Y19</f>
        <v>2308.4824500000004</v>
      </c>
      <c r="Z20" s="5">
        <f t="shared" si="24"/>
        <v>2504.5868225624999</v>
      </c>
      <c r="AA20" s="5">
        <f t="shared" si="24"/>
        <v>2644.9002473547657</v>
      </c>
      <c r="AB20" s="5">
        <f t="shared" si="24"/>
        <v>2722.7466350162067</v>
      </c>
      <c r="AC20" s="5">
        <f t="shared" si="24"/>
        <v>2709.3670982348358</v>
      </c>
      <c r="AD20" s="5">
        <f t="shared" si="24"/>
        <v>2634.7612281674615</v>
      </c>
      <c r="AE20" s="5">
        <f t="shared" si="24"/>
        <v>2868.8442165583847</v>
      </c>
      <c r="AF20" s="5">
        <f t="shared" si="24"/>
        <v>3120.2385484990518</v>
      </c>
      <c r="AG20" s="5">
        <f t="shared" si="24"/>
        <v>3390.1393874288624</v>
      </c>
      <c r="AH20" s="5">
        <f t="shared" si="24"/>
        <v>3679.8219153205773</v>
      </c>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row>
    <row r="21" spans="1:218" x14ac:dyDescent="0.25">
      <c r="B21" t="s">
        <v>39</v>
      </c>
      <c r="C21" s="1">
        <v>-0.8</v>
      </c>
      <c r="D21" s="1">
        <v>83.1</v>
      </c>
      <c r="E21" s="1">
        <v>-30.7</v>
      </c>
      <c r="F21" s="1">
        <v>-7.1</v>
      </c>
      <c r="G21" s="1">
        <v>-37.9</v>
      </c>
      <c r="H21" s="1">
        <v>-61.8</v>
      </c>
      <c r="I21" s="1">
        <v>-39.799999999999997</v>
      </c>
      <c r="J21" s="1">
        <v>-97.1</v>
      </c>
      <c r="K21" s="1">
        <v>-107.4</v>
      </c>
      <c r="L21" s="1">
        <v>-94.9</v>
      </c>
      <c r="M21" s="1">
        <f>X21-L21-K21-J21</f>
        <v>-159.00000000000003</v>
      </c>
      <c r="P21" s="1"/>
      <c r="Q21" s="1">
        <v>-10.8</v>
      </c>
      <c r="R21" s="1">
        <v>3.9</v>
      </c>
      <c r="S21" s="1">
        <v>265.5</v>
      </c>
      <c r="T21" s="1">
        <v>-125.1</v>
      </c>
      <c r="U21" s="1">
        <v>-62.7</v>
      </c>
      <c r="V21" s="1">
        <v>59.8</v>
      </c>
      <c r="W21" s="1">
        <v>-146.6</v>
      </c>
      <c r="X21" s="1">
        <v>-458.4</v>
      </c>
      <c r="Y21" s="1">
        <f>Y20*Y34</f>
        <v>-346.27236750000003</v>
      </c>
      <c r="Z21" s="1">
        <f t="shared" ref="Z21:AH21" si="25">Z20*Z34</f>
        <v>-375.68802338437496</v>
      </c>
      <c r="AA21" s="1">
        <f t="shared" si="25"/>
        <v>-396.73503710321484</v>
      </c>
      <c r="AB21" s="1">
        <f t="shared" si="25"/>
        <v>-408.41199525243098</v>
      </c>
      <c r="AC21" s="1">
        <f t="shared" si="25"/>
        <v>-406.40506473522538</v>
      </c>
      <c r="AD21" s="1">
        <f t="shared" si="25"/>
        <v>-395.2141842251192</v>
      </c>
      <c r="AE21" s="1">
        <f t="shared" si="25"/>
        <v>-430.32663248375769</v>
      </c>
      <c r="AF21" s="1">
        <f t="shared" si="25"/>
        <v>-468.03578227485775</v>
      </c>
      <c r="AG21" s="1">
        <f t="shared" si="25"/>
        <v>-508.52090811432936</v>
      </c>
      <c r="AH21" s="1">
        <f t="shared" si="25"/>
        <v>-551.97328729808657</v>
      </c>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row>
    <row r="22" spans="1:218" s="4" customFormat="1" x14ac:dyDescent="0.25">
      <c r="B22" s="4" t="s">
        <v>17</v>
      </c>
      <c r="C22" s="5">
        <f>+C20+C21</f>
        <v>-0.9000000000000894</v>
      </c>
      <c r="D22" s="5">
        <f t="shared" ref="D22:K22" si="26">+D20+D21</f>
        <v>161.19999999999999</v>
      </c>
      <c r="E22" s="5">
        <f t="shared" si="26"/>
        <v>89.709999999999809</v>
      </c>
      <c r="F22" s="5">
        <f t="shared" si="26"/>
        <v>89.500000000000099</v>
      </c>
      <c r="G22" s="5">
        <f t="shared" si="26"/>
        <v>184.10000000000002</v>
      </c>
      <c r="H22" s="5">
        <f t="shared" si="26"/>
        <v>310.39999999999981</v>
      </c>
      <c r="I22" s="5">
        <f t="shared" si="26"/>
        <v>426.4</v>
      </c>
      <c r="J22" s="5">
        <f t="shared" si="26"/>
        <v>530.89999999999975</v>
      </c>
      <c r="K22" s="5">
        <f t="shared" si="26"/>
        <v>456.6</v>
      </c>
      <c r="L22" s="5">
        <f t="shared" ref="L22:M22" si="27">+L20+L21</f>
        <v>311.89999999999998</v>
      </c>
      <c r="M22" s="5">
        <f t="shared" si="27"/>
        <v>604.40000000000066</v>
      </c>
      <c r="O22" s="6"/>
      <c r="P22" s="5">
        <f t="shared" ref="P22:U22" si="28">+P20+P21</f>
        <v>0</v>
      </c>
      <c r="Q22" s="5">
        <f t="shared" si="28"/>
        <v>209.00000000000037</v>
      </c>
      <c r="R22" s="5">
        <f t="shared" si="28"/>
        <v>184.49999999999991</v>
      </c>
      <c r="S22" s="5">
        <f t="shared" si="28"/>
        <v>813.00000000000034</v>
      </c>
      <c r="T22" s="5">
        <f t="shared" si="28"/>
        <v>629.89999999999975</v>
      </c>
      <c r="U22" s="5">
        <f t="shared" si="28"/>
        <v>213.99999999999926</v>
      </c>
      <c r="V22" s="5">
        <f>+V20+V21</f>
        <v>236.40000000000072</v>
      </c>
      <c r="W22" s="5">
        <f>+W20+W21</f>
        <v>1011.2000000000004</v>
      </c>
      <c r="X22" s="5">
        <f>+X20+X21</f>
        <v>1903.8000000000006</v>
      </c>
      <c r="Y22" s="5">
        <f t="shared" ref="Y22:AH22" si="29">+Y20+Y21</f>
        <v>1962.2100825000005</v>
      </c>
      <c r="Z22" s="5">
        <f t="shared" si="29"/>
        <v>2128.898799178125</v>
      </c>
      <c r="AA22" s="5">
        <f t="shared" si="29"/>
        <v>2248.1652102515509</v>
      </c>
      <c r="AB22" s="5">
        <f t="shared" si="29"/>
        <v>2314.3346397637756</v>
      </c>
      <c r="AC22" s="5">
        <f t="shared" si="29"/>
        <v>2302.9620334996102</v>
      </c>
      <c r="AD22" s="5">
        <f t="shared" si="29"/>
        <v>2239.5470439423425</v>
      </c>
      <c r="AE22" s="5">
        <f t="shared" si="29"/>
        <v>2438.5175840746269</v>
      </c>
      <c r="AF22" s="5">
        <f t="shared" si="29"/>
        <v>2652.202766224194</v>
      </c>
      <c r="AG22" s="5">
        <f t="shared" si="29"/>
        <v>2881.618479314533</v>
      </c>
      <c r="AH22" s="5">
        <f t="shared" si="29"/>
        <v>3127.8486280224906</v>
      </c>
      <c r="AI22" s="5">
        <f>+AH22*(1+Dash!$C$2)</f>
        <v>3112.2093848823783</v>
      </c>
      <c r="AJ22" s="5">
        <f>+AI22*(1+Dash!$C$2)</f>
        <v>3096.6483379579663</v>
      </c>
      <c r="AK22" s="5">
        <f>+AJ22*(1+Dash!$C$2)</f>
        <v>3081.1650962681765</v>
      </c>
      <c r="AL22" s="5">
        <f>+AK22*(1+Dash!$C$2)</f>
        <v>3065.7592707868357</v>
      </c>
      <c r="AM22" s="5">
        <f>+AL22*(1+Dash!$C$2)</f>
        <v>3050.4304744329015</v>
      </c>
      <c r="AN22" s="5">
        <f>+AM22*(1+Dash!$C$2)</f>
        <v>3035.1783220607372</v>
      </c>
      <c r="AO22" s="5">
        <f>+AN22*(1+Dash!$C$2)</f>
        <v>3020.0024304504336</v>
      </c>
      <c r="AP22" s="5">
        <f>+AO22*(1+Dash!$C$2)</f>
        <v>3004.9024182981816</v>
      </c>
      <c r="AQ22" s="5">
        <f>+AP22*(1+Dash!$C$2)</f>
        <v>2989.8779062066906</v>
      </c>
      <c r="AR22" s="5">
        <f>+AQ22*(1+Dash!$C$2)</f>
        <v>2974.9285166756572</v>
      </c>
      <c r="AS22" s="5">
        <f>+AR22*(1+Dash!$C$2)</f>
        <v>2960.0538740922789</v>
      </c>
      <c r="AT22" s="5">
        <f>+AS22*(1+Dash!$C$2)</f>
        <v>2945.2536047218173</v>
      </c>
      <c r="AU22" s="5">
        <f>+AT22*(1+Dash!$C$2)</f>
        <v>2930.5273366982083</v>
      </c>
      <c r="AV22" s="5">
        <f>+AU22*(1+Dash!$C$2)</f>
        <v>2915.8747000147173</v>
      </c>
      <c r="AW22" s="5">
        <f>+AV22*(1+Dash!$C$2)</f>
        <v>2901.2953265146439</v>
      </c>
      <c r="AX22" s="5">
        <f>+AW22*(1+Dash!$C$2)</f>
        <v>2886.7888498820707</v>
      </c>
      <c r="AY22" s="5">
        <f>+AX22*(1+Dash!$C$2)</f>
        <v>2872.3549056326606</v>
      </c>
      <c r="AZ22" s="5">
        <f>+AY22*(1+Dash!$C$2)</f>
        <v>2857.9931311044975</v>
      </c>
      <c r="BA22" s="5">
        <f>+AZ22*(1+Dash!$C$2)</f>
        <v>2843.7031654489751</v>
      </c>
      <c r="BB22" s="5">
        <f>+BA22*(1+Dash!$C$2)</f>
        <v>2829.4846496217301</v>
      </c>
      <c r="BC22" s="5">
        <f>+BB22*(1+Dash!$C$2)</f>
        <v>2815.3372263736214</v>
      </c>
      <c r="BD22" s="5">
        <f>+BC22*(1+Dash!$C$2)</f>
        <v>2801.2605402417535</v>
      </c>
      <c r="BE22" s="5">
        <f>+BD22*(1+Dash!$C$2)</f>
        <v>2787.2542375405446</v>
      </c>
      <c r="BF22" s="5">
        <f>+BE22*(1+Dash!$C$2)</f>
        <v>2773.3179663528417</v>
      </c>
      <c r="BG22" s="5">
        <f>+BF22*(1+Dash!$C$2)</f>
        <v>2759.4513765210777</v>
      </c>
      <c r="BH22" s="5">
        <f>+BG22*(1+Dash!$C$2)</f>
        <v>2745.6541196384724</v>
      </c>
      <c r="BI22" s="5">
        <f>+BH22*(1+Dash!$C$2)</f>
        <v>2731.9258490402799</v>
      </c>
      <c r="BJ22" s="5">
        <f>+BI22*(1+Dash!$C$2)</f>
        <v>2718.2662197950785</v>
      </c>
      <c r="BK22" s="5">
        <f>+BJ22*(1+Dash!$C$2)</f>
        <v>2704.6748886961032</v>
      </c>
      <c r="BL22" s="5">
        <f>+BK22*(1+Dash!$C$2)</f>
        <v>2691.1515142526227</v>
      </c>
      <c r="BM22" s="5">
        <f>+BL22*(1+Dash!$C$2)</f>
        <v>2677.6957566813594</v>
      </c>
      <c r="BN22" s="5">
        <f>+BM22*(1+Dash!$C$2)</f>
        <v>2664.3072778979526</v>
      </c>
      <c r="BO22" s="5">
        <f>+BN22*(1+Dash!$C$2)</f>
        <v>2650.985741508463</v>
      </c>
      <c r="BP22" s="5">
        <f>+BO22*(1+Dash!$C$2)</f>
        <v>2637.7308128009208</v>
      </c>
      <c r="BQ22" s="5">
        <f>+BP22*(1+Dash!$C$2)</f>
        <v>2624.542158736916</v>
      </c>
      <c r="BR22" s="5">
        <f>+BQ22*(1+Dash!$C$2)</f>
        <v>2611.4194479432313</v>
      </c>
      <c r="BS22" s="5">
        <f>+BR22*(1+Dash!$C$2)</f>
        <v>2598.3623507035149</v>
      </c>
      <c r="BT22" s="5">
        <f>+BS22*(1+Dash!$C$2)</f>
        <v>2585.3705389499974</v>
      </c>
      <c r="BU22" s="5">
        <f>+BT22*(1+Dash!$C$2)</f>
        <v>2572.4436862552475</v>
      </c>
      <c r="BV22" s="5">
        <f>+BU22*(1+Dash!$C$2)</f>
        <v>2559.5814678239713</v>
      </c>
      <c r="BW22" s="5">
        <f>+BV22*(1+Dash!$C$2)</f>
        <v>2546.7835604848515</v>
      </c>
      <c r="BX22" s="5">
        <f>+BW22*(1+Dash!$C$2)</f>
        <v>2534.049642682427</v>
      </c>
      <c r="BY22" s="5">
        <f>+BX22*(1+Dash!$C$2)</f>
        <v>2521.3793944690151</v>
      </c>
      <c r="BZ22" s="5">
        <f>+BY22*(1+Dash!$C$2)</f>
        <v>2508.77249749667</v>
      </c>
      <c r="CA22" s="5">
        <f>+BZ22*(1+Dash!$C$2)</f>
        <v>2496.2286350091867</v>
      </c>
      <c r="CB22" s="5">
        <f>+CA22*(1+Dash!$C$2)</f>
        <v>2483.7474918341409</v>
      </c>
      <c r="CC22" s="5">
        <f>+CB22*(1+Dash!$C$2)</f>
        <v>2471.3287543749702</v>
      </c>
      <c r="CD22" s="5">
        <f>+CC22*(1+Dash!$C$2)</f>
        <v>2458.9721106030952</v>
      </c>
      <c r="CE22" s="5">
        <f>+CD22*(1+Dash!$C$2)</f>
        <v>2446.6772500500797</v>
      </c>
      <c r="CF22" s="5">
        <f>+CE22*(1+Dash!$C$2)</f>
        <v>2434.4438637998292</v>
      </c>
      <c r="CG22" s="5">
        <f>+CF22*(1+Dash!$C$2)</f>
        <v>2422.2716444808302</v>
      </c>
      <c r="CH22" s="5">
        <f>+CG22*(1+Dash!$C$2)</f>
        <v>2410.1602862584259</v>
      </c>
      <c r="CI22" s="5">
        <f>+CH22*(1+Dash!$C$2)</f>
        <v>2398.1094848271337</v>
      </c>
      <c r="CJ22" s="5">
        <f>+CI22*(1+Dash!$C$2)</f>
        <v>2386.1189374029982</v>
      </c>
      <c r="CK22" s="5">
        <f>+CJ22*(1+Dash!$C$2)</f>
        <v>2374.1883427159833</v>
      </c>
      <c r="CL22" s="5">
        <f>+CK22*(1+Dash!$C$2)</f>
        <v>2362.3174010024031</v>
      </c>
      <c r="CM22" s="5">
        <f>+CL22*(1+Dash!$C$2)</f>
        <v>2350.5058139973912</v>
      </c>
      <c r="CN22" s="5">
        <f>+CM22*(1+Dash!$C$2)</f>
        <v>2338.7532849274044</v>
      </c>
      <c r="CO22" s="5">
        <f>+CN22*(1+Dash!$C$2)</f>
        <v>2327.0595185027673</v>
      </c>
      <c r="CP22" s="5">
        <f>+CO22*(1+Dash!$C$2)</f>
        <v>2315.4242209102536</v>
      </c>
      <c r="CQ22" s="5">
        <f>+CP22*(1+Dash!$C$2)</f>
        <v>2303.8470998057023</v>
      </c>
      <c r="CR22" s="5">
        <f>+CQ22*(1+Dash!$C$2)</f>
        <v>2292.3278643066737</v>
      </c>
      <c r="CS22" s="5">
        <f>+CR22*(1+Dash!$C$2)</f>
        <v>2280.8662249851404</v>
      </c>
      <c r="CT22" s="5">
        <f>+CS22*(1+Dash!$C$2)</f>
        <v>2269.4618938602148</v>
      </c>
      <c r="CU22" s="5">
        <f>+CT22*(1+Dash!$C$2)</f>
        <v>2258.1145843909135</v>
      </c>
      <c r="CV22" s="5">
        <f>+CU22*(1+Dash!$C$2)</f>
        <v>2246.8240114689588</v>
      </c>
      <c r="CW22" s="5">
        <f>+CV22*(1+Dash!$C$2)</f>
        <v>2235.5898914116142</v>
      </c>
      <c r="CX22" s="5">
        <f>+CW22*(1+Dash!$C$2)</f>
        <v>2224.4119419545559</v>
      </c>
      <c r="CY22" s="5">
        <f>+CX22*(1+Dash!$C$2)</f>
        <v>2213.2898822447833</v>
      </c>
      <c r="CZ22" s="5">
        <f>+CY22*(1+Dash!$C$2)</f>
        <v>2202.2234328335594</v>
      </c>
      <c r="DA22" s="5">
        <f>+CZ22*(1+Dash!$C$2)</f>
        <v>2191.2123156693915</v>
      </c>
      <c r="DB22" s="5">
        <f>+DA22*(1+Dash!$C$2)</f>
        <v>2180.2562540910444</v>
      </c>
      <c r="DC22" s="5">
        <f>+DB22*(1+Dash!$C$2)</f>
        <v>2169.354972820589</v>
      </c>
      <c r="DD22" s="5">
        <f>+DC22*(1+Dash!$C$2)</f>
        <v>2158.5081979564861</v>
      </c>
      <c r="DE22" s="5">
        <f>+DD22*(1+Dash!$C$2)</f>
        <v>2147.7156569667036</v>
      </c>
      <c r="DF22" s="5">
        <f>+DE22*(1+Dash!$C$2)</f>
        <v>2136.9770786818699</v>
      </c>
      <c r="DG22" s="5">
        <f>+DF22*(1+Dash!$C$2)</f>
        <v>2126.2921932884606</v>
      </c>
      <c r="DH22" s="5">
        <f>+DG22*(1+Dash!$C$2)</f>
        <v>2115.6607323220182</v>
      </c>
      <c r="DI22" s="5">
        <f>+DH22*(1+Dash!$C$2)</f>
        <v>2105.0824286604084</v>
      </c>
      <c r="DJ22" s="5">
        <f>+DI22*(1+Dash!$C$2)</f>
        <v>2094.5570165171061</v>
      </c>
      <c r="DK22" s="5">
        <f>+DJ22*(1+Dash!$C$2)</f>
        <v>2084.0842314345205</v>
      </c>
      <c r="DL22" s="5">
        <f>+DK22*(1+Dash!$C$2)</f>
        <v>2073.6638102773477</v>
      </c>
      <c r="DM22" s="5">
        <f>+DL22*(1+Dash!$C$2)</f>
        <v>2063.2954912259611</v>
      </c>
      <c r="DN22" s="5">
        <f>+DM22*(1+Dash!$C$2)</f>
        <v>2052.9790137698315</v>
      </c>
      <c r="DO22" s="5">
        <f>+DN22*(1+Dash!$C$2)</f>
        <v>2042.7141187009822</v>
      </c>
      <c r="DP22" s="5">
        <f>+DO22*(1+Dash!$C$2)</f>
        <v>2032.5005481074772</v>
      </c>
      <c r="DQ22" s="5">
        <f>+DP22*(1+Dash!$C$2)</f>
        <v>2022.3380453669399</v>
      </c>
      <c r="DR22" s="5">
        <f>+DQ22*(1+Dash!$C$2)</f>
        <v>2012.2263551401052</v>
      </c>
      <c r="DS22" s="5">
        <f>+DR22*(1+Dash!$C$2)</f>
        <v>2002.1652233644047</v>
      </c>
      <c r="DT22" s="5">
        <f>+DS22*(1+Dash!$C$2)</f>
        <v>1992.1543972475827</v>
      </c>
      <c r="DU22" s="5">
        <f>+DT22*(1+Dash!$C$2)</f>
        <v>1982.1936252613448</v>
      </c>
      <c r="DV22" s="5">
        <f>+DU22*(1+Dash!$C$2)</f>
        <v>1972.2826571350381</v>
      </c>
      <c r="DW22" s="5">
        <f>+DV22*(1+Dash!$C$2)</f>
        <v>1962.421243849363</v>
      </c>
      <c r="DX22" s="5">
        <f>+DW22*(1+Dash!$C$2)</f>
        <v>1952.6091376301163</v>
      </c>
      <c r="DY22" s="5">
        <f>+DX22*(1+Dash!$C$2)</f>
        <v>1942.8460919419656</v>
      </c>
      <c r="DZ22" s="5">
        <f>+DY22*(1+Dash!$C$2)</f>
        <v>1933.1318614822558</v>
      </c>
      <c r="EA22" s="5">
        <f>+DZ22*(1+Dash!$C$2)</f>
        <v>1923.4662021748445</v>
      </c>
      <c r="EB22" s="5">
        <f>+EA22*(1+Dash!$C$2)</f>
        <v>1913.8488711639702</v>
      </c>
      <c r="EC22" s="5">
        <f>+EB22*(1+Dash!$C$2)</f>
        <v>1904.2796268081504</v>
      </c>
      <c r="ED22" s="5">
        <f>+EC22*(1+Dash!$C$2)</f>
        <v>1894.7582286741097</v>
      </c>
      <c r="EE22" s="5">
        <f>+ED22*(1+Dash!$C$2)</f>
        <v>1885.2844375307391</v>
      </c>
      <c r="EF22" s="5" t="s">
        <v>55</v>
      </c>
      <c r="EG22" s="5"/>
      <c r="EH22" s="5"/>
      <c r="EI22" s="5"/>
      <c r="EJ22" s="5"/>
      <c r="EK22" s="5"/>
      <c r="EL22" s="5"/>
      <c r="EM22" s="5"/>
      <c r="EN22" s="5"/>
      <c r="EO22" s="5"/>
      <c r="EP22" s="5"/>
      <c r="EQ22" s="5"/>
      <c r="ER22" s="5"/>
      <c r="ES22" s="5"/>
      <c r="ET22" s="5"/>
      <c r="EU22" s="5"/>
      <c r="EV22" s="5"/>
      <c r="EW22" s="5"/>
      <c r="EX22" s="5"/>
      <c r="EY22" s="5"/>
    </row>
    <row r="23" spans="1:218" x14ac:dyDescent="0.25">
      <c r="B23" t="s">
        <v>18</v>
      </c>
      <c r="C23" s="1">
        <v>410.1</v>
      </c>
      <c r="D23" s="1">
        <v>410.8</v>
      </c>
      <c r="E23" s="1">
        <v>411.3</v>
      </c>
      <c r="F23" s="1">
        <v>413.4</v>
      </c>
      <c r="G23" s="1">
        <v>427.7</v>
      </c>
      <c r="H23" s="1">
        <v>430.6</v>
      </c>
      <c r="I23" s="1">
        <v>431.1</v>
      </c>
      <c r="J23" s="1">
        <v>433</v>
      </c>
      <c r="K23" s="1">
        <v>434.2</v>
      </c>
      <c r="L23" s="1">
        <v>432.9</v>
      </c>
      <c r="M23" s="1">
        <v>433.2</v>
      </c>
      <c r="P23" s="1"/>
      <c r="Q23" s="1">
        <v>421.2</v>
      </c>
      <c r="R23" s="1">
        <v>415.2</v>
      </c>
      <c r="S23" s="1">
        <v>421.9</v>
      </c>
      <c r="T23" s="1">
        <v>423.8</v>
      </c>
      <c r="U23" s="1">
        <v>410.9</v>
      </c>
      <c r="V23" s="1">
        <v>410.7</v>
      </c>
      <c r="W23" s="1">
        <v>425.7</v>
      </c>
      <c r="X23" s="1">
        <v>433.2</v>
      </c>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row>
    <row r="24" spans="1:218" s="8" customFormat="1" x14ac:dyDescent="0.25">
      <c r="B24" s="7" t="s">
        <v>19</v>
      </c>
      <c r="C24" s="8">
        <f t="shared" ref="C24:K24" si="30">+C22/C23</f>
        <v>-2.1945866861743219E-3</v>
      </c>
      <c r="D24" s="8">
        <f t="shared" si="30"/>
        <v>0.39240506329113922</v>
      </c>
      <c r="E24" s="8">
        <f t="shared" si="30"/>
        <v>0.21811329929491807</v>
      </c>
      <c r="F24" s="8">
        <f t="shared" si="30"/>
        <v>0.21649733913884883</v>
      </c>
      <c r="G24" s="8">
        <f t="shared" si="30"/>
        <v>0.43044189852700498</v>
      </c>
      <c r="H24" s="8">
        <f t="shared" si="30"/>
        <v>0.7208546214584296</v>
      </c>
      <c r="I24" s="8">
        <f t="shared" si="30"/>
        <v>0.9890976571561122</v>
      </c>
      <c r="J24" s="8">
        <f t="shared" si="30"/>
        <v>1.2260969976905307</v>
      </c>
      <c r="K24" s="8">
        <f t="shared" si="30"/>
        <v>1.051589129433441</v>
      </c>
      <c r="L24" s="8">
        <f t="shared" ref="L24:M24" si="31">+L22/L23</f>
        <v>0.72048972048972049</v>
      </c>
      <c r="M24" s="8">
        <f t="shared" si="31"/>
        <v>1.3951985226223469</v>
      </c>
      <c r="O24" s="9"/>
      <c r="P24" s="8" t="e">
        <f t="shared" ref="P24:U24" si="32">+P22/P23</f>
        <v>#DIV/0!</v>
      </c>
      <c r="Q24" s="8">
        <f t="shared" si="32"/>
        <v>0.49620132953466378</v>
      </c>
      <c r="R24" s="8">
        <f t="shared" si="32"/>
        <v>0.44436416184971078</v>
      </c>
      <c r="S24" s="8">
        <f t="shared" si="32"/>
        <v>1.9269969187011149</v>
      </c>
      <c r="T24" s="8">
        <f t="shared" si="32"/>
        <v>1.4863142991977341</v>
      </c>
      <c r="U24" s="8">
        <f t="shared" si="32"/>
        <v>0.52080798247748672</v>
      </c>
      <c r="V24" s="8">
        <f>+V22/V23</f>
        <v>0.57560262965668552</v>
      </c>
      <c r="W24" s="8">
        <f>+W22/W23</f>
        <v>2.3753817242189346</v>
      </c>
      <c r="X24" s="8">
        <f>+X22/X23</f>
        <v>4.3947368421052646</v>
      </c>
    </row>
    <row r="25" spans="1:218" x14ac:dyDescent="0.25">
      <c r="M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row>
    <row r="26" spans="1:218" x14ac:dyDescent="0.25">
      <c r="B26" t="s">
        <v>40</v>
      </c>
      <c r="M26" s="1"/>
      <c r="P26" s="1"/>
      <c r="Q26" s="1">
        <f>357.6+2.8</f>
        <v>360.40000000000003</v>
      </c>
      <c r="R26" s="1">
        <f>364.1+12</f>
        <v>376.1</v>
      </c>
      <c r="S26" s="1">
        <f>481.9+16</f>
        <v>497.9</v>
      </c>
      <c r="T26" s="1">
        <f>508.7+13.2</f>
        <v>521.9</v>
      </c>
      <c r="U26" s="1">
        <f>593.1+13</f>
        <v>606.1</v>
      </c>
      <c r="V26" s="1">
        <f>625.1+12.1</f>
        <v>637.20000000000005</v>
      </c>
      <c r="W26" s="1">
        <f>596.7+10.7</f>
        <v>607.40000000000009</v>
      </c>
      <c r="X26" s="1">
        <f>551.8+11</f>
        <v>562.79999999999995</v>
      </c>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row>
    <row r="27" spans="1:218" x14ac:dyDescent="0.25">
      <c r="B27" t="s">
        <v>41</v>
      </c>
      <c r="M27" s="1"/>
      <c r="P27" s="1"/>
      <c r="Q27" s="1">
        <v>270.8</v>
      </c>
      <c r="R27" s="1">
        <v>210.7</v>
      </c>
      <c r="S27" s="1">
        <v>387.5</v>
      </c>
      <c r="T27" s="1">
        <v>514.79999999999995</v>
      </c>
      <c r="U27" s="1">
        <v>534.6</v>
      </c>
      <c r="V27" s="1">
        <v>383.6</v>
      </c>
      <c r="W27" s="1">
        <v>444.6</v>
      </c>
      <c r="X27" s="1">
        <v>1005</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row>
    <row r="28" spans="1:218" x14ac:dyDescent="0.25">
      <c r="M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row>
    <row r="29" spans="1:218" x14ac:dyDescent="0.25">
      <c r="B29" t="s">
        <v>46</v>
      </c>
      <c r="M29" s="1"/>
      <c r="P29" s="1">
        <f t="shared" ref="P29" si="33">P17+P26</f>
        <v>0</v>
      </c>
      <c r="Q29" s="1">
        <f t="shared" ref="Q29:W29" si="34">Q17+Q26</f>
        <v>621.50000000000045</v>
      </c>
      <c r="R29" s="1">
        <f t="shared" si="34"/>
        <v>612.19999999999993</v>
      </c>
      <c r="S29" s="1">
        <f t="shared" si="34"/>
        <v>1179.5000000000005</v>
      </c>
      <c r="T29" s="1">
        <f t="shared" si="34"/>
        <v>1369.1</v>
      </c>
      <c r="U29" s="1">
        <f t="shared" si="34"/>
        <v>1038.8999999999992</v>
      </c>
      <c r="V29" s="1">
        <f t="shared" si="34"/>
        <v>985.90000000000077</v>
      </c>
      <c r="W29" s="1">
        <f t="shared" si="34"/>
        <v>1895.0000000000005</v>
      </c>
      <c r="X29" s="1">
        <f>X17+X26</f>
        <v>2922.8000000000011</v>
      </c>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row>
    <row r="30" spans="1:218" x14ac:dyDescent="0.25">
      <c r="M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row>
    <row r="31" spans="1:218" x14ac:dyDescent="0.25">
      <c r="M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row>
    <row r="32" spans="1:218" s="18" customFormat="1" x14ac:dyDescent="0.25">
      <c r="A32" s="18" t="s">
        <v>51</v>
      </c>
      <c r="B32" s="18" t="s">
        <v>20</v>
      </c>
      <c r="C32" s="18">
        <f t="shared" ref="C32:I32" si="35">C11/C9</f>
        <v>0.30844664194478777</v>
      </c>
      <c r="D32" s="18">
        <f t="shared" si="35"/>
        <v>0.33492750322629616</v>
      </c>
      <c r="E32" s="18">
        <f t="shared" si="35"/>
        <v>0.34405033533844981</v>
      </c>
      <c r="F32" s="18">
        <f t="shared" si="35"/>
        <v>0.35175811567793752</v>
      </c>
      <c r="G32" s="18">
        <f t="shared" si="35"/>
        <v>0.38331636624947607</v>
      </c>
      <c r="H32" s="18">
        <f t="shared" si="35"/>
        <v>0.41375351587164916</v>
      </c>
      <c r="I32" s="18">
        <f t="shared" si="35"/>
        <v>0.4507881479876496</v>
      </c>
      <c r="J32" s="18">
        <f>J11/J9</f>
        <v>0.49424164524421593</v>
      </c>
      <c r="K32" s="18">
        <f>K11/K9</f>
        <v>0.49741007194244602</v>
      </c>
      <c r="L32" s="18">
        <f t="shared" ref="L32:M32" si="36">L11/L9</f>
        <v>0.48266897746967069</v>
      </c>
      <c r="M32" s="18">
        <f t="shared" si="36"/>
        <v>0.48512074538885741</v>
      </c>
      <c r="O32" s="19"/>
      <c r="Q32" s="18">
        <f t="shared" ref="Q32:X32" si="37">Q11/Q9</f>
        <v>0.34132387436352202</v>
      </c>
      <c r="R32" s="18">
        <f t="shared" si="37"/>
        <v>0.33195116332642249</v>
      </c>
      <c r="S32" s="18">
        <f t="shared" si="37"/>
        <v>0.36723133264779639</v>
      </c>
      <c r="T32" s="18">
        <f t="shared" si="37"/>
        <v>0.38084139972441017</v>
      </c>
      <c r="U32" s="18">
        <f t="shared" si="37"/>
        <v>0.35768394345777454</v>
      </c>
      <c r="V32" s="18">
        <f t="shared" si="37"/>
        <v>0.32650808753568034</v>
      </c>
      <c r="W32" s="18">
        <f t="shared" si="37"/>
        <v>0.40272708388972966</v>
      </c>
      <c r="X32" s="18">
        <f t="shared" si="37"/>
        <v>0.48968316879248641</v>
      </c>
      <c r="Y32" s="18">
        <v>0.47</v>
      </c>
      <c r="Z32" s="18">
        <v>0.48</v>
      </c>
      <c r="AA32" s="18">
        <v>0.49</v>
      </c>
      <c r="AB32" s="18">
        <v>0.5</v>
      </c>
      <c r="AC32" s="18">
        <v>0.51</v>
      </c>
      <c r="AD32" s="18">
        <v>0.52</v>
      </c>
      <c r="AE32" s="18">
        <v>0.52</v>
      </c>
      <c r="AF32" s="18">
        <v>0.52</v>
      </c>
      <c r="AG32" s="18">
        <v>0.52</v>
      </c>
      <c r="AH32" s="18">
        <v>0.52</v>
      </c>
    </row>
    <row r="33" spans="1:34" s="18" customFormat="1" x14ac:dyDescent="0.25">
      <c r="A33" s="18" t="s">
        <v>51</v>
      </c>
      <c r="B33" s="18" t="s">
        <v>48</v>
      </c>
      <c r="C33" s="18">
        <f>C17/C9</f>
        <v>3.5517099299546689E-2</v>
      </c>
      <c r="D33" s="18">
        <f t="shared" ref="D33:M33" si="38">D17/D9</f>
        <v>9.0336293934563119E-2</v>
      </c>
      <c r="E33" s="18">
        <f t="shared" si="38"/>
        <v>0.11613081656641071</v>
      </c>
      <c r="F33" s="18">
        <f t="shared" si="38"/>
        <v>8.4969966929877905E-2</v>
      </c>
      <c r="G33" s="18">
        <f t="shared" si="38"/>
        <v>0.1689921552188754</v>
      </c>
      <c r="H33" s="18">
        <f t="shared" si="38"/>
        <v>0.2291487285460076</v>
      </c>
      <c r="I33" s="18">
        <f t="shared" si="38"/>
        <v>0.26017008829424193</v>
      </c>
      <c r="J33" s="18">
        <f t="shared" si="38"/>
        <v>0.33275064267352178</v>
      </c>
      <c r="K33" s="18">
        <f t="shared" si="38"/>
        <v>0.28009592326139088</v>
      </c>
      <c r="L33" s="18">
        <f t="shared" si="38"/>
        <v>0.19360576484538905</v>
      </c>
      <c r="M33" s="18">
        <f t="shared" si="38"/>
        <v>0.33480699752804738</v>
      </c>
      <c r="O33" s="19"/>
      <c r="Q33" s="18">
        <f t="shared" ref="Q33:X33" si="39">Q17/Q9</f>
        <v>7.468962755306377E-2</v>
      </c>
      <c r="R33" s="18">
        <f t="shared" si="39"/>
        <v>6.0431544191046585E-2</v>
      </c>
      <c r="S33" s="18">
        <f t="shared" si="39"/>
        <v>0.12296368458083028</v>
      </c>
      <c r="T33" s="18">
        <f t="shared" si="39"/>
        <v>0.14412330095435752</v>
      </c>
      <c r="U33" s="18">
        <f t="shared" si="39"/>
        <v>7.843421529539675E-2</v>
      </c>
      <c r="V33" s="18">
        <f t="shared" si="39"/>
        <v>6.6355851569933538E-2</v>
      </c>
      <c r="W33" s="18">
        <f t="shared" si="39"/>
        <v>0.1910442446363394</v>
      </c>
      <c r="X33" s="18">
        <f t="shared" si="39"/>
        <v>0.28344262688861677</v>
      </c>
      <c r="Y33" s="18">
        <v>0.25</v>
      </c>
      <c r="Z33" s="18">
        <v>0.23</v>
      </c>
      <c r="AA33" s="18">
        <v>0.21</v>
      </c>
      <c r="AB33" s="18">
        <v>0.19</v>
      </c>
      <c r="AC33" s="18">
        <v>0.17</v>
      </c>
      <c r="AD33" s="18">
        <v>0.15</v>
      </c>
      <c r="AE33" s="18">
        <v>0.15</v>
      </c>
      <c r="AF33" s="18">
        <v>0.15</v>
      </c>
      <c r="AG33" s="18">
        <v>0.15</v>
      </c>
      <c r="AH33" s="18">
        <v>0.15</v>
      </c>
    </row>
    <row r="34" spans="1:34" s="16" customFormat="1" x14ac:dyDescent="0.25">
      <c r="A34" s="16" t="s">
        <v>51</v>
      </c>
      <c r="B34" s="16" t="s">
        <v>47</v>
      </c>
      <c r="C34" s="16">
        <f t="shared" ref="C34:M34" si="40">C21/C20</f>
        <v>7.9999999999928519</v>
      </c>
      <c r="D34" s="16">
        <f t="shared" si="40"/>
        <v>1.0640204865556979</v>
      </c>
      <c r="E34" s="16">
        <f t="shared" si="40"/>
        <v>-0.25496221244082756</v>
      </c>
      <c r="F34" s="16">
        <f t="shared" si="40"/>
        <v>-7.3498964803312555E-2</v>
      </c>
      <c r="G34" s="16">
        <f t="shared" si="40"/>
        <v>-0.1707207207207207</v>
      </c>
      <c r="H34" s="16">
        <f t="shared" si="40"/>
        <v>-0.16603976356797429</v>
      </c>
      <c r="I34" s="16">
        <f t="shared" si="40"/>
        <v>-8.537108537108537E-2</v>
      </c>
      <c r="J34" s="16">
        <f t="shared" si="40"/>
        <v>-0.15461783439490451</v>
      </c>
      <c r="K34" s="16">
        <f t="shared" si="40"/>
        <v>-0.19042553191489361</v>
      </c>
      <c r="L34" s="16">
        <f t="shared" si="40"/>
        <v>-0.23328416912487709</v>
      </c>
      <c r="M34" s="16">
        <f t="shared" si="40"/>
        <v>-0.20827875294734069</v>
      </c>
      <c r="O34" s="17"/>
      <c r="Q34" s="16">
        <f t="shared" ref="Q34:X34" si="41">Q21/Q20</f>
        <v>-4.9135577797998098E-2</v>
      </c>
      <c r="R34" s="16">
        <f t="shared" si="41"/>
        <v>2.1594684385382069E-2</v>
      </c>
      <c r="S34" s="16">
        <f t="shared" si="41"/>
        <v>0.48493150684931474</v>
      </c>
      <c r="T34" s="16">
        <f t="shared" si="41"/>
        <v>-0.16569536423841064</v>
      </c>
      <c r="U34" s="16">
        <f t="shared" si="41"/>
        <v>-0.2265992049150711</v>
      </c>
      <c r="V34" s="16">
        <f>V21/V20</f>
        <v>0.33861834654586492</v>
      </c>
      <c r="W34" s="16">
        <f t="shared" si="41"/>
        <v>-0.12661945068232849</v>
      </c>
      <c r="X34" s="16">
        <f t="shared" si="41"/>
        <v>-0.19405638811277615</v>
      </c>
      <c r="Y34" s="16">
        <v>-0.15</v>
      </c>
      <c r="Z34" s="16">
        <v>-0.15</v>
      </c>
      <c r="AA34" s="16">
        <v>-0.15</v>
      </c>
      <c r="AB34" s="16">
        <v>-0.15</v>
      </c>
      <c r="AC34" s="16">
        <v>-0.15</v>
      </c>
      <c r="AD34" s="16">
        <v>-0.15</v>
      </c>
      <c r="AE34" s="16">
        <v>-0.15</v>
      </c>
      <c r="AF34" s="16">
        <v>-0.15</v>
      </c>
      <c r="AG34" s="16">
        <v>-0.15</v>
      </c>
      <c r="AH34" s="16">
        <v>-0.15</v>
      </c>
    </row>
    <row r="35" spans="1:34" s="10" customFormat="1" x14ac:dyDescent="0.25">
      <c r="B35" s="10" t="s">
        <v>31</v>
      </c>
      <c r="C35" s="10">
        <f t="shared" ref="C35:I35" si="42">C9/C12-1</f>
        <v>6.773862908392057</v>
      </c>
      <c r="D35" s="10">
        <f t="shared" si="42"/>
        <v>7.4388212684176818</v>
      </c>
      <c r="E35" s="10">
        <f t="shared" si="42"/>
        <v>8.0540878928258408</v>
      </c>
      <c r="F35" s="10">
        <f t="shared" si="42"/>
        <v>7.535138248847927</v>
      </c>
      <c r="G35" s="10">
        <f t="shared" si="42"/>
        <v>9.0414912808177998</v>
      </c>
      <c r="H35" s="10">
        <f t="shared" si="42"/>
        <v>10.275728155339806</v>
      </c>
      <c r="I35" s="10">
        <f t="shared" si="42"/>
        <v>10.495018679950187</v>
      </c>
      <c r="J35" s="10">
        <f>J9/J12-1</f>
        <v>11.404336734693876</v>
      </c>
      <c r="K35" s="10">
        <f>K9/K12-1</f>
        <v>11.902227722772277</v>
      </c>
      <c r="L35" s="10">
        <f>L9/L12-1</f>
        <v>14.07977991746905</v>
      </c>
      <c r="M35" s="10">
        <f>M9/M12-1</f>
        <v>14.422287390029325</v>
      </c>
      <c r="O35" s="11"/>
      <c r="Q35" s="10">
        <f t="shared" ref="Q35:X35" si="43">Q9/Q12-1</f>
        <v>7.8122006554071088</v>
      </c>
      <c r="R35" s="10">
        <f t="shared" si="43"/>
        <v>7.6378509838602699</v>
      </c>
      <c r="S35" s="10">
        <f t="shared" si="43"/>
        <v>8.3208340339667064</v>
      </c>
      <c r="T35" s="10">
        <f t="shared" si="43"/>
        <v>8.0338097433533111</v>
      </c>
      <c r="U35" s="10">
        <f t="shared" si="43"/>
        <v>7.6097675144328285</v>
      </c>
      <c r="V35" s="10">
        <f t="shared" si="43"/>
        <v>7.1738995178099234</v>
      </c>
      <c r="W35" s="10">
        <f t="shared" si="43"/>
        <v>9.289770992366412</v>
      </c>
      <c r="X35" s="10">
        <f t="shared" si="43"/>
        <v>12.87237587470843</v>
      </c>
    </row>
    <row r="36" spans="1:34" s="10" customFormat="1" x14ac:dyDescent="0.25">
      <c r="O36" s="11"/>
    </row>
    <row r="37" spans="1:34" s="16" customFormat="1" x14ac:dyDescent="0.25">
      <c r="A37" s="16" t="s">
        <v>51</v>
      </c>
      <c r="B37" s="16" t="s">
        <v>52</v>
      </c>
      <c r="O37" s="17"/>
      <c r="R37" s="16">
        <f t="shared" ref="R37:W37" si="44">R18/Q7</f>
        <v>0.13770171149144256</v>
      </c>
      <c r="S37" s="16">
        <f t="shared" si="44"/>
        <v>4.5637672544746044E-2</v>
      </c>
      <c r="T37" s="16">
        <f t="shared" si="44"/>
        <v>4.7871089155492833E-2</v>
      </c>
      <c r="U37" s="16">
        <f t="shared" si="44"/>
        <v>5.8314331559834474E-2</v>
      </c>
      <c r="V37" s="16">
        <f t="shared" si="44"/>
        <v>5.012416076519819E-2</v>
      </c>
      <c r="W37" s="16">
        <f t="shared" si="44"/>
        <v>4.3237807943690296E-2</v>
      </c>
      <c r="X37" s="16">
        <f>X18/W7</f>
        <v>3.368546094777481E-2</v>
      </c>
      <c r="Y37" s="16">
        <v>4.8000000000000001E-2</v>
      </c>
      <c r="Z37" s="16">
        <v>4.4999999999999998E-2</v>
      </c>
      <c r="AA37" s="16">
        <v>4.4999999999999998E-2</v>
      </c>
      <c r="AB37" s="16">
        <v>4.4999999999999998E-2</v>
      </c>
      <c r="AC37" s="16">
        <v>4.2000000000000003E-2</v>
      </c>
      <c r="AD37" s="16">
        <v>3.925E-2</v>
      </c>
      <c r="AE37" s="16">
        <v>3.925E-2</v>
      </c>
      <c r="AF37" s="16">
        <v>3.925E-2</v>
      </c>
      <c r="AG37" s="16">
        <v>3.925E-2</v>
      </c>
      <c r="AH37" s="16">
        <v>3.925E-2</v>
      </c>
    </row>
    <row r="38" spans="1:34" x14ac:dyDescent="0.25">
      <c r="B38" s="10"/>
      <c r="M38" s="1"/>
    </row>
    <row r="39" spans="1:34" s="18" customFormat="1" x14ac:dyDescent="0.25">
      <c r="A39" s="18" t="s">
        <v>51</v>
      </c>
      <c r="B39" s="18" t="s">
        <v>21</v>
      </c>
      <c r="G39" s="18">
        <f t="shared" ref="G39:I39" si="45">G9/C9-1</f>
        <v>0.37610218376596638</v>
      </c>
      <c r="H39" s="18">
        <f t="shared" si="45"/>
        <v>0.32247779549077649</v>
      </c>
      <c r="I39" s="18">
        <f t="shared" si="45"/>
        <v>0.2764295097835856</v>
      </c>
      <c r="J39" s="18">
        <f>J9/F9-1</f>
        <v>0.31268137949652419</v>
      </c>
      <c r="K39" s="18">
        <f>K9/G9-1</f>
        <v>0.24857775914725422</v>
      </c>
      <c r="L39" s="18">
        <f>L9/H9-1</f>
        <v>0.25859594741978076</v>
      </c>
      <c r="M39" s="18">
        <f>M9/I9-1</f>
        <v>0.13948323492768555</v>
      </c>
      <c r="O39" s="19"/>
      <c r="R39" s="18">
        <f>R9/Q9-1</f>
        <v>0.11759826077006696</v>
      </c>
      <c r="S39" s="18">
        <f t="shared" ref="S39:X39" si="46">S9/R9-1</f>
        <v>0.41879751209398752</v>
      </c>
      <c r="T39" s="18">
        <f t="shared" si="46"/>
        <v>6.0471577276253408E-2</v>
      </c>
      <c r="U39" s="18">
        <f t="shared" si="46"/>
        <v>-6.1293231036184004E-2</v>
      </c>
      <c r="V39" s="18">
        <f t="shared" si="46"/>
        <v>-4.7662196447988414E-2</v>
      </c>
      <c r="W39" s="18">
        <f t="shared" si="46"/>
        <v>0.28254995242626069</v>
      </c>
      <c r="X39" s="18">
        <f t="shared" si="46"/>
        <v>0.23537790438885442</v>
      </c>
      <c r="Y39" s="18">
        <v>0.13500000000000001</v>
      </c>
      <c r="Z39" s="18">
        <v>0.13500000000000001</v>
      </c>
      <c r="AA39" s="18">
        <v>0.115</v>
      </c>
      <c r="AB39" s="18">
        <v>9.5000000000000001E-2</v>
      </c>
      <c r="AC39" s="18">
        <v>7.4999999999999997E-2</v>
      </c>
      <c r="AD39" s="18">
        <v>6.5000000000000002E-2</v>
      </c>
      <c r="AE39" s="18">
        <v>6.5000000000000002E-2</v>
      </c>
      <c r="AF39" s="18">
        <v>6.5000000000000002E-2</v>
      </c>
      <c r="AG39" s="18">
        <v>6.5000000000000002E-2</v>
      </c>
      <c r="AH39" s="18">
        <v>6.5000000000000002E-2</v>
      </c>
    </row>
    <row r="40" spans="1:34" s="10" customFormat="1" x14ac:dyDescent="0.25">
      <c r="B40" s="10" t="s">
        <v>22</v>
      </c>
      <c r="G40" s="10">
        <f t="shared" ref="G40:I40" si="47">G12/C12-1</f>
        <v>6.5342729019859158E-2</v>
      </c>
      <c r="H40" s="10">
        <f t="shared" si="47"/>
        <v>-1.0249839846252384E-2</v>
      </c>
      <c r="I40" s="10">
        <f t="shared" si="47"/>
        <v>5.3837485914609573E-3</v>
      </c>
      <c r="J40" s="10">
        <f>J12/F12-1</f>
        <v>-9.6774193548387011E-2</v>
      </c>
      <c r="K40" s="10">
        <f t="shared" ref="K40:M40" si="48">K12/G12-1</f>
        <v>-2.8262176788935722E-2</v>
      </c>
      <c r="L40" s="10">
        <f t="shared" si="48"/>
        <v>-5.8899676375404497E-2</v>
      </c>
      <c r="M40" s="10">
        <f t="shared" si="48"/>
        <v>-0.15068493150684903</v>
      </c>
      <c r="O40" s="11"/>
      <c r="R40" s="10">
        <f>+R12/Q12-1</f>
        <v>0.1401562893874464</v>
      </c>
      <c r="S40" s="10">
        <f t="shared" ref="S40:X40" si="49">+S12/R12-1</f>
        <v>0.31483528631439306</v>
      </c>
      <c r="T40" s="10">
        <f t="shared" si="49"/>
        <v>9.4165125273246941E-2</v>
      </c>
      <c r="U40" s="10">
        <f t="shared" si="49"/>
        <v>-1.506070385738445E-2</v>
      </c>
      <c r="V40" s="10">
        <f t="shared" si="49"/>
        <v>3.120611639881421E-3</v>
      </c>
      <c r="W40" s="10">
        <f t="shared" si="49"/>
        <v>1.8820967491056217E-2</v>
      </c>
      <c r="X40" s="10">
        <f t="shared" si="49"/>
        <v>-8.3664122137404484E-2</v>
      </c>
    </row>
    <row r="41" spans="1:34" s="10" customFormat="1" x14ac:dyDescent="0.25">
      <c r="B41" s="10" t="s">
        <v>23</v>
      </c>
      <c r="G41" s="10">
        <f>G22/C22-1</f>
        <v>-205.55555555553525</v>
      </c>
      <c r="H41" s="10">
        <f>H22/D22-1</f>
        <v>0.9255583126550857</v>
      </c>
      <c r="I41" s="10">
        <f>I22/E22-1</f>
        <v>3.7530933006353902</v>
      </c>
      <c r="J41" s="10">
        <f>J22/F22-1</f>
        <v>4.9318435754189851</v>
      </c>
      <c r="K41" s="10">
        <f t="shared" ref="K41:M41" si="50">K22/G22-1</f>
        <v>1.4801738185768603</v>
      </c>
      <c r="L41" s="10">
        <f t="shared" si="50"/>
        <v>4.8324742268046617E-3</v>
      </c>
      <c r="M41" s="10">
        <f t="shared" si="50"/>
        <v>0.41744840525328497</v>
      </c>
      <c r="O41" s="11"/>
      <c r="R41" s="10">
        <f>R22/Q22-1</f>
        <v>-0.11722488038277712</v>
      </c>
      <c r="S41" s="10">
        <f t="shared" ref="S41:AH41" si="51">S22/R22-1</f>
        <v>3.4065040650406546</v>
      </c>
      <c r="T41" s="10">
        <f t="shared" si="51"/>
        <v>-0.22521525215252214</v>
      </c>
      <c r="U41" s="10">
        <f t="shared" si="51"/>
        <v>-0.66026353389426995</v>
      </c>
      <c r="V41" s="10">
        <f t="shared" si="51"/>
        <v>0.10467289719626893</v>
      </c>
      <c r="W41" s="10">
        <f t="shared" si="51"/>
        <v>3.2774957698815452</v>
      </c>
      <c r="X41" s="10">
        <f t="shared" si="51"/>
        <v>0.88271360759493667</v>
      </c>
      <c r="Y41" s="10">
        <f t="shared" si="51"/>
        <v>3.0680787109990337E-2</v>
      </c>
      <c r="Z41" s="10">
        <f t="shared" si="51"/>
        <v>8.4949475168199617E-2</v>
      </c>
      <c r="AA41" s="10">
        <f t="shared" si="51"/>
        <v>5.6022583656615943E-2</v>
      </c>
      <c r="AB41" s="10">
        <f t="shared" si="51"/>
        <v>2.9432636538673673E-2</v>
      </c>
      <c r="AC41" s="10">
        <f t="shared" si="51"/>
        <v>-4.9139852417048324E-3</v>
      </c>
      <c r="AD41" s="10">
        <f t="shared" si="51"/>
        <v>-2.7536272259296224E-2</v>
      </c>
      <c r="AE41" s="10">
        <f t="shared" si="51"/>
        <v>8.8844099377359154E-2</v>
      </c>
      <c r="AF41" s="10">
        <f t="shared" si="51"/>
        <v>8.762913318529808E-2</v>
      </c>
      <c r="AG41" s="10">
        <f t="shared" si="51"/>
        <v>8.650006553493883E-2</v>
      </c>
      <c r="AH41" s="10">
        <f t="shared" si="51"/>
        <v>8.544855971583365E-2</v>
      </c>
    </row>
    <row r="42" spans="1:34" s="10" customFormat="1" x14ac:dyDescent="0.25">
      <c r="O42" s="11"/>
    </row>
    <row r="43" spans="1:34" s="10" customFormat="1" x14ac:dyDescent="0.25">
      <c r="B43" s="10" t="s">
        <v>50</v>
      </c>
      <c r="O43" s="11"/>
      <c r="R43" s="10">
        <f>R29/Q29-1</f>
        <v>-1.4963797264682999E-2</v>
      </c>
      <c r="S43" s="10">
        <f t="shared" ref="S43:X43" si="52">S29/R29-1</f>
        <v>0.92665795491669489</v>
      </c>
      <c r="T43" s="10">
        <f t="shared" si="52"/>
        <v>0.16074607884696857</v>
      </c>
      <c r="U43" s="10">
        <f t="shared" si="52"/>
        <v>-0.24118033744795908</v>
      </c>
      <c r="V43" s="10">
        <f t="shared" si="52"/>
        <v>-5.1015497160456724E-2</v>
      </c>
      <c r="W43" s="10">
        <f t="shared" si="52"/>
        <v>0.92210163302566084</v>
      </c>
      <c r="X43" s="10">
        <f t="shared" si="52"/>
        <v>0.54237467018469676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45D81-5021-4EEA-8F25-B86AB2DAE179}">
  <dimension ref="B2:C4"/>
  <sheetViews>
    <sheetView workbookViewId="0">
      <selection activeCell="C3" sqref="C3"/>
    </sheetView>
  </sheetViews>
  <sheetFormatPr defaultRowHeight="15" x14ac:dyDescent="0.25"/>
  <sheetData>
    <row r="2" spans="2:3" x14ac:dyDescent="0.25">
      <c r="B2" t="s">
        <v>53</v>
      </c>
      <c r="C2" s="16">
        <v>-5.0000000000000001E-3</v>
      </c>
    </row>
    <row r="3" spans="2:3" x14ac:dyDescent="0.25">
      <c r="B3" t="s">
        <v>54</v>
      </c>
      <c r="C3" s="16">
        <v>7.4999999999999997E-2</v>
      </c>
    </row>
    <row r="4" spans="2:3" x14ac:dyDescent="0.25">
      <c r="B4" t="s">
        <v>43</v>
      </c>
      <c r="C4" s="1">
        <f>NPV(C3,Model!Y22:EE22)</f>
        <v>35110.668973847663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2022-07-24T22:42:49Z</dcterms:created>
  <dcterms:modified xsi:type="dcterms:W3CDTF">2023-02-26T23:14:18Z</dcterms:modified>
</cp:coreProperties>
</file>