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DCF Models\"/>
    </mc:Choice>
  </mc:AlternateContent>
  <xr:revisionPtr revIDLastSave="0" documentId="13_ncr:1_{CCCE8EFF-4C45-45E2-BC0C-1BAC62712F91}" xr6:coauthVersionLast="47" xr6:coauthVersionMax="47" xr10:uidLastSave="{00000000-0000-0000-0000-000000000000}"/>
  <bookViews>
    <workbookView xWindow="28935" yWindow="4890" windowWidth="22575" windowHeight="15045" xr2:uid="{3056AFBF-C33C-44A0-B793-E31A92920761}"/>
  </bookViews>
  <sheets>
    <sheet name="Main" sheetId="1" r:id="rId1"/>
    <sheet name="Model" sheetId="2" r:id="rId2"/>
    <sheet name="Das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" i="2" l="1"/>
  <c r="U11" i="2"/>
  <c r="U13" i="2" s="1"/>
  <c r="T47" i="2"/>
  <c r="S47" i="2"/>
  <c r="R47" i="2"/>
  <c r="Q47" i="2"/>
  <c r="P47" i="2"/>
  <c r="O47" i="2"/>
  <c r="N47" i="2"/>
  <c r="T46" i="2"/>
  <c r="S46" i="2"/>
  <c r="R46" i="2"/>
  <c r="Q46" i="2"/>
  <c r="P46" i="2"/>
  <c r="O46" i="2"/>
  <c r="N46" i="2"/>
  <c r="M46" i="2"/>
  <c r="J46" i="2"/>
  <c r="I46" i="2"/>
  <c r="H46" i="2"/>
  <c r="G46" i="2"/>
  <c r="F46" i="2"/>
  <c r="E46" i="2"/>
  <c r="D46" i="2"/>
  <c r="C46" i="2"/>
  <c r="T44" i="2"/>
  <c r="S44" i="2"/>
  <c r="R44" i="2"/>
  <c r="Q44" i="2"/>
  <c r="P44" i="2"/>
  <c r="O44" i="2"/>
  <c r="N44" i="2"/>
  <c r="M44" i="2"/>
  <c r="J44" i="2"/>
  <c r="I44" i="2"/>
  <c r="H44" i="2"/>
  <c r="G44" i="2"/>
  <c r="F44" i="2"/>
  <c r="E44" i="2"/>
  <c r="D44" i="2"/>
  <c r="C44" i="2"/>
  <c r="T43" i="2"/>
  <c r="S43" i="2"/>
  <c r="R43" i="2"/>
  <c r="Q43" i="2"/>
  <c r="P43" i="2"/>
  <c r="O43" i="2"/>
  <c r="N43" i="2"/>
  <c r="M43" i="2"/>
  <c r="J43" i="2"/>
  <c r="I43" i="2"/>
  <c r="H43" i="2"/>
  <c r="G43" i="2"/>
  <c r="F43" i="2"/>
  <c r="E43" i="2"/>
  <c r="D43" i="2"/>
  <c r="C43" i="2"/>
  <c r="T42" i="2"/>
  <c r="S42" i="2"/>
  <c r="R42" i="2"/>
  <c r="Q42" i="2"/>
  <c r="P42" i="2"/>
  <c r="O42" i="2"/>
  <c r="N42" i="2"/>
  <c r="M42" i="2"/>
  <c r="J42" i="2"/>
  <c r="I42" i="2"/>
  <c r="H42" i="2"/>
  <c r="G42" i="2"/>
  <c r="F42" i="2"/>
  <c r="E42" i="2"/>
  <c r="D42" i="2"/>
  <c r="C42" i="2"/>
  <c r="T41" i="2"/>
  <c r="S41" i="2"/>
  <c r="R41" i="2"/>
  <c r="Q41" i="2"/>
  <c r="P41" i="2"/>
  <c r="O41" i="2"/>
  <c r="N41" i="2"/>
  <c r="M41" i="2"/>
  <c r="J41" i="2"/>
  <c r="I41" i="2"/>
  <c r="H41" i="2"/>
  <c r="G41" i="2"/>
  <c r="F41" i="2"/>
  <c r="E41" i="2"/>
  <c r="D41" i="2"/>
  <c r="C41" i="2"/>
  <c r="T40" i="2"/>
  <c r="S40" i="2"/>
  <c r="R40" i="2"/>
  <c r="Q40" i="2"/>
  <c r="P40" i="2"/>
  <c r="O40" i="2"/>
  <c r="N40" i="2"/>
  <c r="M40" i="2"/>
  <c r="J40" i="2"/>
  <c r="I40" i="2"/>
  <c r="H40" i="2"/>
  <c r="G40" i="2"/>
  <c r="F40" i="2"/>
  <c r="E40" i="2"/>
  <c r="D40" i="2"/>
  <c r="C40" i="2"/>
  <c r="T39" i="2"/>
  <c r="S39" i="2"/>
  <c r="R39" i="2"/>
  <c r="Q39" i="2"/>
  <c r="P39" i="2"/>
  <c r="O39" i="2"/>
  <c r="N39" i="2"/>
  <c r="M39" i="2"/>
  <c r="J39" i="2"/>
  <c r="I39" i="2"/>
  <c r="H39" i="2"/>
  <c r="G39" i="2"/>
  <c r="F39" i="2"/>
  <c r="E39" i="2"/>
  <c r="D39" i="2"/>
  <c r="C39" i="2"/>
  <c r="T38" i="2"/>
  <c r="S38" i="2"/>
  <c r="R38" i="2"/>
  <c r="Q38" i="2"/>
  <c r="P38" i="2"/>
  <c r="O38" i="2"/>
  <c r="N38" i="2"/>
  <c r="M38" i="2"/>
  <c r="J38" i="2"/>
  <c r="I38" i="2"/>
  <c r="H38" i="2"/>
  <c r="G38" i="2"/>
  <c r="F38" i="2"/>
  <c r="E38" i="2"/>
  <c r="D38" i="2"/>
  <c r="C38" i="2"/>
  <c r="T36" i="2"/>
  <c r="S36" i="2"/>
  <c r="R36" i="2"/>
  <c r="Q36" i="2"/>
  <c r="P36" i="2"/>
  <c r="O36" i="2"/>
  <c r="N36" i="2"/>
  <c r="J36" i="2"/>
  <c r="I36" i="2"/>
  <c r="H36" i="2"/>
  <c r="G36" i="2"/>
  <c r="T34" i="2"/>
  <c r="S34" i="2"/>
  <c r="R34" i="2"/>
  <c r="Q34" i="2"/>
  <c r="P34" i="2"/>
  <c r="O34" i="2"/>
  <c r="N34" i="2"/>
  <c r="M34" i="2"/>
  <c r="J34" i="2"/>
  <c r="I34" i="2"/>
  <c r="H34" i="2"/>
  <c r="G34" i="2"/>
  <c r="F34" i="2"/>
  <c r="E34" i="2"/>
  <c r="D34" i="2"/>
  <c r="C34" i="2"/>
  <c r="T31" i="2"/>
  <c r="S31" i="2"/>
  <c r="R31" i="2"/>
  <c r="Q31" i="2"/>
  <c r="P31" i="2"/>
  <c r="O31" i="2"/>
  <c r="N31" i="2"/>
  <c r="M31" i="2"/>
  <c r="J31" i="2"/>
  <c r="I31" i="2"/>
  <c r="H31" i="2"/>
  <c r="G31" i="2"/>
  <c r="F31" i="2"/>
  <c r="E31" i="2"/>
  <c r="D31" i="2"/>
  <c r="C31" i="2"/>
  <c r="F23" i="2"/>
  <c r="F21" i="2"/>
  <c r="F20" i="2"/>
  <c r="F18" i="2"/>
  <c r="F17" i="2"/>
  <c r="F16" i="2"/>
  <c r="F15" i="2"/>
  <c r="F14" i="2"/>
  <c r="F13" i="2"/>
  <c r="F12" i="2"/>
  <c r="F10" i="2"/>
  <c r="F9" i="2"/>
  <c r="J23" i="2"/>
  <c r="J21" i="2"/>
  <c r="J20" i="2"/>
  <c r="J18" i="2"/>
  <c r="J17" i="2"/>
  <c r="J16" i="2"/>
  <c r="J15" i="2"/>
  <c r="J14" i="2"/>
  <c r="J13" i="2"/>
  <c r="J12" i="2"/>
  <c r="J10" i="2"/>
  <c r="J9" i="2"/>
  <c r="J6" i="2"/>
  <c r="J3" i="2"/>
  <c r="J7" i="2" s="1"/>
  <c r="T6" i="2"/>
  <c r="T3" i="2"/>
  <c r="M6" i="2"/>
  <c r="M3" i="2"/>
  <c r="U14" i="2" l="1"/>
  <c r="U15" i="2"/>
  <c r="U16" i="2"/>
  <c r="U17" i="2"/>
  <c r="V11" i="2"/>
  <c r="U12" i="2"/>
  <c r="U19" i="2" s="1"/>
  <c r="U34" i="2" s="1"/>
  <c r="U18" i="2"/>
  <c r="J11" i="2"/>
  <c r="J19" i="2" s="1"/>
  <c r="J22" i="2" s="1"/>
  <c r="J24" i="2" s="1"/>
  <c r="J26" i="2" s="1"/>
  <c r="U22" i="2" l="1"/>
  <c r="U23" i="2" s="1"/>
  <c r="U24" i="2" s="1"/>
  <c r="U7" i="2" s="1"/>
  <c r="V21" i="2" s="1"/>
  <c r="W11" i="2"/>
  <c r="V13" i="2"/>
  <c r="V14" i="2"/>
  <c r="V18" i="2"/>
  <c r="V16" i="2"/>
  <c r="V12" i="2"/>
  <c r="V17" i="2"/>
  <c r="V15" i="2"/>
  <c r="W13" i="2" l="1"/>
  <c r="W18" i="2"/>
  <c r="W16" i="2"/>
  <c r="W12" i="2"/>
  <c r="W17" i="2"/>
  <c r="W14" i="2"/>
  <c r="W15" i="2"/>
  <c r="X11" i="2"/>
  <c r="V19" i="2"/>
  <c r="V34" i="2" s="1"/>
  <c r="W19" i="2" l="1"/>
  <c r="W34" i="2" s="1"/>
  <c r="X14" i="2"/>
  <c r="X17" i="2"/>
  <c r="X16" i="2"/>
  <c r="X18" i="2"/>
  <c r="X12" i="2"/>
  <c r="X19" i="2" s="1"/>
  <c r="X34" i="2" s="1"/>
  <c r="Y11" i="2"/>
  <c r="X15" i="2"/>
  <c r="X13" i="2"/>
  <c r="V22" i="2"/>
  <c r="V23" i="2" s="1"/>
  <c r="V24" i="2" s="1"/>
  <c r="V7" i="2" s="1"/>
  <c r="W21" i="2" s="1"/>
  <c r="W22" i="2" l="1"/>
  <c r="W23" i="2" s="1"/>
  <c r="W24" i="2" s="1"/>
  <c r="W7" i="2" s="1"/>
  <c r="X21" i="2" s="1"/>
  <c r="X22" i="2" s="1"/>
  <c r="X23" i="2" s="1"/>
  <c r="X24" i="2" s="1"/>
  <c r="Y16" i="2"/>
  <c r="Z11" i="2"/>
  <c r="Y12" i="2"/>
  <c r="Y15" i="2"/>
  <c r="Y17" i="2"/>
  <c r="Y14" i="2"/>
  <c r="Y18" i="2"/>
  <c r="Y13" i="2"/>
  <c r="Z14" i="2" l="1"/>
  <c r="Z15" i="2"/>
  <c r="Z17" i="2"/>
  <c r="Z16" i="2"/>
  <c r="Z12" i="2"/>
  <c r="Z13" i="2"/>
  <c r="Z18" i="2"/>
  <c r="AA11" i="2"/>
  <c r="Y19" i="2"/>
  <c r="Y34" i="2" s="1"/>
  <c r="X7" i="2"/>
  <c r="Y21" i="2" s="1"/>
  <c r="AB11" i="2" l="1"/>
  <c r="AA12" i="2"/>
  <c r="AA16" i="2"/>
  <c r="AA18" i="2"/>
  <c r="AA13" i="2"/>
  <c r="AA14" i="2"/>
  <c r="AA17" i="2"/>
  <c r="AA15" i="2"/>
  <c r="Y22" i="2"/>
  <c r="Y23" i="2" s="1"/>
  <c r="Y24" i="2" s="1"/>
  <c r="Y7" i="2" s="1"/>
  <c r="Z21" i="2" s="1"/>
  <c r="Z19" i="2"/>
  <c r="Z34" i="2" s="1"/>
  <c r="Z22" i="2" l="1"/>
  <c r="Z23" i="2" s="1"/>
  <c r="Z24" i="2" s="1"/>
  <c r="Z7" i="2" s="1"/>
  <c r="AA21" i="2" s="1"/>
  <c r="AA19" i="2"/>
  <c r="AA34" i="2" s="1"/>
  <c r="AB14" i="2"/>
  <c r="AB18" i="2"/>
  <c r="AB16" i="2"/>
  <c r="AC11" i="2"/>
  <c r="AB15" i="2"/>
  <c r="AB13" i="2"/>
  <c r="AB12" i="2"/>
  <c r="AB17" i="2"/>
  <c r="AA22" i="2" l="1"/>
  <c r="AA23" i="2" s="1"/>
  <c r="AA24" i="2" s="1"/>
  <c r="AA7" i="2" s="1"/>
  <c r="AB21" i="2" s="1"/>
  <c r="AB19" i="2"/>
  <c r="AB34" i="2" s="1"/>
  <c r="AC13" i="2"/>
  <c r="AC15" i="2"/>
  <c r="AC18" i="2"/>
  <c r="AC12" i="2"/>
  <c r="AC14" i="2"/>
  <c r="AD11" i="2"/>
  <c r="AC16" i="2"/>
  <c r="AC17" i="2"/>
  <c r="AB22" i="2" l="1"/>
  <c r="AB23" i="2" s="1"/>
  <c r="AB24" i="2" s="1"/>
  <c r="AB7" i="2" s="1"/>
  <c r="AC21" i="2" s="1"/>
  <c r="AC19" i="2"/>
  <c r="AC34" i="2" s="1"/>
  <c r="AD18" i="2"/>
  <c r="AD14" i="2"/>
  <c r="AD13" i="2"/>
  <c r="AD12" i="2"/>
  <c r="AD16" i="2"/>
  <c r="AD15" i="2"/>
  <c r="AD17" i="2"/>
  <c r="AC22" i="2" l="1"/>
  <c r="AC23" i="2" s="1"/>
  <c r="AC24" i="2" s="1"/>
  <c r="AC7" i="2" s="1"/>
  <c r="AD21" i="2" s="1"/>
  <c r="AD19" i="2"/>
  <c r="AD34" i="2" s="1"/>
  <c r="AD22" i="2" l="1"/>
  <c r="AD23" i="2" s="1"/>
  <c r="AD24" i="2" s="1"/>
  <c r="AD7" i="2" s="1"/>
  <c r="AE24" i="2" l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C4" i="3" s="1"/>
  <c r="N6" i="2" l="1"/>
  <c r="O6" i="2"/>
  <c r="N3" i="2"/>
  <c r="O3" i="2"/>
  <c r="P6" i="2"/>
  <c r="Q6" i="2"/>
  <c r="P3" i="2"/>
  <c r="Q3" i="2"/>
  <c r="Q7" i="2" s="1"/>
  <c r="G19" i="2"/>
  <c r="G22" i="2" s="1"/>
  <c r="G24" i="2" s="1"/>
  <c r="G26" i="2" s="1"/>
  <c r="E19" i="2"/>
  <c r="E22" i="2" s="1"/>
  <c r="E24" i="2" s="1"/>
  <c r="E26" i="2" s="1"/>
  <c r="D19" i="2"/>
  <c r="D22" i="2" s="1"/>
  <c r="D24" i="2" s="1"/>
  <c r="D26" i="2" s="1"/>
  <c r="C19" i="2"/>
  <c r="C22" i="2" s="1"/>
  <c r="C24" i="2" s="1"/>
  <c r="C26" i="2" s="1"/>
  <c r="I11" i="2"/>
  <c r="I19" i="2" s="1"/>
  <c r="I22" i="2" s="1"/>
  <c r="I24" i="2" s="1"/>
  <c r="I26" i="2" s="1"/>
  <c r="H11" i="2"/>
  <c r="H19" i="2" s="1"/>
  <c r="H22" i="2" s="1"/>
  <c r="H24" i="2" s="1"/>
  <c r="H26" i="2" s="1"/>
  <c r="G11" i="2"/>
  <c r="F11" i="2"/>
  <c r="F19" i="2" s="1"/>
  <c r="F22" i="2" s="1"/>
  <c r="F24" i="2" s="1"/>
  <c r="F26" i="2" s="1"/>
  <c r="E11" i="2"/>
  <c r="D11" i="2"/>
  <c r="C11" i="2"/>
  <c r="I7" i="2"/>
  <c r="H7" i="2"/>
  <c r="G7" i="2"/>
  <c r="F7" i="2"/>
  <c r="E7" i="2"/>
  <c r="D7" i="2"/>
  <c r="C7" i="2"/>
  <c r="P19" i="2"/>
  <c r="P22" i="2" s="1"/>
  <c r="P24" i="2" s="1"/>
  <c r="P26" i="2" s="1"/>
  <c r="P11" i="2"/>
  <c r="O11" i="2"/>
  <c r="O19" i="2" s="1"/>
  <c r="O22" i="2" s="1"/>
  <c r="O24" i="2" s="1"/>
  <c r="O26" i="2" s="1"/>
  <c r="N11" i="2"/>
  <c r="N19" i="2" s="1"/>
  <c r="N22" i="2" s="1"/>
  <c r="N24" i="2" s="1"/>
  <c r="N26" i="2" s="1"/>
  <c r="M11" i="2"/>
  <c r="M19" i="2" s="1"/>
  <c r="M22" i="2" s="1"/>
  <c r="M24" i="2" s="1"/>
  <c r="M26" i="2" s="1"/>
  <c r="P7" i="2"/>
  <c r="O7" i="2"/>
  <c r="N7" i="2"/>
  <c r="M7" i="2"/>
  <c r="T11" i="2"/>
  <c r="T19" i="2" s="1"/>
  <c r="T22" i="2" s="1"/>
  <c r="T24" i="2" s="1"/>
  <c r="T26" i="2" s="1"/>
  <c r="T7" i="2"/>
  <c r="S26" i="2"/>
  <c r="S24" i="2"/>
  <c r="S22" i="2"/>
  <c r="R19" i="2"/>
  <c r="R22" i="2" s="1"/>
  <c r="R24" i="2" s="1"/>
  <c r="R26" i="2" s="1"/>
  <c r="S19" i="2"/>
  <c r="Q11" i="2"/>
  <c r="Q19" i="2" s="1"/>
  <c r="Q22" i="2" s="1"/>
  <c r="Q24" i="2" s="1"/>
  <c r="Q26" i="2" s="1"/>
  <c r="R11" i="2"/>
  <c r="S11" i="2"/>
  <c r="R6" i="2"/>
  <c r="S3" i="2"/>
  <c r="S7" i="2" s="1"/>
  <c r="R3" i="2"/>
  <c r="R7" i="2"/>
  <c r="S6" i="2"/>
  <c r="N14" i="1"/>
  <c r="N15" i="1" s="1"/>
  <c r="N8" i="1"/>
  <c r="N11" i="1" s="1"/>
</calcChain>
</file>

<file path=xl/sharedStrings.xml><?xml version="1.0" encoding="utf-8"?>
<sst xmlns="http://schemas.openxmlformats.org/spreadsheetml/2006/main" count="75" uniqueCount="56">
  <si>
    <t>Price</t>
  </si>
  <si>
    <t>Shares</t>
  </si>
  <si>
    <t>MkCap</t>
  </si>
  <si>
    <t>Cash</t>
  </si>
  <si>
    <t>Debt</t>
  </si>
  <si>
    <t>Run rate</t>
  </si>
  <si>
    <t>EV</t>
  </si>
  <si>
    <t>Update</t>
  </si>
  <si>
    <t>NPV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</si>
  <si>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</si>
  <si>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</si>
  <si>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</si>
  <si>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</si>
  <si>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</si>
  <si>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</si>
  <si>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</si>
  <si>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</si>
  <si>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NPV/Sh</t>
  </si>
  <si>
    <t>Maturity decay</t>
  </si>
  <si>
    <t>Discount</t>
  </si>
  <si>
    <t>Ticker</t>
  </si>
  <si>
    <t>Company</t>
  </si>
  <si>
    <t>P.A.M. Transportation Services</t>
  </si>
  <si>
    <t>PTSI</t>
  </si>
  <si>
    <t>Cash&amp;Marketable</t>
  </si>
  <si>
    <t>Revenue PPE, at cost</t>
  </si>
  <si>
    <t>PPE, net</t>
  </si>
  <si>
    <t>Net cash</t>
  </si>
  <si>
    <t>Revenue</t>
  </si>
  <si>
    <t>These guys add a 'fuel surcharge' evil practice to generate higher revenue</t>
  </si>
  <si>
    <t>Sales</t>
  </si>
  <si>
    <t>Fuel surcharge</t>
  </si>
  <si>
    <t>Salaries</t>
  </si>
  <si>
    <t>Op supplies</t>
  </si>
  <si>
    <t>Purch. Transport</t>
  </si>
  <si>
    <t>Depreciation</t>
  </si>
  <si>
    <t>Insurance</t>
  </si>
  <si>
    <t>Other</t>
  </si>
  <si>
    <t>Operating income</t>
  </si>
  <si>
    <t>Other, net</t>
  </si>
  <si>
    <t>Interest, net</t>
  </si>
  <si>
    <t>EBT</t>
  </si>
  <si>
    <t>Tax expense</t>
  </si>
  <si>
    <t>Net income</t>
  </si>
  <si>
    <t>EPS</t>
  </si>
  <si>
    <t>CF PPE</t>
  </si>
  <si>
    <t>CF LT Debt repay</t>
  </si>
  <si>
    <t>These guys have an investment account for god knows why, they are doing OK tho</t>
  </si>
  <si>
    <t>Other, end PPE</t>
  </si>
  <si>
    <t>EBITDA</t>
  </si>
  <si>
    <t>Op margin</t>
  </si>
  <si>
    <t>Rev y/y</t>
  </si>
  <si>
    <t>Salaries %rev</t>
  </si>
  <si>
    <t>u</t>
  </si>
  <si>
    <t>Tax rate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</si>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</sst>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8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8" fontId="1" fillId="0" borderId="0" xfId="0" applyNumberFormat="1" applyFon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0</xdr:row>
      <xdr:rowOff>38100</xdr:rowOff>
    </xdr:from>
    <xdr:to>
      <xdr:col>20</xdr:col>
      <xdr:colOff>9525</xdr:colOff>
      <xdr:row>25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41FF2C-7A02-A688-44AC-9A20A2BC341C}"/>
            </a:ext>
          </a:extLst>
        </xdr:cNvPr>
        <xdr:cNvCxnSpPr/>
      </xdr:nvCxnSpPr>
      <xdr:spPr>
        <a:xfrm>
          <a:off x="12201525" y="3810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0</xdr:row>
      <xdr:rowOff>0</xdr:rowOff>
    </xdr:from>
    <xdr:to>
      <xdr:col>30</xdr:col>
      <xdr:colOff>19050</xdr:colOff>
      <xdr:row>24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B0F37C3-A497-43EB-8B50-23417BD53A4C}"/>
            </a:ext>
          </a:extLst>
        </xdr:cNvPr>
        <xdr:cNvCxnSpPr/>
      </xdr:nvCxnSpPr>
      <xdr:spPr>
        <a:xfrm>
          <a:off x="18307050" y="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6B5-2ED0-4ACF-895E-E286D10A7127}">
  <dimension ref="C2:N15"/>
  <sheetViews>
    <sheetView tabSelected="1" topLeftCell="B1" workbookViewId="0">
      <selection activeCell="M17" sqref="M17"/>
    </sheetView>
  </sheetViews>
  <sheetFormatPr defaultRowHeight="15" x14ac:dyDescent="0.25"/>
  <cols>
    <col min="14" max="14" width="9.7109375" bestFit="1" customWidth="1"/>
  </cols>
  <sheetData>
    <row r="2" spans="3:14" x14ac:dyDescent="0.25">
      <c r="C2" t="s">
        <v>29</v>
      </c>
      <c r="M2" t="s">
        <v>7</v>
      </c>
      <c r="N2" s="1">
        <v>44992</v>
      </c>
    </row>
    <row r="3" spans="3:14" x14ac:dyDescent="0.25">
      <c r="C3" t="s">
        <v>47</v>
      </c>
      <c r="M3" t="s">
        <v>20</v>
      </c>
      <c r="N3" t="s">
        <v>23</v>
      </c>
    </row>
    <row r="4" spans="3:14" x14ac:dyDescent="0.25">
      <c r="M4" t="s">
        <v>21</v>
      </c>
      <c r="N4" t="s">
        <v>22</v>
      </c>
    </row>
    <row r="6" spans="3:14" x14ac:dyDescent="0.25">
      <c r="M6" t="s">
        <v>0</v>
      </c>
      <c r="N6" s="2">
        <v>29.24</v>
      </c>
    </row>
    <row r="7" spans="3:14" x14ac:dyDescent="0.25">
      <c r="M7" t="s">
        <v>1</v>
      </c>
      <c r="N7" s="3">
        <v>22.436</v>
      </c>
    </row>
    <row r="8" spans="3:14" x14ac:dyDescent="0.25">
      <c r="M8" t="s">
        <v>2</v>
      </c>
      <c r="N8" s="3">
        <f>N6*N7</f>
        <v>656.02864</v>
      </c>
    </row>
    <row r="9" spans="3:14" x14ac:dyDescent="0.25">
      <c r="M9" t="s">
        <v>3</v>
      </c>
      <c r="N9" s="3">
        <v>115.8</v>
      </c>
    </row>
    <row r="10" spans="3:14" x14ac:dyDescent="0.25">
      <c r="M10" t="s">
        <v>4</v>
      </c>
      <c r="N10" s="3">
        <v>313.21500000000003</v>
      </c>
    </row>
    <row r="11" spans="3:14" x14ac:dyDescent="0.25">
      <c r="M11" t="s">
        <v>6</v>
      </c>
      <c r="N11" s="3">
        <f>+N8-N9+N10</f>
        <v>853.44364000000007</v>
      </c>
    </row>
    <row r="12" spans="3:14" x14ac:dyDescent="0.25">
      <c r="M12" t="s">
        <v>5</v>
      </c>
      <c r="N12" s="3"/>
    </row>
    <row r="13" spans="3:14" x14ac:dyDescent="0.25">
      <c r="N13" s="3"/>
    </row>
    <row r="14" spans="3:14" x14ac:dyDescent="0.25">
      <c r="M14" t="s">
        <v>8</v>
      </c>
      <c r="N14" s="3">
        <f>Dash!C4</f>
        <v>970.90412687107221</v>
      </c>
    </row>
    <row r="15" spans="3:14" x14ac:dyDescent="0.25">
      <c r="M15" t="s">
        <v>17</v>
      </c>
      <c r="N15" s="2">
        <f>N14/N7</f>
        <v>43.274386114774124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2598-A76D-432E-8D6B-EF22B15EDFE4}">
  <dimension ref="A1:DQ104"/>
  <sheetViews>
    <sheetView workbookViewId="0">
      <pane xSplit="2" ySplit="2" topLeftCell="L28" activePane="bottomRight" state="frozen"/>
      <selection pane="topRight" activeCell="C1" sqref="C1"/>
      <selection pane="bottomLeft" activeCell="A3" sqref="A3"/>
      <selection pane="bottomRight" activeCell="X40" sqref="X40"/>
    </sheetView>
  </sheetViews>
  <sheetFormatPr defaultRowHeight="15" x14ac:dyDescent="0.25"/>
  <cols>
    <col min="2" max="2" width="17" bestFit="1" customWidth="1"/>
    <col min="10" max="10" width="9.7109375" bestFit="1" customWidth="1"/>
  </cols>
  <sheetData>
    <row r="1" spans="2:121" x14ac:dyDescent="0.25">
      <c r="J1" s="1">
        <v>44605</v>
      </c>
    </row>
    <row r="2" spans="2:121" x14ac:dyDescent="0.25">
      <c r="C2" t="s">
        <v>16</v>
      </c>
      <c r="D2" t="s">
        <v>15</v>
      </c>
      <c r="E2" t="s">
        <v>14</v>
      </c>
      <c r="F2" t="s">
        <v>13</v>
      </c>
      <c r="G2" t="s">
        <v>12</v>
      </c>
      <c r="H2" t="s">
        <v>11</v>
      </c>
      <c r="I2" t="s">
        <v>10</v>
      </c>
      <c r="J2" t="s">
        <v>9</v>
      </c>
      <c r="M2">
        <v>2015</v>
      </c>
      <c r="N2">
        <v>2016</v>
      </c>
      <c r="O2">
        <v>2017</v>
      </c>
      <c r="P2">
        <v>2018</v>
      </c>
      <c r="Q2">
        <v>2019</v>
      </c>
      <c r="R2">
        <v>2020</v>
      </c>
      <c r="S2">
        <v>2021</v>
      </c>
      <c r="T2">
        <v>2022</v>
      </c>
      <c r="U2">
        <v>2023</v>
      </c>
      <c r="V2">
        <v>2024</v>
      </c>
      <c r="W2">
        <v>2025</v>
      </c>
      <c r="X2">
        <v>2026</v>
      </c>
      <c r="Y2">
        <v>2027</v>
      </c>
      <c r="Z2">
        <v>2028</v>
      </c>
      <c r="AA2">
        <v>2029</v>
      </c>
      <c r="AB2">
        <v>2030</v>
      </c>
      <c r="AC2">
        <v>2031</v>
      </c>
      <c r="AD2">
        <v>2032</v>
      </c>
      <c r="AE2">
        <v>2033</v>
      </c>
      <c r="AF2">
        <v>2034</v>
      </c>
      <c r="AG2">
        <v>2035</v>
      </c>
      <c r="AH2">
        <v>2036</v>
      </c>
      <c r="AI2">
        <v>2037</v>
      </c>
      <c r="AJ2">
        <v>2038</v>
      </c>
      <c r="AK2">
        <v>2039</v>
      </c>
      <c r="AL2">
        <v>2040</v>
      </c>
      <c r="AM2">
        <v>2041</v>
      </c>
      <c r="AN2">
        <v>2042</v>
      </c>
      <c r="AO2">
        <v>2043</v>
      </c>
      <c r="AP2">
        <v>2044</v>
      </c>
      <c r="AQ2">
        <v>2045</v>
      </c>
      <c r="AR2">
        <v>2046</v>
      </c>
      <c r="AS2">
        <v>2047</v>
      </c>
      <c r="AT2">
        <v>2048</v>
      </c>
      <c r="AU2">
        <v>2049</v>
      </c>
      <c r="AV2">
        <v>2050</v>
      </c>
      <c r="AW2">
        <v>2051</v>
      </c>
      <c r="AX2">
        <v>2052</v>
      </c>
      <c r="AY2">
        <v>2053</v>
      </c>
      <c r="AZ2">
        <v>2054</v>
      </c>
      <c r="BA2">
        <v>2055</v>
      </c>
      <c r="BB2">
        <v>2056</v>
      </c>
      <c r="BC2">
        <v>2057</v>
      </c>
      <c r="BD2">
        <v>2058</v>
      </c>
      <c r="BE2">
        <v>2059</v>
      </c>
      <c r="BF2">
        <v>2060</v>
      </c>
      <c r="BG2">
        <v>2061</v>
      </c>
      <c r="BH2">
        <v>2062</v>
      </c>
      <c r="BI2">
        <v>2063</v>
      </c>
      <c r="BJ2">
        <v>2064</v>
      </c>
      <c r="BK2">
        <v>2065</v>
      </c>
      <c r="BL2">
        <v>2066</v>
      </c>
      <c r="BM2">
        <v>2067</v>
      </c>
      <c r="BN2">
        <v>2068</v>
      </c>
      <c r="BO2">
        <v>2069</v>
      </c>
      <c r="BP2">
        <v>2070</v>
      </c>
      <c r="BQ2">
        <v>2071</v>
      </c>
      <c r="BR2">
        <v>2072</v>
      </c>
      <c r="BS2">
        <v>2073</v>
      </c>
      <c r="BT2">
        <v>2074</v>
      </c>
      <c r="BU2">
        <v>2075</v>
      </c>
      <c r="BV2">
        <v>2076</v>
      </c>
      <c r="BW2">
        <v>2077</v>
      </c>
      <c r="BX2">
        <v>2078</v>
      </c>
      <c r="BY2">
        <v>2079</v>
      </c>
      <c r="BZ2">
        <v>2080</v>
      </c>
      <c r="CA2">
        <v>2081</v>
      </c>
      <c r="CB2">
        <v>2082</v>
      </c>
      <c r="CC2">
        <v>2083</v>
      </c>
      <c r="CD2">
        <v>2084</v>
      </c>
      <c r="CE2">
        <v>2085</v>
      </c>
      <c r="CF2">
        <v>2086</v>
      </c>
      <c r="CG2">
        <v>2087</v>
      </c>
      <c r="CH2">
        <v>2088</v>
      </c>
      <c r="CI2">
        <v>2089</v>
      </c>
      <c r="CJ2">
        <v>2090</v>
      </c>
      <c r="CK2">
        <v>2091</v>
      </c>
      <c r="CL2">
        <v>2092</v>
      </c>
      <c r="CM2">
        <v>2093</v>
      </c>
      <c r="CN2">
        <v>2094</v>
      </c>
      <c r="CO2">
        <v>2095</v>
      </c>
      <c r="CP2">
        <v>2096</v>
      </c>
      <c r="CQ2">
        <v>2097</v>
      </c>
      <c r="CR2">
        <v>2098</v>
      </c>
      <c r="CS2">
        <v>2099</v>
      </c>
      <c r="CT2">
        <v>2100</v>
      </c>
      <c r="CU2">
        <v>2101</v>
      </c>
      <c r="CV2">
        <v>2102</v>
      </c>
      <c r="CW2">
        <v>2103</v>
      </c>
      <c r="CX2">
        <v>2104</v>
      </c>
      <c r="CY2">
        <v>2105</v>
      </c>
      <c r="CZ2">
        <v>2106</v>
      </c>
      <c r="DA2">
        <v>2107</v>
      </c>
      <c r="DB2">
        <v>2108</v>
      </c>
      <c r="DC2">
        <v>2109</v>
      </c>
      <c r="DD2">
        <v>2110</v>
      </c>
      <c r="DE2">
        <v>2111</v>
      </c>
      <c r="DF2">
        <v>2112</v>
      </c>
      <c r="DG2">
        <v>2113</v>
      </c>
      <c r="DH2">
        <v>2114</v>
      </c>
      <c r="DI2">
        <v>2115</v>
      </c>
      <c r="DJ2">
        <v>2116</v>
      </c>
      <c r="DK2">
        <v>2117</v>
      </c>
      <c r="DL2">
        <v>2118</v>
      </c>
      <c r="DM2">
        <v>2119</v>
      </c>
      <c r="DN2">
        <v>2120</v>
      </c>
      <c r="DO2">
        <v>2121</v>
      </c>
      <c r="DP2">
        <v>2122</v>
      </c>
      <c r="DQ2">
        <v>2123</v>
      </c>
    </row>
    <row r="3" spans="2:121" s="3" customFormat="1" x14ac:dyDescent="0.25">
      <c r="B3" s="3" t="s">
        <v>24</v>
      </c>
      <c r="J3" s="3">
        <f>74.1+41.7</f>
        <v>115.8</v>
      </c>
      <c r="M3" s="3">
        <f>0.2+24.6</f>
        <v>24.8</v>
      </c>
      <c r="N3" s="3">
        <f>0.1+27.62</f>
        <v>27.720000000000002</v>
      </c>
      <c r="O3" s="3">
        <f>0.2+26.6</f>
        <v>26.8</v>
      </c>
      <c r="P3" s="3">
        <f>0.282+27.55</f>
        <v>27.832000000000001</v>
      </c>
      <c r="Q3" s="3">
        <f>0.3+29.52</f>
        <v>29.82</v>
      </c>
      <c r="R3" s="3">
        <f>0.337+27.941</f>
        <v>28.277999999999999</v>
      </c>
      <c r="S3" s="3">
        <f>18.5+39.4</f>
        <v>57.9</v>
      </c>
      <c r="T3" s="3">
        <f>74.1+41.7</f>
        <v>115.8</v>
      </c>
    </row>
    <row r="4" spans="2:121" s="3" customFormat="1" x14ac:dyDescent="0.25">
      <c r="B4" s="3" t="s">
        <v>25</v>
      </c>
      <c r="M4" s="3">
        <v>338.9</v>
      </c>
      <c r="N4" s="3">
        <v>355.34</v>
      </c>
      <c r="O4" s="3">
        <v>375.8</v>
      </c>
      <c r="P4" s="3">
        <v>457.14</v>
      </c>
      <c r="Q4" s="3">
        <v>525.53</v>
      </c>
      <c r="R4" s="3">
        <v>592.5</v>
      </c>
      <c r="S4" s="3">
        <v>520.84</v>
      </c>
    </row>
    <row r="5" spans="2:121" s="3" customFormat="1" x14ac:dyDescent="0.25">
      <c r="B5" s="3" t="s">
        <v>26</v>
      </c>
      <c r="J5" s="3">
        <v>463.6</v>
      </c>
      <c r="M5" s="3">
        <v>262.89999999999998</v>
      </c>
      <c r="N5" s="3">
        <v>277.37599999999998</v>
      </c>
      <c r="O5" s="3">
        <v>286.94</v>
      </c>
      <c r="P5" s="3">
        <v>354.6</v>
      </c>
      <c r="Q5" s="3">
        <v>387.27499999999998</v>
      </c>
      <c r="R5" s="3">
        <v>450.82499999999999</v>
      </c>
      <c r="S5" s="3">
        <v>384.18</v>
      </c>
      <c r="T5" s="3">
        <v>463.6</v>
      </c>
    </row>
    <row r="6" spans="2:121" s="3" customFormat="1" x14ac:dyDescent="0.25">
      <c r="B6" s="3" t="s">
        <v>4</v>
      </c>
      <c r="J6" s="3">
        <f>48.9+58.815+205.5</f>
        <v>313.21500000000003</v>
      </c>
      <c r="M6" s="3">
        <f>17.8+40+99.2</f>
        <v>157</v>
      </c>
      <c r="N6" s="3">
        <f>16.1+42.8+80.3</f>
        <v>139.19999999999999</v>
      </c>
      <c r="O6" s="3">
        <f>19.6+73.6+98.99</f>
        <v>192.19</v>
      </c>
      <c r="P6" s="3">
        <f>20+63.9+157.3</f>
        <v>241.20000000000002</v>
      </c>
      <c r="Q6" s="3">
        <f>16.6+67.6+174.2</f>
        <v>258.39999999999998</v>
      </c>
      <c r="R6" s="3">
        <f>46.1+57.8+228.33</f>
        <v>332.23</v>
      </c>
      <c r="S6" s="3">
        <f>43.4+49.54+172.73</f>
        <v>265.66999999999996</v>
      </c>
      <c r="T6" s="3">
        <f>48.9+58.815+205.5</f>
        <v>313.21500000000003</v>
      </c>
    </row>
    <row r="7" spans="2:121" s="3" customFormat="1" x14ac:dyDescent="0.25">
      <c r="B7" s="3" t="s">
        <v>27</v>
      </c>
      <c r="C7" s="3">
        <f t="shared" ref="C7:I7" si="0">+C3-C6</f>
        <v>0</v>
      </c>
      <c r="D7" s="3">
        <f t="shared" si="0"/>
        <v>0</v>
      </c>
      <c r="E7" s="3">
        <f t="shared" si="0"/>
        <v>0</v>
      </c>
      <c r="F7" s="3">
        <f t="shared" si="0"/>
        <v>0</v>
      </c>
      <c r="G7" s="3">
        <f t="shared" si="0"/>
        <v>0</v>
      </c>
      <c r="H7" s="3">
        <f t="shared" si="0"/>
        <v>0</v>
      </c>
      <c r="I7" s="3">
        <f t="shared" si="0"/>
        <v>0</v>
      </c>
      <c r="J7" s="3">
        <f>+J3-J6</f>
        <v>-197.41500000000002</v>
      </c>
      <c r="M7" s="3">
        <f t="shared" ref="M7:P7" si="1">+M3-M6</f>
        <v>-132.19999999999999</v>
      </c>
      <c r="N7" s="3">
        <f t="shared" si="1"/>
        <v>-111.47999999999999</v>
      </c>
      <c r="O7" s="3">
        <f t="shared" si="1"/>
        <v>-165.39</v>
      </c>
      <c r="P7" s="3">
        <f t="shared" si="1"/>
        <v>-213.36800000000002</v>
      </c>
      <c r="Q7" s="3">
        <f>+Q3-Q6</f>
        <v>-228.57999999999998</v>
      </c>
      <c r="R7" s="3">
        <f>+R3-R6</f>
        <v>-303.952</v>
      </c>
      <c r="S7" s="3">
        <f>+S3-S6</f>
        <v>-207.76999999999995</v>
      </c>
      <c r="T7" s="3">
        <f>+T3-T6</f>
        <v>-197.41500000000002</v>
      </c>
      <c r="U7" s="3">
        <f>+T7+U24</f>
        <v>-111.65701419999996</v>
      </c>
      <c r="V7" s="3">
        <f t="shared" ref="V7:AD7" si="2">+U7+V24</f>
        <v>-23.551371133559911</v>
      </c>
      <c r="W7" s="3">
        <f t="shared" si="2"/>
        <v>64.160664594682387</v>
      </c>
      <c r="X7" s="3">
        <f t="shared" si="2"/>
        <v>140.60711726579294</v>
      </c>
      <c r="Y7" s="3">
        <f t="shared" si="2"/>
        <v>215.19432550858932</v>
      </c>
      <c r="Z7" s="3">
        <f t="shared" si="2"/>
        <v>290.854785521081</v>
      </c>
      <c r="AA7" s="3">
        <f t="shared" si="2"/>
        <v>360.09661997419249</v>
      </c>
      <c r="AB7" s="3">
        <f t="shared" si="2"/>
        <v>436.79627733802334</v>
      </c>
      <c r="AC7" s="3">
        <f t="shared" si="2"/>
        <v>522.28324850111949</v>
      </c>
      <c r="AD7" s="3">
        <f t="shared" si="2"/>
        <v>616.76064966706497</v>
      </c>
    </row>
    <row r="8" spans="2:121" s="3" customFormat="1" x14ac:dyDescent="0.25"/>
    <row r="9" spans="2:121" s="3" customFormat="1" x14ac:dyDescent="0.25">
      <c r="B9" s="3" t="s">
        <v>30</v>
      </c>
      <c r="C9" s="3">
        <v>135.1</v>
      </c>
      <c r="D9" s="3">
        <v>145.19999999999999</v>
      </c>
      <c r="E9" s="3">
        <v>166.3</v>
      </c>
      <c r="F9" s="3">
        <f>+S9-E9-D9-C9</f>
        <v>194.65300000000005</v>
      </c>
      <c r="G9" s="3">
        <v>196.1</v>
      </c>
      <c r="H9" s="3">
        <v>202.74</v>
      </c>
      <c r="I9" s="3">
        <v>216.5</v>
      </c>
      <c r="J9" s="3">
        <f>+T9-I9-H9-G9</f>
        <v>203.45999999999995</v>
      </c>
      <c r="M9" s="3">
        <v>355.4</v>
      </c>
      <c r="N9" s="3">
        <v>382.7</v>
      </c>
      <c r="O9" s="3">
        <v>373.5</v>
      </c>
      <c r="P9" s="3">
        <v>445.85500000000002</v>
      </c>
      <c r="Q9" s="3">
        <v>439.5</v>
      </c>
      <c r="R9" s="3">
        <v>439</v>
      </c>
      <c r="S9" s="3">
        <v>641.25300000000004</v>
      </c>
      <c r="T9" s="3">
        <v>818.8</v>
      </c>
    </row>
    <row r="10" spans="2:121" s="3" customFormat="1" x14ac:dyDescent="0.25">
      <c r="B10" s="3" t="s">
        <v>31</v>
      </c>
      <c r="C10" s="3">
        <v>13.7</v>
      </c>
      <c r="D10" s="3">
        <v>16.100000000000001</v>
      </c>
      <c r="E10" s="3">
        <v>16.8</v>
      </c>
      <c r="F10" s="3">
        <f>+S10-E10-D10-C10</f>
        <v>19.270000000000007</v>
      </c>
      <c r="G10" s="3">
        <v>23.4</v>
      </c>
      <c r="H10" s="3">
        <v>34.4</v>
      </c>
      <c r="I10" s="3">
        <v>36.15</v>
      </c>
      <c r="J10" s="3">
        <f>+T10-I10-H10-G10</f>
        <v>34.149999999999991</v>
      </c>
      <c r="M10" s="3">
        <v>61.65</v>
      </c>
      <c r="N10" s="3">
        <v>50.1</v>
      </c>
      <c r="O10" s="3">
        <v>64.3</v>
      </c>
      <c r="P10" s="3">
        <v>87.4</v>
      </c>
      <c r="Q10" s="3">
        <v>74.7</v>
      </c>
      <c r="R10" s="3">
        <v>47.8</v>
      </c>
      <c r="S10" s="3">
        <v>65.87</v>
      </c>
      <c r="T10" s="3">
        <v>128.1</v>
      </c>
    </row>
    <row r="11" spans="2:121" s="4" customFormat="1" x14ac:dyDescent="0.25">
      <c r="B11" s="4" t="s">
        <v>28</v>
      </c>
      <c r="C11" s="4">
        <f t="shared" ref="C11:J11" si="3">+C10+C9</f>
        <v>148.79999999999998</v>
      </c>
      <c r="D11" s="4">
        <f t="shared" si="3"/>
        <v>161.29999999999998</v>
      </c>
      <c r="E11" s="4">
        <f t="shared" si="3"/>
        <v>183.10000000000002</v>
      </c>
      <c r="F11" s="4">
        <f t="shared" si="3"/>
        <v>213.92300000000006</v>
      </c>
      <c r="G11" s="4">
        <f t="shared" si="3"/>
        <v>219.5</v>
      </c>
      <c r="H11" s="4">
        <f t="shared" si="3"/>
        <v>237.14000000000001</v>
      </c>
      <c r="I11" s="4">
        <f>+I10+I9</f>
        <v>252.65</v>
      </c>
      <c r="J11" s="4">
        <f t="shared" si="3"/>
        <v>237.60999999999996</v>
      </c>
      <c r="M11" s="4">
        <f t="shared" ref="M11:P11" si="4">+M10+M9</f>
        <v>417.04999999999995</v>
      </c>
      <c r="N11" s="4">
        <f t="shared" si="4"/>
        <v>432.8</v>
      </c>
      <c r="O11" s="4">
        <f t="shared" si="4"/>
        <v>437.8</v>
      </c>
      <c r="P11" s="4">
        <f t="shared" si="4"/>
        <v>533.255</v>
      </c>
      <c r="Q11" s="4">
        <f>+Q10+Q9</f>
        <v>514.20000000000005</v>
      </c>
      <c r="R11" s="4">
        <f>+R10+R9</f>
        <v>486.8</v>
      </c>
      <c r="S11" s="4">
        <f>+S10+S9</f>
        <v>707.12300000000005</v>
      </c>
      <c r="T11" s="4">
        <f>+T10+T9</f>
        <v>946.9</v>
      </c>
      <c r="U11" s="4">
        <f>+T11*(1+U36)</f>
        <v>1117.3419999999999</v>
      </c>
      <c r="V11" s="4">
        <f t="shared" ref="V11:AD11" si="5">+U11*(1+V36)</f>
        <v>1284.9432999999997</v>
      </c>
      <c r="W11" s="4">
        <f t="shared" si="5"/>
        <v>1439.1364959999999</v>
      </c>
      <c r="X11" s="4">
        <f t="shared" si="5"/>
        <v>1597.4415105599999</v>
      </c>
      <c r="Y11" s="4">
        <f t="shared" si="5"/>
        <v>1757.1856616160001</v>
      </c>
      <c r="Z11" s="4">
        <f t="shared" si="5"/>
        <v>1915.3323711614403</v>
      </c>
      <c r="AA11" s="4">
        <f t="shared" si="5"/>
        <v>2087.7122845659701</v>
      </c>
      <c r="AB11" s="4">
        <f t="shared" si="5"/>
        <v>2275.6063901769076</v>
      </c>
      <c r="AC11" s="4">
        <f t="shared" si="5"/>
        <v>2480.4109652928296</v>
      </c>
      <c r="AD11" s="4">
        <f t="shared" si="5"/>
        <v>2703.6479521691845</v>
      </c>
    </row>
    <row r="12" spans="2:121" s="3" customFormat="1" x14ac:dyDescent="0.25">
      <c r="B12" s="3" t="s">
        <v>32</v>
      </c>
      <c r="C12" s="3">
        <v>33.4</v>
      </c>
      <c r="D12" s="3">
        <v>33.799999999999997</v>
      </c>
      <c r="E12" s="3">
        <v>34.9</v>
      </c>
      <c r="F12" s="3">
        <f t="shared" ref="F12:F18" si="6">+S12-E12-D12-C12</f>
        <v>38.9</v>
      </c>
      <c r="G12" s="3">
        <v>39.299999999999997</v>
      </c>
      <c r="H12" s="3">
        <v>42.95</v>
      </c>
      <c r="I12" s="3">
        <v>50.9</v>
      </c>
      <c r="J12" s="3">
        <f t="shared" ref="J12:J18" si="7">+T12-I12-H12-G12</f>
        <v>48.75</v>
      </c>
      <c r="M12" s="3">
        <v>105.94</v>
      </c>
      <c r="N12" s="3">
        <v>112.2</v>
      </c>
      <c r="O12" s="3">
        <v>102.2</v>
      </c>
      <c r="P12" s="3">
        <v>119.8</v>
      </c>
      <c r="Q12" s="3">
        <v>129.69999999999999</v>
      </c>
      <c r="R12" s="3">
        <v>124.1</v>
      </c>
      <c r="S12" s="3">
        <v>141</v>
      </c>
      <c r="T12" s="3">
        <v>181.9</v>
      </c>
      <c r="U12" s="3">
        <f>+U$11*U38</f>
        <v>223.46839999999997</v>
      </c>
      <c r="V12" s="3">
        <f t="shared" ref="V12:AD12" si="8">+V$11*V38</f>
        <v>269.8380929999999</v>
      </c>
      <c r="W12" s="3">
        <f t="shared" si="8"/>
        <v>316.61002911999998</v>
      </c>
      <c r="X12" s="3">
        <f t="shared" si="8"/>
        <v>367.41154742879996</v>
      </c>
      <c r="Y12" s="3">
        <f t="shared" si="8"/>
        <v>421.72455878784001</v>
      </c>
      <c r="Z12" s="3">
        <f t="shared" si="8"/>
        <v>459.67976907874566</v>
      </c>
      <c r="AA12" s="3">
        <f t="shared" si="8"/>
        <v>501.05094829583282</v>
      </c>
      <c r="AB12" s="3">
        <f t="shared" si="8"/>
        <v>546.14553364245785</v>
      </c>
      <c r="AC12" s="3">
        <f t="shared" si="8"/>
        <v>595.29863167027906</v>
      </c>
      <c r="AD12" s="3">
        <f t="shared" si="8"/>
        <v>648.87550852060428</v>
      </c>
    </row>
    <row r="13" spans="2:121" s="3" customFormat="1" x14ac:dyDescent="0.25">
      <c r="B13" s="3" t="s">
        <v>33</v>
      </c>
      <c r="C13" s="3">
        <v>23.5</v>
      </c>
      <c r="D13" s="3">
        <v>25.1</v>
      </c>
      <c r="E13" s="3">
        <v>25.7</v>
      </c>
      <c r="F13" s="3">
        <f t="shared" si="6"/>
        <v>27.9</v>
      </c>
      <c r="G13" s="3">
        <v>31.6</v>
      </c>
      <c r="H13" s="3">
        <v>43.5</v>
      </c>
      <c r="I13" s="3">
        <v>48.1</v>
      </c>
      <c r="J13" s="3">
        <f t="shared" si="7"/>
        <v>42.800000000000004</v>
      </c>
      <c r="M13" s="3">
        <v>89.9</v>
      </c>
      <c r="N13" s="3">
        <v>82.99</v>
      </c>
      <c r="O13" s="3">
        <v>79.5</v>
      </c>
      <c r="P13" s="3">
        <v>93.1</v>
      </c>
      <c r="Q13" s="3">
        <v>98.4</v>
      </c>
      <c r="R13" s="3">
        <v>84.3</v>
      </c>
      <c r="S13" s="3">
        <v>102.2</v>
      </c>
      <c r="T13" s="3">
        <v>166</v>
      </c>
      <c r="U13" s="3">
        <f t="shared" ref="U13:AD13" si="9">+U$11*U39</f>
        <v>201.12155999999996</v>
      </c>
      <c r="V13" s="3">
        <f t="shared" si="9"/>
        <v>237.71451049999993</v>
      </c>
      <c r="W13" s="3">
        <f t="shared" si="9"/>
        <v>273.43593423999999</v>
      </c>
      <c r="X13" s="3">
        <f t="shared" si="9"/>
        <v>303.51388700639995</v>
      </c>
      <c r="Y13" s="3">
        <f t="shared" si="9"/>
        <v>333.86527570704004</v>
      </c>
      <c r="Z13" s="3">
        <f t="shared" si="9"/>
        <v>373.48981237648087</v>
      </c>
      <c r="AA13" s="3">
        <f t="shared" si="9"/>
        <v>407.10389549036421</v>
      </c>
      <c r="AB13" s="3">
        <f t="shared" si="9"/>
        <v>443.743246084497</v>
      </c>
      <c r="AC13" s="3">
        <f t="shared" si="9"/>
        <v>483.6801382321018</v>
      </c>
      <c r="AD13" s="3">
        <f t="shared" si="9"/>
        <v>527.21135067299099</v>
      </c>
    </row>
    <row r="14" spans="2:121" s="3" customFormat="1" x14ac:dyDescent="0.25">
      <c r="B14" s="3" t="s">
        <v>34</v>
      </c>
      <c r="C14" s="3">
        <v>58</v>
      </c>
      <c r="D14" s="3">
        <v>61.7</v>
      </c>
      <c r="E14" s="3">
        <v>72.7</v>
      </c>
      <c r="F14" s="3">
        <f t="shared" si="6"/>
        <v>86.600000000000023</v>
      </c>
      <c r="G14" s="3">
        <v>91.4</v>
      </c>
      <c r="H14" s="3">
        <v>88.6</v>
      </c>
      <c r="I14" s="3">
        <v>93.5</v>
      </c>
      <c r="J14" s="3">
        <f t="shared" si="7"/>
        <v>91.470000000000027</v>
      </c>
      <c r="M14" s="3">
        <v>134.19999999999999</v>
      </c>
      <c r="N14" s="3">
        <v>158.30000000000001</v>
      </c>
      <c r="O14" s="3">
        <v>174.5</v>
      </c>
      <c r="P14" s="3">
        <v>201.5</v>
      </c>
      <c r="Q14" s="3">
        <v>168.4</v>
      </c>
      <c r="R14" s="3">
        <v>165.98</v>
      </c>
      <c r="S14" s="3">
        <v>279</v>
      </c>
      <c r="T14" s="3">
        <v>364.97</v>
      </c>
      <c r="U14" s="3">
        <f t="shared" ref="U14:AD14" si="10">+U$11*U40</f>
        <v>424.58995999999996</v>
      </c>
      <c r="V14" s="3">
        <f t="shared" si="10"/>
        <v>488.2784539999999</v>
      </c>
      <c r="W14" s="3">
        <f t="shared" si="10"/>
        <v>546.87186847999999</v>
      </c>
      <c r="X14" s="3">
        <f t="shared" si="10"/>
        <v>623.0021891184</v>
      </c>
      <c r="Y14" s="3">
        <f t="shared" si="10"/>
        <v>685.30240803024003</v>
      </c>
      <c r="Z14" s="3">
        <f t="shared" si="10"/>
        <v>746.97962475296174</v>
      </c>
      <c r="AA14" s="3">
        <f t="shared" si="10"/>
        <v>835.08491382638806</v>
      </c>
      <c r="AB14" s="3">
        <f t="shared" si="10"/>
        <v>910.24255607076304</v>
      </c>
      <c r="AC14" s="3">
        <f t="shared" si="10"/>
        <v>992.16438611713193</v>
      </c>
      <c r="AD14" s="3">
        <f t="shared" si="10"/>
        <v>1081.4591808676739</v>
      </c>
    </row>
    <row r="15" spans="2:121" s="3" customFormat="1" x14ac:dyDescent="0.25">
      <c r="B15" s="3" t="s">
        <v>35</v>
      </c>
      <c r="C15" s="3">
        <v>14.4</v>
      </c>
      <c r="D15" s="3">
        <v>14.3</v>
      </c>
      <c r="E15" s="3">
        <v>12.7</v>
      </c>
      <c r="F15" s="3">
        <f t="shared" si="6"/>
        <v>13.599999999999996</v>
      </c>
      <c r="G15" s="3">
        <v>14.9</v>
      </c>
      <c r="H15" s="3">
        <v>15.5</v>
      </c>
      <c r="I15" s="3">
        <v>16.3</v>
      </c>
      <c r="J15" s="3">
        <f t="shared" si="7"/>
        <v>16.100000000000001</v>
      </c>
      <c r="M15" s="3">
        <v>32.35</v>
      </c>
      <c r="N15" s="3">
        <v>39.1</v>
      </c>
      <c r="O15" s="3">
        <v>42.3</v>
      </c>
      <c r="P15" s="3">
        <v>49.4</v>
      </c>
      <c r="Q15" s="3">
        <v>55.1</v>
      </c>
      <c r="R15" s="3">
        <v>56.2</v>
      </c>
      <c r="S15" s="3">
        <v>55</v>
      </c>
      <c r="T15" s="3">
        <v>62.8</v>
      </c>
      <c r="U15" s="3">
        <f t="shared" ref="U15:AD15" si="11">+U$11*U41</f>
        <v>78.213939999999994</v>
      </c>
      <c r="V15" s="3">
        <f t="shared" si="11"/>
        <v>89.946030999999991</v>
      </c>
      <c r="W15" s="3">
        <f t="shared" si="11"/>
        <v>99.300418223999998</v>
      </c>
      <c r="X15" s="3">
        <f t="shared" si="11"/>
        <v>110.22346422864</v>
      </c>
      <c r="Y15" s="3">
        <f t="shared" si="11"/>
        <v>119.48862498988801</v>
      </c>
      <c r="Z15" s="3">
        <f t="shared" si="11"/>
        <v>130.24260123897795</v>
      </c>
      <c r="AA15" s="3">
        <f t="shared" si="11"/>
        <v>139.87672306592</v>
      </c>
      <c r="AB15" s="3">
        <f t="shared" si="11"/>
        <v>152.46562814185282</v>
      </c>
      <c r="AC15" s="3">
        <f t="shared" si="11"/>
        <v>163.70712370932677</v>
      </c>
      <c r="AD15" s="3">
        <f t="shared" si="11"/>
        <v>178.44076484316619</v>
      </c>
    </row>
    <row r="16" spans="2:121" s="3" customFormat="1" x14ac:dyDescent="0.25">
      <c r="B16" s="3" t="s">
        <v>36</v>
      </c>
      <c r="C16" s="3">
        <v>3.2</v>
      </c>
      <c r="D16" s="3">
        <v>3.1</v>
      </c>
      <c r="E16" s="3">
        <v>3.4</v>
      </c>
      <c r="F16" s="3">
        <f t="shared" si="6"/>
        <v>9.1000000000000014</v>
      </c>
      <c r="G16" s="3">
        <v>6.9</v>
      </c>
      <c r="H16" s="3">
        <v>7.3</v>
      </c>
      <c r="I16" s="3">
        <v>5.15</v>
      </c>
      <c r="J16" s="3">
        <f t="shared" si="7"/>
        <v>13.15</v>
      </c>
      <c r="M16" s="3">
        <v>15.3</v>
      </c>
      <c r="N16" s="3">
        <v>16.600000000000001</v>
      </c>
      <c r="O16" s="3">
        <v>17.5</v>
      </c>
      <c r="P16" s="3">
        <v>17.2</v>
      </c>
      <c r="Q16" s="3">
        <v>35.6</v>
      </c>
      <c r="R16" s="3">
        <v>8.9</v>
      </c>
      <c r="S16" s="3">
        <v>18.8</v>
      </c>
      <c r="T16" s="3">
        <v>32.5</v>
      </c>
      <c r="U16" s="3">
        <f t="shared" ref="U16:AD16" si="12">+U$11*U42</f>
        <v>44.693679999999993</v>
      </c>
      <c r="V16" s="3">
        <f t="shared" si="12"/>
        <v>51.397731999999991</v>
      </c>
      <c r="W16" s="3">
        <f t="shared" si="12"/>
        <v>56.126323343999992</v>
      </c>
      <c r="X16" s="3">
        <f t="shared" si="12"/>
        <v>62.300218911839998</v>
      </c>
      <c r="Y16" s="3">
        <f t="shared" si="12"/>
        <v>66.773055141407994</v>
      </c>
      <c r="Z16" s="3">
        <f t="shared" si="12"/>
        <v>72.782630104134725</v>
      </c>
      <c r="AA16" s="3">
        <f t="shared" si="12"/>
        <v>79.333066813506861</v>
      </c>
      <c r="AB16" s="3">
        <f t="shared" si="12"/>
        <v>86.473042826722491</v>
      </c>
      <c r="AC16" s="3">
        <f t="shared" si="12"/>
        <v>94.25561668112752</v>
      </c>
      <c r="AD16" s="3">
        <f t="shared" si="12"/>
        <v>102.73862218242901</v>
      </c>
    </row>
    <row r="17" spans="2:121" s="3" customFormat="1" x14ac:dyDescent="0.25">
      <c r="B17" s="3" t="s">
        <v>37</v>
      </c>
      <c r="C17" s="3">
        <v>2.7</v>
      </c>
      <c r="D17" s="3">
        <v>2.8</v>
      </c>
      <c r="E17" s="3">
        <v>3</v>
      </c>
      <c r="F17" s="3">
        <f t="shared" si="6"/>
        <v>3.8000000000000007</v>
      </c>
      <c r="G17" s="3">
        <v>4.2</v>
      </c>
      <c r="H17" s="3">
        <v>3.9</v>
      </c>
      <c r="I17" s="3">
        <v>4.5999999999999996</v>
      </c>
      <c r="J17" s="3">
        <f t="shared" si="7"/>
        <v>5.4000000000000012</v>
      </c>
      <c r="M17" s="3">
        <v>8.9</v>
      </c>
      <c r="N17" s="3">
        <v>8.35</v>
      </c>
      <c r="O17" s="3">
        <v>9.25</v>
      </c>
      <c r="P17" s="3">
        <v>11.99</v>
      </c>
      <c r="Q17" s="3">
        <v>13.8</v>
      </c>
      <c r="R17" s="3">
        <v>13.1</v>
      </c>
      <c r="S17" s="3">
        <v>12.3</v>
      </c>
      <c r="T17" s="3">
        <v>18.100000000000001</v>
      </c>
      <c r="U17" s="3">
        <f t="shared" ref="U17:AD17" si="13">+U$11*U43</f>
        <v>22.346839999999997</v>
      </c>
      <c r="V17" s="3">
        <f t="shared" si="13"/>
        <v>25.698865999999995</v>
      </c>
      <c r="W17" s="3">
        <f t="shared" si="13"/>
        <v>28.782729919999998</v>
      </c>
      <c r="X17" s="3">
        <f t="shared" si="13"/>
        <v>31.948830211199997</v>
      </c>
      <c r="Y17" s="3">
        <f t="shared" si="13"/>
        <v>35.143713232320003</v>
      </c>
      <c r="Z17" s="3">
        <f t="shared" si="13"/>
        <v>38.306647423228803</v>
      </c>
      <c r="AA17" s="3">
        <f t="shared" si="13"/>
        <v>41.754245691319404</v>
      </c>
      <c r="AB17" s="3">
        <f t="shared" si="13"/>
        <v>45.512127803538149</v>
      </c>
      <c r="AC17" s="3">
        <f t="shared" si="13"/>
        <v>49.608219305856593</v>
      </c>
      <c r="AD17" s="3">
        <f t="shared" si="13"/>
        <v>54.07295904338369</v>
      </c>
    </row>
    <row r="18" spans="2:121" s="3" customFormat="1" x14ac:dyDescent="0.25">
      <c r="B18" s="3" t="s">
        <v>48</v>
      </c>
      <c r="C18" s="3">
        <v>-0.1</v>
      </c>
      <c r="D18" s="3">
        <v>-0.6</v>
      </c>
      <c r="E18" s="3">
        <v>-0.3</v>
      </c>
      <c r="F18" s="3">
        <f t="shared" si="6"/>
        <v>-0.44999999999999996</v>
      </c>
      <c r="G18" s="3">
        <v>-0.15</v>
      </c>
      <c r="H18" s="3">
        <v>-1.2</v>
      </c>
      <c r="I18" s="3">
        <v>-1.3</v>
      </c>
      <c r="J18" s="3">
        <f t="shared" si="7"/>
        <v>-0.6</v>
      </c>
      <c r="M18" s="3">
        <v>-5.75</v>
      </c>
      <c r="N18" s="3">
        <v>-4.7</v>
      </c>
      <c r="O18" s="3">
        <v>-0.1</v>
      </c>
      <c r="P18" s="3">
        <v>-1.3</v>
      </c>
      <c r="Q18" s="3">
        <v>0.6</v>
      </c>
      <c r="R18" s="3">
        <v>0.4</v>
      </c>
      <c r="S18" s="3">
        <v>-1.45</v>
      </c>
      <c r="T18" s="3">
        <v>-3.25</v>
      </c>
      <c r="U18" s="3">
        <f t="shared" ref="U18:AD18" si="14">+U$11*U44</f>
        <v>0</v>
      </c>
      <c r="V18" s="3">
        <f t="shared" si="14"/>
        <v>0</v>
      </c>
      <c r="W18" s="3">
        <f t="shared" si="14"/>
        <v>0</v>
      </c>
      <c r="X18" s="3">
        <f t="shared" si="14"/>
        <v>0</v>
      </c>
      <c r="Y18" s="3">
        <f t="shared" si="14"/>
        <v>0</v>
      </c>
      <c r="Z18" s="3">
        <f t="shared" si="14"/>
        <v>0</v>
      </c>
      <c r="AA18" s="3">
        <f t="shared" si="14"/>
        <v>0</v>
      </c>
      <c r="AB18" s="3">
        <f t="shared" si="14"/>
        <v>0</v>
      </c>
      <c r="AC18" s="3">
        <f t="shared" si="14"/>
        <v>0</v>
      </c>
      <c r="AD18" s="3">
        <f t="shared" si="14"/>
        <v>0</v>
      </c>
    </row>
    <row r="19" spans="2:121" s="4" customFormat="1" x14ac:dyDescent="0.25">
      <c r="B19" s="4" t="s">
        <v>38</v>
      </c>
      <c r="C19" s="4">
        <f t="shared" ref="C19" si="15">+C11-SUM(C12:C18)</f>
        <v>13.699999999999989</v>
      </c>
      <c r="D19" s="4">
        <f t="shared" ref="D19" si="16">+D11-SUM(D12:D18)</f>
        <v>21.099999999999966</v>
      </c>
      <c r="E19" s="4">
        <f t="shared" ref="E19" si="17">+E11-SUM(E12:E18)</f>
        <v>31.000000000000028</v>
      </c>
      <c r="F19" s="4">
        <f t="shared" ref="F19" si="18">+F11-SUM(F12:F18)</f>
        <v>34.473000000000013</v>
      </c>
      <c r="G19" s="4">
        <f t="shared" ref="G19" si="19">+G11-SUM(G12:G18)</f>
        <v>31.349999999999994</v>
      </c>
      <c r="H19" s="4">
        <f t="shared" ref="H19:J19" si="20">+H11-SUM(H12:H18)</f>
        <v>36.589999999999975</v>
      </c>
      <c r="I19" s="4">
        <f t="shared" ref="I19" si="21">+I11-SUM(I12:I18)</f>
        <v>35.400000000000006</v>
      </c>
      <c r="J19" s="4">
        <f t="shared" si="20"/>
        <v>20.539999999999907</v>
      </c>
      <c r="M19" s="4">
        <f t="shared" ref="M19" si="22">+M11-SUM(M12:M18)</f>
        <v>36.20999999999998</v>
      </c>
      <c r="N19" s="4">
        <f t="shared" ref="N19" si="23">+N11-SUM(N12:N18)</f>
        <v>19.959999999999923</v>
      </c>
      <c r="O19" s="4">
        <f t="shared" ref="O19" si="24">+O11-SUM(O12:O18)</f>
        <v>12.650000000000034</v>
      </c>
      <c r="P19" s="4">
        <f t="shared" ref="P19" si="25">+P11-SUM(P12:P18)</f>
        <v>41.565000000000055</v>
      </c>
      <c r="Q19" s="4">
        <f t="shared" ref="Q19:U19" si="26">+Q11-SUM(Q12:Q18)</f>
        <v>12.599999999999966</v>
      </c>
      <c r="R19" s="4">
        <f t="shared" si="26"/>
        <v>33.82000000000005</v>
      </c>
      <c r="S19" s="4">
        <f>+S11-SUM(S12:S18)</f>
        <v>100.27300000000014</v>
      </c>
      <c r="T19" s="4">
        <f t="shared" si="26"/>
        <v>123.88</v>
      </c>
      <c r="U19" s="4">
        <f t="shared" si="26"/>
        <v>122.90762000000007</v>
      </c>
      <c r="V19" s="4">
        <f t="shared" ref="V19" si="27">+V11-SUM(V12:V18)</f>
        <v>122.06961350000006</v>
      </c>
      <c r="W19" s="4">
        <f t="shared" ref="W19" si="28">+W11-SUM(W12:W18)</f>
        <v>118.00919267199993</v>
      </c>
      <c r="X19" s="4">
        <f t="shared" ref="X19" si="29">+X11-SUM(X12:X18)</f>
        <v>99.041373654720019</v>
      </c>
      <c r="Y19" s="4">
        <f t="shared" ref="Y19" si="30">+Y11-SUM(Y12:Y18)</f>
        <v>94.888025727264221</v>
      </c>
      <c r="Z19" s="4">
        <f t="shared" ref="Z19" si="31">+Z11-SUM(Z12:Z18)</f>
        <v>93.851286186910556</v>
      </c>
      <c r="AA19" s="4">
        <f t="shared" ref="AA19" si="32">+AA11-SUM(AA12:AA18)</f>
        <v>83.508491382638795</v>
      </c>
      <c r="AB19" s="4">
        <f t="shared" ref="AB19" si="33">+AB11-SUM(AB12:AB18)</f>
        <v>91.024255607076157</v>
      </c>
      <c r="AC19" s="4">
        <f t="shared" ref="AC19" si="34">+AC11-SUM(AC12:AC18)</f>
        <v>101.69684957700611</v>
      </c>
      <c r="AD19" s="4">
        <f t="shared" ref="AD19" si="35">+AD11-SUM(AD12:AD18)</f>
        <v>110.84956603893625</v>
      </c>
    </row>
    <row r="20" spans="2:121" s="3" customFormat="1" x14ac:dyDescent="0.25">
      <c r="B20" s="3" t="s">
        <v>39</v>
      </c>
      <c r="C20" s="3">
        <v>4.7</v>
      </c>
      <c r="D20" s="3">
        <v>2.1</v>
      </c>
      <c r="E20" s="3">
        <v>0.04</v>
      </c>
      <c r="F20" s="3">
        <f t="shared" ref="F20:F21" si="36">+S20-E20-D20-C20</f>
        <v>3.4900000000000011</v>
      </c>
      <c r="G20" s="3">
        <v>1.9</v>
      </c>
      <c r="H20" s="3">
        <v>-2.9</v>
      </c>
      <c r="I20" s="3">
        <v>-1.9</v>
      </c>
      <c r="J20" s="3">
        <f t="shared" ref="J20:J21" si="37">+T20-I20-H20-G20</f>
        <v>6.0679999999999996</v>
      </c>
      <c r="M20" s="3">
        <v>1.5</v>
      </c>
      <c r="N20" s="3">
        <v>1.5</v>
      </c>
      <c r="O20" s="3">
        <v>5.85</v>
      </c>
      <c r="P20" s="3">
        <v>-4</v>
      </c>
      <c r="Q20" s="3">
        <v>6.2220000000000004</v>
      </c>
      <c r="R20" s="3">
        <v>-1.7</v>
      </c>
      <c r="S20" s="3">
        <v>10.33</v>
      </c>
      <c r="T20" s="3">
        <v>3.1680000000000001</v>
      </c>
    </row>
    <row r="21" spans="2:121" s="3" customFormat="1" x14ac:dyDescent="0.25">
      <c r="B21" s="3" t="s">
        <v>40</v>
      </c>
      <c r="C21" s="3">
        <v>-2.2999999999999998</v>
      </c>
      <c r="D21" s="3">
        <v>-2.2000000000000002</v>
      </c>
      <c r="E21" s="3">
        <v>-1.9</v>
      </c>
      <c r="F21" s="3">
        <f t="shared" si="36"/>
        <v>-1.5999999999999996</v>
      </c>
      <c r="G21" s="3">
        <v>-1.7</v>
      </c>
      <c r="H21" s="3">
        <v>-2</v>
      </c>
      <c r="I21" s="3">
        <v>-1.9</v>
      </c>
      <c r="J21" s="3">
        <f t="shared" si="37"/>
        <v>-2.3299999999999992</v>
      </c>
      <c r="M21" s="3">
        <v>-2.8</v>
      </c>
      <c r="N21" s="3">
        <v>-3.6</v>
      </c>
      <c r="O21" s="3">
        <v>-3.9</v>
      </c>
      <c r="P21" s="3">
        <v>-6.2</v>
      </c>
      <c r="Q21" s="3">
        <v>-8.6999999999999993</v>
      </c>
      <c r="R21" s="3">
        <v>-8.8000000000000007</v>
      </c>
      <c r="S21" s="3">
        <v>-8</v>
      </c>
      <c r="T21" s="3">
        <v>-7.93</v>
      </c>
      <c r="U21" s="3">
        <f>+U47*T7</f>
        <v>-10.068165</v>
      </c>
      <c r="V21" s="3">
        <f t="shared" ref="V21:AD21" si="38">+V47*U7</f>
        <v>-6.1411357809999982</v>
      </c>
      <c r="W21" s="3">
        <f t="shared" si="38"/>
        <v>-1.059811701010196</v>
      </c>
      <c r="X21" s="3">
        <f t="shared" si="38"/>
        <v>2.8872299067607075</v>
      </c>
      <c r="Y21" s="3">
        <f t="shared" si="38"/>
        <v>5.9054989251633039</v>
      </c>
      <c r="Z21" s="3">
        <f t="shared" si="38"/>
        <v>8.3925786948349828</v>
      </c>
      <c r="AA21" s="3">
        <f t="shared" si="38"/>
        <v>11.343336635322158</v>
      </c>
      <c r="AB21" s="3">
        <f t="shared" si="38"/>
        <v>14.043768178993508</v>
      </c>
      <c r="AC21" s="3">
        <f t="shared" si="38"/>
        <v>17.03505481618291</v>
      </c>
      <c r="AD21" s="3">
        <f t="shared" si="38"/>
        <v>20.369046691543659</v>
      </c>
    </row>
    <row r="22" spans="2:121" s="4" customFormat="1" x14ac:dyDescent="0.25">
      <c r="B22" s="4" t="s">
        <v>41</v>
      </c>
      <c r="C22" s="4">
        <f t="shared" ref="C22" si="39">+C19+C20+C21</f>
        <v>16.099999999999987</v>
      </c>
      <c r="D22" s="4">
        <f t="shared" ref="D22" si="40">+D19+D20+D21</f>
        <v>20.999999999999968</v>
      </c>
      <c r="E22" s="4">
        <f t="shared" ref="E22" si="41">+E19+E20+E21</f>
        <v>29.140000000000029</v>
      </c>
      <c r="F22" s="4">
        <f t="shared" ref="F22" si="42">+F19+F20+F21</f>
        <v>36.363000000000014</v>
      </c>
      <c r="G22" s="4">
        <f t="shared" ref="G22" si="43">+G19+G20+G21</f>
        <v>31.549999999999994</v>
      </c>
      <c r="H22" s="4">
        <f t="shared" ref="H22:J22" si="44">+H19+H20+H21</f>
        <v>31.689999999999976</v>
      </c>
      <c r="I22" s="4">
        <f t="shared" ref="I22" si="45">+I19+I20+I21</f>
        <v>31.600000000000009</v>
      </c>
      <c r="J22" s="4">
        <f t="shared" si="44"/>
        <v>24.277999999999906</v>
      </c>
      <c r="M22" s="4">
        <f t="shared" ref="M22" si="46">+M19+M20+M21</f>
        <v>34.909999999999982</v>
      </c>
      <c r="N22" s="4">
        <f t="shared" ref="N22" si="47">+N19+N20+N21</f>
        <v>17.859999999999921</v>
      </c>
      <c r="O22" s="4">
        <f t="shared" ref="O22" si="48">+O19+O20+O21</f>
        <v>14.600000000000035</v>
      </c>
      <c r="P22" s="4">
        <f t="shared" ref="P22" si="49">+P19+P20+P21</f>
        <v>31.365000000000055</v>
      </c>
      <c r="Q22" s="4">
        <f t="shared" ref="Q22:U22" si="50">+Q19+Q20+Q21</f>
        <v>10.121999999999968</v>
      </c>
      <c r="R22" s="4">
        <f t="shared" si="50"/>
        <v>23.320000000000046</v>
      </c>
      <c r="S22" s="4">
        <f>+S19+S20+S21</f>
        <v>102.60300000000014</v>
      </c>
      <c r="T22" s="4">
        <f t="shared" si="50"/>
        <v>119.11799999999999</v>
      </c>
      <c r="U22" s="4">
        <f t="shared" si="50"/>
        <v>112.83945500000007</v>
      </c>
      <c r="V22" s="4">
        <f t="shared" ref="V22" si="51">+V19+V20+V21</f>
        <v>115.92847771900006</v>
      </c>
      <c r="W22" s="4">
        <f t="shared" ref="W22" si="52">+W19+W20+W21</f>
        <v>116.94938097098974</v>
      </c>
      <c r="X22" s="4">
        <f t="shared" ref="X22" si="53">+X19+X20+X21</f>
        <v>101.92860356148073</v>
      </c>
      <c r="Y22" s="4">
        <f t="shared" ref="Y22" si="54">+Y19+Y20+Y21</f>
        <v>100.79352465242752</v>
      </c>
      <c r="Z22" s="4">
        <f t="shared" ref="Z22" si="55">+Z19+Z20+Z21</f>
        <v>102.24386488174554</v>
      </c>
      <c r="AA22" s="4">
        <f t="shared" ref="AA22" si="56">+AA19+AA20+AA21</f>
        <v>94.851828017960955</v>
      </c>
      <c r="AB22" s="4">
        <f t="shared" ref="AB22" si="57">+AB19+AB20+AB21</f>
        <v>105.06802378606966</v>
      </c>
      <c r="AC22" s="4">
        <f t="shared" ref="AC22" si="58">+AC19+AC20+AC21</f>
        <v>118.73190439318901</v>
      </c>
      <c r="AD22" s="4">
        <f t="shared" ref="AD22" si="59">+AD19+AD20+AD21</f>
        <v>131.21861273047989</v>
      </c>
    </row>
    <row r="23" spans="2:121" s="3" customFormat="1" x14ac:dyDescent="0.25">
      <c r="B23" s="3" t="s">
        <v>42</v>
      </c>
      <c r="C23" s="3">
        <v>4.125</v>
      </c>
      <c r="D23" s="3">
        <v>5.63</v>
      </c>
      <c r="E23" s="3">
        <v>7.6</v>
      </c>
      <c r="F23" s="3">
        <f>+S23-E23-D23-C23</f>
        <v>8.6449999999999996</v>
      </c>
      <c r="G23" s="3">
        <v>7.7</v>
      </c>
      <c r="H23" s="3">
        <v>7.6</v>
      </c>
      <c r="I23" s="3">
        <v>7.12</v>
      </c>
      <c r="J23" s="3">
        <f>+T23-I23-H23-G23</f>
        <v>5.9099999999999975</v>
      </c>
      <c r="M23" s="3">
        <v>13.5</v>
      </c>
      <c r="N23" s="3">
        <v>6.67</v>
      </c>
      <c r="O23" s="3">
        <v>-24.27</v>
      </c>
      <c r="P23" s="3">
        <v>7.35</v>
      </c>
      <c r="Q23" s="3">
        <v>2.2000000000000002</v>
      </c>
      <c r="R23" s="3">
        <v>5.6</v>
      </c>
      <c r="S23" s="3">
        <v>26</v>
      </c>
      <c r="T23" s="3">
        <v>28.33</v>
      </c>
      <c r="U23" s="3">
        <f>+U22*U46</f>
        <v>27.081469200000015</v>
      </c>
      <c r="V23" s="3">
        <f t="shared" ref="V23:AD23" si="60">+V22*V46</f>
        <v>27.822834652560012</v>
      </c>
      <c r="W23" s="3">
        <f t="shared" si="60"/>
        <v>29.237345242747434</v>
      </c>
      <c r="X23" s="3">
        <f t="shared" si="60"/>
        <v>25.482150890370182</v>
      </c>
      <c r="Y23" s="3">
        <f t="shared" si="60"/>
        <v>26.206316409631157</v>
      </c>
      <c r="Z23" s="3">
        <f t="shared" si="60"/>
        <v>26.58340486925384</v>
      </c>
      <c r="AA23" s="3">
        <f t="shared" si="60"/>
        <v>25.609993564849461</v>
      </c>
      <c r="AB23" s="3">
        <f t="shared" si="60"/>
        <v>28.368366422238811</v>
      </c>
      <c r="AC23" s="3">
        <f t="shared" si="60"/>
        <v>33.244933230092926</v>
      </c>
      <c r="AD23" s="3">
        <f t="shared" si="60"/>
        <v>36.741211564534375</v>
      </c>
    </row>
    <row r="24" spans="2:121" s="4" customFormat="1" x14ac:dyDescent="0.25">
      <c r="B24" s="4" t="s">
        <v>43</v>
      </c>
      <c r="C24" s="4">
        <f t="shared" ref="C24" si="61">+C22-C23</f>
        <v>11.974999999999987</v>
      </c>
      <c r="D24" s="4">
        <f t="shared" ref="D24" si="62">+D22-D23</f>
        <v>15.369999999999969</v>
      </c>
      <c r="E24" s="4">
        <f t="shared" ref="E24" si="63">+E22-E23</f>
        <v>21.540000000000028</v>
      </c>
      <c r="F24" s="4">
        <f t="shared" ref="F24" si="64">+F22-F23</f>
        <v>27.718000000000014</v>
      </c>
      <c r="G24" s="4">
        <f t="shared" ref="G24" si="65">+G22-G23</f>
        <v>23.849999999999994</v>
      </c>
      <c r="H24" s="4">
        <f t="shared" ref="H24:J24" si="66">+H22-H23</f>
        <v>24.089999999999975</v>
      </c>
      <c r="I24" s="4">
        <f t="shared" ref="I24" si="67">+I22-I23</f>
        <v>24.480000000000008</v>
      </c>
      <c r="J24" s="4">
        <f t="shared" si="66"/>
        <v>18.36799999999991</v>
      </c>
      <c r="M24" s="4">
        <f t="shared" ref="M24" si="68">+M22-M23</f>
        <v>21.409999999999982</v>
      </c>
      <c r="N24" s="4">
        <f t="shared" ref="N24" si="69">+N22-N23</f>
        <v>11.189999999999921</v>
      </c>
      <c r="O24" s="4">
        <f t="shared" ref="O24" si="70">+O22-O23</f>
        <v>38.870000000000033</v>
      </c>
      <c r="P24" s="4">
        <f t="shared" ref="P24" si="71">+P22-P23</f>
        <v>24.015000000000057</v>
      </c>
      <c r="Q24" s="4">
        <f t="shared" ref="Q24:U24" si="72">+Q22-Q23</f>
        <v>7.9219999999999677</v>
      </c>
      <c r="R24" s="4">
        <f t="shared" si="72"/>
        <v>17.720000000000049</v>
      </c>
      <c r="S24" s="4">
        <f>+S22-S23</f>
        <v>76.603000000000137</v>
      </c>
      <c r="T24" s="4">
        <f t="shared" si="72"/>
        <v>90.787999999999997</v>
      </c>
      <c r="U24" s="4">
        <f t="shared" si="72"/>
        <v>85.757985800000057</v>
      </c>
      <c r="V24" s="4">
        <f t="shared" ref="V24" si="73">+V22-V23</f>
        <v>88.105643066440052</v>
      </c>
      <c r="W24" s="4">
        <f t="shared" ref="W24" si="74">+W22-W23</f>
        <v>87.712035728242299</v>
      </c>
      <c r="X24" s="4">
        <f t="shared" ref="X24" si="75">+X22-X23</f>
        <v>76.446452671110549</v>
      </c>
      <c r="Y24" s="4">
        <f t="shared" ref="Y24" si="76">+Y22-Y23</f>
        <v>74.587208242796365</v>
      </c>
      <c r="Z24" s="4">
        <f t="shared" ref="Z24" si="77">+Z22-Z23</f>
        <v>75.660460012491697</v>
      </c>
      <c r="AA24" s="4">
        <f t="shared" ref="AA24" si="78">+AA22-AA23</f>
        <v>69.241834453111494</v>
      </c>
      <c r="AB24" s="4">
        <f t="shared" ref="AB24" si="79">+AB22-AB23</f>
        <v>76.699657363830852</v>
      </c>
      <c r="AC24" s="4">
        <f t="shared" ref="AC24" si="80">+AC22-AC23</f>
        <v>85.486971163096086</v>
      </c>
      <c r="AD24" s="4">
        <f t="shared" ref="AD24" si="81">+AD22-AD23</f>
        <v>94.477401165945508</v>
      </c>
      <c r="AE24" s="4">
        <f>+AD24*(1+Dash!$C$2)</f>
        <v>93.532627154286047</v>
      </c>
      <c r="AF24" s="4">
        <f>+AE24*(1+Dash!$C$2)</f>
        <v>92.597300882743184</v>
      </c>
      <c r="AG24" s="4">
        <f>+AF24*(1+Dash!$C$2)</f>
        <v>91.671327873915757</v>
      </c>
      <c r="AH24" s="4">
        <f>+AG24*(1+Dash!$C$2)</f>
        <v>90.754614595176605</v>
      </c>
      <c r="AI24" s="4">
        <f>+AH24*(1+Dash!$C$2)</f>
        <v>89.847068449224835</v>
      </c>
      <c r="AJ24" s="4">
        <f>+AI24*(1+Dash!$C$2)</f>
        <v>88.948597764732583</v>
      </c>
      <c r="AK24" s="4">
        <f>+AJ24*(1+Dash!$C$2)</f>
        <v>88.059111787085257</v>
      </c>
      <c r="AL24" s="4">
        <f>+AK24*(1+Dash!$C$2)</f>
        <v>87.178520669214407</v>
      </c>
      <c r="AM24" s="4">
        <f>+AL24*(1+Dash!$C$2)</f>
        <v>86.306735462522269</v>
      </c>
      <c r="AN24" s="4">
        <f>+AM24*(1+Dash!$C$2)</f>
        <v>85.443668107897039</v>
      </c>
      <c r="AO24" s="4">
        <f>+AN24*(1+Dash!$C$2)</f>
        <v>84.589231426818074</v>
      </c>
      <c r="AP24" s="4">
        <f>+AO24*(1+Dash!$C$2)</f>
        <v>83.74333911254989</v>
      </c>
      <c r="AQ24" s="4">
        <f>+AP24*(1+Dash!$C$2)</f>
        <v>82.905905721424389</v>
      </c>
      <c r="AR24" s="4">
        <f>+AQ24*(1+Dash!$C$2)</f>
        <v>82.076846664210152</v>
      </c>
      <c r="AS24" s="4">
        <f>+AR24*(1+Dash!$C$2)</f>
        <v>81.256078197568044</v>
      </c>
      <c r="AT24" s="4">
        <f>+AS24*(1+Dash!$C$2)</f>
        <v>80.443517415592368</v>
      </c>
      <c r="AU24" s="4">
        <f>+AT24*(1+Dash!$C$2)</f>
        <v>79.639082241436441</v>
      </c>
      <c r="AV24" s="4">
        <f>+AU24*(1+Dash!$C$2)</f>
        <v>78.842691419022074</v>
      </c>
      <c r="AW24" s="4">
        <f>+AV24*(1+Dash!$C$2)</f>
        <v>78.054264504831849</v>
      </c>
      <c r="AX24" s="4">
        <f>+AW24*(1+Dash!$C$2)</f>
        <v>77.273721859783535</v>
      </c>
      <c r="AY24" s="4">
        <f>+AX24*(1+Dash!$C$2)</f>
        <v>76.500984641185696</v>
      </c>
      <c r="AZ24" s="4">
        <f>+AY24*(1+Dash!$C$2)</f>
        <v>75.735974794773838</v>
      </c>
      <c r="BA24" s="4">
        <f>+AZ24*(1+Dash!$C$2)</f>
        <v>74.978615046826093</v>
      </c>
      <c r="BB24" s="4">
        <f>+BA24*(1+Dash!$C$2)</f>
        <v>74.228828896357825</v>
      </c>
      <c r="BC24" s="4">
        <f>+BB24*(1+Dash!$C$2)</f>
        <v>73.486540607394247</v>
      </c>
      <c r="BD24" s="4">
        <f>+BC24*(1+Dash!$C$2)</f>
        <v>72.75167520132031</v>
      </c>
      <c r="BE24" s="4">
        <f>+BD24*(1+Dash!$C$2)</f>
        <v>72.024158449307109</v>
      </c>
      <c r="BF24" s="4">
        <f>+BE24*(1+Dash!$C$2)</f>
        <v>71.303916864814042</v>
      </c>
      <c r="BG24" s="4">
        <f>+BF24*(1+Dash!$C$2)</f>
        <v>70.590877696165904</v>
      </c>
      <c r="BH24" s="4">
        <f>+BG24*(1+Dash!$C$2)</f>
        <v>69.88496891920424</v>
      </c>
      <c r="BI24" s="4">
        <f>+BH24*(1+Dash!$C$2)</f>
        <v>69.186119230012196</v>
      </c>
      <c r="BJ24" s="4">
        <f>+BI24*(1+Dash!$C$2)</f>
        <v>68.494258037712072</v>
      </c>
      <c r="BK24" s="4">
        <f>+BJ24*(1+Dash!$C$2)</f>
        <v>67.809315457334947</v>
      </c>
      <c r="BL24" s="4">
        <f>+BK24*(1+Dash!$C$2)</f>
        <v>67.1312223027616</v>
      </c>
      <c r="BM24" s="4">
        <f>+BL24*(1+Dash!$C$2)</f>
        <v>66.459910079733987</v>
      </c>
      <c r="BN24" s="4">
        <f>+BM24*(1+Dash!$C$2)</f>
        <v>65.795310978936641</v>
      </c>
      <c r="BO24" s="4">
        <f>+BN24*(1+Dash!$C$2)</f>
        <v>65.13735786914728</v>
      </c>
      <c r="BP24" s="4">
        <f>+BO24*(1+Dash!$C$2)</f>
        <v>64.485984290455804</v>
      </c>
      <c r="BQ24" s="4">
        <f>+BP24*(1+Dash!$C$2)</f>
        <v>63.841124447551245</v>
      </c>
      <c r="BR24" s="4">
        <f>+BQ24*(1+Dash!$C$2)</f>
        <v>63.202713203075731</v>
      </c>
      <c r="BS24" s="4">
        <f>+BR24*(1+Dash!$C$2)</f>
        <v>62.570686071044975</v>
      </c>
      <c r="BT24" s="4">
        <f>+BS24*(1+Dash!$C$2)</f>
        <v>61.944979210334523</v>
      </c>
      <c r="BU24" s="4">
        <f>+BT24*(1+Dash!$C$2)</f>
        <v>61.325529418231177</v>
      </c>
      <c r="BV24" s="4">
        <f>+BU24*(1+Dash!$C$2)</f>
        <v>60.712274124048868</v>
      </c>
      <c r="BW24" s="4">
        <f>+BV24*(1+Dash!$C$2)</f>
        <v>60.10515138280838</v>
      </c>
      <c r="BX24" s="4">
        <f>+BW24*(1+Dash!$C$2)</f>
        <v>59.504099868980298</v>
      </c>
      <c r="BY24" s="4">
        <f>+BX24*(1+Dash!$C$2)</f>
        <v>58.909058870290494</v>
      </c>
      <c r="BZ24" s="4">
        <f>+BY24*(1+Dash!$C$2)</f>
        <v>58.319968281587592</v>
      </c>
      <c r="CA24" s="4">
        <f>+BZ24*(1+Dash!$C$2)</f>
        <v>57.736768598771718</v>
      </c>
      <c r="CB24" s="4">
        <f>+CA24*(1+Dash!$C$2)</f>
        <v>57.159400912784001</v>
      </c>
      <c r="CC24" s="4">
        <f>+CB24*(1+Dash!$C$2)</f>
        <v>56.587806903656158</v>
      </c>
      <c r="CD24" s="4">
        <f>+CC24*(1+Dash!$C$2)</f>
        <v>56.021928834619594</v>
      </c>
      <c r="CE24" s="4">
        <f>+CD24*(1+Dash!$C$2)</f>
        <v>55.461709546273397</v>
      </c>
      <c r="CF24" s="4">
        <f>+CE24*(1+Dash!$C$2)</f>
        <v>54.907092450810666</v>
      </c>
      <c r="CG24" s="4">
        <f>+CF24*(1+Dash!$C$2)</f>
        <v>54.358021526302558</v>
      </c>
      <c r="CH24" s="4">
        <f>+CG24*(1+Dash!$C$2)</f>
        <v>53.814441311039531</v>
      </c>
      <c r="CI24" s="4">
        <f>+CH24*(1+Dash!$C$2)</f>
        <v>53.276296897929136</v>
      </c>
      <c r="CJ24" s="4">
        <f>+CI24*(1+Dash!$C$2)</f>
        <v>52.743533928949844</v>
      </c>
      <c r="CK24" s="4">
        <f>+CJ24*(1+Dash!$C$2)</f>
        <v>52.216098589660348</v>
      </c>
      <c r="CL24" s="4">
        <f>+CK24*(1+Dash!$C$2)</f>
        <v>51.693937603763743</v>
      </c>
      <c r="CM24" s="4">
        <f>+CL24*(1+Dash!$C$2)</f>
        <v>51.176998227726102</v>
      </c>
      <c r="CN24" s="4">
        <f>+CM24*(1+Dash!$C$2)</f>
        <v>50.665228245448837</v>
      </c>
      <c r="CO24" s="4">
        <f>+CN24*(1+Dash!$C$2)</f>
        <v>50.158575962994348</v>
      </c>
      <c r="CP24" s="4">
        <f>+CO24*(1+Dash!$C$2)</f>
        <v>49.656990203364401</v>
      </c>
      <c r="CQ24" s="4">
        <f>+CP24*(1+Dash!$C$2)</f>
        <v>49.16042030133076</v>
      </c>
      <c r="CR24" s="4">
        <f>+CQ24*(1+Dash!$C$2)</f>
        <v>48.66881609831745</v>
      </c>
      <c r="CS24" s="4">
        <f>+CR24*(1+Dash!$C$2)</f>
        <v>48.182127937334272</v>
      </c>
      <c r="CT24" s="4">
        <f>+CS24*(1+Dash!$C$2)</f>
        <v>47.70030665796093</v>
      </c>
      <c r="CU24" s="4">
        <f>+CT24*(1+Dash!$C$2)</f>
        <v>47.223303591381317</v>
      </c>
      <c r="CV24" s="4">
        <f>+CU24*(1+Dash!$C$2)</f>
        <v>46.7510705554675</v>
      </c>
      <c r="CW24" s="4">
        <f>+CV24*(1+Dash!$C$2)</f>
        <v>46.283559849912827</v>
      </c>
      <c r="CX24" s="4">
        <f>+CW24*(1+Dash!$C$2)</f>
        <v>45.820724251413701</v>
      </c>
      <c r="CY24" s="4">
        <f>+CX24*(1+Dash!$C$2)</f>
        <v>45.362517008899566</v>
      </c>
      <c r="CZ24" s="4">
        <f>+CY24*(1+Dash!$C$2)</f>
        <v>44.908891838810568</v>
      </c>
      <c r="DA24" s="4">
        <f>+CZ24*(1+Dash!$C$2)</f>
        <v>44.459802920422462</v>
      </c>
      <c r="DB24" s="4">
        <f>+DA24*(1+Dash!$C$2)</f>
        <v>44.015204891218239</v>
      </c>
      <c r="DC24" s="4">
        <f>+DB24*(1+Dash!$C$2)</f>
        <v>43.575052842306057</v>
      </c>
      <c r="DD24" s="4">
        <f>+DC24*(1+Dash!$C$2)</f>
        <v>43.139302313882993</v>
      </c>
      <c r="DE24" s="4">
        <f>+DD24*(1+Dash!$C$2)</f>
        <v>42.707909290744162</v>
      </c>
      <c r="DF24" s="4">
        <f>+DE24*(1+Dash!$C$2)</f>
        <v>42.280830197836721</v>
      </c>
      <c r="DG24" s="4">
        <f>+DF24*(1+Dash!$C$2)</f>
        <v>41.85802189585835</v>
      </c>
      <c r="DH24" s="4">
        <f>+DG24*(1+Dash!$C$2)</f>
        <v>41.439441676899769</v>
      </c>
      <c r="DI24" s="4">
        <f>+DH24*(1+Dash!$C$2)</f>
        <v>41.025047260130769</v>
      </c>
      <c r="DJ24" s="4">
        <f>+DI24*(1+Dash!$C$2)</f>
        <v>40.614796787529464</v>
      </c>
      <c r="DK24" s="4">
        <f>+DJ24*(1+Dash!$C$2)</f>
        <v>40.208648819654172</v>
      </c>
      <c r="DL24" s="4">
        <f>+DK24*(1+Dash!$C$2)</f>
        <v>39.806562331457627</v>
      </c>
      <c r="DM24" s="4">
        <f>+DL24*(1+Dash!$C$2)</f>
        <v>39.408496708143048</v>
      </c>
      <c r="DN24" s="4">
        <f>+DM24*(1+Dash!$C$2)</f>
        <v>39.014411741061615</v>
      </c>
      <c r="DO24" s="4">
        <f>+DN24*(1+Dash!$C$2)</f>
        <v>38.624267623651001</v>
      </c>
      <c r="DP24" s="4">
        <f>+DO24*(1+Dash!$C$2)</f>
        <v>38.238024947414488</v>
      </c>
      <c r="DQ24" s="4">
        <f>+DP24*(1+Dash!$C$2)</f>
        <v>37.855644697940342</v>
      </c>
    </row>
    <row r="25" spans="2:121" s="3" customFormat="1" x14ac:dyDescent="0.25">
      <c r="B25" s="3" t="s">
        <v>1</v>
      </c>
      <c r="C25" s="3">
        <v>22.9</v>
      </c>
      <c r="D25" s="3">
        <v>22.9</v>
      </c>
      <c r="E25" s="3">
        <v>22.724</v>
      </c>
      <c r="F25" s="3">
        <v>22.713999999999999</v>
      </c>
      <c r="G25" s="3">
        <v>22.292000000000002</v>
      </c>
      <c r="H25" s="3">
        <v>22.268000000000001</v>
      </c>
      <c r="I25" s="3">
        <v>22.263000000000002</v>
      </c>
      <c r="J25" s="3">
        <v>22.436</v>
      </c>
      <c r="M25" s="3">
        <v>7.2880000000000003</v>
      </c>
      <c r="N25" s="3">
        <v>6.6269999999999998</v>
      </c>
      <c r="O25" s="3">
        <v>6.3310000000000004</v>
      </c>
      <c r="P25" s="3">
        <v>6.0830000000000002</v>
      </c>
      <c r="Q25" s="3">
        <v>5.8319999999999999</v>
      </c>
      <c r="R25" s="3">
        <v>11.504</v>
      </c>
      <c r="S25" s="3">
        <v>11.356999999999999</v>
      </c>
      <c r="T25" s="3">
        <v>22.436</v>
      </c>
    </row>
    <row r="26" spans="2:121" s="5" customFormat="1" x14ac:dyDescent="0.25">
      <c r="B26" s="5" t="s">
        <v>44</v>
      </c>
      <c r="C26" s="5">
        <f t="shared" ref="C26" si="82">+C24/C25</f>
        <v>0.52292576419213921</v>
      </c>
      <c r="D26" s="5">
        <f t="shared" ref="D26" si="83">+D24/D25</f>
        <v>0.67117903930130873</v>
      </c>
      <c r="E26" s="5">
        <f t="shared" ref="E26" si="84">+E24/E25</f>
        <v>0.94789649709558299</v>
      </c>
      <c r="F26" s="5">
        <f t="shared" ref="F26" si="85">+F24/F25</f>
        <v>1.2203046579202261</v>
      </c>
      <c r="G26" s="5">
        <f t="shared" ref="G26" si="86">+G24/G25</f>
        <v>1.0698905436928043</v>
      </c>
      <c r="H26" s="5">
        <f t="shared" ref="H26:J26" si="87">+H24/H25</f>
        <v>1.0818214478174948</v>
      </c>
      <c r="I26" s="5">
        <f t="shared" ref="I26" si="88">+I24/I25</f>
        <v>1.0995822665408976</v>
      </c>
      <c r="J26" s="5">
        <f t="shared" si="87"/>
        <v>0.81868425744339057</v>
      </c>
      <c r="M26" s="5">
        <f t="shared" ref="M26" si="89">+M24/M25</f>
        <v>2.9377058177826538</v>
      </c>
      <c r="N26" s="5">
        <f t="shared" ref="N26" si="90">+N24/N25</f>
        <v>1.688546853779979</v>
      </c>
      <c r="O26" s="5">
        <f t="shared" ref="O26" si="91">+O24/O25</f>
        <v>6.1396303901437417</v>
      </c>
      <c r="P26" s="5">
        <f t="shared" ref="P26" si="92">+P24/P25</f>
        <v>3.9478875554825015</v>
      </c>
      <c r="Q26" s="5">
        <f t="shared" ref="Q26:T26" si="93">+Q24/Q25</f>
        <v>1.35836762688614</v>
      </c>
      <c r="R26" s="5">
        <f t="shared" si="93"/>
        <v>1.5403337969401989</v>
      </c>
      <c r="S26" s="5">
        <f>+S24/S25</f>
        <v>6.7450030817997835</v>
      </c>
      <c r="T26" s="5">
        <f t="shared" si="93"/>
        <v>4.046532358709217</v>
      </c>
    </row>
    <row r="27" spans="2:121" s="3" customFormat="1" x14ac:dyDescent="0.25"/>
    <row r="28" spans="2:121" s="3" customFormat="1" x14ac:dyDescent="0.25">
      <c r="B28" s="3" t="s">
        <v>45</v>
      </c>
      <c r="M28" s="3">
        <v>125.7</v>
      </c>
      <c r="N28" s="3">
        <v>86.1</v>
      </c>
      <c r="O28" s="3">
        <v>67.7</v>
      </c>
      <c r="P28" s="3">
        <v>73.88</v>
      </c>
      <c r="Q28" s="3">
        <v>79.349999999999994</v>
      </c>
      <c r="R28" s="3">
        <v>48.22</v>
      </c>
      <c r="S28" s="3">
        <v>19.14</v>
      </c>
    </row>
    <row r="29" spans="2:121" s="3" customFormat="1" x14ac:dyDescent="0.25">
      <c r="B29" s="3" t="s">
        <v>46</v>
      </c>
      <c r="M29" s="3">
        <v>53.95</v>
      </c>
      <c r="N29" s="3">
        <v>47.5</v>
      </c>
      <c r="O29" s="3">
        <v>48.1</v>
      </c>
      <c r="P29" s="3">
        <v>82.44</v>
      </c>
      <c r="Q29" s="3">
        <v>70.917000000000002</v>
      </c>
      <c r="R29" s="3">
        <v>64.411000000000001</v>
      </c>
      <c r="S29" s="3">
        <v>75.11</v>
      </c>
    </row>
    <row r="30" spans="2:121" s="3" customFormat="1" x14ac:dyDescent="0.25"/>
    <row r="31" spans="2:121" s="3" customFormat="1" x14ac:dyDescent="0.25">
      <c r="B31" s="3" t="s">
        <v>49</v>
      </c>
      <c r="C31" s="3">
        <f>+C19+C15</f>
        <v>28.099999999999987</v>
      </c>
      <c r="D31" s="3">
        <f t="shared" ref="D31:J31" si="94">+D19+D15</f>
        <v>35.399999999999963</v>
      </c>
      <c r="E31" s="3">
        <f t="shared" si="94"/>
        <v>43.700000000000031</v>
      </c>
      <c r="F31" s="3">
        <f t="shared" si="94"/>
        <v>48.073000000000008</v>
      </c>
      <c r="G31" s="3">
        <f t="shared" si="94"/>
        <v>46.249999999999993</v>
      </c>
      <c r="H31" s="3">
        <f t="shared" si="94"/>
        <v>52.089999999999975</v>
      </c>
      <c r="I31" s="3">
        <f t="shared" si="94"/>
        <v>51.7</v>
      </c>
      <c r="J31" s="3">
        <f t="shared" si="94"/>
        <v>36.639999999999908</v>
      </c>
      <c r="M31" s="3">
        <f t="shared" ref="M31:T31" si="95">+M19+M15</f>
        <v>68.559999999999974</v>
      </c>
      <c r="N31" s="3">
        <f t="shared" si="95"/>
        <v>59.059999999999924</v>
      </c>
      <c r="O31" s="3">
        <f t="shared" si="95"/>
        <v>54.950000000000031</v>
      </c>
      <c r="P31" s="3">
        <f t="shared" si="95"/>
        <v>90.96500000000006</v>
      </c>
      <c r="Q31" s="3">
        <f t="shared" si="95"/>
        <v>67.69999999999996</v>
      </c>
      <c r="R31" s="3">
        <f t="shared" si="95"/>
        <v>90.020000000000053</v>
      </c>
      <c r="S31" s="3">
        <f t="shared" si="95"/>
        <v>155.27300000000014</v>
      </c>
      <c r="T31" s="3">
        <f t="shared" si="95"/>
        <v>186.68</v>
      </c>
    </row>
    <row r="32" spans="2:121" s="3" customFormat="1" x14ac:dyDescent="0.25"/>
    <row r="33" spans="1:30" s="3" customFormat="1" x14ac:dyDescent="0.25"/>
    <row r="34" spans="1:30" s="6" customFormat="1" x14ac:dyDescent="0.25">
      <c r="A34" s="6" t="s">
        <v>53</v>
      </c>
      <c r="B34" s="6" t="s">
        <v>50</v>
      </c>
      <c r="C34" s="6">
        <f>+C19/C11</f>
        <v>9.2069892473118212E-2</v>
      </c>
      <c r="D34" s="6">
        <f t="shared" ref="D34:J34" si="96">+D19/D11</f>
        <v>0.13081215127092355</v>
      </c>
      <c r="E34" s="6">
        <f t="shared" si="96"/>
        <v>0.16930638995084665</v>
      </c>
      <c r="F34" s="6">
        <f t="shared" si="96"/>
        <v>0.16114676776223222</v>
      </c>
      <c r="G34" s="6">
        <f t="shared" si="96"/>
        <v>0.14282460136674258</v>
      </c>
      <c r="H34" s="6">
        <f t="shared" si="96"/>
        <v>0.15429703972337006</v>
      </c>
      <c r="I34" s="6">
        <f t="shared" si="96"/>
        <v>0.14011478329705127</v>
      </c>
      <c r="J34" s="6">
        <f t="shared" si="96"/>
        <v>8.6444173225032242E-2</v>
      </c>
      <c r="M34" s="6">
        <f t="shared" ref="M34:AD34" si="97">+M19/M11</f>
        <v>8.6824121807936652E-2</v>
      </c>
      <c r="N34" s="6">
        <f t="shared" si="97"/>
        <v>4.6118299445471168E-2</v>
      </c>
      <c r="O34" s="6">
        <f t="shared" si="97"/>
        <v>2.8894472361809122E-2</v>
      </c>
      <c r="P34" s="6">
        <f t="shared" si="97"/>
        <v>7.7945823292796229E-2</v>
      </c>
      <c r="Q34" s="6">
        <f t="shared" si="97"/>
        <v>2.4504084014002264E-2</v>
      </c>
      <c r="R34" s="6">
        <f t="shared" si="97"/>
        <v>6.9474116680361644E-2</v>
      </c>
      <c r="S34" s="6">
        <f t="shared" si="97"/>
        <v>0.14180418399627806</v>
      </c>
      <c r="T34" s="6">
        <f t="shared" si="97"/>
        <v>0.13082690886049214</v>
      </c>
      <c r="U34" s="6">
        <f t="shared" si="97"/>
        <v>0.11000000000000007</v>
      </c>
      <c r="V34" s="6">
        <f t="shared" si="97"/>
        <v>9.500000000000007E-2</v>
      </c>
      <c r="W34" s="6">
        <f t="shared" si="97"/>
        <v>8.1999999999999962E-2</v>
      </c>
      <c r="X34" s="6">
        <f t="shared" si="97"/>
        <v>6.2000000000000013E-2</v>
      </c>
      <c r="Y34" s="6">
        <f t="shared" si="97"/>
        <v>5.4000000000000124E-2</v>
      </c>
      <c r="Z34" s="6">
        <f t="shared" si="97"/>
        <v>4.8999999999999988E-2</v>
      </c>
      <c r="AA34" s="6">
        <f t="shared" si="97"/>
        <v>3.9999999999999994E-2</v>
      </c>
      <c r="AB34" s="6">
        <f t="shared" si="97"/>
        <v>3.9999999999999938E-2</v>
      </c>
      <c r="AC34" s="6">
        <f t="shared" si="97"/>
        <v>4.1000000000000036E-2</v>
      </c>
      <c r="AD34" s="6">
        <f t="shared" si="97"/>
        <v>4.0999999999999884E-2</v>
      </c>
    </row>
    <row r="35" spans="1:30" s="3" customFormat="1" x14ac:dyDescent="0.25"/>
    <row r="36" spans="1:30" s="6" customFormat="1" x14ac:dyDescent="0.25">
      <c r="A36" s="6" t="s">
        <v>53</v>
      </c>
      <c r="B36" s="6" t="s">
        <v>51</v>
      </c>
      <c r="G36" s="6">
        <f>+G9/C9-1</f>
        <v>0.45151739452257589</v>
      </c>
      <c r="H36" s="6">
        <f t="shared" ref="H36:J36" si="98">+H9/D9-1</f>
        <v>0.39628099173553744</v>
      </c>
      <c r="I36" s="6">
        <f t="shared" si="98"/>
        <v>0.30186410102224892</v>
      </c>
      <c r="J36" s="6">
        <f t="shared" si="98"/>
        <v>4.5244614776036807E-2</v>
      </c>
      <c r="N36" s="6">
        <f>+N11/M11-1</f>
        <v>3.7765255964512745E-2</v>
      </c>
      <c r="O36" s="6">
        <f t="shared" ref="O36:T36" si="99">+O11/N11-1</f>
        <v>1.1552680221811551E-2</v>
      </c>
      <c r="P36" s="6">
        <f t="shared" si="99"/>
        <v>0.21803334856098666</v>
      </c>
      <c r="Q36" s="6">
        <f t="shared" si="99"/>
        <v>-3.5733373339209118E-2</v>
      </c>
      <c r="R36" s="6">
        <f t="shared" si="99"/>
        <v>-5.3286658887592431E-2</v>
      </c>
      <c r="S36" s="6">
        <f t="shared" si="99"/>
        <v>0.4525944946589977</v>
      </c>
      <c r="T36" s="6">
        <f t="shared" si="99"/>
        <v>0.3390881077266612</v>
      </c>
      <c r="U36" s="6">
        <v>0.18</v>
      </c>
      <c r="V36" s="6">
        <v>0.15</v>
      </c>
      <c r="W36" s="6">
        <v>0.12</v>
      </c>
      <c r="X36" s="6">
        <v>0.11</v>
      </c>
      <c r="Y36" s="6">
        <v>0.1</v>
      </c>
      <c r="Z36" s="6">
        <v>0.09</v>
      </c>
      <c r="AA36" s="6">
        <v>0.09</v>
      </c>
      <c r="AB36" s="6">
        <v>0.09</v>
      </c>
      <c r="AC36" s="6">
        <v>0.09</v>
      </c>
      <c r="AD36" s="6">
        <v>0.09</v>
      </c>
    </row>
    <row r="37" spans="1:30" s="3" customFormat="1" x14ac:dyDescent="0.25"/>
    <row r="38" spans="1:30" s="6" customFormat="1" x14ac:dyDescent="0.25">
      <c r="A38" s="6" t="s">
        <v>53</v>
      </c>
      <c r="B38" s="6" t="s">
        <v>52</v>
      </c>
      <c r="C38" s="6">
        <f>+C12/C$11</f>
        <v>0.22446236559139787</v>
      </c>
      <c r="D38" s="6">
        <f t="shared" ref="D38:T38" si="100">+D12/D$11</f>
        <v>0.20954742715437075</v>
      </c>
      <c r="E38" s="6">
        <f t="shared" si="100"/>
        <v>0.19060622610595299</v>
      </c>
      <c r="F38" s="6">
        <f t="shared" si="100"/>
        <v>0.181841129752294</v>
      </c>
      <c r="G38" s="6">
        <f t="shared" si="100"/>
        <v>0.17904328018223234</v>
      </c>
      <c r="H38" s="6">
        <f t="shared" si="100"/>
        <v>0.18111663995951757</v>
      </c>
      <c r="I38" s="6">
        <f t="shared" si="100"/>
        <v>0.20146447654858499</v>
      </c>
      <c r="J38" s="6">
        <f t="shared" si="100"/>
        <v>0.20516813265434961</v>
      </c>
      <c r="M38" s="6">
        <f t="shared" si="100"/>
        <v>0.2540222994844743</v>
      </c>
      <c r="N38" s="6">
        <f t="shared" si="100"/>
        <v>0.25924214417744917</v>
      </c>
      <c r="O38" s="6">
        <f t="shared" si="100"/>
        <v>0.23343992690726359</v>
      </c>
      <c r="P38" s="6">
        <f t="shared" si="100"/>
        <v>0.22465799664325697</v>
      </c>
      <c r="Q38" s="6">
        <f t="shared" si="100"/>
        <v>0.25223648385842079</v>
      </c>
      <c r="R38" s="6">
        <f t="shared" si="100"/>
        <v>0.25493015612161052</v>
      </c>
      <c r="S38" s="6">
        <f t="shared" si="100"/>
        <v>0.19939953869411686</v>
      </c>
      <c r="T38" s="6">
        <f t="shared" si="100"/>
        <v>0.19210053859964094</v>
      </c>
      <c r="U38" s="6">
        <v>0.2</v>
      </c>
      <c r="V38" s="6">
        <v>0.21</v>
      </c>
      <c r="W38" s="6">
        <v>0.22</v>
      </c>
      <c r="X38" s="6">
        <v>0.23</v>
      </c>
      <c r="Y38" s="6">
        <v>0.24</v>
      </c>
      <c r="Z38" s="6">
        <v>0.24</v>
      </c>
      <c r="AA38" s="6">
        <v>0.24</v>
      </c>
      <c r="AB38" s="6">
        <v>0.24</v>
      </c>
      <c r="AC38" s="6">
        <v>0.24</v>
      </c>
      <c r="AD38" s="6">
        <v>0.24</v>
      </c>
    </row>
    <row r="39" spans="1:30" s="6" customFormat="1" x14ac:dyDescent="0.25">
      <c r="A39" s="6" t="s">
        <v>53</v>
      </c>
      <c r="B39" s="6" t="s">
        <v>33</v>
      </c>
      <c r="C39" s="6">
        <f t="shared" ref="C39:T39" si="101">+C13/C$11</f>
        <v>0.15793010752688175</v>
      </c>
      <c r="D39" s="6">
        <f t="shared" si="101"/>
        <v>0.15561066336019841</v>
      </c>
      <c r="E39" s="6">
        <f t="shared" si="101"/>
        <v>0.14036045876570177</v>
      </c>
      <c r="F39" s="6">
        <f t="shared" si="101"/>
        <v>0.13042075887118257</v>
      </c>
      <c r="G39" s="6">
        <f t="shared" si="101"/>
        <v>0.14396355353075171</v>
      </c>
      <c r="H39" s="6">
        <f t="shared" si="101"/>
        <v>0.18343594501138566</v>
      </c>
      <c r="I39" s="6">
        <f t="shared" si="101"/>
        <v>0.19038195131604987</v>
      </c>
      <c r="J39" s="6">
        <f t="shared" si="101"/>
        <v>0.18012709902781873</v>
      </c>
      <c r="M39" s="6">
        <f t="shared" si="101"/>
        <v>0.21556168325140873</v>
      </c>
      <c r="N39" s="6">
        <f t="shared" si="101"/>
        <v>0.19175138632162661</v>
      </c>
      <c r="O39" s="6">
        <f t="shared" si="101"/>
        <v>0.18158976701690269</v>
      </c>
      <c r="P39" s="6">
        <f t="shared" si="101"/>
        <v>0.17458814263344927</v>
      </c>
      <c r="Q39" s="6">
        <f t="shared" si="101"/>
        <v>0.19136522753792298</v>
      </c>
      <c r="R39" s="6">
        <f t="shared" si="101"/>
        <v>0.17317173377156941</v>
      </c>
      <c r="S39" s="6">
        <f t="shared" si="101"/>
        <v>0.14452931102509747</v>
      </c>
      <c r="T39" s="6">
        <f t="shared" si="101"/>
        <v>0.17530890273524133</v>
      </c>
      <c r="U39" s="6">
        <v>0.18</v>
      </c>
      <c r="V39" s="6">
        <v>0.185</v>
      </c>
      <c r="W39" s="6">
        <v>0.19</v>
      </c>
      <c r="X39" s="6">
        <v>0.19</v>
      </c>
      <c r="Y39" s="6">
        <v>0.19</v>
      </c>
      <c r="Z39" s="6">
        <v>0.19500000000000001</v>
      </c>
      <c r="AA39" s="6">
        <v>0.19500000000000001</v>
      </c>
      <c r="AB39" s="6">
        <v>0.19500000000000001</v>
      </c>
      <c r="AC39" s="6">
        <v>0.19500000000000001</v>
      </c>
      <c r="AD39" s="6">
        <v>0.19500000000000001</v>
      </c>
    </row>
    <row r="40" spans="1:30" s="6" customFormat="1" x14ac:dyDescent="0.25">
      <c r="A40" s="6" t="s">
        <v>53</v>
      </c>
      <c r="B40" s="6" t="s">
        <v>34</v>
      </c>
      <c r="C40" s="6">
        <f t="shared" ref="C40:T40" si="102">+C14/C$11</f>
        <v>0.38978494623655918</v>
      </c>
      <c r="D40" s="6">
        <f t="shared" si="102"/>
        <v>0.38251704897706146</v>
      </c>
      <c r="E40" s="6">
        <f t="shared" si="102"/>
        <v>0.39705079191698522</v>
      </c>
      <c r="F40" s="6">
        <f t="shared" si="102"/>
        <v>0.40481855620947721</v>
      </c>
      <c r="G40" s="6">
        <f t="shared" si="102"/>
        <v>0.41640091116173122</v>
      </c>
      <c r="H40" s="6">
        <f t="shared" si="102"/>
        <v>0.37361895926456939</v>
      </c>
      <c r="I40" s="6">
        <f t="shared" si="102"/>
        <v>0.37007718187215516</v>
      </c>
      <c r="J40" s="6">
        <f t="shared" si="102"/>
        <v>0.38495854551576131</v>
      </c>
      <c r="M40" s="6">
        <f t="shared" si="102"/>
        <v>0.32178395875794269</v>
      </c>
      <c r="N40" s="6">
        <f t="shared" si="102"/>
        <v>0.36575785582255083</v>
      </c>
      <c r="O40" s="6">
        <f t="shared" si="102"/>
        <v>0.39858382823206945</v>
      </c>
      <c r="P40" s="6">
        <f t="shared" si="102"/>
        <v>0.37786799936240634</v>
      </c>
      <c r="Q40" s="6">
        <f t="shared" si="102"/>
        <v>0.3274990276157137</v>
      </c>
      <c r="R40" s="6">
        <f t="shared" si="102"/>
        <v>0.34096138044371405</v>
      </c>
      <c r="S40" s="6">
        <f t="shared" si="102"/>
        <v>0.3945565340117631</v>
      </c>
      <c r="T40" s="6">
        <f t="shared" si="102"/>
        <v>0.38543668814024717</v>
      </c>
      <c r="U40" s="6">
        <v>0.38</v>
      </c>
      <c r="V40" s="6">
        <v>0.38</v>
      </c>
      <c r="W40" s="6">
        <v>0.38</v>
      </c>
      <c r="X40" s="6">
        <v>0.39</v>
      </c>
      <c r="Y40" s="6">
        <v>0.39</v>
      </c>
      <c r="Z40" s="6">
        <v>0.39</v>
      </c>
      <c r="AA40" s="6">
        <v>0.4</v>
      </c>
      <c r="AB40" s="6">
        <v>0.4</v>
      </c>
      <c r="AC40" s="6">
        <v>0.4</v>
      </c>
      <c r="AD40" s="6">
        <v>0.4</v>
      </c>
    </row>
    <row r="41" spans="1:30" s="6" customFormat="1" x14ac:dyDescent="0.25">
      <c r="A41" s="6" t="s">
        <v>53</v>
      </c>
      <c r="B41" s="6" t="s">
        <v>35</v>
      </c>
      <c r="C41" s="6">
        <f t="shared" ref="C41:T41" si="103">+C15/C$11</f>
        <v>9.6774193548387108E-2</v>
      </c>
      <c r="D41" s="6">
        <f t="shared" si="103"/>
        <v>8.8654680719156859E-2</v>
      </c>
      <c r="E41" s="6">
        <f t="shared" si="103"/>
        <v>6.9361004915346788E-2</v>
      </c>
      <c r="F41" s="6">
        <f t="shared" si="103"/>
        <v>6.3574276725737733E-2</v>
      </c>
      <c r="G41" s="6">
        <f t="shared" si="103"/>
        <v>6.7881548974943057E-2</v>
      </c>
      <c r="H41" s="6">
        <f t="shared" si="103"/>
        <v>6.5362233279919024E-2</v>
      </c>
      <c r="I41" s="6">
        <f t="shared" si="103"/>
        <v>6.4516129032258063E-2</v>
      </c>
      <c r="J41" s="6">
        <f t="shared" si="103"/>
        <v>6.7758090989436484E-2</v>
      </c>
      <c r="M41" s="6">
        <f t="shared" si="103"/>
        <v>7.756863685409425E-2</v>
      </c>
      <c r="N41" s="6">
        <f t="shared" si="103"/>
        <v>9.0341959334565625E-2</v>
      </c>
      <c r="O41" s="6">
        <f t="shared" si="103"/>
        <v>9.6619460941068977E-2</v>
      </c>
      <c r="P41" s="6">
        <f t="shared" si="103"/>
        <v>9.2638606295299616E-2</v>
      </c>
      <c r="Q41" s="6">
        <f t="shared" si="103"/>
        <v>0.1071567483469467</v>
      </c>
      <c r="R41" s="6">
        <f t="shared" si="103"/>
        <v>0.11544782251437963</v>
      </c>
      <c r="S41" s="6">
        <f t="shared" si="103"/>
        <v>7.7779961901960473E-2</v>
      </c>
      <c r="T41" s="6">
        <f t="shared" si="103"/>
        <v>6.6321681275741895E-2</v>
      </c>
      <c r="U41" s="6">
        <v>7.0000000000000007E-2</v>
      </c>
      <c r="V41" s="6">
        <v>7.0000000000000007E-2</v>
      </c>
      <c r="W41" s="6">
        <v>6.9000000000000006E-2</v>
      </c>
      <c r="X41" s="6">
        <v>6.9000000000000006E-2</v>
      </c>
      <c r="Y41" s="6">
        <v>6.8000000000000005E-2</v>
      </c>
      <c r="Z41" s="6">
        <v>6.8000000000000005E-2</v>
      </c>
      <c r="AA41" s="6">
        <v>6.7000000000000004E-2</v>
      </c>
      <c r="AB41" s="6">
        <v>6.7000000000000004E-2</v>
      </c>
      <c r="AC41" s="6">
        <v>6.6000000000000003E-2</v>
      </c>
      <c r="AD41" s="6">
        <v>6.6000000000000003E-2</v>
      </c>
    </row>
    <row r="42" spans="1:30" s="6" customFormat="1" x14ac:dyDescent="0.25">
      <c r="A42" s="6" t="s">
        <v>53</v>
      </c>
      <c r="B42" s="6" t="s">
        <v>36</v>
      </c>
      <c r="C42" s="6">
        <f t="shared" ref="C42:T42" si="104">+C16/C$11</f>
        <v>2.1505376344086027E-2</v>
      </c>
      <c r="D42" s="6">
        <f t="shared" si="104"/>
        <v>1.9218846869187851E-2</v>
      </c>
      <c r="E42" s="6">
        <f t="shared" si="104"/>
        <v>1.8569087930092841E-2</v>
      </c>
      <c r="F42" s="6">
        <f t="shared" si="104"/>
        <v>4.2538670456192175E-2</v>
      </c>
      <c r="G42" s="6">
        <f t="shared" si="104"/>
        <v>3.143507972665148E-2</v>
      </c>
      <c r="H42" s="6">
        <f t="shared" si="104"/>
        <v>3.0783503415703801E-2</v>
      </c>
      <c r="I42" s="6">
        <f t="shared" si="104"/>
        <v>2.0383930338412824E-2</v>
      </c>
      <c r="J42" s="6">
        <f t="shared" si="104"/>
        <v>5.5342788603173279E-2</v>
      </c>
      <c r="M42" s="6">
        <f t="shared" si="104"/>
        <v>3.6686248651240864E-2</v>
      </c>
      <c r="N42" s="6">
        <f t="shared" si="104"/>
        <v>3.8354898336414048E-2</v>
      </c>
      <c r="O42" s="6">
        <f t="shared" si="104"/>
        <v>3.9972590223846506E-2</v>
      </c>
      <c r="P42" s="6">
        <f t="shared" si="104"/>
        <v>3.2254737414557762E-2</v>
      </c>
      <c r="Q42" s="6">
        <f t="shared" si="104"/>
        <v>6.9233761182419293E-2</v>
      </c>
      <c r="R42" s="6">
        <f t="shared" si="104"/>
        <v>1.8282662284305671E-2</v>
      </c>
      <c r="S42" s="6">
        <f t="shared" si="104"/>
        <v>2.6586605159215581E-2</v>
      </c>
      <c r="T42" s="6">
        <f t="shared" si="104"/>
        <v>3.4322526137923755E-2</v>
      </c>
      <c r="U42" s="6">
        <v>0.04</v>
      </c>
      <c r="V42" s="6">
        <v>0.04</v>
      </c>
      <c r="W42" s="6">
        <v>3.9E-2</v>
      </c>
      <c r="X42" s="6">
        <v>3.9E-2</v>
      </c>
      <c r="Y42" s="6">
        <v>3.7999999999999999E-2</v>
      </c>
      <c r="Z42" s="6">
        <v>3.7999999999999999E-2</v>
      </c>
      <c r="AA42" s="6">
        <v>3.7999999999999999E-2</v>
      </c>
      <c r="AB42" s="6">
        <v>3.7999999999999999E-2</v>
      </c>
      <c r="AC42" s="6">
        <v>3.7999999999999999E-2</v>
      </c>
      <c r="AD42" s="6">
        <v>3.7999999999999999E-2</v>
      </c>
    </row>
    <row r="43" spans="1:30" s="6" customFormat="1" x14ac:dyDescent="0.25">
      <c r="A43" s="6" t="s">
        <v>53</v>
      </c>
      <c r="B43" s="6" t="s">
        <v>37</v>
      </c>
      <c r="C43" s="6">
        <f t="shared" ref="C43:T43" si="105">+C17/C$11</f>
        <v>1.8145161290322585E-2</v>
      </c>
      <c r="D43" s="6">
        <f t="shared" si="105"/>
        <v>1.735895846249225E-2</v>
      </c>
      <c r="E43" s="6">
        <f t="shared" si="105"/>
        <v>1.638448935008192E-2</v>
      </c>
      <c r="F43" s="6">
        <f t="shared" si="105"/>
        <v>1.7763400849838493E-2</v>
      </c>
      <c r="G43" s="6">
        <f t="shared" si="105"/>
        <v>1.9134396355353075E-2</v>
      </c>
      <c r="H43" s="6">
        <f t="shared" si="105"/>
        <v>1.6445981276882852E-2</v>
      </c>
      <c r="I43" s="6">
        <f t="shared" si="105"/>
        <v>1.8207005739164849E-2</v>
      </c>
      <c r="J43" s="6">
        <f t="shared" si="105"/>
        <v>2.2726316232481808E-2</v>
      </c>
      <c r="M43" s="6">
        <f t="shared" si="105"/>
        <v>2.1340366862486516E-2</v>
      </c>
      <c r="N43" s="6">
        <f t="shared" si="105"/>
        <v>1.9292975970425136E-2</v>
      </c>
      <c r="O43" s="6">
        <f t="shared" si="105"/>
        <v>2.1128369118318866E-2</v>
      </c>
      <c r="P43" s="6">
        <f t="shared" si="105"/>
        <v>2.2484552418636488E-2</v>
      </c>
      <c r="Q43" s="6">
        <f t="shared" si="105"/>
        <v>2.6837806301050173E-2</v>
      </c>
      <c r="R43" s="6">
        <f t="shared" si="105"/>
        <v>2.6910435497124074E-2</v>
      </c>
      <c r="S43" s="6">
        <f t="shared" si="105"/>
        <v>1.7394427843529344E-2</v>
      </c>
      <c r="T43" s="6">
        <f t="shared" si="105"/>
        <v>1.9115006864505228E-2</v>
      </c>
      <c r="U43" s="6">
        <v>0.02</v>
      </c>
      <c r="V43" s="6">
        <v>0.02</v>
      </c>
      <c r="W43" s="6">
        <v>0.02</v>
      </c>
      <c r="X43" s="6">
        <v>0.02</v>
      </c>
      <c r="Y43" s="6">
        <v>0.02</v>
      </c>
      <c r="Z43" s="6">
        <v>0.02</v>
      </c>
      <c r="AA43" s="6">
        <v>0.02</v>
      </c>
      <c r="AB43" s="6">
        <v>0.02</v>
      </c>
      <c r="AC43" s="6">
        <v>0.02</v>
      </c>
      <c r="AD43" s="6">
        <v>0.02</v>
      </c>
    </row>
    <row r="44" spans="1:30" s="6" customFormat="1" x14ac:dyDescent="0.25">
      <c r="A44" s="6" t="s">
        <v>53</v>
      </c>
      <c r="B44" s="6" t="s">
        <v>48</v>
      </c>
      <c r="C44" s="6">
        <f t="shared" ref="C44:T44" si="106">+C18/C$11</f>
        <v>-6.7204301075268833E-4</v>
      </c>
      <c r="D44" s="6">
        <f t="shared" si="106"/>
        <v>-3.7197768133911966E-3</v>
      </c>
      <c r="E44" s="6">
        <f t="shared" si="106"/>
        <v>-1.638448935008192E-3</v>
      </c>
      <c r="F44" s="6">
        <f t="shared" si="106"/>
        <v>-2.1035606269545577E-3</v>
      </c>
      <c r="G44" s="6">
        <f t="shared" si="106"/>
        <v>-6.8337129840546689E-4</v>
      </c>
      <c r="H44" s="6">
        <f t="shared" si="106"/>
        <v>-5.06030193134857E-3</v>
      </c>
      <c r="I44" s="6">
        <f t="shared" si="106"/>
        <v>-5.1454581436770237E-3</v>
      </c>
      <c r="J44" s="6">
        <f t="shared" si="106"/>
        <v>-2.5251462480535333E-3</v>
      </c>
      <c r="M44" s="6">
        <f t="shared" si="106"/>
        <v>-1.3787315669583983E-2</v>
      </c>
      <c r="N44" s="6">
        <f t="shared" si="106"/>
        <v>-1.0859519408502773E-2</v>
      </c>
      <c r="O44" s="6">
        <f t="shared" si="106"/>
        <v>-2.2841480127912289E-4</v>
      </c>
      <c r="P44" s="6">
        <f t="shared" si="106"/>
        <v>-2.4378580604026219E-3</v>
      </c>
      <c r="Q44" s="6">
        <f t="shared" si="106"/>
        <v>1.1668611435239206E-3</v>
      </c>
      <c r="R44" s="6">
        <f t="shared" si="106"/>
        <v>8.2169268693508635E-4</v>
      </c>
      <c r="S44" s="6">
        <f t="shared" si="106"/>
        <v>-2.0505626319607759E-3</v>
      </c>
      <c r="T44" s="6">
        <f t="shared" si="106"/>
        <v>-3.4322526137923752E-3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</row>
    <row r="45" spans="1:30" s="3" customFormat="1" x14ac:dyDescent="0.25"/>
    <row r="46" spans="1:30" s="6" customFormat="1" x14ac:dyDescent="0.25">
      <c r="A46" s="6" t="s">
        <v>53</v>
      </c>
      <c r="B46" s="6" t="s">
        <v>54</v>
      </c>
      <c r="C46" s="6">
        <f>+C23/C22</f>
        <v>0.25621118012422378</v>
      </c>
      <c r="D46" s="6">
        <f t="shared" ref="D46:T46" si="107">+D23/D22</f>
        <v>0.2680952380952385</v>
      </c>
      <c r="E46" s="6">
        <f t="shared" si="107"/>
        <v>0.26080988332189403</v>
      </c>
      <c r="F46" s="6">
        <f t="shared" si="107"/>
        <v>0.23774166047905829</v>
      </c>
      <c r="G46" s="6">
        <f t="shared" si="107"/>
        <v>0.24405705229793984</v>
      </c>
      <c r="H46" s="6">
        <f t="shared" si="107"/>
        <v>0.23982328810350284</v>
      </c>
      <c r="I46" s="6">
        <f t="shared" si="107"/>
        <v>0.22531645569620248</v>
      </c>
      <c r="J46" s="6">
        <f t="shared" si="107"/>
        <v>0.24343026608452181</v>
      </c>
      <c r="M46" s="6">
        <f t="shared" si="107"/>
        <v>0.38670867946147253</v>
      </c>
      <c r="N46" s="6">
        <f t="shared" si="107"/>
        <v>0.37346024636058395</v>
      </c>
      <c r="O46" s="6">
        <f t="shared" si="107"/>
        <v>-1.6623287671232836</v>
      </c>
      <c r="P46" s="6">
        <f t="shared" si="107"/>
        <v>0.23433763749402156</v>
      </c>
      <c r="Q46" s="6">
        <f t="shared" si="107"/>
        <v>0.21734835012843381</v>
      </c>
      <c r="R46" s="6">
        <f t="shared" si="107"/>
        <v>0.24013722126929624</v>
      </c>
      <c r="S46" s="6">
        <f t="shared" si="107"/>
        <v>0.25340389657222467</v>
      </c>
      <c r="T46" s="6">
        <f t="shared" si="107"/>
        <v>0.23783139407982001</v>
      </c>
      <c r="U46" s="6">
        <v>0.24</v>
      </c>
      <c r="V46" s="6">
        <v>0.24</v>
      </c>
      <c r="W46" s="6">
        <v>0.25</v>
      </c>
      <c r="X46" s="6">
        <v>0.25</v>
      </c>
      <c r="Y46" s="6">
        <v>0.26</v>
      </c>
      <c r="Z46" s="6">
        <v>0.26</v>
      </c>
      <c r="AA46" s="6">
        <v>0.27</v>
      </c>
      <c r="AB46" s="6">
        <v>0.27</v>
      </c>
      <c r="AC46" s="6">
        <v>0.28000000000000003</v>
      </c>
      <c r="AD46" s="6">
        <v>0.28000000000000003</v>
      </c>
    </row>
    <row r="47" spans="1:30" s="6" customFormat="1" x14ac:dyDescent="0.25">
      <c r="A47" s="6" t="s">
        <v>53</v>
      </c>
      <c r="B47" s="6" t="s">
        <v>55</v>
      </c>
      <c r="N47" s="6">
        <f>+N21/M7</f>
        <v>2.7231467473524965E-2</v>
      </c>
      <c r="O47" s="6">
        <f t="shared" ref="O47:P47" si="108">+O21/N7</f>
        <v>3.4983853606027987E-2</v>
      </c>
      <c r="P47" s="6">
        <f t="shared" si="108"/>
        <v>3.7487151581111315E-2</v>
      </c>
      <c r="Q47" s="6">
        <f>+Q21/P7</f>
        <v>4.0774624123579913E-2</v>
      </c>
      <c r="R47" s="6">
        <f>+R21/Q7</f>
        <v>3.8498556304138599E-2</v>
      </c>
      <c r="S47" s="6">
        <f>+S21/R7</f>
        <v>2.6319945254513869E-2</v>
      </c>
      <c r="T47" s="6">
        <f>+T21/S7</f>
        <v>3.8167204119940325E-2</v>
      </c>
      <c r="U47" s="6">
        <v>5.0999999999999997E-2</v>
      </c>
      <c r="V47" s="6">
        <v>5.5E-2</v>
      </c>
      <c r="W47" s="6">
        <v>4.4999999999999998E-2</v>
      </c>
      <c r="X47" s="6">
        <v>4.4999999999999998E-2</v>
      </c>
      <c r="Y47" s="6">
        <v>4.2000000000000003E-2</v>
      </c>
      <c r="Z47" s="6">
        <v>3.9E-2</v>
      </c>
      <c r="AA47" s="6">
        <v>3.9E-2</v>
      </c>
      <c r="AB47" s="6">
        <v>3.9E-2</v>
      </c>
      <c r="AC47" s="6">
        <v>3.9E-2</v>
      </c>
      <c r="AD47" s="6">
        <v>3.9E-2</v>
      </c>
    </row>
    <row r="48" spans="1:30" s="3" customFormat="1" x14ac:dyDescent="0.25"/>
    <row r="49" spans="23:30" s="3" customFormat="1" x14ac:dyDescent="0.25">
      <c r="W49" s="6"/>
      <c r="X49" s="6"/>
      <c r="Y49" s="6"/>
      <c r="Z49" s="6"/>
      <c r="AA49" s="6"/>
      <c r="AB49" s="6"/>
      <c r="AC49" s="6"/>
      <c r="AD49" s="6"/>
    </row>
    <row r="50" spans="23:30" s="3" customFormat="1" x14ac:dyDescent="0.25"/>
    <row r="51" spans="23:30" s="3" customFormat="1" x14ac:dyDescent="0.25"/>
    <row r="52" spans="23:30" s="3" customFormat="1" x14ac:dyDescent="0.25"/>
    <row r="53" spans="23:30" s="3" customFormat="1" x14ac:dyDescent="0.25"/>
    <row r="54" spans="23:30" s="3" customFormat="1" x14ac:dyDescent="0.25"/>
    <row r="55" spans="23:30" s="3" customFormat="1" x14ac:dyDescent="0.25"/>
    <row r="56" spans="23:30" s="3" customFormat="1" x14ac:dyDescent="0.25"/>
    <row r="57" spans="23:30" s="3" customFormat="1" x14ac:dyDescent="0.25"/>
    <row r="58" spans="23:30" s="3" customFormat="1" x14ac:dyDescent="0.25"/>
    <row r="59" spans="23:30" s="3" customFormat="1" x14ac:dyDescent="0.25"/>
    <row r="60" spans="23:30" s="3" customFormat="1" x14ac:dyDescent="0.25"/>
    <row r="61" spans="23:30" s="3" customFormat="1" x14ac:dyDescent="0.25"/>
    <row r="62" spans="23:30" s="3" customFormat="1" x14ac:dyDescent="0.25"/>
    <row r="63" spans="23:30" s="3" customFormat="1" x14ac:dyDescent="0.25"/>
    <row r="64" spans="23:30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</sheetData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8063-0DF5-4A99-9A0D-AA815BF05A21}">
  <dimension ref="B2:C4"/>
  <sheetViews>
    <sheetView workbookViewId="0">
      <selection activeCell="B4" sqref="B4"/>
    </sheetView>
  </sheetViews>
  <sheetFormatPr defaultRowHeight="15" x14ac:dyDescent="0.25"/>
  <cols>
    <col min="2" max="2" width="18.85546875" bestFit="1" customWidth="1"/>
    <col min="3" max="6" width="10" customWidth="1"/>
  </cols>
  <sheetData>
    <row r="2" spans="2:3" x14ac:dyDescent="0.25">
      <c r="B2" t="s">
        <v>18</v>
      </c>
      <c r="C2" s="7">
        <v>-0.01</v>
      </c>
    </row>
    <row r="3" spans="2:3" x14ac:dyDescent="0.25">
      <c r="B3" t="s">
        <v>19</v>
      </c>
      <c r="C3" s="7">
        <v>8.5000000000000006E-2</v>
      </c>
    </row>
    <row r="4" spans="2:3" x14ac:dyDescent="0.25">
      <c r="B4" t="s">
        <v>8</v>
      </c>
      <c r="C4" s="3">
        <f>+NPV(C3,Model!U24:DQ24)</f>
        <v>970.90412687107221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2023-02-12T18:42:19Z</dcterms:created>
  <dcterms:modified xsi:type="dcterms:W3CDTF">2023-03-08T05:56:30Z</dcterms:modified>
</cp:coreProperties>
</file>