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PC\Desktop\Fiduciary\investingModels\DCF Models\"/>
    </mc:Choice>
  </mc:AlternateContent>
  <xr:revisionPtr revIDLastSave="0" documentId="13_ncr:1_{A4565568-C1D9-410B-AFE1-74747B7C5C8A}" xr6:coauthVersionLast="47" xr6:coauthVersionMax="47" xr10:uidLastSave="{00000000-0000-0000-0000-000000000000}"/>
  <bookViews>
    <workbookView xWindow="16545" yWindow="6030" windowWidth="27045" windowHeight="15045" xr2:uid="{2EC0F4CB-CC56-4207-8108-7C832533A8D8}"/>
  </bookViews>
  <sheets>
    <sheet name="Main" sheetId="1" r:id="rId1"/>
    <sheet name="Model" sheetId="2" r:id="rId2"/>
    <sheet name="Dash"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2" i="2" l="1"/>
  <c r="Z12" i="2"/>
  <c r="AA12" i="2"/>
  <c r="M26" i="2"/>
  <c r="W28" i="2"/>
  <c r="V28" i="2"/>
  <c r="U28" i="2"/>
  <c r="T28" i="2"/>
  <c r="S28" i="2"/>
  <c r="R28" i="2"/>
  <c r="Q28" i="2"/>
  <c r="X28" i="2"/>
  <c r="S26" i="2" l="1"/>
  <c r="T26" i="2"/>
  <c r="U26" i="2"/>
  <c r="V26" i="2"/>
  <c r="W26" i="2"/>
  <c r="X26" i="2"/>
  <c r="Q26" i="2"/>
  <c r="R26" i="2"/>
  <c r="Q22" i="2" l="1"/>
  <c r="Q19" i="2"/>
  <c r="Q23" i="2" s="1"/>
  <c r="R39" i="2" s="1"/>
  <c r="R22" i="2"/>
  <c r="R19" i="2"/>
  <c r="Y3" i="2"/>
  <c r="Y5" i="2" s="1"/>
  <c r="S35" i="2"/>
  <c r="S36" i="2"/>
  <c r="R36" i="2"/>
  <c r="R35" i="2"/>
  <c r="R33" i="2"/>
  <c r="Q33" i="2"/>
  <c r="Q8" i="2"/>
  <c r="Q9" i="2" s="1"/>
  <c r="Q10" i="2" s="1"/>
  <c r="Q13" i="2" s="1"/>
  <c r="Q15" i="2" s="1"/>
  <c r="Q17" i="2" s="1"/>
  <c r="R8" i="2"/>
  <c r="R9" i="2" s="1"/>
  <c r="R10" i="2" s="1"/>
  <c r="R13" i="2" s="1"/>
  <c r="R15" i="2" s="1"/>
  <c r="R17" i="2" s="1"/>
  <c r="Q5" i="2"/>
  <c r="Q30" i="2" s="1"/>
  <c r="R5" i="2"/>
  <c r="R30" i="2" s="1"/>
  <c r="R23" i="2" l="1"/>
  <c r="S39" i="2" s="1"/>
  <c r="Q32" i="2"/>
  <c r="Z3" i="2"/>
  <c r="Q31" i="2"/>
  <c r="R31" i="2"/>
  <c r="Y10" i="2"/>
  <c r="R32" i="2"/>
  <c r="R37" i="2"/>
  <c r="M22" i="2"/>
  <c r="M19" i="2"/>
  <c r="M14" i="2"/>
  <c r="M12" i="2"/>
  <c r="M11" i="2"/>
  <c r="M8" i="2"/>
  <c r="M6" i="2"/>
  <c r="M4" i="2"/>
  <c r="M3" i="2"/>
  <c r="M35" i="2" s="1"/>
  <c r="W36" i="2"/>
  <c r="V36" i="2"/>
  <c r="U36" i="2"/>
  <c r="T36" i="2"/>
  <c r="X36" i="2"/>
  <c r="W35" i="2"/>
  <c r="V35" i="2"/>
  <c r="U35" i="2"/>
  <c r="T35" i="2"/>
  <c r="X35" i="2"/>
  <c r="W33" i="2"/>
  <c r="V33" i="2"/>
  <c r="U33" i="2"/>
  <c r="T33" i="2"/>
  <c r="S33" i="2"/>
  <c r="S22" i="2"/>
  <c r="S19" i="2"/>
  <c r="T22" i="2"/>
  <c r="T19" i="2"/>
  <c r="S8" i="2"/>
  <c r="T8" i="2"/>
  <c r="T9" i="2" s="1"/>
  <c r="T10" i="2" s="1"/>
  <c r="T13" i="2" s="1"/>
  <c r="T32" i="2" s="1"/>
  <c r="U19" i="2"/>
  <c r="U22" i="2"/>
  <c r="V22" i="2"/>
  <c r="V19" i="2"/>
  <c r="U8" i="2"/>
  <c r="U9" i="2" s="1"/>
  <c r="U10" i="2" s="1"/>
  <c r="U13" i="2" s="1"/>
  <c r="U32" i="2" s="1"/>
  <c r="V8" i="2"/>
  <c r="V9" i="2" s="1"/>
  <c r="V10" i="2" s="1"/>
  <c r="V31" i="2" s="1"/>
  <c r="W22" i="2"/>
  <c r="W19" i="2"/>
  <c r="W23" i="2" s="1"/>
  <c r="X39" i="2" s="1"/>
  <c r="X19" i="2"/>
  <c r="X22" i="2"/>
  <c r="W8" i="2"/>
  <c r="W9" i="2" s="1"/>
  <c r="W10" i="2" s="1"/>
  <c r="W13" i="2" s="1"/>
  <c r="W32" i="2" s="1"/>
  <c r="V5" i="2"/>
  <c r="V30" i="2" s="1"/>
  <c r="U5" i="2"/>
  <c r="U30" i="2" s="1"/>
  <c r="T5" i="2"/>
  <c r="T30" i="2" s="1"/>
  <c r="S5" i="2"/>
  <c r="S30" i="2" s="1"/>
  <c r="S9" i="2"/>
  <c r="S10" i="2" s="1"/>
  <c r="S13" i="2" s="1"/>
  <c r="W5" i="2"/>
  <c r="W30" i="2" s="1"/>
  <c r="X33" i="2"/>
  <c r="X9" i="2"/>
  <c r="X10" i="2" s="1"/>
  <c r="X13" i="2" s="1"/>
  <c r="X32" i="2" s="1"/>
  <c r="X5" i="2"/>
  <c r="X30" i="2" s="1"/>
  <c r="L36" i="2"/>
  <c r="L35" i="2"/>
  <c r="L33" i="2"/>
  <c r="L9" i="2"/>
  <c r="L10" i="2" s="1"/>
  <c r="L31" i="2" s="1"/>
  <c r="L5" i="2"/>
  <c r="L30" i="2" s="1"/>
  <c r="K7" i="2"/>
  <c r="K9" i="2" s="1"/>
  <c r="K10" i="2" s="1"/>
  <c r="K31" i="2" s="1"/>
  <c r="K36" i="2"/>
  <c r="K35" i="2"/>
  <c r="K33" i="2"/>
  <c r="K5" i="2"/>
  <c r="K30" i="2" s="1"/>
  <c r="I33" i="2"/>
  <c r="H33" i="2"/>
  <c r="G33" i="2"/>
  <c r="F33" i="2"/>
  <c r="E33" i="2"/>
  <c r="D33" i="2"/>
  <c r="C33" i="2"/>
  <c r="J33" i="2"/>
  <c r="S23" i="2" l="1"/>
  <c r="T39" i="2" s="1"/>
  <c r="S15" i="2"/>
  <c r="S32" i="2"/>
  <c r="AA3" i="2"/>
  <c r="Z10" i="2"/>
  <c r="Z5" i="2"/>
  <c r="T23" i="2"/>
  <c r="U39" i="2" s="1"/>
  <c r="M23" i="2"/>
  <c r="U23" i="2"/>
  <c r="V39" i="2" s="1"/>
  <c r="L13" i="2"/>
  <c r="K13" i="2"/>
  <c r="V13" i="2"/>
  <c r="V32" i="2" s="1"/>
  <c r="M5" i="2"/>
  <c r="M30" i="2" s="1"/>
  <c r="X23" i="2"/>
  <c r="V23" i="2"/>
  <c r="W39" i="2" s="1"/>
  <c r="M33" i="2"/>
  <c r="X31" i="2"/>
  <c r="M36" i="2"/>
  <c r="S31" i="2"/>
  <c r="T31" i="2"/>
  <c r="W31" i="2"/>
  <c r="U31" i="2"/>
  <c r="G36" i="2"/>
  <c r="H36" i="2"/>
  <c r="I36" i="2"/>
  <c r="J36" i="2"/>
  <c r="G35" i="2"/>
  <c r="H35" i="2"/>
  <c r="I35" i="2"/>
  <c r="J35" i="2"/>
  <c r="C7" i="2"/>
  <c r="C9" i="2" s="1"/>
  <c r="C10" i="2" s="1"/>
  <c r="C5" i="2"/>
  <c r="C30" i="2" s="1"/>
  <c r="G7" i="2"/>
  <c r="G9" i="2" s="1"/>
  <c r="G10" i="2" s="1"/>
  <c r="G5" i="2"/>
  <c r="G30" i="2" s="1"/>
  <c r="D7" i="2"/>
  <c r="D9" i="2" s="1"/>
  <c r="D10" i="2" s="1"/>
  <c r="D5" i="2"/>
  <c r="D30" i="2" s="1"/>
  <c r="H7" i="2"/>
  <c r="H9" i="2" s="1"/>
  <c r="H10" i="2" s="1"/>
  <c r="H5" i="2"/>
  <c r="H30" i="2" s="1"/>
  <c r="E7" i="2"/>
  <c r="E9" i="2" s="1"/>
  <c r="E10" i="2" s="1"/>
  <c r="E5" i="2"/>
  <c r="E30" i="2" s="1"/>
  <c r="I7" i="2"/>
  <c r="I9" i="2" s="1"/>
  <c r="I10" i="2" s="1"/>
  <c r="I5" i="2"/>
  <c r="I30" i="2" s="1"/>
  <c r="F7" i="2"/>
  <c r="F9" i="2" s="1"/>
  <c r="F10" i="2" s="1"/>
  <c r="F5" i="2"/>
  <c r="F30" i="2" s="1"/>
  <c r="J7" i="2"/>
  <c r="J5" i="2"/>
  <c r="J30" i="2" s="1"/>
  <c r="N7" i="1"/>
  <c r="N10" i="1" s="1"/>
  <c r="K15" i="2" l="1"/>
  <c r="K17" i="2" s="1"/>
  <c r="K32" i="2"/>
  <c r="AB3" i="2"/>
  <c r="AA5" i="2"/>
  <c r="AA10" i="2"/>
  <c r="L15" i="2"/>
  <c r="L17" i="2" s="1"/>
  <c r="L32" i="2"/>
  <c r="S17" i="2"/>
  <c r="S37" i="2"/>
  <c r="Y13" i="2"/>
  <c r="D31" i="2"/>
  <c r="D13" i="2"/>
  <c r="F31" i="2"/>
  <c r="F13" i="2"/>
  <c r="I31" i="2"/>
  <c r="I13" i="2"/>
  <c r="H31" i="2"/>
  <c r="H13" i="2"/>
  <c r="G31" i="2"/>
  <c r="G13" i="2"/>
  <c r="C31" i="2"/>
  <c r="C13" i="2"/>
  <c r="E31" i="2"/>
  <c r="E13" i="2"/>
  <c r="J9" i="2"/>
  <c r="J10" i="2" s="1"/>
  <c r="M7" i="2"/>
  <c r="M9" i="2" s="1"/>
  <c r="M10" i="2" s="1"/>
  <c r="M13" i="2" s="1"/>
  <c r="M15" i="2" l="1"/>
  <c r="M32" i="2"/>
  <c r="D15" i="2"/>
  <c r="D17" i="2" s="1"/>
  <c r="D32" i="2"/>
  <c r="Y14" i="2"/>
  <c r="Y15" i="2" s="1"/>
  <c r="C15" i="2"/>
  <c r="C17" i="2" s="1"/>
  <c r="C32" i="2"/>
  <c r="G15" i="2"/>
  <c r="G37" i="2" s="1"/>
  <c r="G32" i="2"/>
  <c r="E15" i="2"/>
  <c r="E17" i="2" s="1"/>
  <c r="E32" i="2"/>
  <c r="H15" i="2"/>
  <c r="H17" i="2" s="1"/>
  <c r="H32" i="2"/>
  <c r="I15" i="2"/>
  <c r="L37" i="2" s="1"/>
  <c r="I32" i="2"/>
  <c r="AC3" i="2"/>
  <c r="AB5" i="2"/>
  <c r="AB10" i="2"/>
  <c r="F15" i="2"/>
  <c r="F17" i="2" s="1"/>
  <c r="F32" i="2"/>
  <c r="J31" i="2"/>
  <c r="J13" i="2"/>
  <c r="M31" i="2"/>
  <c r="G17" i="2" l="1"/>
  <c r="I17" i="2"/>
  <c r="Y23" i="2"/>
  <c r="H37" i="2"/>
  <c r="J15" i="2"/>
  <c r="J32" i="2"/>
  <c r="K37" i="2"/>
  <c r="I37" i="2"/>
  <c r="AD3" i="2"/>
  <c r="AC10" i="2"/>
  <c r="AC5" i="2"/>
  <c r="M17" i="2"/>
  <c r="M37" i="2"/>
  <c r="Z13" i="2" l="1"/>
  <c r="AE3" i="2"/>
  <c r="AD5" i="2"/>
  <c r="AD10" i="2"/>
  <c r="J17" i="2"/>
  <c r="J37" i="2"/>
  <c r="AF3" i="2" l="1"/>
  <c r="AE5" i="2"/>
  <c r="AE10" i="2"/>
  <c r="Z14" i="2"/>
  <c r="Z15" i="2" s="1"/>
  <c r="Z37" i="2" l="1"/>
  <c r="Z23" i="2"/>
  <c r="AG3" i="2"/>
  <c r="AF10" i="2"/>
  <c r="AF5" i="2"/>
  <c r="AH3" i="2" l="1"/>
  <c r="AG5" i="2"/>
  <c r="AG10" i="2"/>
  <c r="AA13" i="2"/>
  <c r="AA14" i="2" s="1"/>
  <c r="AA15" i="2" s="1"/>
  <c r="AA37" i="2" s="1"/>
  <c r="AA23" i="2" l="1"/>
  <c r="AH5" i="2"/>
  <c r="AH10" i="2"/>
  <c r="AB12" i="2" l="1"/>
  <c r="AB13" i="2" s="1"/>
  <c r="AB14" i="2" s="1"/>
  <c r="AB15" i="2" s="1"/>
  <c r="AB37" i="2" s="1"/>
  <c r="AB23" i="2" l="1"/>
  <c r="AC12" i="2" l="1"/>
  <c r="AC13" i="2" s="1"/>
  <c r="AC14" i="2" s="1"/>
  <c r="AC15" i="2" s="1"/>
  <c r="AC37" i="2" s="1"/>
  <c r="AC23" i="2" l="1"/>
  <c r="AD12" i="2" s="1"/>
  <c r="AD13" i="2" s="1"/>
  <c r="AD14" i="2" s="1"/>
  <c r="AD15" i="2" s="1"/>
  <c r="AD37" i="2" s="1"/>
  <c r="AD23" i="2" l="1"/>
  <c r="AE12" i="2" l="1"/>
  <c r="AE13" i="2" s="1"/>
  <c r="AE14" i="2" s="1"/>
  <c r="AE15" i="2" s="1"/>
  <c r="AE37" i="2" s="1"/>
  <c r="AE23" i="2" l="1"/>
  <c r="AF12" i="2" l="1"/>
  <c r="AF13" i="2" s="1"/>
  <c r="AF14" i="2" s="1"/>
  <c r="AF15" i="2" s="1"/>
  <c r="AF37" i="2" s="1"/>
  <c r="AF23" i="2" l="1"/>
  <c r="AG12" i="2" s="1"/>
  <c r="AG13" i="2" s="1"/>
  <c r="AG14" i="2" s="1"/>
  <c r="AG15" i="2" s="1"/>
  <c r="AG37" i="2" l="1"/>
  <c r="AG23" i="2"/>
  <c r="AH12" i="2"/>
  <c r="AH13" i="2" s="1"/>
  <c r="AH14" i="2" s="1"/>
  <c r="AH15" i="2" s="1"/>
  <c r="AH23" i="2" s="1"/>
  <c r="AH37" i="2" l="1"/>
  <c r="AI15" i="2"/>
  <c r="AJ15" i="2" s="1"/>
  <c r="AK15" i="2" s="1"/>
  <c r="AL15" i="2" s="1"/>
  <c r="AM15" i="2" s="1"/>
  <c r="AN15" i="2" s="1"/>
  <c r="AO15" i="2" s="1"/>
  <c r="AP15" i="2" s="1"/>
  <c r="AQ15" i="2" s="1"/>
  <c r="AR15" i="2" s="1"/>
  <c r="AS15" i="2" s="1"/>
  <c r="AT15" i="2" s="1"/>
  <c r="AU15" i="2" s="1"/>
  <c r="AV15" i="2" s="1"/>
  <c r="AW15" i="2" s="1"/>
  <c r="AX15" i="2" s="1"/>
  <c r="AY15" i="2" s="1"/>
  <c r="AZ15" i="2" s="1"/>
  <c r="BA15" i="2" s="1"/>
  <c r="BB15" i="2" s="1"/>
  <c r="BC15" i="2" s="1"/>
  <c r="BD15" i="2" s="1"/>
  <c r="BE15" i="2" s="1"/>
  <c r="BF15" i="2" s="1"/>
  <c r="BG15" i="2" s="1"/>
  <c r="BH15" i="2" s="1"/>
  <c r="BI15" i="2" s="1"/>
  <c r="BJ15" i="2" s="1"/>
  <c r="BK15" i="2" s="1"/>
  <c r="BL15" i="2" s="1"/>
  <c r="BM15" i="2" s="1"/>
  <c r="BN15" i="2" s="1"/>
  <c r="BO15" i="2" s="1"/>
  <c r="BP15" i="2" s="1"/>
  <c r="BQ15" i="2" s="1"/>
  <c r="BR15" i="2" s="1"/>
  <c r="BS15" i="2" s="1"/>
  <c r="BT15" i="2" s="1"/>
  <c r="BU15" i="2" s="1"/>
  <c r="BV15" i="2" s="1"/>
  <c r="BW15" i="2" s="1"/>
  <c r="BX15" i="2" s="1"/>
  <c r="BY15" i="2" s="1"/>
  <c r="BZ15" i="2" s="1"/>
  <c r="CA15" i="2" s="1"/>
  <c r="CB15" i="2" s="1"/>
  <c r="CC15" i="2" s="1"/>
  <c r="CD15" i="2" s="1"/>
  <c r="CE15" i="2" s="1"/>
  <c r="CF15" i="2" s="1"/>
  <c r="CG15" i="2" s="1"/>
  <c r="CH15" i="2" s="1"/>
  <c r="CI15" i="2" s="1"/>
  <c r="CJ15" i="2" s="1"/>
  <c r="CK15" i="2" s="1"/>
  <c r="CL15" i="2" s="1"/>
  <c r="CM15" i="2" s="1"/>
  <c r="CN15" i="2" s="1"/>
  <c r="CO15" i="2" s="1"/>
  <c r="CP15" i="2" s="1"/>
  <c r="CQ15" i="2" s="1"/>
  <c r="CR15" i="2" s="1"/>
  <c r="CS15" i="2" s="1"/>
  <c r="CT15" i="2" s="1"/>
  <c r="CU15" i="2" s="1"/>
  <c r="CV15" i="2" s="1"/>
  <c r="CW15" i="2" s="1"/>
  <c r="CX15" i="2" s="1"/>
  <c r="CY15" i="2" s="1"/>
  <c r="CZ15" i="2" s="1"/>
  <c r="DA15" i="2" s="1"/>
  <c r="DB15" i="2" s="1"/>
  <c r="DC15" i="2" s="1"/>
  <c r="DD15" i="2" s="1"/>
  <c r="DE15" i="2" s="1"/>
  <c r="DF15" i="2" s="1"/>
  <c r="DG15" i="2" s="1"/>
  <c r="DH15" i="2" s="1"/>
  <c r="DI15" i="2" s="1"/>
  <c r="DJ15" i="2" s="1"/>
  <c r="DK15" i="2" s="1"/>
  <c r="DL15" i="2" s="1"/>
  <c r="DM15" i="2" s="1"/>
  <c r="DN15" i="2" s="1"/>
  <c r="DO15" i="2" s="1"/>
  <c r="DP15" i="2" s="1"/>
  <c r="DQ15" i="2" s="1"/>
  <c r="DR15" i="2" s="1"/>
  <c r="DS15" i="2" s="1"/>
  <c r="DT15" i="2" s="1"/>
  <c r="DU15" i="2" s="1"/>
  <c r="DV15" i="2" s="1"/>
  <c r="DW15" i="2" s="1"/>
  <c r="DX15" i="2" s="1"/>
  <c r="DY15" i="2" s="1"/>
  <c r="DZ15" i="2" s="1"/>
  <c r="EA15" i="2" s="1"/>
  <c r="EB15" i="2" s="1"/>
  <c r="EC15" i="2" s="1"/>
  <c r="ED15" i="2" s="1"/>
  <c r="EE15" i="2" s="1"/>
  <c r="T15" i="2" l="1"/>
  <c r="U15" i="2"/>
  <c r="U17" i="2" s="1"/>
  <c r="V15" i="2"/>
  <c r="W15" i="2"/>
  <c r="W17" i="2" s="1"/>
  <c r="X15" i="2"/>
  <c r="Y37" i="2" s="1"/>
  <c r="V37" i="2" l="1"/>
  <c r="T37" i="2"/>
  <c r="C4" i="3"/>
  <c r="N12" i="1" s="1"/>
  <c r="X37" i="2"/>
  <c r="U37" i="2"/>
  <c r="T17" i="2"/>
  <c r="X17" i="2"/>
  <c r="W37" i="2"/>
  <c r="V17" i="2"/>
  <c r="N13" i="1" l="1"/>
</calcChain>
</file>

<file path=xl/sharedStrings.xml><?xml version="1.0" encoding="utf-8"?>
<sst xmlns="http://schemas.openxmlformats.org/spreadsheetml/2006/main" count="67" uniqueCount="59">
  <si>
    <t>Price</t>
  </si>
  <si>
    <t>Shares</t>
  </si>
  <si>
    <t>MkCap</t>
  </si>
  <si>
    <t>Cash</t>
  </si>
  <si>
    <t>Debt</t>
  </si>
  <si>
    <t>EV</t>
  </si>
  <si>
    <t>22Q1</t>
  </si>
  <si>
    <t>21Q4</t>
  </si>
  <si>
    <t>21Q3</t>
  </si>
  <si>
    <t>21Q2</t>
  </si>
  <si>
    <t>22Q2</t>
  </si>
  <si>
    <t>21Q1</t>
  </si>
  <si>
    <t>20Q4</t>
  </si>
  <si>
    <t>20Q3</t>
  </si>
  <si>
    <t>20Q2</t>
  </si>
  <si>
    <t>Revenue</t>
  </si>
  <si>
    <t>COGS</t>
  </si>
  <si>
    <t>R&amp;D</t>
  </si>
  <si>
    <t>SG&amp;A</t>
  </si>
  <si>
    <t>Taxes</t>
  </si>
  <si>
    <t>Net income</t>
  </si>
  <si>
    <t>Total Operating Expenses</t>
  </si>
  <si>
    <t>Operating Income</t>
  </si>
  <si>
    <t>EPS</t>
  </si>
  <si>
    <t>Revenue y/y</t>
  </si>
  <si>
    <t>Gross margin</t>
  </si>
  <si>
    <t>22Q3</t>
  </si>
  <si>
    <t>22Q4</t>
  </si>
  <si>
    <t>R&amp;D y/y</t>
  </si>
  <si>
    <t>Net income y/y</t>
  </si>
  <si>
    <t>TXN</t>
  </si>
  <si>
    <t>Texas Instruments</t>
  </si>
  <si>
    <t>Return on RND</t>
  </si>
  <si>
    <t>Depreciation expected to be CFO 1bil for Q3</t>
  </si>
  <si>
    <t>Ave capex 3.5bil per year, this year 2.5bil</t>
  </si>
  <si>
    <t>Other opex</t>
  </si>
  <si>
    <t>Interest expense (profit)</t>
  </si>
  <si>
    <t>Gross income</t>
  </si>
  <si>
    <t>Other expense (profit)</t>
  </si>
  <si>
    <t>Net Cash</t>
  </si>
  <si>
    <t>Finished goods</t>
  </si>
  <si>
    <t>CF CapEx</t>
  </si>
  <si>
    <t>Update</t>
  </si>
  <si>
    <t>PPE (at cost)</t>
  </si>
  <si>
    <t>Operating margin</t>
  </si>
  <si>
    <t>u</t>
  </si>
  <si>
    <t>Tax on EBT</t>
  </si>
  <si>
    <t>EBT</t>
  </si>
  <si>
    <t>Interest rate on netcash</t>
  </si>
  <si>
    <t>Maturity decay</t>
  </si>
  <si>
    <t>Discount</t>
  </si>
  <si>
    <t>NPV</t>
  </si>
  <si>
    <t>NPV/sh</t>
  </si>
  <si>
    <t>EBITDA</t>
  </si>
  <si>
    <t>CF Depreciation</t>
  </si>
  <si>
    <t>We have made and will continue to make significant investments in manufacturing capacity</t>
  </si>
  <si>
    <t xml:space="preserve">We subcontract a portion of our wafer fabrication and assembly and testing of our products, and we depend on third parties to provide advanced logic manufacturing process technology development. We do not have long-term contracts with all of these suppliers, and the number of alternate suppliers is limited. Reliance on these suppliers involves risks, including possible shortages of capacity in periods of high demand, suppliers’ inability to develop and deliver advanced logic manufacturing process technology in a timely, cost-effective, and appropriate manner, the possibility of suppliers’ imposition of increased costs on us and the unauthorized disclosure or use of our intellectual property. </t>
  </si>
  <si>
    <t>We expect to continue to maintain sufficient internal manufacturing capacity to meet the majority of our production needs and to obtain manufacturing equipment to support new technology developments and revenue growth. In 2022, we sourced about 80% of our total wafers and about 60% of our assembly/test production internally.</t>
  </si>
  <si>
    <t>With our planned capacity expansions, we expect these percentages to increase. To supplement our internal manufacturing capacity, we selectively use the capacity of outside suppliers, commonly known as foundries and subcontractors.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</si>
</sst>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0.0%"/>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25">
    <xf numFmtId="0" fontId="0" fillId="0" borderId="0" xfId="0"/>
    <xf numFmtId="3" fontId="0" fillId="0" borderId="0" xfId="0" applyNumberFormat="1"/>
    <xf numFmtId="44" fontId="0" fillId="0" borderId="0" xfId="0" applyNumberFormat="1"/>
    <xf numFmtId="0" fontId="1" fillId="0" borderId="0" xfId="0" applyFont="1"/>
    <xf numFmtId="3" fontId="1" fillId="0" borderId="0" xfId="0" applyNumberFormat="1" applyFont="1"/>
    <xf numFmtId="4" fontId="0" fillId="0" borderId="0" xfId="0" applyNumberFormat="1"/>
    <xf numFmtId="10" fontId="0" fillId="0" borderId="0" xfId="0" applyNumberFormat="1"/>
    <xf numFmtId="14" fontId="0" fillId="0" borderId="0" xfId="0" applyNumberFormat="1"/>
    <xf numFmtId="9" fontId="0" fillId="0" borderId="0" xfId="0" applyNumberFormat="1"/>
    <xf numFmtId="0" fontId="0" fillId="2" borderId="0" xfId="0" applyFill="1"/>
    <xf numFmtId="0" fontId="1" fillId="2" borderId="0" xfId="0" applyFont="1" applyFill="1"/>
    <xf numFmtId="4" fontId="0" fillId="2" borderId="0" xfId="0" applyNumberFormat="1" applyFill="1"/>
    <xf numFmtId="9" fontId="0" fillId="2" borderId="0" xfId="0" applyNumberFormat="1" applyFill="1"/>
    <xf numFmtId="8" fontId="0" fillId="0" borderId="0" xfId="0" applyNumberFormat="1"/>
    <xf numFmtId="2" fontId="1" fillId="0" borderId="0" xfId="0" applyNumberFormat="1" applyFont="1"/>
    <xf numFmtId="1" fontId="0" fillId="0" borderId="0" xfId="0" applyNumberFormat="1"/>
    <xf numFmtId="1" fontId="0" fillId="2" borderId="0" xfId="0" applyNumberFormat="1" applyFill="1"/>
    <xf numFmtId="2" fontId="1" fillId="2" borderId="0" xfId="0" applyNumberFormat="1" applyFont="1" applyFill="1"/>
    <xf numFmtId="3" fontId="0" fillId="2" borderId="0" xfId="0" applyNumberFormat="1" applyFill="1"/>
    <xf numFmtId="9" fontId="1" fillId="0" borderId="0" xfId="0" applyNumberFormat="1" applyFont="1"/>
    <xf numFmtId="9" fontId="1" fillId="2" borderId="0" xfId="0" applyNumberFormat="1" applyFont="1" applyFill="1"/>
    <xf numFmtId="164" fontId="0" fillId="0" borderId="0" xfId="0" applyNumberFormat="1"/>
    <xf numFmtId="164" fontId="0" fillId="2" borderId="0" xfId="0" applyNumberFormat="1" applyFill="1"/>
    <xf numFmtId="0" fontId="0" fillId="0" borderId="0" xfId="0" applyAlignment="1">
      <alignment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29308</xdr:colOff>
      <xdr:row>0</xdr:row>
      <xdr:rowOff>51722</xdr:rowOff>
    </xdr:from>
    <xdr:to>
      <xdr:col>13</xdr:col>
      <xdr:colOff>29308</xdr:colOff>
      <xdr:row>54</xdr:row>
      <xdr:rowOff>29741</xdr:rowOff>
    </xdr:to>
    <xdr:cxnSp macro="">
      <xdr:nvCxnSpPr>
        <xdr:cNvPr id="3" name="Straight Connector 2">
          <a:extLst>
            <a:ext uri="{FF2B5EF4-FFF2-40B4-BE49-F238E27FC236}">
              <a16:creationId xmlns:a16="http://schemas.microsoft.com/office/drawing/2014/main" id="{B1B42924-0332-F737-74D4-5E53970249B3}"/>
            </a:ext>
          </a:extLst>
        </xdr:cNvPr>
        <xdr:cNvCxnSpPr/>
      </xdr:nvCxnSpPr>
      <xdr:spPr>
        <a:xfrm>
          <a:off x="8960396" y="51722"/>
          <a:ext cx="0" cy="9884019"/>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24</xdr:col>
      <xdr:colOff>47236</xdr:colOff>
      <xdr:row>0</xdr:row>
      <xdr:rowOff>24828</xdr:rowOff>
    </xdr:from>
    <xdr:to>
      <xdr:col>24</xdr:col>
      <xdr:colOff>47236</xdr:colOff>
      <xdr:row>54</xdr:row>
      <xdr:rowOff>2847</xdr:rowOff>
    </xdr:to>
    <xdr:cxnSp macro="">
      <xdr:nvCxnSpPr>
        <xdr:cNvPr id="2" name="Straight Connector 1">
          <a:extLst>
            <a:ext uri="{FF2B5EF4-FFF2-40B4-BE49-F238E27FC236}">
              <a16:creationId xmlns:a16="http://schemas.microsoft.com/office/drawing/2014/main" id="{B4C4444F-057C-430B-A18E-C11182AAB18A}"/>
            </a:ext>
          </a:extLst>
        </xdr:cNvPr>
        <xdr:cNvCxnSpPr/>
      </xdr:nvCxnSpPr>
      <xdr:spPr>
        <a:xfrm>
          <a:off x="13505501" y="24828"/>
          <a:ext cx="0" cy="9884019"/>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34</xdr:col>
      <xdr:colOff>58442</xdr:colOff>
      <xdr:row>0</xdr:row>
      <xdr:rowOff>0</xdr:rowOff>
    </xdr:from>
    <xdr:to>
      <xdr:col>34</xdr:col>
      <xdr:colOff>58442</xdr:colOff>
      <xdr:row>53</xdr:row>
      <xdr:rowOff>168519</xdr:rowOff>
    </xdr:to>
    <xdr:cxnSp macro="">
      <xdr:nvCxnSpPr>
        <xdr:cNvPr id="4" name="Straight Connector 3">
          <a:extLst>
            <a:ext uri="{FF2B5EF4-FFF2-40B4-BE49-F238E27FC236}">
              <a16:creationId xmlns:a16="http://schemas.microsoft.com/office/drawing/2014/main" id="{77A0338A-7011-4C3B-B359-406E86A34B4B}"/>
            </a:ext>
          </a:extLst>
        </xdr:cNvPr>
        <xdr:cNvCxnSpPr/>
      </xdr:nvCxnSpPr>
      <xdr:spPr>
        <a:xfrm>
          <a:off x="21069471" y="0"/>
          <a:ext cx="0" cy="9884019"/>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DD50C-C6AD-42B7-B8F2-B9DA58381265}">
  <dimension ref="B1:N25"/>
  <sheetViews>
    <sheetView tabSelected="1" workbookViewId="0">
      <selection activeCell="N22" sqref="N22"/>
    </sheetView>
  </sheetViews>
  <sheetFormatPr defaultRowHeight="15" x14ac:dyDescent="0.25"/>
  <cols>
    <col min="13" max="13" width="9.7109375" bestFit="1" customWidth="1"/>
    <col min="14" max="14" width="11.5703125" customWidth="1"/>
  </cols>
  <sheetData>
    <row r="1" spans="2:14" x14ac:dyDescent="0.25">
      <c r="M1" t="s">
        <v>42</v>
      </c>
      <c r="N1" s="7">
        <v>44979</v>
      </c>
    </row>
    <row r="3" spans="2:14" x14ac:dyDescent="0.25">
      <c r="M3" t="s">
        <v>31</v>
      </c>
    </row>
    <row r="4" spans="2:14" x14ac:dyDescent="0.25">
      <c r="B4" t="s">
        <v>33</v>
      </c>
      <c r="M4" t="s">
        <v>30</v>
      </c>
    </row>
    <row r="5" spans="2:14" x14ac:dyDescent="0.25">
      <c r="B5" t="s">
        <v>34</v>
      </c>
      <c r="M5" t="s">
        <v>0</v>
      </c>
      <c r="N5" s="2">
        <v>169.8</v>
      </c>
    </row>
    <row r="6" spans="2:14" x14ac:dyDescent="0.25">
      <c r="M6" t="s">
        <v>1</v>
      </c>
      <c r="N6" s="1">
        <v>916</v>
      </c>
    </row>
    <row r="7" spans="2:14" x14ac:dyDescent="0.25">
      <c r="B7" t="s">
        <v>55</v>
      </c>
      <c r="M7" t="s">
        <v>2</v>
      </c>
      <c r="N7" s="1">
        <f>N5*N6</f>
        <v>155536.80000000002</v>
      </c>
    </row>
    <row r="8" spans="2:14" x14ac:dyDescent="0.25">
      <c r="M8" t="s">
        <v>3</v>
      </c>
      <c r="N8" s="1">
        <v>9067</v>
      </c>
    </row>
    <row r="9" spans="2:14" ht="15" customHeight="1" x14ac:dyDescent="0.25">
      <c r="B9" s="24" t="s">
        <v>56</v>
      </c>
      <c r="C9" s="24"/>
      <c r="D9" s="24"/>
      <c r="E9" s="24"/>
      <c r="F9" s="24"/>
      <c r="G9" s="24"/>
      <c r="H9" s="24"/>
      <c r="I9" s="24"/>
      <c r="J9" s="24"/>
      <c r="K9" s="24"/>
      <c r="M9" t="s">
        <v>4</v>
      </c>
      <c r="N9" s="1">
        <v>9586</v>
      </c>
    </row>
    <row r="10" spans="2:14" x14ac:dyDescent="0.25">
      <c r="B10" s="24"/>
      <c r="C10" s="24"/>
      <c r="D10" s="24"/>
      <c r="E10" s="24"/>
      <c r="F10" s="24"/>
      <c r="G10" s="24"/>
      <c r="H10" s="24"/>
      <c r="I10" s="24"/>
      <c r="J10" s="24"/>
      <c r="K10" s="24"/>
      <c r="M10" t="s">
        <v>5</v>
      </c>
      <c r="N10" s="1">
        <f>N7-N8+N9</f>
        <v>156055.80000000002</v>
      </c>
    </row>
    <row r="11" spans="2:14" x14ac:dyDescent="0.25">
      <c r="B11" s="24"/>
      <c r="C11" s="24"/>
      <c r="D11" s="24"/>
      <c r="E11" s="24"/>
      <c r="F11" s="24"/>
      <c r="G11" s="24"/>
      <c r="H11" s="24"/>
      <c r="I11" s="24"/>
      <c r="J11" s="24"/>
      <c r="K11" s="24"/>
    </row>
    <row r="12" spans="2:14" x14ac:dyDescent="0.25">
      <c r="B12" s="24"/>
      <c r="C12" s="24"/>
      <c r="D12" s="24"/>
      <c r="E12" s="24"/>
      <c r="F12" s="24"/>
      <c r="G12" s="24"/>
      <c r="H12" s="24"/>
      <c r="I12" s="24"/>
      <c r="J12" s="24"/>
      <c r="K12" s="24"/>
      <c r="M12" t="s">
        <v>51</v>
      </c>
      <c r="N12" s="1">
        <f>Dash!C4</f>
        <v>134489.60313830531</v>
      </c>
    </row>
    <row r="13" spans="2:14" x14ac:dyDescent="0.25">
      <c r="B13" s="24"/>
      <c r="C13" s="24"/>
      <c r="D13" s="24"/>
      <c r="E13" s="24"/>
      <c r="F13" s="24"/>
      <c r="G13" s="24"/>
      <c r="H13" s="24"/>
      <c r="I13" s="24"/>
      <c r="J13" s="24"/>
      <c r="K13" s="24"/>
      <c r="M13" t="s">
        <v>52</v>
      </c>
      <c r="N13" s="13">
        <f>N12/N6</f>
        <v>146.82271084967829</v>
      </c>
    </row>
    <row r="14" spans="2:14" x14ac:dyDescent="0.25">
      <c r="B14" s="24"/>
      <c r="C14" s="24"/>
      <c r="D14" s="24"/>
      <c r="E14" s="24"/>
      <c r="F14" s="24"/>
      <c r="G14" s="24"/>
      <c r="H14" s="24"/>
      <c r="I14" s="24"/>
      <c r="J14" s="24"/>
      <c r="K14" s="24"/>
    </row>
    <row r="15" spans="2:14" x14ac:dyDescent="0.25">
      <c r="B15" s="24"/>
      <c r="C15" s="24"/>
      <c r="D15" s="24"/>
      <c r="E15" s="24"/>
      <c r="F15" s="24"/>
      <c r="G15" s="24"/>
      <c r="H15" s="24"/>
      <c r="I15" s="24"/>
      <c r="J15" s="24"/>
      <c r="K15" s="24"/>
    </row>
    <row r="16" spans="2:14" x14ac:dyDescent="0.25">
      <c r="B16" s="24"/>
      <c r="C16" s="24"/>
      <c r="D16" s="24"/>
      <c r="E16" s="24"/>
      <c r="F16" s="24"/>
      <c r="G16" s="24"/>
      <c r="H16" s="24"/>
      <c r="I16" s="24"/>
      <c r="J16" s="24"/>
      <c r="K16" s="24"/>
    </row>
    <row r="18" spans="2:11" ht="15" customHeight="1" x14ac:dyDescent="0.25">
      <c r="B18" s="24" t="s">
        <v>57</v>
      </c>
      <c r="C18" s="24"/>
      <c r="D18" s="24"/>
      <c r="E18" s="24"/>
      <c r="F18" s="24"/>
      <c r="G18" s="24"/>
      <c r="H18" s="24"/>
      <c r="I18" s="24"/>
      <c r="J18" s="24"/>
      <c r="K18" s="24"/>
    </row>
    <row r="19" spans="2:11" x14ac:dyDescent="0.25">
      <c r="B19" s="24"/>
      <c r="C19" s="24"/>
      <c r="D19" s="24"/>
      <c r="E19" s="24"/>
      <c r="F19" s="24"/>
      <c r="G19" s="24"/>
      <c r="H19" s="24"/>
      <c r="I19" s="24"/>
      <c r="J19" s="24"/>
      <c r="K19" s="24"/>
    </row>
    <row r="20" spans="2:11" x14ac:dyDescent="0.25">
      <c r="B20" s="24"/>
      <c r="C20" s="24"/>
      <c r="D20" s="24"/>
      <c r="E20" s="24"/>
      <c r="F20" s="24"/>
      <c r="G20" s="24"/>
      <c r="H20" s="24"/>
      <c r="I20" s="24"/>
      <c r="J20" s="24"/>
      <c r="K20" s="24"/>
    </row>
    <row r="21" spans="2:11" x14ac:dyDescent="0.25">
      <c r="B21" s="24"/>
      <c r="C21" s="24"/>
      <c r="D21" s="24"/>
      <c r="E21" s="24"/>
      <c r="F21" s="24"/>
      <c r="G21" s="24"/>
      <c r="H21" s="24"/>
      <c r="I21" s="24"/>
      <c r="J21" s="24"/>
      <c r="K21" s="24"/>
    </row>
    <row r="22" spans="2:11" x14ac:dyDescent="0.25">
      <c r="B22" s="23"/>
      <c r="C22" s="23"/>
      <c r="D22" s="23"/>
      <c r="E22" s="23"/>
      <c r="F22" s="23"/>
      <c r="G22" s="23"/>
      <c r="H22" s="23"/>
      <c r="I22" s="23"/>
      <c r="J22" s="23"/>
      <c r="K22" s="23"/>
    </row>
    <row r="23" spans="2:11" ht="15" customHeight="1" x14ac:dyDescent="0.25">
      <c r="B23" s="24" t="s">
        <v>58</v>
      </c>
      <c r="C23" s="24"/>
      <c r="D23" s="24"/>
      <c r="E23" s="24"/>
      <c r="F23" s="24"/>
      <c r="G23" s="24"/>
      <c r="H23" s="24"/>
      <c r="I23" s="24"/>
      <c r="J23" s="24"/>
      <c r="K23" s="24"/>
    </row>
    <row r="24" spans="2:11" x14ac:dyDescent="0.25">
      <c r="B24" s="24"/>
      <c r="C24" s="24"/>
      <c r="D24" s="24"/>
      <c r="E24" s="24"/>
      <c r="F24" s="24"/>
      <c r="G24" s="24"/>
      <c r="H24" s="24"/>
      <c r="I24" s="24"/>
      <c r="J24" s="24"/>
      <c r="K24" s="24"/>
    </row>
    <row r="25" spans="2:11" x14ac:dyDescent="0.25">
      <c r="B25" s="24"/>
      <c r="C25" s="24"/>
      <c r="D25" s="24"/>
      <c r="E25" s="24"/>
      <c r="F25" s="24"/>
      <c r="G25" s="24"/>
      <c r="H25" s="24"/>
      <c r="I25" s="24"/>
      <c r="J25" s="24"/>
      <c r="K25" s="24"/>
    </row>
  </sheetData>
  <mergeCells count="3">
    <mergeCell ref="B9:K16"/>
    <mergeCell ref="B18:K21"/>
    <mergeCell ref="B23:K25"/>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C4823-B1D5-4075-A061-9C811CDAD08D}">
  <dimension ref="A1:HJ44"/>
  <sheetViews>
    <sheetView zoomScale="85" zoomScaleNormal="85" workbookViewId="0">
      <pane xSplit="2" ySplit="2" topLeftCell="Q8" activePane="bottomRight" state="frozen"/>
      <selection pane="topRight" activeCell="C1" sqref="C1"/>
      <selection pane="bottomLeft" activeCell="A3" sqref="A3"/>
      <selection pane="bottomRight" activeCell="AH35" sqref="Y35:AH35"/>
    </sheetView>
  </sheetViews>
  <sheetFormatPr defaultRowHeight="15" x14ac:dyDescent="0.25"/>
  <cols>
    <col min="2" max="2" width="23.85546875" bestFit="1" customWidth="1"/>
    <col min="3" max="10" width="9.140625" style="1"/>
    <col min="11" max="11" width="10.28515625" style="1" bestFit="1" customWidth="1"/>
    <col min="12" max="12" width="9.140625" style="1"/>
    <col min="15" max="16" width="4.42578125" style="9" customWidth="1"/>
    <col min="17" max="35" width="9.140625" customWidth="1"/>
  </cols>
  <sheetData>
    <row r="1" spans="2:218" x14ac:dyDescent="0.25">
      <c r="K1" s="7"/>
    </row>
    <row r="2" spans="2:218" s="15" customFormat="1" x14ac:dyDescent="0.25">
      <c r="C2" s="15" t="s">
        <v>14</v>
      </c>
      <c r="D2" s="15" t="s">
        <v>13</v>
      </c>
      <c r="E2" s="15" t="s">
        <v>12</v>
      </c>
      <c r="F2" s="15" t="s">
        <v>11</v>
      </c>
      <c r="G2" s="15" t="s">
        <v>9</v>
      </c>
      <c r="H2" s="15" t="s">
        <v>8</v>
      </c>
      <c r="I2" s="15" t="s">
        <v>7</v>
      </c>
      <c r="J2" s="15" t="s">
        <v>6</v>
      </c>
      <c r="K2" s="15" t="s">
        <v>10</v>
      </c>
      <c r="L2" s="15" t="s">
        <v>26</v>
      </c>
      <c r="M2" s="15" t="s">
        <v>27</v>
      </c>
      <c r="O2" s="16"/>
      <c r="P2" s="16"/>
      <c r="Q2" s="15">
        <v>2015</v>
      </c>
      <c r="R2" s="15">
        <v>2016</v>
      </c>
      <c r="S2" s="15">
        <v>2017</v>
      </c>
      <c r="T2" s="15">
        <v>2018</v>
      </c>
      <c r="U2" s="15">
        <v>2019</v>
      </c>
      <c r="V2" s="15">
        <v>2020</v>
      </c>
      <c r="W2" s="15">
        <v>2021</v>
      </c>
      <c r="X2" s="15">
        <v>2022</v>
      </c>
      <c r="Y2" s="15">
        <v>2023</v>
      </c>
      <c r="Z2" s="15">
        <v>2024</v>
      </c>
      <c r="AA2" s="15">
        <v>2025</v>
      </c>
      <c r="AB2" s="15">
        <v>2026</v>
      </c>
      <c r="AC2" s="15">
        <v>2027</v>
      </c>
      <c r="AD2" s="15">
        <v>2028</v>
      </c>
      <c r="AE2" s="15">
        <v>2029</v>
      </c>
      <c r="AF2" s="15">
        <v>2030</v>
      </c>
      <c r="AG2" s="15">
        <v>2031</v>
      </c>
      <c r="AH2" s="15">
        <v>2032</v>
      </c>
      <c r="AI2" s="15">
        <v>2033</v>
      </c>
      <c r="AJ2" s="15">
        <v>2034</v>
      </c>
      <c r="AK2" s="15">
        <v>2035</v>
      </c>
      <c r="AL2" s="15">
        <v>2036</v>
      </c>
      <c r="AM2" s="15">
        <v>2037</v>
      </c>
      <c r="AN2" s="15">
        <v>2038</v>
      </c>
      <c r="AO2" s="15">
        <v>2039</v>
      </c>
      <c r="AP2" s="15">
        <v>2040</v>
      </c>
      <c r="AQ2" s="15">
        <v>2041</v>
      </c>
      <c r="AR2" s="15">
        <v>2042</v>
      </c>
      <c r="AS2" s="15">
        <v>2043</v>
      </c>
      <c r="AT2" s="15">
        <v>2044</v>
      </c>
      <c r="AU2" s="15">
        <v>2045</v>
      </c>
      <c r="AV2" s="15">
        <v>2046</v>
      </c>
      <c r="AW2" s="15">
        <v>2047</v>
      </c>
      <c r="AX2" s="15">
        <v>2048</v>
      </c>
      <c r="AY2" s="15">
        <v>2049</v>
      </c>
      <c r="AZ2" s="15">
        <v>2050</v>
      </c>
      <c r="BA2" s="15">
        <v>2051</v>
      </c>
      <c r="BB2" s="15">
        <v>2052</v>
      </c>
      <c r="BC2" s="15">
        <v>2053</v>
      </c>
      <c r="BD2" s="15">
        <v>2054</v>
      </c>
      <c r="BE2" s="15">
        <v>2055</v>
      </c>
      <c r="BF2" s="15">
        <v>2056</v>
      </c>
      <c r="BG2" s="15">
        <v>2057</v>
      </c>
      <c r="BH2" s="15">
        <v>2058</v>
      </c>
      <c r="BI2" s="15">
        <v>2059</v>
      </c>
      <c r="BJ2" s="15">
        <v>2060</v>
      </c>
      <c r="BK2" s="15">
        <v>2061</v>
      </c>
      <c r="BL2" s="15">
        <v>2062</v>
      </c>
      <c r="BM2" s="15">
        <v>2063</v>
      </c>
      <c r="BN2" s="15">
        <v>2064</v>
      </c>
      <c r="BO2" s="15">
        <v>2065</v>
      </c>
      <c r="BP2" s="15">
        <v>2066</v>
      </c>
      <c r="BQ2" s="15">
        <v>2067</v>
      </c>
      <c r="BR2" s="15">
        <v>2068</v>
      </c>
      <c r="BS2" s="15">
        <v>2069</v>
      </c>
      <c r="BT2" s="15">
        <v>2070</v>
      </c>
      <c r="BU2" s="15">
        <v>2071</v>
      </c>
      <c r="BV2" s="15">
        <v>2072</v>
      </c>
      <c r="BW2" s="15">
        <v>2073</v>
      </c>
      <c r="BX2" s="15">
        <v>2074</v>
      </c>
      <c r="BY2" s="15">
        <v>2075</v>
      </c>
      <c r="BZ2" s="15">
        <v>2076</v>
      </c>
      <c r="CA2" s="15">
        <v>2077</v>
      </c>
      <c r="CB2" s="15">
        <v>2078</v>
      </c>
      <c r="CC2" s="15">
        <v>2079</v>
      </c>
      <c r="CD2" s="15">
        <v>2080</v>
      </c>
      <c r="CE2" s="15">
        <v>2081</v>
      </c>
      <c r="CF2" s="15">
        <v>2082</v>
      </c>
      <c r="CG2" s="15">
        <v>2083</v>
      </c>
      <c r="CH2" s="15">
        <v>2084</v>
      </c>
      <c r="CI2" s="15">
        <v>2085</v>
      </c>
      <c r="CJ2" s="15">
        <v>2086</v>
      </c>
      <c r="CK2" s="15">
        <v>2087</v>
      </c>
      <c r="CL2" s="15">
        <v>2088</v>
      </c>
      <c r="CM2" s="15">
        <v>2089</v>
      </c>
      <c r="CN2" s="15">
        <v>2090</v>
      </c>
      <c r="CO2" s="15">
        <v>2091</v>
      </c>
      <c r="CP2" s="15">
        <v>2092</v>
      </c>
      <c r="CQ2" s="15">
        <v>2093</v>
      </c>
      <c r="CR2" s="15">
        <v>2094</v>
      </c>
      <c r="CS2" s="15">
        <v>2095</v>
      </c>
      <c r="CT2" s="15">
        <v>2096</v>
      </c>
      <c r="CU2" s="15">
        <v>2097</v>
      </c>
      <c r="CV2" s="15">
        <v>2098</v>
      </c>
      <c r="CW2" s="15">
        <v>2099</v>
      </c>
      <c r="CX2" s="15">
        <v>2100</v>
      </c>
      <c r="CY2" s="15">
        <v>2101</v>
      </c>
      <c r="CZ2" s="15">
        <v>2102</v>
      </c>
      <c r="DA2" s="15">
        <v>2103</v>
      </c>
      <c r="DB2" s="15">
        <v>2104</v>
      </c>
      <c r="DC2" s="15">
        <v>2105</v>
      </c>
      <c r="DD2" s="15">
        <v>2106</v>
      </c>
      <c r="DE2" s="15">
        <v>2107</v>
      </c>
      <c r="DF2" s="15">
        <v>2108</v>
      </c>
      <c r="DG2" s="15">
        <v>2109</v>
      </c>
      <c r="DH2" s="15">
        <v>2110</v>
      </c>
      <c r="DI2" s="15">
        <v>2111</v>
      </c>
      <c r="DJ2" s="15">
        <v>2112</v>
      </c>
      <c r="DK2" s="15">
        <v>2113</v>
      </c>
      <c r="DL2" s="15">
        <v>2114</v>
      </c>
      <c r="DM2" s="15">
        <v>2115</v>
      </c>
      <c r="DN2" s="15">
        <v>2116</v>
      </c>
      <c r="DO2" s="15">
        <v>2117</v>
      </c>
      <c r="DP2" s="15">
        <v>2118</v>
      </c>
      <c r="DQ2" s="15">
        <v>2119</v>
      </c>
      <c r="DR2" s="15">
        <v>2120</v>
      </c>
      <c r="DS2" s="15">
        <v>2121</v>
      </c>
      <c r="DT2" s="15">
        <v>2122</v>
      </c>
      <c r="DU2" s="15">
        <v>2123</v>
      </c>
      <c r="DV2" s="15">
        <v>2124</v>
      </c>
      <c r="DW2" s="15">
        <v>2125</v>
      </c>
      <c r="DX2" s="15">
        <v>2126</v>
      </c>
      <c r="DY2" s="15">
        <v>2127</v>
      </c>
      <c r="DZ2" s="15">
        <v>2128</v>
      </c>
      <c r="EA2" s="15">
        <v>2129</v>
      </c>
      <c r="EB2" s="15">
        <v>2130</v>
      </c>
      <c r="EC2" s="15">
        <v>2131</v>
      </c>
      <c r="ED2" s="15">
        <v>2132</v>
      </c>
      <c r="EE2" s="15">
        <v>2133</v>
      </c>
    </row>
    <row r="3" spans="2:218" x14ac:dyDescent="0.25">
      <c r="B3" t="s">
        <v>15</v>
      </c>
      <c r="C3" s="1">
        <v>3239</v>
      </c>
      <c r="D3" s="1">
        <v>3817</v>
      </c>
      <c r="E3" s="1">
        <v>4076</v>
      </c>
      <c r="F3" s="1">
        <v>4289</v>
      </c>
      <c r="G3" s="1">
        <v>4580</v>
      </c>
      <c r="H3" s="1">
        <v>4643</v>
      </c>
      <c r="I3" s="1">
        <v>4832</v>
      </c>
      <c r="J3" s="1">
        <v>4905</v>
      </c>
      <c r="K3" s="1">
        <v>5212</v>
      </c>
      <c r="L3" s="1">
        <v>5241</v>
      </c>
      <c r="M3" s="1">
        <f>X3-L3-K3-J3</f>
        <v>4670</v>
      </c>
      <c r="Q3" s="1">
        <v>13000</v>
      </c>
      <c r="R3" s="1">
        <v>13370</v>
      </c>
      <c r="S3" s="1">
        <v>14961</v>
      </c>
      <c r="T3" s="1">
        <v>15784</v>
      </c>
      <c r="U3" s="1">
        <v>14383</v>
      </c>
      <c r="V3" s="1">
        <v>14461</v>
      </c>
      <c r="W3" s="1">
        <v>18344</v>
      </c>
      <c r="X3" s="1">
        <v>20028</v>
      </c>
      <c r="Y3" s="1">
        <f t="shared" ref="Y3:AH3" si="0">X3*(1+Y35)</f>
        <v>21730.38</v>
      </c>
      <c r="Z3" s="1">
        <f t="shared" si="0"/>
        <v>23468.810400000002</v>
      </c>
      <c r="AA3" s="1">
        <f t="shared" si="0"/>
        <v>25228.97118</v>
      </c>
      <c r="AB3" s="1">
        <f t="shared" si="0"/>
        <v>26994.999162600001</v>
      </c>
      <c r="AC3" s="1">
        <f t="shared" si="0"/>
        <v>28749.674108168998</v>
      </c>
      <c r="AD3" s="1">
        <f t="shared" si="0"/>
        <v>30330.906184118292</v>
      </c>
      <c r="AE3" s="1">
        <f t="shared" si="0"/>
        <v>31999.106024244797</v>
      </c>
      <c r="AF3" s="1">
        <f t="shared" si="0"/>
        <v>33759.056855578259</v>
      </c>
      <c r="AG3" s="1">
        <f t="shared" si="0"/>
        <v>35615.804982635062</v>
      </c>
      <c r="AH3" s="1">
        <f t="shared" si="0"/>
        <v>37574.674256679988</v>
      </c>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row>
    <row r="4" spans="2:218" x14ac:dyDescent="0.25">
      <c r="B4" t="s">
        <v>16</v>
      </c>
      <c r="C4" s="1">
        <v>1157</v>
      </c>
      <c r="D4" s="1">
        <v>1364</v>
      </c>
      <c r="E4" s="1">
        <v>1430</v>
      </c>
      <c r="F4" s="1">
        <v>1492</v>
      </c>
      <c r="G4" s="1">
        <v>1503</v>
      </c>
      <c r="H4" s="1">
        <v>1491</v>
      </c>
      <c r="I4" s="1">
        <v>1482</v>
      </c>
      <c r="J4" s="1">
        <v>1463</v>
      </c>
      <c r="K4" s="1">
        <v>1587</v>
      </c>
      <c r="L4" s="1">
        <v>1624</v>
      </c>
      <c r="M4" s="1">
        <f>X4-L4-K4-J4</f>
        <v>1583</v>
      </c>
      <c r="Q4" s="1">
        <v>5440</v>
      </c>
      <c r="R4" s="1">
        <v>5130</v>
      </c>
      <c r="S4" s="1">
        <v>5347</v>
      </c>
      <c r="T4" s="1">
        <v>5507</v>
      </c>
      <c r="U4" s="1">
        <v>5219</v>
      </c>
      <c r="V4" s="1">
        <v>5192</v>
      </c>
      <c r="W4" s="1">
        <v>5968</v>
      </c>
      <c r="X4" s="1">
        <v>6257</v>
      </c>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row>
    <row r="5" spans="2:218" s="3" customFormat="1" x14ac:dyDescent="0.25">
      <c r="B5" s="3" t="s">
        <v>37</v>
      </c>
      <c r="C5" s="4">
        <f t="shared" ref="C5:M5" si="1">+C3-C4</f>
        <v>2082</v>
      </c>
      <c r="D5" s="4">
        <f t="shared" si="1"/>
        <v>2453</v>
      </c>
      <c r="E5" s="4">
        <f t="shared" si="1"/>
        <v>2646</v>
      </c>
      <c r="F5" s="4">
        <f t="shared" si="1"/>
        <v>2797</v>
      </c>
      <c r="G5" s="4">
        <f t="shared" si="1"/>
        <v>3077</v>
      </c>
      <c r="H5" s="4">
        <f t="shared" si="1"/>
        <v>3152</v>
      </c>
      <c r="I5" s="4">
        <f t="shared" si="1"/>
        <v>3350</v>
      </c>
      <c r="J5" s="4">
        <f t="shared" si="1"/>
        <v>3442</v>
      </c>
      <c r="K5" s="4">
        <f t="shared" si="1"/>
        <v>3625</v>
      </c>
      <c r="L5" s="4">
        <f t="shared" si="1"/>
        <v>3617</v>
      </c>
      <c r="M5" s="4">
        <f t="shared" si="1"/>
        <v>3087</v>
      </c>
      <c r="O5" s="10"/>
      <c r="P5" s="10"/>
      <c r="Q5" s="4">
        <f t="shared" ref="Q5:V5" si="2">+Q3-Q4</f>
        <v>7560</v>
      </c>
      <c r="R5" s="4">
        <f t="shared" si="2"/>
        <v>8240</v>
      </c>
      <c r="S5" s="4">
        <f t="shared" si="2"/>
        <v>9614</v>
      </c>
      <c r="T5" s="4">
        <f t="shared" si="2"/>
        <v>10277</v>
      </c>
      <c r="U5" s="4">
        <f t="shared" si="2"/>
        <v>9164</v>
      </c>
      <c r="V5" s="4">
        <f t="shared" si="2"/>
        <v>9269</v>
      </c>
      <c r="W5" s="4">
        <f>+W3-W4</f>
        <v>12376</v>
      </c>
      <c r="X5" s="4">
        <f>+X3-X4</f>
        <v>13771</v>
      </c>
      <c r="Y5" s="4">
        <f t="shared" ref="Y5:AH5" si="3">Y3*Y30</f>
        <v>14776.658400000002</v>
      </c>
      <c r="Z5" s="4">
        <f t="shared" si="3"/>
        <v>15724.102968000003</v>
      </c>
      <c r="AA5" s="4">
        <f t="shared" si="3"/>
        <v>16651.120978800001</v>
      </c>
      <c r="AB5" s="4">
        <f t="shared" si="3"/>
        <v>17546.749455690002</v>
      </c>
      <c r="AC5" s="4">
        <f t="shared" si="3"/>
        <v>18687.28817030985</v>
      </c>
      <c r="AD5" s="4">
        <f t="shared" si="3"/>
        <v>19715.089019676889</v>
      </c>
      <c r="AE5" s="4">
        <f t="shared" si="3"/>
        <v>20799.418915759117</v>
      </c>
      <c r="AF5" s="4">
        <f t="shared" si="3"/>
        <v>21943.386956125869</v>
      </c>
      <c r="AG5" s="4">
        <f t="shared" si="3"/>
        <v>23150.273238712791</v>
      </c>
      <c r="AH5" s="4">
        <f t="shared" si="3"/>
        <v>24423.538266841992</v>
      </c>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row>
    <row r="6" spans="2:218" x14ac:dyDescent="0.25">
      <c r="B6" t="s">
        <v>17</v>
      </c>
      <c r="C6" s="1">
        <v>379</v>
      </c>
      <c r="D6" s="1">
        <v>386</v>
      </c>
      <c r="E6" s="1">
        <v>388</v>
      </c>
      <c r="F6" s="1">
        <v>386</v>
      </c>
      <c r="G6" s="1">
        <v>391</v>
      </c>
      <c r="H6" s="1">
        <v>388</v>
      </c>
      <c r="I6" s="1">
        <v>389</v>
      </c>
      <c r="J6" s="1">
        <v>391</v>
      </c>
      <c r="K6" s="1">
        <v>414</v>
      </c>
      <c r="L6" s="1">
        <v>431</v>
      </c>
      <c r="M6" s="1">
        <f>X6-L6-K6-J6</f>
        <v>434</v>
      </c>
      <c r="Q6" s="1">
        <v>1280</v>
      </c>
      <c r="R6" s="1">
        <v>1370</v>
      </c>
      <c r="S6" s="1">
        <v>1508</v>
      </c>
      <c r="T6" s="1">
        <v>1559</v>
      </c>
      <c r="U6" s="1">
        <v>1544</v>
      </c>
      <c r="V6" s="1">
        <v>1530</v>
      </c>
      <c r="W6" s="1">
        <v>1554</v>
      </c>
      <c r="X6" s="1">
        <v>1670</v>
      </c>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row>
    <row r="7" spans="2:218" x14ac:dyDescent="0.25">
      <c r="B7" t="s">
        <v>18</v>
      </c>
      <c r="C7" s="1">
        <f>401+50+24</f>
        <v>475</v>
      </c>
      <c r="D7" s="1">
        <f>407+51</f>
        <v>458</v>
      </c>
      <c r="E7" s="1">
        <f>398+47</f>
        <v>445</v>
      </c>
      <c r="F7" s="1">
        <f>425+47</f>
        <v>472</v>
      </c>
      <c r="G7" s="1">
        <f>425+48</f>
        <v>473</v>
      </c>
      <c r="H7" s="1">
        <f>412+47</f>
        <v>459</v>
      </c>
      <c r="I7" s="1">
        <f>404+54</f>
        <v>458</v>
      </c>
      <c r="J7" s="1">
        <f>422+66</f>
        <v>488</v>
      </c>
      <c r="K7" s="1">
        <f>422+66</f>
        <v>488</v>
      </c>
      <c r="L7" s="1">
        <v>431</v>
      </c>
      <c r="M7" s="1">
        <f>X7-L7-K7-J7</f>
        <v>297</v>
      </c>
      <c r="Q7" s="1">
        <v>1748</v>
      </c>
      <c r="R7" s="1">
        <v>1767</v>
      </c>
      <c r="S7" s="1">
        <v>1694</v>
      </c>
      <c r="T7" s="1">
        <v>1684</v>
      </c>
      <c r="U7" s="1">
        <v>1645</v>
      </c>
      <c r="V7" s="1">
        <v>1623</v>
      </c>
      <c r="W7" s="1">
        <v>1666</v>
      </c>
      <c r="X7" s="1">
        <v>1704</v>
      </c>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row>
    <row r="8" spans="2:218" x14ac:dyDescent="0.25">
      <c r="B8" t="s">
        <v>35</v>
      </c>
      <c r="L8" s="1">
        <v>77</v>
      </c>
      <c r="M8" s="1">
        <f>X8-L8-K8-J8</f>
        <v>180</v>
      </c>
      <c r="Q8" s="1">
        <f>329-71</f>
        <v>258</v>
      </c>
      <c r="R8" s="1">
        <f>319-15</f>
        <v>304</v>
      </c>
      <c r="S8" s="1">
        <f>318+11</f>
        <v>329</v>
      </c>
      <c r="T8" s="1">
        <f>318+3</f>
        <v>321</v>
      </c>
      <c r="U8" s="1">
        <f>288-36</f>
        <v>252</v>
      </c>
      <c r="V8" s="1">
        <f>198+24</f>
        <v>222</v>
      </c>
      <c r="W8" s="1">
        <f>142+54</f>
        <v>196</v>
      </c>
      <c r="X8" s="1">
        <v>257</v>
      </c>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row>
    <row r="9" spans="2:218" x14ac:dyDescent="0.25">
      <c r="B9" t="s">
        <v>21</v>
      </c>
      <c r="C9" s="1">
        <f t="shared" ref="C9:K9" si="4">+C7+C6+C4</f>
        <v>2011</v>
      </c>
      <c r="D9" s="1">
        <f t="shared" si="4"/>
        <v>2208</v>
      </c>
      <c r="E9" s="1">
        <f t="shared" si="4"/>
        <v>2263</v>
      </c>
      <c r="F9" s="1">
        <f t="shared" si="4"/>
        <v>2350</v>
      </c>
      <c r="G9" s="1">
        <f t="shared" si="4"/>
        <v>2367</v>
      </c>
      <c r="H9" s="1">
        <f t="shared" si="4"/>
        <v>2338</v>
      </c>
      <c r="I9" s="1">
        <f t="shared" si="4"/>
        <v>2329</v>
      </c>
      <c r="J9" s="1">
        <f t="shared" si="4"/>
        <v>2342</v>
      </c>
      <c r="K9" s="1">
        <f t="shared" si="4"/>
        <v>2489</v>
      </c>
      <c r="L9" s="1">
        <f>L6+L7+L4+L8</f>
        <v>2563</v>
      </c>
      <c r="M9" s="1">
        <f>M6+M7+M4+M8</f>
        <v>2494</v>
      </c>
      <c r="Q9" s="1">
        <f t="shared" ref="Q9:X9" si="5">+Q4+Q6+Q7+Q8</f>
        <v>8726</v>
      </c>
      <c r="R9" s="1">
        <f t="shared" si="5"/>
        <v>8571</v>
      </c>
      <c r="S9" s="1">
        <f t="shared" si="5"/>
        <v>8878</v>
      </c>
      <c r="T9" s="1">
        <f t="shared" si="5"/>
        <v>9071</v>
      </c>
      <c r="U9" s="1">
        <f t="shared" si="5"/>
        <v>8660</v>
      </c>
      <c r="V9" s="1">
        <f t="shared" si="5"/>
        <v>8567</v>
      </c>
      <c r="W9" s="1">
        <f t="shared" si="5"/>
        <v>9384</v>
      </c>
      <c r="X9" s="1">
        <f t="shared" si="5"/>
        <v>9888</v>
      </c>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row>
    <row r="10" spans="2:218" s="3" customFormat="1" x14ac:dyDescent="0.25">
      <c r="B10" s="3" t="s">
        <v>22</v>
      </c>
      <c r="C10" s="4">
        <f t="shared" ref="C10:K10" si="6">+C3-C9</f>
        <v>1228</v>
      </c>
      <c r="D10" s="4">
        <f t="shared" si="6"/>
        <v>1609</v>
      </c>
      <c r="E10" s="4">
        <f t="shared" si="6"/>
        <v>1813</v>
      </c>
      <c r="F10" s="4">
        <f t="shared" si="6"/>
        <v>1939</v>
      </c>
      <c r="G10" s="4">
        <f t="shared" si="6"/>
        <v>2213</v>
      </c>
      <c r="H10" s="4">
        <f t="shared" si="6"/>
        <v>2305</v>
      </c>
      <c r="I10" s="4">
        <f t="shared" si="6"/>
        <v>2503</v>
      </c>
      <c r="J10" s="4">
        <f t="shared" si="6"/>
        <v>2563</v>
      </c>
      <c r="K10" s="4">
        <f t="shared" si="6"/>
        <v>2723</v>
      </c>
      <c r="L10" s="4">
        <f>+L3-L9</f>
        <v>2678</v>
      </c>
      <c r="M10" s="4">
        <f>+M3-M9</f>
        <v>2176</v>
      </c>
      <c r="O10" s="10"/>
      <c r="P10" s="10"/>
      <c r="Q10" s="4">
        <f t="shared" ref="Q10:V10" si="7">+Q3-Q9</f>
        <v>4274</v>
      </c>
      <c r="R10" s="4">
        <f t="shared" si="7"/>
        <v>4799</v>
      </c>
      <c r="S10" s="4">
        <f t="shared" si="7"/>
        <v>6083</v>
      </c>
      <c r="T10" s="4">
        <f t="shared" si="7"/>
        <v>6713</v>
      </c>
      <c r="U10" s="4">
        <f t="shared" si="7"/>
        <v>5723</v>
      </c>
      <c r="V10" s="4">
        <f t="shared" si="7"/>
        <v>5894</v>
      </c>
      <c r="W10" s="4">
        <f>+W3-W9</f>
        <v>8960</v>
      </c>
      <c r="X10" s="4">
        <f>+X3-X9</f>
        <v>10140</v>
      </c>
      <c r="Y10" s="4">
        <f t="shared" ref="Y10:AH10" si="8">Y3*Y31</f>
        <v>10865.19</v>
      </c>
      <c r="Z10" s="4">
        <f t="shared" si="8"/>
        <v>11265.028992000001</v>
      </c>
      <c r="AA10" s="4">
        <f t="shared" si="8"/>
        <v>11605.3267428</v>
      </c>
      <c r="AB10" s="4">
        <f t="shared" si="8"/>
        <v>11877.799631544001</v>
      </c>
      <c r="AC10" s="4">
        <f t="shared" si="8"/>
        <v>12074.863125430978</v>
      </c>
      <c r="AD10" s="4">
        <f t="shared" si="8"/>
        <v>12738.980597329682</v>
      </c>
      <c r="AE10" s="4">
        <f t="shared" si="8"/>
        <v>13439.624530182815</v>
      </c>
      <c r="AF10" s="4">
        <f t="shared" si="8"/>
        <v>14178.803879342868</v>
      </c>
      <c r="AG10" s="4">
        <f t="shared" si="8"/>
        <v>14958.638092706726</v>
      </c>
      <c r="AH10" s="4">
        <f t="shared" si="8"/>
        <v>15781.363187805595</v>
      </c>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row>
    <row r="11" spans="2:218" x14ac:dyDescent="0.25">
      <c r="B11" t="s">
        <v>38</v>
      </c>
      <c r="C11" s="1">
        <v>-99</v>
      </c>
      <c r="D11" s="1">
        <v>-27</v>
      </c>
      <c r="E11" s="1">
        <v>-162</v>
      </c>
      <c r="F11" s="1">
        <v>-46</v>
      </c>
      <c r="G11" s="1">
        <v>-73</v>
      </c>
      <c r="H11" s="1">
        <v>-15</v>
      </c>
      <c r="I11" s="1">
        <v>-9</v>
      </c>
      <c r="J11" s="1">
        <v>-15</v>
      </c>
      <c r="K11" s="1">
        <v>-7</v>
      </c>
      <c r="L11" s="1">
        <v>-33</v>
      </c>
      <c r="M11" s="1">
        <f>X11-L11-K11-J11</f>
        <v>-51</v>
      </c>
      <c r="Q11" s="1">
        <v>-32</v>
      </c>
      <c r="R11" s="1">
        <v>-211</v>
      </c>
      <c r="S11" s="1">
        <v>-75</v>
      </c>
      <c r="T11" s="1">
        <v>-98</v>
      </c>
      <c r="U11" s="1">
        <v>-175</v>
      </c>
      <c r="V11" s="1">
        <v>-313</v>
      </c>
      <c r="W11" s="1">
        <v>-143</v>
      </c>
      <c r="X11" s="1">
        <v>-106</v>
      </c>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row>
    <row r="12" spans="2:218" x14ac:dyDescent="0.25">
      <c r="B12" t="s">
        <v>36</v>
      </c>
      <c r="C12" s="1">
        <v>48</v>
      </c>
      <c r="D12" s="1">
        <v>49</v>
      </c>
      <c r="E12" s="1">
        <v>48</v>
      </c>
      <c r="F12" s="1">
        <v>46</v>
      </c>
      <c r="G12" s="1">
        <v>44</v>
      </c>
      <c r="H12" s="1">
        <v>45</v>
      </c>
      <c r="I12" s="1">
        <v>49</v>
      </c>
      <c r="J12" s="1">
        <v>52</v>
      </c>
      <c r="K12" s="1">
        <v>49</v>
      </c>
      <c r="L12" s="1">
        <v>53</v>
      </c>
      <c r="M12" s="1">
        <f>X12-L12-K12-J12</f>
        <v>60</v>
      </c>
      <c r="Q12" s="1">
        <v>90</v>
      </c>
      <c r="R12" s="1">
        <v>80</v>
      </c>
      <c r="S12" s="1">
        <v>78</v>
      </c>
      <c r="T12" s="1">
        <v>125</v>
      </c>
      <c r="U12" s="1">
        <v>170</v>
      </c>
      <c r="V12" s="1">
        <v>190</v>
      </c>
      <c r="W12" s="1">
        <v>184</v>
      </c>
      <c r="X12" s="1">
        <v>214</v>
      </c>
      <c r="Y12" s="1">
        <f>X23*-Y39</f>
        <v>38.924999999999997</v>
      </c>
      <c r="Z12" s="1">
        <f>Y23*-Z39</f>
        <v>-400.49327475000001</v>
      </c>
      <c r="AA12" s="1">
        <f>Z23*-AA39</f>
        <v>-854.57372898324388</v>
      </c>
      <c r="AB12" s="1">
        <f t="shared" ref="AB12:AH12" si="9">AA23*-AB39</f>
        <v>-1336.7718772412554</v>
      </c>
      <c r="AC12" s="1">
        <f t="shared" si="9"/>
        <v>-1722.1890149723172</v>
      </c>
      <c r="AD12" s="1">
        <f t="shared" si="9"/>
        <v>-2069.730791026192</v>
      </c>
      <c r="AE12" s="1">
        <f t="shared" si="9"/>
        <v>-2563.7864247202147</v>
      </c>
      <c r="AF12" s="1">
        <f t="shared" si="9"/>
        <v>-3097.7002227031671</v>
      </c>
      <c r="AG12" s="1">
        <f t="shared" si="9"/>
        <v>-3674.0875908076778</v>
      </c>
      <c r="AH12" s="1">
        <f t="shared" si="9"/>
        <v>-4295.7219014239272</v>
      </c>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row>
    <row r="13" spans="2:218" s="3" customFormat="1" x14ac:dyDescent="0.25">
      <c r="B13" s="3" t="s">
        <v>47</v>
      </c>
      <c r="C13" s="4">
        <f>C10-C11-C12</f>
        <v>1279</v>
      </c>
      <c r="D13" s="4">
        <f t="shared" ref="D13:M13" si="10">D10-D11-D12</f>
        <v>1587</v>
      </c>
      <c r="E13" s="4">
        <f t="shared" si="10"/>
        <v>1927</v>
      </c>
      <c r="F13" s="4">
        <f t="shared" si="10"/>
        <v>1939</v>
      </c>
      <c r="G13" s="4">
        <f t="shared" si="10"/>
        <v>2242</v>
      </c>
      <c r="H13" s="4">
        <f t="shared" si="10"/>
        <v>2275</v>
      </c>
      <c r="I13" s="4">
        <f t="shared" si="10"/>
        <v>2463</v>
      </c>
      <c r="J13" s="4">
        <f t="shared" si="10"/>
        <v>2526</v>
      </c>
      <c r="K13" s="4">
        <f t="shared" si="10"/>
        <v>2681</v>
      </c>
      <c r="L13" s="4">
        <f t="shared" si="10"/>
        <v>2658</v>
      </c>
      <c r="M13" s="4">
        <f t="shared" si="10"/>
        <v>2167</v>
      </c>
      <c r="O13" s="10"/>
      <c r="P13" s="10"/>
      <c r="Q13" s="4">
        <f t="shared" ref="Q13:V13" si="11">+Q10-Q11-Q12</f>
        <v>4216</v>
      </c>
      <c r="R13" s="4">
        <f t="shared" si="11"/>
        <v>4930</v>
      </c>
      <c r="S13" s="4">
        <f t="shared" si="11"/>
        <v>6080</v>
      </c>
      <c r="T13" s="4">
        <f t="shared" si="11"/>
        <v>6686</v>
      </c>
      <c r="U13" s="4">
        <f t="shared" si="11"/>
        <v>5728</v>
      </c>
      <c r="V13" s="4">
        <f t="shared" si="11"/>
        <v>6017</v>
      </c>
      <c r="W13" s="4">
        <f>+W10-W11-W12</f>
        <v>8919</v>
      </c>
      <c r="X13" s="4">
        <f>+X10-X11-X12</f>
        <v>10032</v>
      </c>
      <c r="Y13" s="4">
        <f>Y10-Y12</f>
        <v>10826.265000000001</v>
      </c>
      <c r="Z13" s="4">
        <f t="shared" ref="Z13:AH13" si="12">Z10-Z12</f>
        <v>11665.522266750002</v>
      </c>
      <c r="AA13" s="4">
        <f t="shared" si="12"/>
        <v>12459.900471783243</v>
      </c>
      <c r="AB13" s="4">
        <f t="shared" si="12"/>
        <v>13214.571508785257</v>
      </c>
      <c r="AC13" s="4">
        <f t="shared" si="12"/>
        <v>13797.052140403295</v>
      </c>
      <c r="AD13" s="4">
        <f t="shared" si="12"/>
        <v>14808.711388355874</v>
      </c>
      <c r="AE13" s="4">
        <f t="shared" si="12"/>
        <v>16003.410954903029</v>
      </c>
      <c r="AF13" s="4">
        <f t="shared" si="12"/>
        <v>17276.504102046034</v>
      </c>
      <c r="AG13" s="4">
        <f t="shared" si="12"/>
        <v>18632.725683514403</v>
      </c>
      <c r="AH13" s="4">
        <f t="shared" si="12"/>
        <v>20077.08508922952</v>
      </c>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row>
    <row r="14" spans="2:218" x14ac:dyDescent="0.25">
      <c r="B14" t="s">
        <v>19</v>
      </c>
      <c r="C14" s="1">
        <v>-101</v>
      </c>
      <c r="D14" s="1">
        <v>234</v>
      </c>
      <c r="E14" s="1">
        <v>239</v>
      </c>
      <c r="F14" s="1">
        <v>186</v>
      </c>
      <c r="G14" s="1">
        <v>311</v>
      </c>
      <c r="H14" s="1">
        <v>328</v>
      </c>
      <c r="I14" s="1">
        <v>325</v>
      </c>
      <c r="J14" s="1">
        <v>325</v>
      </c>
      <c r="K14" s="1">
        <v>390</v>
      </c>
      <c r="L14" s="1">
        <v>363</v>
      </c>
      <c r="M14" s="1">
        <f>X14-L14-K14-J14</f>
        <v>205</v>
      </c>
      <c r="Q14" s="1">
        <v>1230</v>
      </c>
      <c r="R14" s="1">
        <v>1335</v>
      </c>
      <c r="S14" s="1">
        <v>2398</v>
      </c>
      <c r="T14" s="1">
        <v>1106</v>
      </c>
      <c r="U14" s="1">
        <v>711</v>
      </c>
      <c r="V14" s="1">
        <v>422</v>
      </c>
      <c r="W14" s="1">
        <v>1150</v>
      </c>
      <c r="X14" s="1">
        <v>1283</v>
      </c>
      <c r="Y14" s="1">
        <f t="shared" ref="Y14:AH14" si="13">Y13*Y32</f>
        <v>1407.4144500000002</v>
      </c>
      <c r="Z14" s="1">
        <f t="shared" si="13"/>
        <v>1574.8455060112503</v>
      </c>
      <c r="AA14" s="1">
        <f t="shared" si="13"/>
        <v>1744.3860660496541</v>
      </c>
      <c r="AB14" s="1">
        <f t="shared" si="13"/>
        <v>1916.1128687738621</v>
      </c>
      <c r="AC14" s="1">
        <f t="shared" si="13"/>
        <v>2069.557821060494</v>
      </c>
      <c r="AD14" s="1">
        <f t="shared" si="13"/>
        <v>2221.3067082533812</v>
      </c>
      <c r="AE14" s="1">
        <f t="shared" si="13"/>
        <v>2400.5116432354544</v>
      </c>
      <c r="AF14" s="1">
        <f t="shared" si="13"/>
        <v>2591.4756153069052</v>
      </c>
      <c r="AG14" s="1">
        <f t="shared" si="13"/>
        <v>2794.9088525271604</v>
      </c>
      <c r="AH14" s="1">
        <f t="shared" si="13"/>
        <v>3011.5627633844279</v>
      </c>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row>
    <row r="15" spans="2:218" s="3" customFormat="1" x14ac:dyDescent="0.25">
      <c r="B15" s="3" t="s">
        <v>20</v>
      </c>
      <c r="C15" s="4">
        <f t="shared" ref="C15:M15" si="14">C13-C14</f>
        <v>1380</v>
      </c>
      <c r="D15" s="4">
        <f t="shared" si="14"/>
        <v>1353</v>
      </c>
      <c r="E15" s="4">
        <f t="shared" si="14"/>
        <v>1688</v>
      </c>
      <c r="F15" s="4">
        <f t="shared" si="14"/>
        <v>1753</v>
      </c>
      <c r="G15" s="4">
        <f t="shared" si="14"/>
        <v>1931</v>
      </c>
      <c r="H15" s="4">
        <f t="shared" si="14"/>
        <v>1947</v>
      </c>
      <c r="I15" s="4">
        <f t="shared" si="14"/>
        <v>2138</v>
      </c>
      <c r="J15" s="4">
        <f t="shared" si="14"/>
        <v>2201</v>
      </c>
      <c r="K15" s="4">
        <f t="shared" si="14"/>
        <v>2291</v>
      </c>
      <c r="L15" s="4">
        <f t="shared" si="14"/>
        <v>2295</v>
      </c>
      <c r="M15" s="4">
        <f t="shared" si="14"/>
        <v>1962</v>
      </c>
      <c r="O15" s="10"/>
      <c r="P15" s="10"/>
      <c r="Q15" s="4">
        <f t="shared" ref="Q15:X15" si="15">+Q13-Q14</f>
        <v>2986</v>
      </c>
      <c r="R15" s="4">
        <f t="shared" si="15"/>
        <v>3595</v>
      </c>
      <c r="S15" s="4">
        <f t="shared" si="15"/>
        <v>3682</v>
      </c>
      <c r="T15" s="4">
        <f t="shared" si="15"/>
        <v>5580</v>
      </c>
      <c r="U15" s="4">
        <f t="shared" si="15"/>
        <v>5017</v>
      </c>
      <c r="V15" s="4">
        <f t="shared" si="15"/>
        <v>5595</v>
      </c>
      <c r="W15" s="4">
        <f t="shared" si="15"/>
        <v>7769</v>
      </c>
      <c r="X15" s="4">
        <f t="shared" si="15"/>
        <v>8749</v>
      </c>
      <c r="Y15" s="4">
        <f>Y13-Y14</f>
        <v>9418.850550000001</v>
      </c>
      <c r="Z15" s="4">
        <f t="shared" ref="Z15:AH15" si="16">Z13-Z14</f>
        <v>10090.676760738752</v>
      </c>
      <c r="AA15" s="4">
        <f t="shared" si="16"/>
        <v>10715.514405733589</v>
      </c>
      <c r="AB15" s="4">
        <f t="shared" si="16"/>
        <v>11298.458640011395</v>
      </c>
      <c r="AC15" s="4">
        <f t="shared" si="16"/>
        <v>11727.494319342801</v>
      </c>
      <c r="AD15" s="4">
        <f t="shared" si="16"/>
        <v>12587.404680102492</v>
      </c>
      <c r="AE15" s="4">
        <f t="shared" si="16"/>
        <v>13602.899311667574</v>
      </c>
      <c r="AF15" s="4">
        <f t="shared" si="16"/>
        <v>14685.028486739129</v>
      </c>
      <c r="AG15" s="4">
        <f t="shared" si="16"/>
        <v>15837.816830987244</v>
      </c>
      <c r="AH15" s="4">
        <f t="shared" si="16"/>
        <v>17065.522325845093</v>
      </c>
      <c r="AI15" s="4">
        <f>AH15*(1+Dash!$C$2)</f>
        <v>16980.194714215868</v>
      </c>
      <c r="AJ15" s="4">
        <f>AI15*(1+Dash!$C$2)</f>
        <v>16895.293740644789</v>
      </c>
      <c r="AK15" s="4">
        <f>AJ15*(1+Dash!$C$2)</f>
        <v>16810.817271941563</v>
      </c>
      <c r="AL15" s="4">
        <f>AK15*(1+Dash!$C$2)</f>
        <v>16726.763185581854</v>
      </c>
      <c r="AM15" s="4">
        <f>AL15*(1+Dash!$C$2)</f>
        <v>16643.129369653947</v>
      </c>
      <c r="AN15" s="4">
        <f>AM15*(1+Dash!$C$2)</f>
        <v>16559.913722805679</v>
      </c>
      <c r="AO15" s="4">
        <f>AN15*(1+Dash!$C$2)</f>
        <v>16477.114154191651</v>
      </c>
      <c r="AP15" s="4">
        <f>AO15*(1+Dash!$C$2)</f>
        <v>16394.728583420692</v>
      </c>
      <c r="AQ15" s="4">
        <f>AP15*(1+Dash!$C$2)</f>
        <v>16312.754940503588</v>
      </c>
      <c r="AR15" s="4">
        <f>AQ15*(1+Dash!$C$2)</f>
        <v>16231.19116580107</v>
      </c>
      <c r="AS15" s="4">
        <f>AR15*(1+Dash!$C$2)</f>
        <v>16150.035209972066</v>
      </c>
      <c r="AT15" s="4">
        <f>AS15*(1+Dash!$C$2)</f>
        <v>16069.285033922206</v>
      </c>
      <c r="AU15" s="4">
        <f>AT15*(1+Dash!$C$2)</f>
        <v>15988.938608752595</v>
      </c>
      <c r="AV15" s="4">
        <f>AU15*(1+Dash!$C$2)</f>
        <v>15908.993915708832</v>
      </c>
      <c r="AW15" s="4">
        <f>AV15*(1+Dash!$C$2)</f>
        <v>15829.448946130287</v>
      </c>
      <c r="AX15" s="4">
        <f>AW15*(1+Dash!$C$2)</f>
        <v>15750.301701399636</v>
      </c>
      <c r="AY15" s="4">
        <f>AX15*(1+Dash!$C$2)</f>
        <v>15671.550192892637</v>
      </c>
      <c r="AZ15" s="4">
        <f>AY15*(1+Dash!$C$2)</f>
        <v>15593.192441928173</v>
      </c>
      <c r="BA15" s="4">
        <f>AZ15*(1+Dash!$C$2)</f>
        <v>15515.226479718533</v>
      </c>
      <c r="BB15" s="4">
        <f>BA15*(1+Dash!$C$2)</f>
        <v>15437.650347319939</v>
      </c>
      <c r="BC15" s="4">
        <f>BB15*(1+Dash!$C$2)</f>
        <v>15360.46209558334</v>
      </c>
      <c r="BD15" s="4">
        <f>BC15*(1+Dash!$C$2)</f>
        <v>15283.659785105423</v>
      </c>
      <c r="BE15" s="4">
        <f>BD15*(1+Dash!$C$2)</f>
        <v>15207.241486179895</v>
      </c>
      <c r="BF15" s="4">
        <f>BE15*(1+Dash!$C$2)</f>
        <v>15131.205278748996</v>
      </c>
      <c r="BG15" s="4">
        <f>BF15*(1+Dash!$C$2)</f>
        <v>15055.549252355251</v>
      </c>
      <c r="BH15" s="4">
        <f>BG15*(1+Dash!$C$2)</f>
        <v>14980.271506093475</v>
      </c>
      <c r="BI15" s="4">
        <f>BH15*(1+Dash!$C$2)</f>
        <v>14905.370148563008</v>
      </c>
      <c r="BJ15" s="4">
        <f>BI15*(1+Dash!$C$2)</f>
        <v>14830.843297820193</v>
      </c>
      <c r="BK15" s="4">
        <f>BJ15*(1+Dash!$C$2)</f>
        <v>14756.689081331091</v>
      </c>
      <c r="BL15" s="4">
        <f>BK15*(1+Dash!$C$2)</f>
        <v>14682.905635924435</v>
      </c>
      <c r="BM15" s="4">
        <f>BL15*(1+Dash!$C$2)</f>
        <v>14609.491107744812</v>
      </c>
      <c r="BN15" s="4">
        <f>BM15*(1+Dash!$C$2)</f>
        <v>14536.443652206088</v>
      </c>
      <c r="BO15" s="4">
        <f>BN15*(1+Dash!$C$2)</f>
        <v>14463.761433945057</v>
      </c>
      <c r="BP15" s="4">
        <f>BO15*(1+Dash!$C$2)</f>
        <v>14391.442626775332</v>
      </c>
      <c r="BQ15" s="4">
        <f>BP15*(1+Dash!$C$2)</f>
        <v>14319.485413641454</v>
      </c>
      <c r="BR15" s="4">
        <f>BQ15*(1+Dash!$C$2)</f>
        <v>14247.887986573247</v>
      </c>
      <c r="BS15" s="4">
        <f>BR15*(1+Dash!$C$2)</f>
        <v>14176.648546640381</v>
      </c>
      <c r="BT15" s="4">
        <f>BS15*(1+Dash!$C$2)</f>
        <v>14105.765303907179</v>
      </c>
      <c r="BU15" s="4">
        <f>BT15*(1+Dash!$C$2)</f>
        <v>14035.236477387643</v>
      </c>
      <c r="BV15" s="4">
        <f>BU15*(1+Dash!$C$2)</f>
        <v>13965.060295000705</v>
      </c>
      <c r="BW15" s="4">
        <f>BV15*(1+Dash!$C$2)</f>
        <v>13895.234993525701</v>
      </c>
      <c r="BX15" s="4">
        <f>BW15*(1+Dash!$C$2)</f>
        <v>13825.758818558072</v>
      </c>
      <c r="BY15" s="4">
        <f>BX15*(1+Dash!$C$2)</f>
        <v>13756.630024465281</v>
      </c>
      <c r="BZ15" s="4">
        <f>BY15*(1+Dash!$C$2)</f>
        <v>13687.846874342955</v>
      </c>
      <c r="CA15" s="4">
        <f>BZ15*(1+Dash!$C$2)</f>
        <v>13619.407639971239</v>
      </c>
      <c r="CB15" s="4">
        <f>CA15*(1+Dash!$C$2)</f>
        <v>13551.310601771384</v>
      </c>
      <c r="CC15" s="4">
        <f>CB15*(1+Dash!$C$2)</f>
        <v>13483.554048762526</v>
      </c>
      <c r="CD15" s="4">
        <f>CC15*(1+Dash!$C$2)</f>
        <v>13416.136278518714</v>
      </c>
      <c r="CE15" s="4">
        <f>CD15*(1+Dash!$C$2)</f>
        <v>13349.05559712612</v>
      </c>
      <c r="CF15" s="4">
        <f>CE15*(1+Dash!$C$2)</f>
        <v>13282.31031914049</v>
      </c>
      <c r="CG15" s="4">
        <f>CF15*(1+Dash!$C$2)</f>
        <v>13215.898767544788</v>
      </c>
      <c r="CH15" s="4">
        <f>CG15*(1+Dash!$C$2)</f>
        <v>13149.819273707064</v>
      </c>
      <c r="CI15" s="4">
        <f>CH15*(1+Dash!$C$2)</f>
        <v>13084.070177338528</v>
      </c>
      <c r="CJ15" s="4">
        <f>CI15*(1+Dash!$C$2)</f>
        <v>13018.649826451836</v>
      </c>
      <c r="CK15" s="4">
        <f>CJ15*(1+Dash!$C$2)</f>
        <v>12953.556577319576</v>
      </c>
      <c r="CL15" s="4">
        <f>CK15*(1+Dash!$C$2)</f>
        <v>12888.788794432978</v>
      </c>
      <c r="CM15" s="4">
        <f>CL15*(1+Dash!$C$2)</f>
        <v>12824.344850460813</v>
      </c>
      <c r="CN15" s="4">
        <f>CM15*(1+Dash!$C$2)</f>
        <v>12760.22312620851</v>
      </c>
      <c r="CO15" s="4">
        <f>CN15*(1+Dash!$C$2)</f>
        <v>12696.422010577468</v>
      </c>
      <c r="CP15" s="4">
        <f>CO15*(1+Dash!$C$2)</f>
        <v>12632.93990052458</v>
      </c>
      <c r="CQ15" s="4">
        <f>CP15*(1+Dash!$C$2)</f>
        <v>12569.775201021957</v>
      </c>
      <c r="CR15" s="4">
        <f>CQ15*(1+Dash!$C$2)</f>
        <v>12506.926325016848</v>
      </c>
      <c r="CS15" s="4">
        <f>CR15*(1+Dash!$C$2)</f>
        <v>12444.391693391764</v>
      </c>
      <c r="CT15" s="4">
        <f>CS15*(1+Dash!$C$2)</f>
        <v>12382.169734924806</v>
      </c>
      <c r="CU15" s="4">
        <f>CT15*(1+Dash!$C$2)</f>
        <v>12320.258886250182</v>
      </c>
      <c r="CV15" s="4">
        <f>CU15*(1+Dash!$C$2)</f>
        <v>12258.65759181893</v>
      </c>
      <c r="CW15" s="4">
        <f>CV15*(1+Dash!$C$2)</f>
        <v>12197.364303859835</v>
      </c>
      <c r="CX15" s="4">
        <f>CW15*(1+Dash!$C$2)</f>
        <v>12136.377482340535</v>
      </c>
      <c r="CY15" s="4">
        <f>CX15*(1+Dash!$C$2)</f>
        <v>12075.695594928831</v>
      </c>
      <c r="CZ15" s="4">
        <f>CY15*(1+Dash!$C$2)</f>
        <v>12015.317116954187</v>
      </c>
      <c r="DA15" s="4">
        <f>CZ15*(1+Dash!$C$2)</f>
        <v>11955.240531369416</v>
      </c>
      <c r="DB15" s="4">
        <f>DA15*(1+Dash!$C$2)</f>
        <v>11895.464328712569</v>
      </c>
      <c r="DC15" s="4">
        <f>DB15*(1+Dash!$C$2)</f>
        <v>11835.987007069007</v>
      </c>
      <c r="DD15" s="4">
        <f>DC15*(1+Dash!$C$2)</f>
        <v>11776.807072033662</v>
      </c>
      <c r="DE15" s="4">
        <f>DD15*(1+Dash!$C$2)</f>
        <v>11717.923036673494</v>
      </c>
      <c r="DF15" s="4">
        <f>DE15*(1+Dash!$C$2)</f>
        <v>11659.333421490126</v>
      </c>
      <c r="DG15" s="4">
        <f>DF15*(1+Dash!$C$2)</f>
        <v>11601.036754382676</v>
      </c>
      <c r="DH15" s="4">
        <f>DG15*(1+Dash!$C$2)</f>
        <v>11543.031570610763</v>
      </c>
      <c r="DI15" s="4">
        <f>DH15*(1+Dash!$C$2)</f>
        <v>11485.316412757709</v>
      </c>
      <c r="DJ15" s="4">
        <f>DI15*(1+Dash!$C$2)</f>
        <v>11427.889830693921</v>
      </c>
      <c r="DK15" s="4">
        <f>DJ15*(1+Dash!$C$2)</f>
        <v>11370.750381540451</v>
      </c>
      <c r="DL15" s="4">
        <f>DK15*(1+Dash!$C$2)</f>
        <v>11313.896629632749</v>
      </c>
      <c r="DM15" s="4">
        <f>DL15*(1+Dash!$C$2)</f>
        <v>11257.327146484586</v>
      </c>
      <c r="DN15" s="4">
        <f>DM15*(1+Dash!$C$2)</f>
        <v>11201.040510752162</v>
      </c>
      <c r="DO15" s="4">
        <f>DN15*(1+Dash!$C$2)</f>
        <v>11145.035308198401</v>
      </c>
      <c r="DP15" s="4">
        <f>DO15*(1+Dash!$C$2)</f>
        <v>11089.310131657408</v>
      </c>
      <c r="DQ15" s="4">
        <f>DP15*(1+Dash!$C$2)</f>
        <v>11033.863580999121</v>
      </c>
      <c r="DR15" s="4">
        <f>DQ15*(1+Dash!$C$2)</f>
        <v>10978.694263094125</v>
      </c>
      <c r="DS15" s="4">
        <f>DR15*(1+Dash!$C$2)</f>
        <v>10923.800791778654</v>
      </c>
      <c r="DT15" s="4">
        <f>DS15*(1+Dash!$C$2)</f>
        <v>10869.181787819762</v>
      </c>
      <c r="DU15" s="4">
        <f>DT15*(1+Dash!$C$2)</f>
        <v>10814.835878880664</v>
      </c>
      <c r="DV15" s="4">
        <f>DU15*(1+Dash!$C$2)</f>
        <v>10760.76169948626</v>
      </c>
      <c r="DW15" s="4">
        <f>DV15*(1+Dash!$C$2)</f>
        <v>10706.95789098883</v>
      </c>
      <c r="DX15" s="4">
        <f>DW15*(1+Dash!$C$2)</f>
        <v>10653.423101533885</v>
      </c>
      <c r="DY15" s="4">
        <f>DX15*(1+Dash!$C$2)</f>
        <v>10600.155986026215</v>
      </c>
      <c r="DZ15" s="4">
        <f>DY15*(1+Dash!$C$2)</f>
        <v>10547.155206096084</v>
      </c>
      <c r="EA15" s="4">
        <f>DZ15*(1+Dash!$C$2)</f>
        <v>10494.419430065604</v>
      </c>
      <c r="EB15" s="4">
        <f>EA15*(1+Dash!$C$2)</f>
        <v>10441.947332915275</v>
      </c>
      <c r="EC15" s="4">
        <f>EB15*(1+Dash!$C$2)</f>
        <v>10389.737596250699</v>
      </c>
      <c r="ED15" s="4">
        <f>EC15*(1+Dash!$C$2)</f>
        <v>10337.788908269446</v>
      </c>
      <c r="EE15" s="4">
        <f>ED15*(1+Dash!$C$2)</f>
        <v>10286.099963728098</v>
      </c>
    </row>
    <row r="16" spans="2:218" x14ac:dyDescent="0.25">
      <c r="B16" t="s">
        <v>1</v>
      </c>
      <c r="C16" s="1">
        <v>916</v>
      </c>
      <c r="D16" s="1">
        <v>917</v>
      </c>
      <c r="E16" s="1">
        <v>919</v>
      </c>
      <c r="F16" s="1">
        <v>922</v>
      </c>
      <c r="G16" s="1">
        <v>923</v>
      </c>
      <c r="H16" s="1">
        <v>923</v>
      </c>
      <c r="I16" s="1">
        <v>924</v>
      </c>
      <c r="J16" s="1">
        <v>923</v>
      </c>
      <c r="K16" s="1">
        <v>920</v>
      </c>
      <c r="L16" s="1">
        <v>913</v>
      </c>
      <c r="M16" s="1">
        <v>916</v>
      </c>
      <c r="Q16" s="1">
        <v>1030</v>
      </c>
      <c r="R16" s="1">
        <v>1003</v>
      </c>
      <c r="S16" s="1">
        <v>991</v>
      </c>
      <c r="T16" s="1">
        <v>970</v>
      </c>
      <c r="U16" s="1">
        <v>936</v>
      </c>
      <c r="V16" s="1">
        <v>921</v>
      </c>
      <c r="W16" s="1">
        <v>923</v>
      </c>
      <c r="X16" s="1">
        <v>916</v>
      </c>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row>
    <row r="17" spans="1:81" s="14" customFormat="1" x14ac:dyDescent="0.25">
      <c r="B17" s="14" t="s">
        <v>23</v>
      </c>
      <c r="C17" s="14">
        <f t="shared" ref="C17:M17" si="17">C15/C16</f>
        <v>1.5065502183406114</v>
      </c>
      <c r="D17" s="14">
        <f t="shared" si="17"/>
        <v>1.4754634678298801</v>
      </c>
      <c r="E17" s="14">
        <f t="shared" si="17"/>
        <v>1.8367791077257889</v>
      </c>
      <c r="F17" s="14">
        <f t="shared" si="17"/>
        <v>1.9013015184381779</v>
      </c>
      <c r="G17" s="14">
        <f t="shared" si="17"/>
        <v>2.0920910075839654</v>
      </c>
      <c r="H17" s="14">
        <f t="shared" si="17"/>
        <v>2.1094257854821237</v>
      </c>
      <c r="I17" s="14">
        <f t="shared" si="17"/>
        <v>2.3138528138528138</v>
      </c>
      <c r="J17" s="14">
        <f t="shared" si="17"/>
        <v>2.3846153846153846</v>
      </c>
      <c r="K17" s="14">
        <f t="shared" si="17"/>
        <v>2.4902173913043479</v>
      </c>
      <c r="L17" s="14">
        <f t="shared" si="17"/>
        <v>2.5136911281489596</v>
      </c>
      <c r="M17" s="14">
        <f t="shared" si="17"/>
        <v>2.1419213973799125</v>
      </c>
      <c r="O17" s="17"/>
      <c r="P17" s="17"/>
      <c r="Q17" s="14">
        <f t="shared" ref="Q17:V17" si="18">+Q15/Q16</f>
        <v>2.8990291262135921</v>
      </c>
      <c r="R17" s="14">
        <f t="shared" si="18"/>
        <v>3.5842472582253242</v>
      </c>
      <c r="S17" s="14">
        <f t="shared" si="18"/>
        <v>3.715438950554995</v>
      </c>
      <c r="T17" s="14">
        <f t="shared" si="18"/>
        <v>5.7525773195876289</v>
      </c>
      <c r="U17" s="14">
        <f t="shared" si="18"/>
        <v>5.3600427350427351</v>
      </c>
      <c r="V17" s="14">
        <f t="shared" si="18"/>
        <v>6.0749185667752439</v>
      </c>
      <c r="W17" s="14">
        <f>+W15/W16</f>
        <v>8.417118093174432</v>
      </c>
      <c r="X17" s="14">
        <f>+X15/X16</f>
        <v>9.5513100436681224</v>
      </c>
    </row>
    <row r="18" spans="1:81" s="5" customFormat="1" x14ac:dyDescent="0.25">
      <c r="B18"/>
      <c r="O18" s="11"/>
      <c r="P18" s="1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row>
    <row r="19" spans="1:81" s="1" customFormat="1" x14ac:dyDescent="0.25">
      <c r="B19" s="1" t="s">
        <v>3</v>
      </c>
      <c r="M19" s="1">
        <f>3050+6017</f>
        <v>9067</v>
      </c>
      <c r="O19" s="18"/>
      <c r="P19" s="18"/>
      <c r="Q19" s="1">
        <f>1000+2218+221</f>
        <v>3439</v>
      </c>
      <c r="R19" s="1">
        <f>1154+2336+235</f>
        <v>3725</v>
      </c>
      <c r="S19" s="1">
        <f>1656+2813+268</f>
        <v>4737</v>
      </c>
      <c r="T19" s="1">
        <f>2438+1795+251</f>
        <v>4484</v>
      </c>
      <c r="U19" s="1">
        <f>2437+2950+300</f>
        <v>5687</v>
      </c>
      <c r="V19" s="1">
        <f>3107+3461+49</f>
        <v>6617</v>
      </c>
      <c r="W19" s="1">
        <f>4631+5108</f>
        <v>9739</v>
      </c>
      <c r="X19" s="1">
        <f>3050+6017</f>
        <v>9067</v>
      </c>
    </row>
    <row r="20" spans="1:81" s="1" customFormat="1" x14ac:dyDescent="0.25">
      <c r="B20" s="1" t="s">
        <v>40</v>
      </c>
      <c r="M20" s="1">
        <v>858</v>
      </c>
      <c r="O20" s="18"/>
      <c r="P20" s="18"/>
      <c r="Q20" s="1">
        <v>736</v>
      </c>
      <c r="R20" s="1">
        <v>734</v>
      </c>
      <c r="S20" s="1">
        <v>742</v>
      </c>
      <c r="T20" s="1">
        <v>966</v>
      </c>
      <c r="U20" s="1">
        <v>909</v>
      </c>
      <c r="V20" s="1">
        <v>811</v>
      </c>
      <c r="W20" s="1">
        <v>598</v>
      </c>
      <c r="X20" s="1">
        <v>858</v>
      </c>
    </row>
    <row r="21" spans="1:81" s="1" customFormat="1" x14ac:dyDescent="0.25">
      <c r="B21" s="1" t="s">
        <v>43</v>
      </c>
      <c r="M21" s="1">
        <v>9950</v>
      </c>
      <c r="O21" s="18"/>
      <c r="P21" s="18"/>
      <c r="Q21" s="1">
        <v>5465</v>
      </c>
      <c r="R21" s="1">
        <v>4923</v>
      </c>
      <c r="S21" s="1">
        <v>4789</v>
      </c>
      <c r="T21" s="1">
        <v>5425</v>
      </c>
      <c r="U21" s="1">
        <v>5740</v>
      </c>
      <c r="V21" s="1">
        <v>5781</v>
      </c>
      <c r="W21" s="1">
        <v>7858</v>
      </c>
      <c r="X21" s="1">
        <v>9950</v>
      </c>
    </row>
    <row r="22" spans="1:81" s="1" customFormat="1" x14ac:dyDescent="0.25">
      <c r="B22" s="1" t="s">
        <v>4</v>
      </c>
      <c r="M22" s="1">
        <f>500+851+8235</f>
        <v>9586</v>
      </c>
      <c r="O22" s="18"/>
      <c r="P22" s="18"/>
      <c r="Q22" s="1">
        <f>1000+386+3120</f>
        <v>4506</v>
      </c>
      <c r="R22" s="1">
        <f>631+396+2978</f>
        <v>4005</v>
      </c>
      <c r="S22" s="1">
        <f>500+466+3577</f>
        <v>4543</v>
      </c>
      <c r="T22" s="1">
        <f>749+478+4319</f>
        <v>5546</v>
      </c>
      <c r="U22" s="1">
        <f>500+388+5303</f>
        <v>6191</v>
      </c>
      <c r="V22" s="1">
        <f>550+415+6248</f>
        <v>7213</v>
      </c>
      <c r="W22" s="1">
        <f>500+571+7241</f>
        <v>8312</v>
      </c>
      <c r="X22" s="1">
        <f>500+851+8235</f>
        <v>9586</v>
      </c>
    </row>
    <row r="23" spans="1:81" s="1" customFormat="1" x14ac:dyDescent="0.25">
      <c r="B23" s="1" t="s">
        <v>39</v>
      </c>
      <c r="M23" s="1">
        <f>+M19-M22</f>
        <v>-519</v>
      </c>
      <c r="O23" s="18"/>
      <c r="P23" s="18"/>
      <c r="Q23" s="1">
        <f t="shared" ref="Q23" si="19">+Q19-Q22</f>
        <v>-1067</v>
      </c>
      <c r="R23" s="1">
        <f t="shared" ref="R23" si="20">+R19-R22</f>
        <v>-280</v>
      </c>
      <c r="S23" s="1">
        <f t="shared" ref="S23:T23" si="21">+S19-S22</f>
        <v>194</v>
      </c>
      <c r="T23" s="1">
        <f t="shared" si="21"/>
        <v>-1062</v>
      </c>
      <c r="U23" s="1">
        <f>+U19-U22</f>
        <v>-504</v>
      </c>
      <c r="V23" s="1">
        <f>+V19-V22</f>
        <v>-596</v>
      </c>
      <c r="W23" s="1">
        <f>+W19-W22</f>
        <v>1427</v>
      </c>
      <c r="X23" s="1">
        <f>+X19-X22</f>
        <v>-519</v>
      </c>
      <c r="Y23" s="1">
        <f>+X23+Y15</f>
        <v>8899.850550000001</v>
      </c>
      <c r="Z23" s="1">
        <f t="shared" ref="Z23:AH23" si="22">+Y23+Z15</f>
        <v>18990.527310738755</v>
      </c>
      <c r="AA23" s="1">
        <f t="shared" si="22"/>
        <v>29706.041716472344</v>
      </c>
      <c r="AB23" s="1">
        <f t="shared" si="22"/>
        <v>41004.500356483739</v>
      </c>
      <c r="AC23" s="1">
        <f t="shared" si="22"/>
        <v>52731.994675826543</v>
      </c>
      <c r="AD23" s="1">
        <f t="shared" si="22"/>
        <v>65319.399355929039</v>
      </c>
      <c r="AE23" s="1">
        <f t="shared" si="22"/>
        <v>78922.298667596609</v>
      </c>
      <c r="AF23" s="1">
        <f t="shared" si="22"/>
        <v>93607.32715433574</v>
      </c>
      <c r="AG23" s="1">
        <f t="shared" si="22"/>
        <v>109445.14398532298</v>
      </c>
      <c r="AH23" s="1">
        <f t="shared" si="22"/>
        <v>126510.66631116808</v>
      </c>
    </row>
    <row r="24" spans="1:81" s="1" customFormat="1" x14ac:dyDescent="0.25">
      <c r="O24" s="18"/>
      <c r="P24" s="18"/>
    </row>
    <row r="25" spans="1:81" s="1" customFormat="1" x14ac:dyDescent="0.25">
      <c r="B25" s="1" t="s">
        <v>41</v>
      </c>
      <c r="M25" s="1">
        <v>2797</v>
      </c>
      <c r="O25" s="18"/>
      <c r="P25" s="18"/>
      <c r="Q25" s="1">
        <v>551</v>
      </c>
      <c r="R25" s="1">
        <v>531</v>
      </c>
      <c r="S25" s="1">
        <v>695</v>
      </c>
      <c r="T25" s="1">
        <v>1131</v>
      </c>
      <c r="U25" s="1">
        <v>847</v>
      </c>
      <c r="V25" s="1">
        <v>649</v>
      </c>
      <c r="W25" s="1">
        <v>2462</v>
      </c>
      <c r="X25" s="1">
        <v>2797</v>
      </c>
    </row>
    <row r="26" spans="1:81" s="1" customFormat="1" x14ac:dyDescent="0.25">
      <c r="B26" s="1" t="s">
        <v>54</v>
      </c>
      <c r="M26" s="1">
        <f>925+0+54</f>
        <v>979</v>
      </c>
      <c r="O26" s="18"/>
      <c r="P26" s="18"/>
      <c r="Q26" s="1">
        <f>766+319+48</f>
        <v>1133</v>
      </c>
      <c r="R26" s="1">
        <f>605+319+31</f>
        <v>955</v>
      </c>
      <c r="S26" s="1">
        <f>539+318+47</f>
        <v>904</v>
      </c>
      <c r="T26" s="1">
        <f>590+318+46</f>
        <v>954</v>
      </c>
      <c r="U26" s="1">
        <f>708+288+54</f>
        <v>1050</v>
      </c>
      <c r="V26" s="1">
        <f>733+198+61</f>
        <v>992</v>
      </c>
      <c r="W26" s="1">
        <f>755+142+57</f>
        <v>954</v>
      </c>
      <c r="X26" s="1">
        <f>925+0+54</f>
        <v>979</v>
      </c>
    </row>
    <row r="27" spans="1:81" s="1" customFormat="1" x14ac:dyDescent="0.25">
      <c r="O27" s="18"/>
      <c r="P27" s="18"/>
    </row>
    <row r="28" spans="1:81" s="15" customFormat="1" x14ac:dyDescent="0.25">
      <c r="B28" s="15" t="s">
        <v>53</v>
      </c>
      <c r="O28" s="16"/>
      <c r="P28" s="16"/>
      <c r="Q28" s="15">
        <f t="shared" ref="Q28:W28" si="23">Q10+Q26</f>
        <v>5407</v>
      </c>
      <c r="R28" s="15">
        <f t="shared" si="23"/>
        <v>5754</v>
      </c>
      <c r="S28" s="15">
        <f t="shared" si="23"/>
        <v>6987</v>
      </c>
      <c r="T28" s="15">
        <f t="shared" si="23"/>
        <v>7667</v>
      </c>
      <c r="U28" s="15">
        <f t="shared" si="23"/>
        <v>6773</v>
      </c>
      <c r="V28" s="15">
        <f t="shared" si="23"/>
        <v>6886</v>
      </c>
      <c r="W28" s="15">
        <f t="shared" si="23"/>
        <v>9914</v>
      </c>
      <c r="X28" s="15">
        <f>X10+X26</f>
        <v>11119</v>
      </c>
    </row>
    <row r="29" spans="1:81" s="5" customFormat="1" x14ac:dyDescent="0.25">
      <c r="B29"/>
      <c r="O29" s="11"/>
      <c r="P29" s="1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row>
    <row r="30" spans="1:81" s="19" customFormat="1" x14ac:dyDescent="0.25">
      <c r="A30" s="19" t="s">
        <v>45</v>
      </c>
      <c r="B30" s="19" t="s">
        <v>25</v>
      </c>
      <c r="C30" s="19">
        <f t="shared" ref="C30:M30" si="24">C5/C3</f>
        <v>0.64279098487187403</v>
      </c>
      <c r="D30" s="19">
        <f t="shared" si="24"/>
        <v>0.64265129682997113</v>
      </c>
      <c r="E30" s="19">
        <f t="shared" si="24"/>
        <v>0.64916584887144257</v>
      </c>
      <c r="F30" s="19">
        <f t="shared" si="24"/>
        <v>0.65213336442061087</v>
      </c>
      <c r="G30" s="19">
        <f t="shared" si="24"/>
        <v>0.67183406113537114</v>
      </c>
      <c r="H30" s="19">
        <f t="shared" si="24"/>
        <v>0.67887141934094331</v>
      </c>
      <c r="I30" s="19">
        <f t="shared" si="24"/>
        <v>0.69329470198675491</v>
      </c>
      <c r="J30" s="19">
        <f t="shared" si="24"/>
        <v>0.70173292558613665</v>
      </c>
      <c r="K30" s="19">
        <f t="shared" si="24"/>
        <v>0.69551036070606298</v>
      </c>
      <c r="L30" s="19">
        <f t="shared" si="24"/>
        <v>0.69013547033008971</v>
      </c>
      <c r="M30" s="19">
        <f t="shared" si="24"/>
        <v>0.66102783725910064</v>
      </c>
      <c r="O30" s="20"/>
      <c r="P30" s="20"/>
      <c r="Q30" s="19">
        <f t="shared" ref="Q30:X30" si="25">+Q5/Q3</f>
        <v>0.58153846153846156</v>
      </c>
      <c r="R30" s="19">
        <f t="shared" si="25"/>
        <v>0.61630516080777864</v>
      </c>
      <c r="S30" s="19">
        <f t="shared" si="25"/>
        <v>0.64260410400374302</v>
      </c>
      <c r="T30" s="19">
        <f t="shared" si="25"/>
        <v>0.65110238215914851</v>
      </c>
      <c r="U30" s="19">
        <f t="shared" si="25"/>
        <v>0.63714106931794479</v>
      </c>
      <c r="V30" s="19">
        <f t="shared" si="25"/>
        <v>0.64096535509300878</v>
      </c>
      <c r="W30" s="19">
        <f t="shared" si="25"/>
        <v>0.67466201482773658</v>
      </c>
      <c r="X30" s="19">
        <f t="shared" si="25"/>
        <v>0.68758737767126021</v>
      </c>
      <c r="Y30" s="19">
        <v>0.68</v>
      </c>
      <c r="Z30" s="19">
        <v>0.67</v>
      </c>
      <c r="AA30" s="19">
        <v>0.66</v>
      </c>
      <c r="AB30" s="19">
        <v>0.65</v>
      </c>
      <c r="AC30" s="19">
        <v>0.65</v>
      </c>
      <c r="AD30" s="19">
        <v>0.65</v>
      </c>
      <c r="AE30" s="19">
        <v>0.65</v>
      </c>
      <c r="AF30" s="19">
        <v>0.65</v>
      </c>
      <c r="AG30" s="19">
        <v>0.65</v>
      </c>
      <c r="AH30" s="19">
        <v>0.65</v>
      </c>
    </row>
    <row r="31" spans="1:81" s="19" customFormat="1" x14ac:dyDescent="0.25">
      <c r="A31" s="19" t="s">
        <v>45</v>
      </c>
      <c r="B31" s="19" t="s">
        <v>44</v>
      </c>
      <c r="C31" s="19">
        <f t="shared" ref="C31:M31" si="26">C10/C3</f>
        <v>0.37912936091386229</v>
      </c>
      <c r="D31" s="19">
        <f t="shared" si="26"/>
        <v>0.42153523709719676</v>
      </c>
      <c r="E31" s="19">
        <f t="shared" si="26"/>
        <v>0.44479882237487733</v>
      </c>
      <c r="F31" s="19">
        <f t="shared" si="26"/>
        <v>0.45208673350431339</v>
      </c>
      <c r="G31" s="19">
        <f t="shared" si="26"/>
        <v>0.4831877729257642</v>
      </c>
      <c r="H31" s="19">
        <f t="shared" si="26"/>
        <v>0.49644626319190177</v>
      </c>
      <c r="I31" s="19">
        <f t="shared" si="26"/>
        <v>0.51800496688741726</v>
      </c>
      <c r="J31" s="19">
        <f t="shared" si="26"/>
        <v>0.52252803261977576</v>
      </c>
      <c r="K31" s="19">
        <f t="shared" si="26"/>
        <v>0.52244819646968532</v>
      </c>
      <c r="L31" s="19">
        <f t="shared" si="26"/>
        <v>0.51097118870444569</v>
      </c>
      <c r="M31" s="19">
        <f t="shared" si="26"/>
        <v>0.46595289079229124</v>
      </c>
      <c r="O31" s="20"/>
      <c r="P31" s="20"/>
      <c r="Q31" s="19">
        <f t="shared" ref="Q31:X31" si="27">Q10/Q3</f>
        <v>0.32876923076923076</v>
      </c>
      <c r="R31" s="19">
        <f t="shared" si="27"/>
        <v>0.35893792071802544</v>
      </c>
      <c r="S31" s="19">
        <f t="shared" si="27"/>
        <v>0.40659046855156739</v>
      </c>
      <c r="T31" s="19">
        <f t="shared" si="27"/>
        <v>0.4253041054232134</v>
      </c>
      <c r="U31" s="19">
        <f t="shared" si="27"/>
        <v>0.39790029896405477</v>
      </c>
      <c r="V31" s="19">
        <f t="shared" si="27"/>
        <v>0.40757900560127241</v>
      </c>
      <c r="W31" s="19">
        <f t="shared" si="27"/>
        <v>0.48844308765808986</v>
      </c>
      <c r="X31" s="19">
        <f t="shared" si="27"/>
        <v>0.50629119233073694</v>
      </c>
      <c r="Y31" s="19">
        <v>0.5</v>
      </c>
      <c r="Z31" s="19">
        <v>0.48</v>
      </c>
      <c r="AA31" s="19">
        <v>0.46</v>
      </c>
      <c r="AB31" s="19">
        <v>0.44</v>
      </c>
      <c r="AC31" s="19">
        <v>0.42</v>
      </c>
      <c r="AD31" s="19">
        <v>0.42</v>
      </c>
      <c r="AE31" s="19">
        <v>0.42</v>
      </c>
      <c r="AF31" s="19">
        <v>0.42</v>
      </c>
      <c r="AG31" s="19">
        <v>0.42</v>
      </c>
      <c r="AH31" s="19">
        <v>0.42</v>
      </c>
    </row>
    <row r="32" spans="1:81" s="21" customFormat="1" x14ac:dyDescent="0.25">
      <c r="A32" s="21" t="s">
        <v>45</v>
      </c>
      <c r="B32" s="21" t="s">
        <v>46</v>
      </c>
      <c r="C32" s="21">
        <f t="shared" ref="C32:M32" si="28">+C14/C13</f>
        <v>-7.8967943706020324E-2</v>
      </c>
      <c r="D32" s="21">
        <f t="shared" si="28"/>
        <v>0.14744801512287334</v>
      </c>
      <c r="E32" s="21">
        <f t="shared" si="28"/>
        <v>0.12402698495070057</v>
      </c>
      <c r="F32" s="21">
        <f t="shared" si="28"/>
        <v>9.5925734914904595E-2</v>
      </c>
      <c r="G32" s="21">
        <f t="shared" si="28"/>
        <v>0.13871543264942016</v>
      </c>
      <c r="H32" s="21">
        <f t="shared" si="28"/>
        <v>0.14417582417582417</v>
      </c>
      <c r="I32" s="21">
        <f t="shared" si="28"/>
        <v>0.13195290296386519</v>
      </c>
      <c r="J32" s="21">
        <f t="shared" si="28"/>
        <v>0.12866191607284244</v>
      </c>
      <c r="K32" s="21">
        <f t="shared" si="28"/>
        <v>0.14546810891458412</v>
      </c>
      <c r="L32" s="21">
        <f t="shared" si="28"/>
        <v>0.13656884875846501</v>
      </c>
      <c r="M32" s="21">
        <f t="shared" si="28"/>
        <v>9.4600830641439773E-2</v>
      </c>
      <c r="O32" s="22"/>
      <c r="P32" s="22"/>
      <c r="Q32" s="21">
        <f t="shared" ref="Q32:X32" si="29">+Q14/Q13</f>
        <v>0.29174573055028463</v>
      </c>
      <c r="R32" s="21">
        <f t="shared" si="29"/>
        <v>0.27079107505070993</v>
      </c>
      <c r="S32" s="21">
        <f t="shared" si="29"/>
        <v>0.39440789473684212</v>
      </c>
      <c r="T32" s="21">
        <f t="shared" si="29"/>
        <v>0.16542028118456475</v>
      </c>
      <c r="U32" s="21">
        <f t="shared" si="29"/>
        <v>0.12412709497206705</v>
      </c>
      <c r="V32" s="21">
        <f t="shared" si="29"/>
        <v>7.0134618580688049E-2</v>
      </c>
      <c r="W32" s="21">
        <f t="shared" si="29"/>
        <v>0.12893822177374145</v>
      </c>
      <c r="X32" s="21">
        <f t="shared" si="29"/>
        <v>0.12789074960127592</v>
      </c>
      <c r="Y32" s="21">
        <v>0.13</v>
      </c>
      <c r="Z32" s="21">
        <v>0.13500000000000001</v>
      </c>
      <c r="AA32" s="21">
        <v>0.14000000000000001</v>
      </c>
      <c r="AB32" s="21">
        <v>0.14499999999999999</v>
      </c>
      <c r="AC32" s="21">
        <v>0.15</v>
      </c>
      <c r="AD32" s="21">
        <v>0.15</v>
      </c>
      <c r="AE32" s="21">
        <v>0.15</v>
      </c>
      <c r="AF32" s="21">
        <v>0.15</v>
      </c>
      <c r="AG32" s="21">
        <v>0.15</v>
      </c>
      <c r="AH32" s="21">
        <v>0.15</v>
      </c>
    </row>
    <row r="33" spans="1:34" s="8" customFormat="1" x14ac:dyDescent="0.25">
      <c r="B33" s="8" t="s">
        <v>32</v>
      </c>
      <c r="C33" s="8">
        <f t="shared" ref="C33:M33" si="30">C3/C6-1</f>
        <v>7.5461741424802113</v>
      </c>
      <c r="D33" s="8">
        <f t="shared" si="30"/>
        <v>8.8886010362694297</v>
      </c>
      <c r="E33" s="8">
        <f t="shared" si="30"/>
        <v>9.5051546391752577</v>
      </c>
      <c r="F33" s="8">
        <f t="shared" si="30"/>
        <v>10.11139896373057</v>
      </c>
      <c r="G33" s="8">
        <f t="shared" si="30"/>
        <v>10.713554987212277</v>
      </c>
      <c r="H33" s="8">
        <f t="shared" si="30"/>
        <v>10.966494845360824</v>
      </c>
      <c r="I33" s="8">
        <f t="shared" si="30"/>
        <v>11.42159383033419</v>
      </c>
      <c r="J33" s="8">
        <f t="shared" si="30"/>
        <v>11.544757033248082</v>
      </c>
      <c r="K33" s="8">
        <f t="shared" si="30"/>
        <v>11.589371980676329</v>
      </c>
      <c r="L33" s="8">
        <f t="shared" si="30"/>
        <v>11.160092807424594</v>
      </c>
      <c r="M33" s="8">
        <f t="shared" si="30"/>
        <v>9.7603686635944698</v>
      </c>
      <c r="O33" s="12"/>
      <c r="P33" s="12"/>
      <c r="Q33" s="8">
        <f t="shared" ref="Q33:X33" si="31">Q3/Q6-1</f>
        <v>9.15625</v>
      </c>
      <c r="R33" s="8">
        <f t="shared" si="31"/>
        <v>8.7591240875912408</v>
      </c>
      <c r="S33" s="8">
        <f t="shared" si="31"/>
        <v>8.9210875331564985</v>
      </c>
      <c r="T33" s="8">
        <f t="shared" si="31"/>
        <v>9.1244387427838358</v>
      </c>
      <c r="U33" s="8">
        <f t="shared" si="31"/>
        <v>8.3154145077720205</v>
      </c>
      <c r="V33" s="8">
        <f t="shared" si="31"/>
        <v>8.4516339869281047</v>
      </c>
      <c r="W33" s="8">
        <f t="shared" si="31"/>
        <v>10.804375804375804</v>
      </c>
      <c r="X33" s="8">
        <f t="shared" si="31"/>
        <v>10.992814371257484</v>
      </c>
    </row>
    <row r="34" spans="1:34" x14ac:dyDescent="0.25">
      <c r="B34" s="8"/>
      <c r="M34" s="1"/>
      <c r="W34" s="1"/>
    </row>
    <row r="35" spans="1:34" s="21" customFormat="1" x14ac:dyDescent="0.25">
      <c r="A35" s="21" t="s">
        <v>45</v>
      </c>
      <c r="B35" s="21" t="s">
        <v>24</v>
      </c>
      <c r="G35" s="21">
        <f t="shared" ref="G35:M35" si="32">G3/C3-1</f>
        <v>0.41401667181228774</v>
      </c>
      <c r="H35" s="21">
        <f t="shared" si="32"/>
        <v>0.21640031438302332</v>
      </c>
      <c r="I35" s="21">
        <f t="shared" si="32"/>
        <v>0.18547595682041207</v>
      </c>
      <c r="J35" s="21">
        <f t="shared" si="32"/>
        <v>0.14362322219631607</v>
      </c>
      <c r="K35" s="21">
        <f t="shared" si="32"/>
        <v>0.13799126637554582</v>
      </c>
      <c r="L35" s="21">
        <f t="shared" si="32"/>
        <v>0.12879603704501408</v>
      </c>
      <c r="M35" s="21">
        <f t="shared" si="32"/>
        <v>-3.3526490066225212E-2</v>
      </c>
      <c r="O35" s="22"/>
      <c r="P35" s="22"/>
      <c r="R35" s="21">
        <f t="shared" ref="R35:X35" si="33">R3/Q3-1</f>
        <v>2.8461538461538538E-2</v>
      </c>
      <c r="S35" s="21">
        <f t="shared" si="33"/>
        <v>0.1189977561705311</v>
      </c>
      <c r="T35" s="21">
        <f t="shared" si="33"/>
        <v>5.5009691865516963E-2</v>
      </c>
      <c r="U35" s="21">
        <f t="shared" si="33"/>
        <v>-8.876077040040542E-2</v>
      </c>
      <c r="V35" s="21">
        <f t="shared" si="33"/>
        <v>5.4230689007856991E-3</v>
      </c>
      <c r="W35" s="21">
        <f t="shared" si="33"/>
        <v>0.26851531705967768</v>
      </c>
      <c r="X35" s="21">
        <f t="shared" si="33"/>
        <v>9.1801133885739183E-2</v>
      </c>
      <c r="Y35" s="21">
        <v>8.5000000000000006E-2</v>
      </c>
      <c r="Z35" s="21">
        <v>0.08</v>
      </c>
      <c r="AA35" s="21">
        <v>7.4999999999999997E-2</v>
      </c>
      <c r="AB35" s="21">
        <v>7.0000000000000007E-2</v>
      </c>
      <c r="AC35" s="21">
        <v>6.5000000000000002E-2</v>
      </c>
      <c r="AD35" s="21">
        <v>5.5E-2</v>
      </c>
      <c r="AE35" s="21">
        <v>5.5E-2</v>
      </c>
      <c r="AF35" s="21">
        <v>5.5E-2</v>
      </c>
      <c r="AG35" s="21">
        <v>5.5E-2</v>
      </c>
      <c r="AH35" s="21">
        <v>5.5E-2</v>
      </c>
    </row>
    <row r="36" spans="1:34" s="21" customFormat="1" x14ac:dyDescent="0.25">
      <c r="B36" s="21" t="s">
        <v>28</v>
      </c>
      <c r="G36" s="21">
        <f t="shared" ref="G36:M36" si="34">G6/C6-1</f>
        <v>3.1662269129287601E-2</v>
      </c>
      <c r="H36" s="21">
        <f t="shared" si="34"/>
        <v>5.1813471502590858E-3</v>
      </c>
      <c r="I36" s="21">
        <f t="shared" si="34"/>
        <v>2.5773195876288568E-3</v>
      </c>
      <c r="J36" s="21">
        <f t="shared" si="34"/>
        <v>1.2953367875647714E-2</v>
      </c>
      <c r="K36" s="21">
        <f t="shared" si="34"/>
        <v>5.8823529411764719E-2</v>
      </c>
      <c r="L36" s="21">
        <f t="shared" si="34"/>
        <v>0.11082474226804129</v>
      </c>
      <c r="M36" s="21">
        <f t="shared" si="34"/>
        <v>0.11568123393316188</v>
      </c>
      <c r="O36" s="22"/>
      <c r="P36" s="22"/>
      <c r="R36" s="21">
        <f t="shared" ref="R36:X36" si="35">R6/Q6-1</f>
        <v>7.03125E-2</v>
      </c>
      <c r="S36" s="21">
        <f t="shared" si="35"/>
        <v>0.10072992700729921</v>
      </c>
      <c r="T36" s="21">
        <f t="shared" si="35"/>
        <v>3.3819628647214772E-2</v>
      </c>
      <c r="U36" s="21">
        <f t="shared" si="35"/>
        <v>-9.6215522771007089E-3</v>
      </c>
      <c r="V36" s="21">
        <f t="shared" si="35"/>
        <v>-9.0673575129534001E-3</v>
      </c>
      <c r="W36" s="21">
        <f t="shared" si="35"/>
        <v>1.5686274509803866E-2</v>
      </c>
      <c r="X36" s="21">
        <f t="shared" si="35"/>
        <v>7.4646074646074645E-2</v>
      </c>
    </row>
    <row r="37" spans="1:34" s="21" customFormat="1" x14ac:dyDescent="0.25">
      <c r="B37" s="21" t="s">
        <v>29</v>
      </c>
      <c r="G37" s="21">
        <f t="shared" ref="G37:M37" si="36">G15/D15-1</f>
        <v>0.42719881744271992</v>
      </c>
      <c r="H37" s="21">
        <f t="shared" si="36"/>
        <v>0.15343601895734604</v>
      </c>
      <c r="I37" s="21">
        <f t="shared" si="36"/>
        <v>0.2196235025670279</v>
      </c>
      <c r="J37" s="21">
        <f t="shared" si="36"/>
        <v>0.13982392542723976</v>
      </c>
      <c r="K37" s="21">
        <f t="shared" si="36"/>
        <v>0.17668207498715982</v>
      </c>
      <c r="L37" s="21">
        <f t="shared" si="36"/>
        <v>7.3433115060804521E-2</v>
      </c>
      <c r="M37" s="21">
        <f t="shared" si="36"/>
        <v>-0.10858700590640613</v>
      </c>
      <c r="O37" s="22"/>
      <c r="P37" s="22"/>
      <c r="R37" s="21">
        <f t="shared" ref="R37:AH37" si="37">R15/Q15-1</f>
        <v>0.20395177494976546</v>
      </c>
      <c r="S37" s="21">
        <f t="shared" si="37"/>
        <v>2.4200278164116851E-2</v>
      </c>
      <c r="T37" s="21">
        <f t="shared" si="37"/>
        <v>0.51548071700162956</v>
      </c>
      <c r="U37" s="21">
        <f t="shared" si="37"/>
        <v>-0.10089605734767026</v>
      </c>
      <c r="V37" s="21">
        <f t="shared" si="37"/>
        <v>0.11520829180785319</v>
      </c>
      <c r="W37" s="21">
        <f t="shared" si="37"/>
        <v>0.38856121537086685</v>
      </c>
      <c r="X37" s="21">
        <f t="shared" si="37"/>
        <v>0.12614236066417805</v>
      </c>
      <c r="Y37" s="21">
        <f t="shared" si="37"/>
        <v>7.6563098639844673E-2</v>
      </c>
      <c r="Z37" s="21">
        <f t="shared" si="37"/>
        <v>7.1327834237560062E-2</v>
      </c>
      <c r="AA37" s="21">
        <f t="shared" si="37"/>
        <v>6.1922273382691628E-2</v>
      </c>
      <c r="AB37" s="21">
        <f t="shared" si="37"/>
        <v>5.4401889839827744E-2</v>
      </c>
      <c r="AC37" s="21">
        <f t="shared" si="37"/>
        <v>3.7972938876109641E-2</v>
      </c>
      <c r="AD37" s="21">
        <f t="shared" si="37"/>
        <v>7.3324304181618283E-2</v>
      </c>
      <c r="AE37" s="21">
        <f t="shared" si="37"/>
        <v>8.067545752066918E-2</v>
      </c>
      <c r="AF37" s="21">
        <f t="shared" si="37"/>
        <v>7.955136256455142E-2</v>
      </c>
      <c r="AG37" s="21">
        <f t="shared" si="37"/>
        <v>7.8500926660721504E-2</v>
      </c>
      <c r="AH37" s="21">
        <f t="shared" si="37"/>
        <v>7.7517343959667473E-2</v>
      </c>
    </row>
    <row r="38" spans="1:34" s="8" customFormat="1" x14ac:dyDescent="0.25">
      <c r="O38" s="12"/>
      <c r="P38" s="12"/>
    </row>
    <row r="39" spans="1:34" s="21" customFormat="1" x14ac:dyDescent="0.25">
      <c r="A39" s="21" t="s">
        <v>45</v>
      </c>
      <c r="B39" s="21" t="s">
        <v>48</v>
      </c>
      <c r="O39" s="22"/>
      <c r="P39" s="22"/>
      <c r="R39" s="21">
        <f t="shared" ref="R39:X39" si="38">-R12/Q23</f>
        <v>7.4976569821930641E-2</v>
      </c>
      <c r="S39" s="21">
        <f t="shared" si="38"/>
        <v>0.27857142857142858</v>
      </c>
      <c r="T39" s="21">
        <f t="shared" si="38"/>
        <v>-0.64432989690721654</v>
      </c>
      <c r="U39" s="21">
        <f t="shared" si="38"/>
        <v>0.160075329566855</v>
      </c>
      <c r="V39" s="21">
        <f t="shared" si="38"/>
        <v>0.37698412698412698</v>
      </c>
      <c r="W39" s="21">
        <f t="shared" si="38"/>
        <v>0.3087248322147651</v>
      </c>
      <c r="X39" s="21">
        <f t="shared" si="38"/>
        <v>-0.14996496145760335</v>
      </c>
      <c r="Y39" s="21">
        <v>7.4999999999999997E-2</v>
      </c>
      <c r="Z39" s="21">
        <v>4.4999999999999998E-2</v>
      </c>
      <c r="AA39" s="21">
        <v>4.4999999999999998E-2</v>
      </c>
      <c r="AB39" s="21">
        <v>4.4999999999999998E-2</v>
      </c>
      <c r="AC39" s="21">
        <v>4.2000000000000003E-2</v>
      </c>
      <c r="AD39" s="21">
        <v>3.925E-2</v>
      </c>
      <c r="AE39" s="21">
        <v>3.925E-2</v>
      </c>
      <c r="AF39" s="21">
        <v>3.925E-2</v>
      </c>
      <c r="AG39" s="21">
        <v>3.925E-2</v>
      </c>
      <c r="AH39" s="21">
        <v>3.925E-2</v>
      </c>
    </row>
    <row r="42" spans="1:34" x14ac:dyDescent="0.25">
      <c r="Y42" s="13"/>
    </row>
    <row r="43" spans="1:34" x14ac:dyDescent="0.25">
      <c r="Y43" s="6"/>
    </row>
    <row r="44" spans="1:34" x14ac:dyDescent="0.25">
      <c r="Y44" s="13"/>
    </row>
  </sheetData>
  <phoneticPr fontId="2" type="noConversion"/>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1F4BF-B0FD-48BF-B101-E722E413EEE3}">
  <dimension ref="B2:C4"/>
  <sheetViews>
    <sheetView workbookViewId="0">
      <selection activeCell="C3" sqref="C3"/>
    </sheetView>
  </sheetViews>
  <sheetFormatPr defaultRowHeight="15" x14ac:dyDescent="0.25"/>
  <cols>
    <col min="2" max="2" width="14.28515625" bestFit="1" customWidth="1"/>
    <col min="3" max="3" width="11.85546875" bestFit="1" customWidth="1"/>
  </cols>
  <sheetData>
    <row r="2" spans="2:3" x14ac:dyDescent="0.25">
      <c r="B2" t="s">
        <v>49</v>
      </c>
      <c r="C2" s="21">
        <v>-5.0000000000000001E-3</v>
      </c>
    </row>
    <row r="3" spans="2:3" x14ac:dyDescent="0.25">
      <c r="B3" t="s">
        <v>50</v>
      </c>
      <c r="C3" s="21">
        <v>7.4999999999999997E-2</v>
      </c>
    </row>
    <row r="4" spans="2:3" x14ac:dyDescent="0.25">
      <c r="B4" t="s">
        <v>51</v>
      </c>
      <c r="C4" s="1">
        <f>NPV(C3,Model!Q15:EE15)</f>
        <v>134489.60313830531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Model</vt:lpstr>
      <vt:lpstr>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2022-07-24T17:54:11Z</dcterms:created>
  <dcterms:modified xsi:type="dcterms:W3CDTF">2023-02-26T23:14:58Z</dcterms:modified>
</cp:coreProperties>
</file>