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DCF Models\"/>
    </mc:Choice>
  </mc:AlternateContent>
  <xr:revisionPtr revIDLastSave="0" documentId="13_ncr:1_{6D0FDE38-4348-4E33-A627-132B2587CFE6}" xr6:coauthVersionLast="47" xr6:coauthVersionMax="47" xr10:uidLastSave="{00000000-0000-0000-0000-000000000000}"/>
  <bookViews>
    <workbookView xWindow="15495" yWindow="0" windowWidth="32445" windowHeight="21600" xr2:uid="{3056AFBF-C33C-44A0-B793-E31A92920761}"/>
  </bookViews>
  <sheets>
    <sheet name="Main" sheetId="1" r:id="rId1"/>
    <sheet name="Model" sheetId="2" r:id="rId2"/>
    <sheet name="Dash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1" l="1"/>
  <c r="V17" i="2"/>
  <c r="V16" i="2"/>
  <c r="V19" i="2" s="1"/>
  <c r="V11" i="2"/>
  <c r="V9" i="2"/>
  <c r="W9" i="2" s="1"/>
  <c r="U36" i="2"/>
  <c r="T36" i="2"/>
  <c r="Q36" i="2"/>
  <c r="P36" i="2"/>
  <c r="S36" i="2"/>
  <c r="R36" i="2"/>
  <c r="T35" i="2"/>
  <c r="S35" i="2"/>
  <c r="R35" i="2"/>
  <c r="Q35" i="2"/>
  <c r="P35" i="2"/>
  <c r="O35" i="2"/>
  <c r="N35" i="2"/>
  <c r="I35" i="2"/>
  <c r="H35" i="2"/>
  <c r="G35" i="2"/>
  <c r="F35" i="2"/>
  <c r="E35" i="2"/>
  <c r="D35" i="2"/>
  <c r="C35" i="2"/>
  <c r="U33" i="2"/>
  <c r="T33" i="2"/>
  <c r="S33" i="2"/>
  <c r="R33" i="2"/>
  <c r="Q33" i="2"/>
  <c r="P33" i="2"/>
  <c r="O33" i="2"/>
  <c r="I33" i="2"/>
  <c r="H33" i="2"/>
  <c r="G33" i="2"/>
  <c r="U31" i="2"/>
  <c r="T31" i="2"/>
  <c r="S31" i="2"/>
  <c r="R31" i="2"/>
  <c r="Q31" i="2"/>
  <c r="P31" i="2"/>
  <c r="O31" i="2"/>
  <c r="N31" i="2"/>
  <c r="U30" i="2"/>
  <c r="T30" i="2"/>
  <c r="S30" i="2"/>
  <c r="R30" i="2"/>
  <c r="Q30" i="2"/>
  <c r="P30" i="2"/>
  <c r="O30" i="2"/>
  <c r="N30" i="2"/>
  <c r="J31" i="2"/>
  <c r="J30" i="2"/>
  <c r="I31" i="2"/>
  <c r="H31" i="2"/>
  <c r="G31" i="2"/>
  <c r="F31" i="2"/>
  <c r="E31" i="2"/>
  <c r="D31" i="2"/>
  <c r="I30" i="2"/>
  <c r="H30" i="2"/>
  <c r="G30" i="2"/>
  <c r="F30" i="2"/>
  <c r="E30" i="2"/>
  <c r="D30" i="2"/>
  <c r="C31" i="2"/>
  <c r="C30" i="2"/>
  <c r="T28" i="2"/>
  <c r="S28" i="2"/>
  <c r="R28" i="2"/>
  <c r="Q28" i="2"/>
  <c r="P28" i="2"/>
  <c r="O28" i="2"/>
  <c r="N28" i="2"/>
  <c r="I28" i="2"/>
  <c r="H28" i="2"/>
  <c r="G28" i="2"/>
  <c r="F28" i="2"/>
  <c r="G25" i="2"/>
  <c r="U20" i="2"/>
  <c r="U18" i="2"/>
  <c r="U15" i="2"/>
  <c r="U14" i="2"/>
  <c r="U13" i="2"/>
  <c r="U12" i="2"/>
  <c r="U10" i="2"/>
  <c r="U9" i="2"/>
  <c r="N25" i="2"/>
  <c r="O25" i="2"/>
  <c r="P25" i="2"/>
  <c r="N17" i="2"/>
  <c r="O17" i="2"/>
  <c r="P17" i="2"/>
  <c r="O6" i="2"/>
  <c r="O3" i="2"/>
  <c r="P6" i="2"/>
  <c r="P3" i="2"/>
  <c r="Q25" i="2"/>
  <c r="R25" i="2"/>
  <c r="Q17" i="2"/>
  <c r="R17" i="2"/>
  <c r="Q6" i="2"/>
  <c r="Q3" i="2"/>
  <c r="R6" i="2"/>
  <c r="R3" i="2"/>
  <c r="R7" i="2" s="1"/>
  <c r="S25" i="2"/>
  <c r="T25" i="2"/>
  <c r="F22" i="2"/>
  <c r="F20" i="2"/>
  <c r="F18" i="2"/>
  <c r="F17" i="2"/>
  <c r="F15" i="2"/>
  <c r="F14" i="2"/>
  <c r="F13" i="2"/>
  <c r="F12" i="2"/>
  <c r="F10" i="2"/>
  <c r="F11" i="2" s="1"/>
  <c r="F16" i="2" s="1"/>
  <c r="F19" i="2" s="1"/>
  <c r="F21" i="2" s="1"/>
  <c r="F9" i="2"/>
  <c r="S17" i="2"/>
  <c r="T17" i="2"/>
  <c r="S6" i="2"/>
  <c r="E17" i="2"/>
  <c r="I17" i="2"/>
  <c r="D17" i="2"/>
  <c r="H17" i="2"/>
  <c r="H6" i="2"/>
  <c r="H3" i="2"/>
  <c r="C17" i="2"/>
  <c r="G17" i="2"/>
  <c r="R16" i="2"/>
  <c r="R19" i="2" s="1"/>
  <c r="R21" i="2" s="1"/>
  <c r="R23" i="2" s="1"/>
  <c r="T11" i="2"/>
  <c r="T16" i="2" s="1"/>
  <c r="T19" i="2" s="1"/>
  <c r="T21" i="2" s="1"/>
  <c r="T23" i="2" s="1"/>
  <c r="S11" i="2"/>
  <c r="S16" i="2" s="1"/>
  <c r="S19" i="2" s="1"/>
  <c r="S21" i="2" s="1"/>
  <c r="S23" i="2" s="1"/>
  <c r="R11" i="2"/>
  <c r="Q11" i="2"/>
  <c r="Q16" i="2" s="1"/>
  <c r="Q19" i="2" s="1"/>
  <c r="Q21" i="2" s="1"/>
  <c r="Q23" i="2" s="1"/>
  <c r="P11" i="2"/>
  <c r="P16" i="2" s="1"/>
  <c r="P19" i="2" s="1"/>
  <c r="P21" i="2" s="1"/>
  <c r="P23" i="2" s="1"/>
  <c r="O11" i="2"/>
  <c r="O16" i="2" s="1"/>
  <c r="O19" i="2" s="1"/>
  <c r="O21" i="2" s="1"/>
  <c r="O23" i="2" s="1"/>
  <c r="N11" i="2"/>
  <c r="N16" i="2" s="1"/>
  <c r="N19" i="2" s="1"/>
  <c r="N21" i="2" s="1"/>
  <c r="N23" i="2" s="1"/>
  <c r="T7" i="2"/>
  <c r="S7" i="2"/>
  <c r="Q7" i="2"/>
  <c r="P7" i="2"/>
  <c r="O7" i="2"/>
  <c r="N7" i="2"/>
  <c r="M11" i="2"/>
  <c r="M16" i="2" s="1"/>
  <c r="M19" i="2" s="1"/>
  <c r="M21" i="2" s="1"/>
  <c r="M23" i="2" s="1"/>
  <c r="M7" i="2"/>
  <c r="J11" i="2"/>
  <c r="J16" i="2" s="1"/>
  <c r="J19" i="2" s="1"/>
  <c r="J21" i="2" s="1"/>
  <c r="J23" i="2" s="1"/>
  <c r="J7" i="2"/>
  <c r="I11" i="2"/>
  <c r="I16" i="2" s="1"/>
  <c r="I7" i="2"/>
  <c r="H11" i="2"/>
  <c r="H16" i="2" s="1"/>
  <c r="H19" i="2" s="1"/>
  <c r="H21" i="2" s="1"/>
  <c r="H23" i="2" s="1"/>
  <c r="H7" i="2"/>
  <c r="C11" i="2"/>
  <c r="C16" i="2" s="1"/>
  <c r="C7" i="2"/>
  <c r="D11" i="2"/>
  <c r="D16" i="2" s="1"/>
  <c r="D19" i="2" s="1"/>
  <c r="D21" i="2" s="1"/>
  <c r="D23" i="2" s="1"/>
  <c r="D7" i="2"/>
  <c r="E11" i="2"/>
  <c r="E16" i="2" s="1"/>
  <c r="E19" i="2" s="1"/>
  <c r="E21" i="2" s="1"/>
  <c r="E23" i="2" s="1"/>
  <c r="E7" i="2"/>
  <c r="G11" i="2"/>
  <c r="G16" i="2" s="1"/>
  <c r="G19" i="2" s="1"/>
  <c r="G21" i="2" s="1"/>
  <c r="G23" i="2" s="1"/>
  <c r="F7" i="2"/>
  <c r="T6" i="2"/>
  <c r="T3" i="2"/>
  <c r="G7" i="2"/>
  <c r="G6" i="2"/>
  <c r="G3" i="2"/>
  <c r="V20" i="2" l="1"/>
  <c r="V21" i="2" s="1"/>
  <c r="X9" i="2"/>
  <c r="W11" i="2"/>
  <c r="W16" i="2"/>
  <c r="U11" i="2"/>
  <c r="U16" i="2" s="1"/>
  <c r="U19" i="2" s="1"/>
  <c r="F23" i="2"/>
  <c r="I19" i="2"/>
  <c r="I21" i="2" s="1"/>
  <c r="I23" i="2" s="1"/>
  <c r="C19" i="2"/>
  <c r="C21" i="2" s="1"/>
  <c r="C23" i="2" s="1"/>
  <c r="N8" i="1"/>
  <c r="N11" i="1" s="1"/>
  <c r="V7" i="2" l="1"/>
  <c r="W17" i="2" s="1"/>
  <c r="W19" i="2" s="1"/>
  <c r="Y9" i="2"/>
  <c r="X16" i="2"/>
  <c r="X11" i="2"/>
  <c r="W20" i="2"/>
  <c r="W21" i="2" s="1"/>
  <c r="W7" i="2" s="1"/>
  <c r="X17" i="2" s="1"/>
  <c r="U21" i="2"/>
  <c r="U35" i="2"/>
  <c r="X19" i="2" l="1"/>
  <c r="X20" i="2" s="1"/>
  <c r="X21" i="2" s="1"/>
  <c r="X7" i="2" s="1"/>
  <c r="Y17" i="2" s="1"/>
  <c r="Z9" i="2"/>
  <c r="Y16" i="2"/>
  <c r="Y11" i="2"/>
  <c r="U23" i="2"/>
  <c r="U7" i="2"/>
  <c r="Y19" i="2" l="1"/>
  <c r="AA9" i="2"/>
  <c r="Z16" i="2"/>
  <c r="Z11" i="2"/>
  <c r="Y20" i="2"/>
  <c r="Y21" i="2" s="1"/>
  <c r="Y7" i="2" l="1"/>
  <c r="Z17" i="2" s="1"/>
  <c r="Z19" i="2" s="1"/>
  <c r="AB9" i="2"/>
  <c r="AA11" i="2"/>
  <c r="AA16" i="2"/>
  <c r="AC9" i="2" l="1"/>
  <c r="AB11" i="2"/>
  <c r="AB16" i="2"/>
  <c r="Z20" i="2"/>
  <c r="Z21" i="2" s="1"/>
  <c r="Z7" i="2" l="1"/>
  <c r="AD9" i="2"/>
  <c r="AC16" i="2"/>
  <c r="AC11" i="2"/>
  <c r="AA17" i="2"/>
  <c r="AA19" i="2" s="1"/>
  <c r="AE9" i="2" l="1"/>
  <c r="AD11" i="2"/>
  <c r="AD16" i="2"/>
  <c r="AA20" i="2"/>
  <c r="AA21" i="2" s="1"/>
  <c r="AA7" i="2" l="1"/>
  <c r="AB17" i="2" s="1"/>
  <c r="AB19" i="2" s="1"/>
  <c r="AE11" i="2"/>
  <c r="AE16" i="2"/>
  <c r="AB20" i="2" l="1"/>
  <c r="AB21" i="2" s="1"/>
  <c r="AB7" i="2" s="1"/>
  <c r="AC17" i="2" l="1"/>
  <c r="AC19" i="2" s="1"/>
  <c r="AC20" i="2" l="1"/>
  <c r="AC21" i="2" s="1"/>
  <c r="AC7" i="2" s="1"/>
  <c r="AD17" i="2" l="1"/>
  <c r="AD19" i="2" s="1"/>
  <c r="AD20" i="2" l="1"/>
  <c r="AD21" i="2" s="1"/>
  <c r="AD7" i="2" s="1"/>
  <c r="AE17" i="2" s="1"/>
  <c r="AE19" i="2" l="1"/>
  <c r="AE20" i="2" l="1"/>
  <c r="AE21" i="2" s="1"/>
  <c r="AE7" i="2" l="1"/>
  <c r="AF21" i="2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BP21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CG21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CX21" i="2" s="1"/>
  <c r="CY21" i="2" s="1"/>
  <c r="CZ21" i="2" s="1"/>
  <c r="DA21" i="2" s="1"/>
  <c r="DB21" i="2" s="1"/>
  <c r="DC21" i="2" s="1"/>
  <c r="DD21" i="2" s="1"/>
  <c r="DE21" i="2" s="1"/>
  <c r="DF21" i="2" s="1"/>
  <c r="DG21" i="2" s="1"/>
  <c r="DH21" i="2" s="1"/>
  <c r="DI21" i="2" s="1"/>
  <c r="DJ21" i="2" s="1"/>
  <c r="DK21" i="2" s="1"/>
  <c r="DL21" i="2" s="1"/>
  <c r="DM21" i="2" s="1"/>
  <c r="DN21" i="2" s="1"/>
  <c r="DO21" i="2" s="1"/>
  <c r="DP21" i="2" s="1"/>
  <c r="DQ21" i="2" s="1"/>
  <c r="C4" i="3" s="1"/>
  <c r="N14" i="1" s="1"/>
  <c r="N15" i="1" s="1"/>
</calcChain>
</file>

<file path=xl/sharedStrings.xml><?xml version="1.0" encoding="utf-8"?>
<sst xmlns="http://schemas.openxmlformats.org/spreadsheetml/2006/main" count="60" uniqueCount="51">
  <si>
    <t>Price</t>
  </si>
  <si>
    <t>Shares</t>
  </si>
  <si>
    <t>MkCap</t>
  </si>
  <si>
    <t>Cash</t>
  </si>
  <si>
    <t>Debt</t>
  </si>
  <si>
    <t>Run rate</t>
  </si>
  <si>
    <t>EV</t>
  </si>
  <si>
    <t>Update</t>
  </si>
  <si>
    <t>NPV</t>
  </si>
  <si>
    <t>2022Q4</t>
  </si>
  <si>
    <t>2022Q3</t>
  </si>
  <si>
    <t>2022Q2</t>
  </si>
  <si>
    <t>2022Q1</t>
  </si>
  <si>
    <t>NPV/Sh</t>
  </si>
  <si>
    <t>Maturity decay</t>
  </si>
  <si>
    <t>Discount</t>
  </si>
  <si>
    <t>MCHP</t>
  </si>
  <si>
    <t>Ticker</t>
  </si>
  <si>
    <t>Company</t>
  </si>
  <si>
    <t>Microchip Technology</t>
  </si>
  <si>
    <t>2023Q4</t>
  </si>
  <si>
    <t>2023Q3</t>
  </si>
  <si>
    <t>2023Q2</t>
  </si>
  <si>
    <t>2023Q1</t>
  </si>
  <si>
    <t>Year end: +1, 3/31</t>
  </si>
  <si>
    <t>Inventory</t>
  </si>
  <si>
    <t>PPE</t>
  </si>
  <si>
    <t>Net cash</t>
  </si>
  <si>
    <t>Revenue</t>
  </si>
  <si>
    <t>COGS</t>
  </si>
  <si>
    <t>R&amp;D</t>
  </si>
  <si>
    <t>SG&amp;A</t>
  </si>
  <si>
    <t>Amort.</t>
  </si>
  <si>
    <t>Other opex.</t>
  </si>
  <si>
    <t>Operating income</t>
  </si>
  <si>
    <t>Gross income</t>
  </si>
  <si>
    <t>Interest, net</t>
  </si>
  <si>
    <t>Other, net</t>
  </si>
  <si>
    <t>EBT</t>
  </si>
  <si>
    <t>Taxes</t>
  </si>
  <si>
    <t>Net income</t>
  </si>
  <si>
    <t>EPS</t>
  </si>
  <si>
    <t>CF depre&amp;amort</t>
  </si>
  <si>
    <t>CF capex</t>
  </si>
  <si>
    <t>EBITDA</t>
  </si>
  <si>
    <t>Gross margin</t>
  </si>
  <si>
    <t>Operating margin</t>
  </si>
  <si>
    <t>Rev y/y</t>
  </si>
  <si>
    <t>Tax rate</t>
  </si>
  <si>
    <t>Interest rate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</si>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</sst>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3" fontId="1" fillId="0" borderId="0" xfId="0" applyNumberFormat="1" applyFont="1"/>
    <xf numFmtId="3" fontId="0" fillId="0" borderId="0" xfId="0" applyNumberFormat="1"/>
    <xf numFmtId="3" fontId="0" fillId="0" borderId="0" xfId="0" applyNumberFormat="1" applyFont="1"/>
    <xf numFmtId="8" fontId="1" fillId="0" borderId="0" xfId="0" applyNumberFormat="1" applyFont="1"/>
    <xf numFmtId="9" fontId="0" fillId="0" borderId="0" xfId="0" applyNumberFormat="1"/>
    <xf numFmtId="164" fontId="0" fillId="0" borderId="0" xfId="0" applyNumberFormat="1"/>
    <xf numFmtId="10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66675</xdr:rowOff>
    </xdr:from>
    <xdr:to>
      <xdr:col>20</xdr:col>
      <xdr:colOff>0</xdr:colOff>
      <xdr:row>25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F41FF2C-7A02-A688-44AC-9A20A2BC341C}"/>
            </a:ext>
          </a:extLst>
        </xdr:cNvPr>
        <xdr:cNvCxnSpPr/>
      </xdr:nvCxnSpPr>
      <xdr:spPr>
        <a:xfrm>
          <a:off x="12715875" y="66675"/>
          <a:ext cx="0" cy="4743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28575</xdr:colOff>
      <xdr:row>0</xdr:row>
      <xdr:rowOff>28575</xdr:rowOff>
    </xdr:from>
    <xdr:to>
      <xdr:col>31</xdr:col>
      <xdr:colOff>28575</xdr:colOff>
      <xdr:row>25</xdr:row>
      <xdr:rowOff>9525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B0F37C3-A497-43EB-8B50-23417BD53A4C}"/>
            </a:ext>
          </a:extLst>
        </xdr:cNvPr>
        <xdr:cNvCxnSpPr/>
      </xdr:nvCxnSpPr>
      <xdr:spPr>
        <a:xfrm>
          <a:off x="19450050" y="28575"/>
          <a:ext cx="0" cy="4743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0</xdr:row>
      <xdr:rowOff>28575</xdr:rowOff>
    </xdr:from>
    <xdr:to>
      <xdr:col>10</xdr:col>
      <xdr:colOff>28575</xdr:colOff>
      <xdr:row>25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2121870A-4B8B-4E0A-98DC-CC8F842703F5}"/>
            </a:ext>
          </a:extLst>
        </xdr:cNvPr>
        <xdr:cNvCxnSpPr/>
      </xdr:nvCxnSpPr>
      <xdr:spPr>
        <a:xfrm>
          <a:off x="6124575" y="28575"/>
          <a:ext cx="0" cy="4743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E6B5-2ED0-4ACF-895E-E286D10A7127}">
  <dimension ref="M2:N15"/>
  <sheetViews>
    <sheetView tabSelected="1" workbookViewId="0">
      <selection activeCell="J20" sqref="J20"/>
    </sheetView>
  </sheetViews>
  <sheetFormatPr defaultRowHeight="15" x14ac:dyDescent="0.25"/>
  <cols>
    <col min="14" max="14" width="9.7109375" bestFit="1" customWidth="1"/>
  </cols>
  <sheetData>
    <row r="2" spans="13:14" x14ac:dyDescent="0.25">
      <c r="M2" t="s">
        <v>7</v>
      </c>
      <c r="N2" s="1">
        <v>44982</v>
      </c>
    </row>
    <row r="3" spans="13:14" x14ac:dyDescent="0.25">
      <c r="M3" t="s">
        <v>17</v>
      </c>
      <c r="N3" t="s">
        <v>16</v>
      </c>
    </row>
    <row r="4" spans="13:14" x14ac:dyDescent="0.25">
      <c r="M4" t="s">
        <v>18</v>
      </c>
      <c r="N4" t="s">
        <v>19</v>
      </c>
    </row>
    <row r="6" spans="13:14" x14ac:dyDescent="0.25">
      <c r="M6" t="s">
        <v>0</v>
      </c>
      <c r="N6" s="9">
        <v>79.680000000000007</v>
      </c>
    </row>
    <row r="7" spans="13:14" x14ac:dyDescent="0.25">
      <c r="M7" t="s">
        <v>1</v>
      </c>
      <c r="N7" s="3">
        <v>549.20000000000005</v>
      </c>
    </row>
    <row r="8" spans="13:14" x14ac:dyDescent="0.25">
      <c r="M8" t="s">
        <v>2</v>
      </c>
      <c r="N8" s="3">
        <f>N6*N7</f>
        <v>43760.256000000008</v>
      </c>
    </row>
    <row r="9" spans="13:14" x14ac:dyDescent="0.25">
      <c r="M9" t="s">
        <v>3</v>
      </c>
      <c r="N9" s="3">
        <v>288.89999999999998</v>
      </c>
    </row>
    <row r="10" spans="13:14" x14ac:dyDescent="0.25">
      <c r="M10" t="s">
        <v>4</v>
      </c>
      <c r="N10" s="3">
        <v>6588.7</v>
      </c>
    </row>
    <row r="11" spans="13:14" x14ac:dyDescent="0.25">
      <c r="M11" t="s">
        <v>6</v>
      </c>
      <c r="N11" s="3">
        <f>+N8-N9+N10</f>
        <v>50060.056000000004</v>
      </c>
    </row>
    <row r="12" spans="13:14" x14ac:dyDescent="0.25">
      <c r="M12" t="s">
        <v>5</v>
      </c>
      <c r="N12" s="3">
        <f>+Model!T17</f>
        <v>-369.9</v>
      </c>
    </row>
    <row r="13" spans="13:14" x14ac:dyDescent="0.25">
      <c r="N13" s="3"/>
    </row>
    <row r="14" spans="13:14" x14ac:dyDescent="0.25">
      <c r="M14" t="s">
        <v>8</v>
      </c>
      <c r="N14" s="3">
        <f>Dash!C4</f>
        <v>49396.022818172591</v>
      </c>
    </row>
    <row r="15" spans="13:14" x14ac:dyDescent="0.25">
      <c r="M15" t="s">
        <v>13</v>
      </c>
      <c r="N15" s="9">
        <f>N14/N7</f>
        <v>89.941774978464281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22598-A76D-432E-8D6B-EF22B15EDFE4}">
  <dimension ref="A1:DQ3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Y34" sqref="Y34"/>
    </sheetView>
  </sheetViews>
  <sheetFormatPr defaultRowHeight="15" x14ac:dyDescent="0.25"/>
  <cols>
    <col min="2" max="2" width="17" bestFit="1" customWidth="1"/>
  </cols>
  <sheetData>
    <row r="1" spans="2:121" x14ac:dyDescent="0.25">
      <c r="C1" t="s">
        <v>24</v>
      </c>
      <c r="M1" t="s">
        <v>24</v>
      </c>
    </row>
    <row r="2" spans="2:121" x14ac:dyDescent="0.25">
      <c r="C2" t="s">
        <v>12</v>
      </c>
      <c r="D2" t="s">
        <v>11</v>
      </c>
      <c r="E2" t="s">
        <v>10</v>
      </c>
      <c r="F2" t="s">
        <v>9</v>
      </c>
      <c r="G2" t="s">
        <v>23</v>
      </c>
      <c r="H2" t="s">
        <v>22</v>
      </c>
      <c r="I2" t="s">
        <v>21</v>
      </c>
      <c r="J2" t="s">
        <v>20</v>
      </c>
      <c r="M2">
        <v>2015</v>
      </c>
      <c r="N2">
        <v>2016</v>
      </c>
      <c r="O2">
        <v>2017</v>
      </c>
      <c r="P2">
        <v>2018</v>
      </c>
      <c r="Q2">
        <v>2019</v>
      </c>
      <c r="R2">
        <v>2020</v>
      </c>
      <c r="S2">
        <v>2021</v>
      </c>
      <c r="T2">
        <v>2022</v>
      </c>
      <c r="U2">
        <v>2023</v>
      </c>
      <c r="V2">
        <v>2024</v>
      </c>
      <c r="W2">
        <v>2025</v>
      </c>
      <c r="X2">
        <v>2026</v>
      </c>
      <c r="Y2">
        <v>2027</v>
      </c>
      <c r="Z2">
        <v>2028</v>
      </c>
      <c r="AA2">
        <v>2029</v>
      </c>
      <c r="AB2">
        <v>2030</v>
      </c>
      <c r="AC2">
        <v>2031</v>
      </c>
      <c r="AD2">
        <v>2032</v>
      </c>
      <c r="AE2">
        <v>2033</v>
      </c>
      <c r="AF2">
        <v>2034</v>
      </c>
      <c r="AG2">
        <v>2035</v>
      </c>
      <c r="AH2">
        <v>2036</v>
      </c>
      <c r="AI2">
        <v>2037</v>
      </c>
      <c r="AJ2">
        <v>2038</v>
      </c>
      <c r="AK2">
        <v>2039</v>
      </c>
      <c r="AL2">
        <v>2040</v>
      </c>
      <c r="AM2">
        <v>2041</v>
      </c>
      <c r="AN2">
        <v>2042</v>
      </c>
      <c r="AO2">
        <v>2043</v>
      </c>
      <c r="AP2">
        <v>2044</v>
      </c>
      <c r="AQ2">
        <v>2045</v>
      </c>
      <c r="AR2">
        <v>2046</v>
      </c>
      <c r="AS2">
        <v>2047</v>
      </c>
      <c r="AT2">
        <v>2048</v>
      </c>
      <c r="AU2">
        <v>2049</v>
      </c>
      <c r="AV2">
        <v>2050</v>
      </c>
      <c r="AW2">
        <v>2051</v>
      </c>
      <c r="AX2">
        <v>2052</v>
      </c>
      <c r="AY2">
        <v>2053</v>
      </c>
      <c r="AZ2">
        <v>2054</v>
      </c>
      <c r="BA2">
        <v>2055</v>
      </c>
      <c r="BB2">
        <v>2056</v>
      </c>
      <c r="BC2">
        <v>2057</v>
      </c>
      <c r="BD2">
        <v>2058</v>
      </c>
      <c r="BE2">
        <v>2059</v>
      </c>
      <c r="BF2">
        <v>2060</v>
      </c>
      <c r="BG2">
        <v>2061</v>
      </c>
      <c r="BH2">
        <v>2062</v>
      </c>
      <c r="BI2">
        <v>2063</v>
      </c>
      <c r="BJ2">
        <v>2064</v>
      </c>
      <c r="BK2">
        <v>2065</v>
      </c>
      <c r="BL2">
        <v>2066</v>
      </c>
      <c r="BM2">
        <v>2067</v>
      </c>
      <c r="BN2">
        <v>2068</v>
      </c>
      <c r="BO2">
        <v>2069</v>
      </c>
      <c r="BP2">
        <v>2070</v>
      </c>
      <c r="BQ2">
        <v>2071</v>
      </c>
      <c r="BR2">
        <v>2072</v>
      </c>
      <c r="BS2">
        <v>2073</v>
      </c>
      <c r="BT2">
        <v>2074</v>
      </c>
      <c r="BU2">
        <v>2075</v>
      </c>
      <c r="BV2">
        <v>2076</v>
      </c>
      <c r="BW2">
        <v>2077</v>
      </c>
      <c r="BX2">
        <v>2078</v>
      </c>
      <c r="BY2">
        <v>2079</v>
      </c>
      <c r="BZ2">
        <v>2080</v>
      </c>
      <c r="CA2">
        <v>2081</v>
      </c>
      <c r="CB2">
        <v>2082</v>
      </c>
      <c r="CC2">
        <v>2083</v>
      </c>
      <c r="CD2">
        <v>2084</v>
      </c>
      <c r="CE2">
        <v>2085</v>
      </c>
      <c r="CF2">
        <v>2086</v>
      </c>
      <c r="CG2">
        <v>2087</v>
      </c>
      <c r="CH2">
        <v>2088</v>
      </c>
      <c r="CI2">
        <v>2089</v>
      </c>
      <c r="CJ2">
        <v>2090</v>
      </c>
      <c r="CK2">
        <v>2091</v>
      </c>
      <c r="CL2">
        <v>2092</v>
      </c>
      <c r="CM2">
        <v>2093</v>
      </c>
      <c r="CN2">
        <v>2094</v>
      </c>
      <c r="CO2">
        <v>2095</v>
      </c>
      <c r="CP2">
        <v>2096</v>
      </c>
      <c r="CQ2">
        <v>2097</v>
      </c>
      <c r="CR2">
        <v>2098</v>
      </c>
      <c r="CS2">
        <v>2099</v>
      </c>
      <c r="CT2">
        <v>2100</v>
      </c>
      <c r="CU2">
        <v>2101</v>
      </c>
      <c r="CV2">
        <v>2102</v>
      </c>
      <c r="CW2">
        <v>2103</v>
      </c>
      <c r="CX2">
        <v>2104</v>
      </c>
      <c r="CY2">
        <v>2105</v>
      </c>
      <c r="CZ2">
        <v>2106</v>
      </c>
      <c r="DA2">
        <v>2107</v>
      </c>
      <c r="DB2">
        <v>2108</v>
      </c>
      <c r="DC2">
        <v>2109</v>
      </c>
      <c r="DD2">
        <v>2110</v>
      </c>
      <c r="DE2">
        <v>2111</v>
      </c>
      <c r="DF2">
        <v>2112</v>
      </c>
      <c r="DG2">
        <v>2113</v>
      </c>
      <c r="DH2">
        <v>2114</v>
      </c>
      <c r="DI2">
        <v>2115</v>
      </c>
      <c r="DJ2">
        <v>2116</v>
      </c>
      <c r="DK2">
        <v>2117</v>
      </c>
      <c r="DL2">
        <v>2118</v>
      </c>
      <c r="DM2">
        <v>2119</v>
      </c>
      <c r="DN2">
        <v>2120</v>
      </c>
      <c r="DO2">
        <v>2121</v>
      </c>
      <c r="DP2">
        <v>2122</v>
      </c>
      <c r="DQ2">
        <v>2123</v>
      </c>
    </row>
    <row r="3" spans="2:121" s="3" customFormat="1" x14ac:dyDescent="0.25">
      <c r="B3" s="3" t="s">
        <v>3</v>
      </c>
      <c r="G3" s="3">
        <f>377.1+2</f>
        <v>379.1</v>
      </c>
      <c r="H3" s="3">
        <f>304.8+2</f>
        <v>306.8</v>
      </c>
      <c r="I3" s="3">
        <v>288.89999999999998</v>
      </c>
      <c r="O3" s="3">
        <f>908.7+394.1+107.5</f>
        <v>1410.3000000000002</v>
      </c>
      <c r="P3" s="3">
        <f>901.3+1295.3</f>
        <v>2196.6</v>
      </c>
      <c r="Q3" s="3">
        <f>428.6+2.3</f>
        <v>430.90000000000003</v>
      </c>
      <c r="R3" s="3">
        <f>401+2</f>
        <v>403</v>
      </c>
      <c r="S3" s="3">
        <v>282</v>
      </c>
      <c r="T3" s="3">
        <f>317.4+2</f>
        <v>319.39999999999998</v>
      </c>
    </row>
    <row r="4" spans="2:121" s="3" customFormat="1" x14ac:dyDescent="0.25">
      <c r="B4" s="3" t="s">
        <v>25</v>
      </c>
      <c r="G4" s="3">
        <v>911.8</v>
      </c>
      <c r="H4" s="3">
        <v>1030.3</v>
      </c>
      <c r="I4" s="3">
        <v>1165.4000000000001</v>
      </c>
      <c r="O4" s="3">
        <v>417.2</v>
      </c>
      <c r="P4" s="3">
        <v>476.2</v>
      </c>
      <c r="Q4" s="3">
        <v>711.7</v>
      </c>
      <c r="R4" s="3">
        <v>685.7</v>
      </c>
      <c r="S4" s="3">
        <v>665</v>
      </c>
      <c r="T4" s="3">
        <v>854.4</v>
      </c>
    </row>
    <row r="5" spans="2:121" s="3" customFormat="1" x14ac:dyDescent="0.25">
      <c r="B5" s="3" t="s">
        <v>26</v>
      </c>
      <c r="G5" s="3">
        <v>994.9</v>
      </c>
      <c r="H5" s="3">
        <v>1088.3</v>
      </c>
      <c r="I5" s="3">
        <v>1113.7</v>
      </c>
      <c r="O5" s="3">
        <v>683.3</v>
      </c>
      <c r="P5" s="3">
        <v>767.9</v>
      </c>
      <c r="Q5" s="3">
        <v>996.7</v>
      </c>
      <c r="R5" s="3">
        <v>876</v>
      </c>
      <c r="S5" s="3">
        <v>854.7</v>
      </c>
      <c r="T5" s="3">
        <v>967.9</v>
      </c>
    </row>
    <row r="6" spans="2:121" s="3" customFormat="1" x14ac:dyDescent="0.25">
      <c r="B6" s="3" t="s">
        <v>4</v>
      </c>
      <c r="G6" s="3">
        <f>304.7+7563.9</f>
        <v>7868.5999999999995</v>
      </c>
      <c r="H6" s="3">
        <f>379.8+998.6+6304.9</f>
        <v>7683.2999999999993</v>
      </c>
      <c r="I6" s="3">
        <v>6588.7</v>
      </c>
      <c r="O6" s="3">
        <f>149.2+50+2900.5</f>
        <v>3099.7</v>
      </c>
      <c r="P6" s="3">
        <f>144.1+1309.9+1758.4</f>
        <v>3212.4</v>
      </c>
      <c r="Q6" s="3">
        <f>226.4+1360.8+8946.2</f>
        <v>10533.400000000001</v>
      </c>
      <c r="R6" s="3">
        <f>256.8+608.8+8873.4</f>
        <v>9739</v>
      </c>
      <c r="S6" s="3">
        <f>292.4+1322.9+7581.2</f>
        <v>9196.5</v>
      </c>
      <c r="T6" s="3">
        <f>344.7+7687.4</f>
        <v>8032.0999999999995</v>
      </c>
    </row>
    <row r="7" spans="2:121" s="3" customFormat="1" x14ac:dyDescent="0.25">
      <c r="B7" s="3" t="s">
        <v>27</v>
      </c>
      <c r="C7" s="3">
        <f t="shared" ref="C7:J7" si="0">+C3-C6</f>
        <v>0</v>
      </c>
      <c r="D7" s="3">
        <f t="shared" si="0"/>
        <v>0</v>
      </c>
      <c r="E7" s="3">
        <f t="shared" si="0"/>
        <v>0</v>
      </c>
      <c r="F7" s="3">
        <f t="shared" si="0"/>
        <v>0</v>
      </c>
      <c r="G7" s="3">
        <f>+G3-G6</f>
        <v>-7489.4999999999991</v>
      </c>
      <c r="H7" s="3">
        <f t="shared" si="0"/>
        <v>-7376.4999999999991</v>
      </c>
      <c r="I7" s="3">
        <f t="shared" si="0"/>
        <v>-6299.8</v>
      </c>
      <c r="J7" s="3">
        <f t="shared" si="0"/>
        <v>0</v>
      </c>
      <c r="M7" s="3">
        <f t="shared" ref="M7" si="1">+M3-M6</f>
        <v>0</v>
      </c>
      <c r="N7" s="3">
        <f t="shared" ref="N7" si="2">+N3-N6</f>
        <v>0</v>
      </c>
      <c r="O7" s="3">
        <f t="shared" ref="O7" si="3">+O3-O6</f>
        <v>-1689.3999999999996</v>
      </c>
      <c r="P7" s="3">
        <f t="shared" ref="P7" si="4">+P3-P6</f>
        <v>-1015.8000000000002</v>
      </c>
      <c r="Q7" s="3">
        <f t="shared" ref="Q7" si="5">+Q3-Q6</f>
        <v>-10102.500000000002</v>
      </c>
      <c r="R7" s="3">
        <f t="shared" ref="R7" si="6">+R3-R6</f>
        <v>-9336</v>
      </c>
      <c r="S7" s="3">
        <f t="shared" ref="S7" si="7">+S3-S6</f>
        <v>-8914.5</v>
      </c>
      <c r="T7" s="3">
        <f t="shared" ref="T7" si="8">+T3-T6</f>
        <v>-7712.7</v>
      </c>
      <c r="U7" s="3">
        <f>+T7+U21</f>
        <v>-5661.8040000000001</v>
      </c>
      <c r="V7" s="3">
        <f>U7+V21</f>
        <v>-3521.3038701599999</v>
      </c>
      <c r="W7" s="3">
        <f t="shared" ref="W7:AE7" si="9">V7+W21</f>
        <v>-1406.0586844529034</v>
      </c>
      <c r="X7" s="3">
        <f t="shared" si="9"/>
        <v>1011.7571784583852</v>
      </c>
      <c r="Y7" s="3">
        <f t="shared" si="9"/>
        <v>3774.3476174203524</v>
      </c>
      <c r="Z7" s="3">
        <f t="shared" si="9"/>
        <v>7004.8768866753126</v>
      </c>
      <c r="AA7" s="3">
        <f t="shared" si="9"/>
        <v>10721.204079502677</v>
      </c>
      <c r="AB7" s="3">
        <f t="shared" si="9"/>
        <v>14805.301127439441</v>
      </c>
      <c r="AC7" s="3">
        <f t="shared" si="9"/>
        <v>19286.502624516401</v>
      </c>
      <c r="AD7" s="3">
        <f t="shared" si="9"/>
        <v>24196.316381214485</v>
      </c>
      <c r="AE7" s="3">
        <f t="shared" si="9"/>
        <v>29568.579546272544</v>
      </c>
    </row>
    <row r="9" spans="2:121" s="2" customFormat="1" x14ac:dyDescent="0.25">
      <c r="B9" s="2" t="s">
        <v>28</v>
      </c>
      <c r="C9" s="2">
        <v>1569.4</v>
      </c>
      <c r="D9" s="2">
        <v>1649.8</v>
      </c>
      <c r="E9" s="2">
        <v>1757.5</v>
      </c>
      <c r="F9" s="2">
        <f>T9-E9-D9-C9</f>
        <v>1844.1999999999994</v>
      </c>
      <c r="G9" s="2">
        <v>1963.6</v>
      </c>
      <c r="H9" s="2">
        <v>2073.1999999999998</v>
      </c>
      <c r="I9" s="2">
        <v>2169.1999999999998</v>
      </c>
      <c r="N9" s="2">
        <v>2173.3000000000002</v>
      </c>
      <c r="O9" s="2">
        <v>3407.8</v>
      </c>
      <c r="P9" s="2">
        <v>3980.8</v>
      </c>
      <c r="Q9" s="2">
        <v>5349.5</v>
      </c>
      <c r="R9" s="2">
        <v>5274.2</v>
      </c>
      <c r="S9" s="2">
        <v>5438.4</v>
      </c>
      <c r="T9" s="2">
        <v>6820.9</v>
      </c>
      <c r="U9" s="2">
        <f>SUM(F9:I9)*1.02</f>
        <v>8211.2039999999997</v>
      </c>
      <c r="V9" s="2">
        <f>U9*(1+V33)</f>
        <v>9607.1086799999994</v>
      </c>
      <c r="W9" s="2">
        <f t="shared" ref="W9:AE9" si="10">V9*(1+W33)</f>
        <v>10952.1038952</v>
      </c>
      <c r="X9" s="2">
        <f t="shared" si="10"/>
        <v>12047.314284720002</v>
      </c>
      <c r="Y9" s="2">
        <f t="shared" si="10"/>
        <v>13131.572570344802</v>
      </c>
      <c r="Z9" s="2">
        <f t="shared" si="10"/>
        <v>14182.098375972388</v>
      </c>
      <c r="AA9" s="2">
        <f t="shared" si="10"/>
        <v>15174.845262290455</v>
      </c>
      <c r="AB9" s="2">
        <f t="shared" si="10"/>
        <v>16237.084430650788</v>
      </c>
      <c r="AC9" s="2">
        <f t="shared" si="10"/>
        <v>17373.680340796345</v>
      </c>
      <c r="AD9" s="2">
        <f t="shared" si="10"/>
        <v>18589.837964652092</v>
      </c>
      <c r="AE9" s="2">
        <f t="shared" si="10"/>
        <v>19891.126622177741</v>
      </c>
    </row>
    <row r="10" spans="2:121" s="3" customFormat="1" x14ac:dyDescent="0.25">
      <c r="B10" s="3" t="s">
        <v>29</v>
      </c>
      <c r="C10" s="3">
        <v>561.79999999999995</v>
      </c>
      <c r="D10" s="3">
        <v>581.5</v>
      </c>
      <c r="E10" s="3">
        <v>604.20000000000005</v>
      </c>
      <c r="F10" s="4">
        <f>T10-E10-D10-C10</f>
        <v>623.80000000000018</v>
      </c>
      <c r="G10" s="3">
        <v>653.70000000000005</v>
      </c>
      <c r="H10" s="3">
        <v>675.3</v>
      </c>
      <c r="I10" s="3">
        <v>698.4</v>
      </c>
      <c r="N10" s="3">
        <v>967.8</v>
      </c>
      <c r="O10" s="3">
        <v>1650.6</v>
      </c>
      <c r="P10" s="3">
        <v>1560.1</v>
      </c>
      <c r="Q10" s="3">
        <v>2418.1999999999998</v>
      </c>
      <c r="R10" s="3">
        <v>2032.1</v>
      </c>
      <c r="S10" s="3">
        <v>2059.6</v>
      </c>
      <c r="T10" s="3">
        <v>2371.3000000000002</v>
      </c>
      <c r="U10" s="4">
        <f>SUM(F10:I10)*1.02</f>
        <v>2704.2240000000002</v>
      </c>
    </row>
    <row r="11" spans="2:121" s="2" customFormat="1" x14ac:dyDescent="0.25">
      <c r="B11" s="2" t="s">
        <v>35</v>
      </c>
      <c r="C11" s="2">
        <f>+C9-C10</f>
        <v>1007.6000000000001</v>
      </c>
      <c r="D11" s="2">
        <f>+D9-D10</f>
        <v>1068.3</v>
      </c>
      <c r="E11" s="2">
        <f>+E9-E10</f>
        <v>1153.3</v>
      </c>
      <c r="F11" s="2">
        <f>+F9-F10</f>
        <v>1220.3999999999992</v>
      </c>
      <c r="G11" s="2">
        <f>+G9-G10</f>
        <v>1309.8999999999999</v>
      </c>
      <c r="H11" s="2">
        <f>+H9-H10</f>
        <v>1397.8999999999999</v>
      </c>
      <c r="I11" s="2">
        <f>+I9-I10</f>
        <v>1470.7999999999997</v>
      </c>
      <c r="J11" s="2">
        <f>+J9-J10</f>
        <v>0</v>
      </c>
      <c r="M11" s="2">
        <f>+M9-M10</f>
        <v>0</v>
      </c>
      <c r="N11" s="2">
        <f t="shared" ref="N11:U11" si="11">+N9-N10</f>
        <v>1205.5000000000002</v>
      </c>
      <c r="O11" s="2">
        <f t="shared" si="11"/>
        <v>1757.2000000000003</v>
      </c>
      <c r="P11" s="2">
        <f t="shared" si="11"/>
        <v>2420.7000000000003</v>
      </c>
      <c r="Q11" s="2">
        <f t="shared" si="11"/>
        <v>2931.3</v>
      </c>
      <c r="R11" s="2">
        <f t="shared" si="11"/>
        <v>3242.1</v>
      </c>
      <c r="S11" s="2">
        <f t="shared" si="11"/>
        <v>3378.7999999999997</v>
      </c>
      <c r="T11" s="2">
        <f t="shared" si="11"/>
        <v>4449.5999999999995</v>
      </c>
      <c r="U11" s="2">
        <f t="shared" si="11"/>
        <v>5506.98</v>
      </c>
      <c r="V11" s="2">
        <f>V30*V9</f>
        <v>6436.7628156000001</v>
      </c>
      <c r="W11" s="2">
        <f t="shared" ref="W11:AE11" si="12">W30*W9</f>
        <v>7337.9096097840002</v>
      </c>
      <c r="X11" s="2">
        <f t="shared" si="12"/>
        <v>8071.7005707624012</v>
      </c>
      <c r="Y11" s="2">
        <f t="shared" si="12"/>
        <v>8798.153622131018</v>
      </c>
      <c r="Z11" s="2">
        <f t="shared" si="12"/>
        <v>9502.0059119015004</v>
      </c>
      <c r="AA11" s="2">
        <f t="shared" si="12"/>
        <v>10318.894778357509</v>
      </c>
      <c r="AB11" s="2">
        <f t="shared" si="12"/>
        <v>11041.217412842536</v>
      </c>
      <c r="AC11" s="2">
        <f t="shared" si="12"/>
        <v>11814.102631741516</v>
      </c>
      <c r="AD11" s="2">
        <f t="shared" si="12"/>
        <v>12641.089815963423</v>
      </c>
      <c r="AE11" s="2">
        <f t="shared" si="12"/>
        <v>13525.966103080864</v>
      </c>
    </row>
    <row r="12" spans="2:121" s="3" customFormat="1" x14ac:dyDescent="0.25">
      <c r="B12" s="3" t="s">
        <v>30</v>
      </c>
      <c r="C12" s="3">
        <v>238.4</v>
      </c>
      <c r="D12" s="3">
        <v>246.2</v>
      </c>
      <c r="E12" s="3">
        <v>245.4</v>
      </c>
      <c r="F12" s="4">
        <f t="shared" ref="F12:F15" si="13">T12-E12-D12-C12</f>
        <v>259.10000000000002</v>
      </c>
      <c r="G12" s="3">
        <v>269</v>
      </c>
      <c r="H12" s="3">
        <v>268.60000000000002</v>
      </c>
      <c r="I12" s="3">
        <v>282.39999999999998</v>
      </c>
      <c r="N12" s="3">
        <v>372.6</v>
      </c>
      <c r="O12" s="3">
        <v>545.29999999999995</v>
      </c>
      <c r="P12" s="3">
        <v>529.29999999999995</v>
      </c>
      <c r="Q12" s="3">
        <v>826.3</v>
      </c>
      <c r="R12" s="3">
        <v>877.8</v>
      </c>
      <c r="S12" s="3">
        <v>836.4</v>
      </c>
      <c r="T12" s="3">
        <v>989.1</v>
      </c>
      <c r="U12" s="4">
        <f t="shared" ref="U12:U15" si="14">SUM(F12:I12)*1.02</f>
        <v>1100.682</v>
      </c>
    </row>
    <row r="13" spans="2:121" s="4" customFormat="1" x14ac:dyDescent="0.25">
      <c r="B13" s="4" t="s">
        <v>31</v>
      </c>
      <c r="C13" s="4">
        <v>174.3</v>
      </c>
      <c r="D13" s="4">
        <v>179.9</v>
      </c>
      <c r="E13" s="4">
        <v>177.5</v>
      </c>
      <c r="F13" s="4">
        <f t="shared" si="13"/>
        <v>187.2</v>
      </c>
      <c r="G13" s="4">
        <v>188.9</v>
      </c>
      <c r="H13" s="4">
        <v>202.4</v>
      </c>
      <c r="I13" s="4">
        <v>202.9</v>
      </c>
      <c r="N13" s="4">
        <v>301.7</v>
      </c>
      <c r="O13" s="4">
        <v>499.8</v>
      </c>
      <c r="P13" s="4">
        <v>452.1</v>
      </c>
      <c r="Q13" s="4">
        <v>682.9</v>
      </c>
      <c r="R13" s="4">
        <v>676.6</v>
      </c>
      <c r="S13" s="4">
        <v>610.29999999999995</v>
      </c>
      <c r="T13" s="4">
        <v>718.9</v>
      </c>
      <c r="U13" s="4">
        <f t="shared" si="14"/>
        <v>797.02800000000002</v>
      </c>
    </row>
    <row r="14" spans="2:121" s="3" customFormat="1" x14ac:dyDescent="0.25">
      <c r="B14" s="4" t="s">
        <v>32</v>
      </c>
      <c r="C14" s="3">
        <v>215.6</v>
      </c>
      <c r="D14" s="3">
        <v>215.7</v>
      </c>
      <c r="E14" s="3">
        <v>215.7</v>
      </c>
      <c r="F14" s="4">
        <f t="shared" si="13"/>
        <v>215.49999999999997</v>
      </c>
      <c r="G14" s="3">
        <v>167.6</v>
      </c>
      <c r="H14" s="3">
        <v>167.5</v>
      </c>
      <c r="I14" s="3">
        <v>167.4</v>
      </c>
      <c r="N14" s="3">
        <v>174.9</v>
      </c>
      <c r="O14" s="3">
        <v>337.7</v>
      </c>
      <c r="P14" s="3">
        <v>485.5</v>
      </c>
      <c r="Q14" s="3">
        <v>674.1</v>
      </c>
      <c r="R14" s="3">
        <v>993.9</v>
      </c>
      <c r="S14" s="3">
        <v>932.3</v>
      </c>
      <c r="T14" s="3">
        <v>862.5</v>
      </c>
      <c r="U14" s="4">
        <f t="shared" si="14"/>
        <v>732.3599999999999</v>
      </c>
    </row>
    <row r="15" spans="2:121" s="3" customFormat="1" x14ac:dyDescent="0.25">
      <c r="B15" s="4" t="s">
        <v>33</v>
      </c>
      <c r="C15" s="3">
        <v>10.5</v>
      </c>
      <c r="D15" s="3">
        <v>10.199999999999999</v>
      </c>
      <c r="E15" s="3">
        <v>-0.3</v>
      </c>
      <c r="F15" s="4">
        <f t="shared" si="13"/>
        <v>9.1000000000000014</v>
      </c>
      <c r="G15" s="3">
        <v>-16.899999999999999</v>
      </c>
      <c r="H15" s="3">
        <v>4.3</v>
      </c>
      <c r="I15" s="3">
        <v>6.5</v>
      </c>
      <c r="N15" s="3">
        <v>4</v>
      </c>
      <c r="O15" s="3">
        <v>98.6</v>
      </c>
      <c r="P15" s="3">
        <v>17.5</v>
      </c>
      <c r="Q15" s="3">
        <v>33.700000000000003</v>
      </c>
      <c r="R15" s="3">
        <v>46.7</v>
      </c>
      <c r="S15" s="3">
        <v>1.7</v>
      </c>
      <c r="T15" s="3">
        <v>29.5</v>
      </c>
      <c r="U15" s="4">
        <f t="shared" si="14"/>
        <v>3.0600000000000027</v>
      </c>
    </row>
    <row r="16" spans="2:121" s="2" customFormat="1" x14ac:dyDescent="0.25">
      <c r="B16" s="2" t="s">
        <v>34</v>
      </c>
      <c r="C16" s="2">
        <f>+C11-SUM(C12:C15)</f>
        <v>368.80000000000007</v>
      </c>
      <c r="D16" s="2">
        <f>+D11-SUM(D12:D15)</f>
        <v>416.29999999999995</v>
      </c>
      <c r="E16" s="2">
        <f>+E11-SUM(E12:E15)</f>
        <v>515</v>
      </c>
      <c r="F16" s="2">
        <f>+F11-SUM(F12:F15)</f>
        <v>549.4999999999992</v>
      </c>
      <c r="G16" s="2">
        <f>+G11-SUM(G12:G15)</f>
        <v>701.29999999999984</v>
      </c>
      <c r="H16" s="2">
        <f>+H11-SUM(H12:H15)</f>
        <v>755.09999999999991</v>
      </c>
      <c r="I16" s="2">
        <f>+I11-SUM(I12:I15)</f>
        <v>811.5999999999998</v>
      </c>
      <c r="J16" s="2">
        <f>+J11-SUM(J12:J15)</f>
        <v>0</v>
      </c>
      <c r="M16" s="2">
        <f>+M11-SUM(M12:M15)</f>
        <v>0</v>
      </c>
      <c r="N16" s="2">
        <f t="shared" ref="N16:U16" si="15">+N11-SUM(N12:N15)</f>
        <v>352.3000000000003</v>
      </c>
      <c r="O16" s="2">
        <f t="shared" si="15"/>
        <v>275.80000000000041</v>
      </c>
      <c r="P16" s="2">
        <f t="shared" si="15"/>
        <v>936.30000000000018</v>
      </c>
      <c r="Q16" s="2">
        <f t="shared" si="15"/>
        <v>714.30000000000064</v>
      </c>
      <c r="R16" s="2">
        <f t="shared" si="15"/>
        <v>647.09999999999991</v>
      </c>
      <c r="S16" s="2">
        <f t="shared" si="15"/>
        <v>998.09999999999991</v>
      </c>
      <c r="T16" s="2">
        <f t="shared" si="15"/>
        <v>1849.5999999999995</v>
      </c>
      <c r="U16" s="2">
        <f t="shared" si="15"/>
        <v>2873.85</v>
      </c>
      <c r="V16" s="2">
        <f>+V31*V9</f>
        <v>2882.1326039999999</v>
      </c>
      <c r="W16" s="2">
        <f t="shared" ref="W16:AE16" si="16">+W31*W9</f>
        <v>2738.0259738</v>
      </c>
      <c r="X16" s="2">
        <f t="shared" si="16"/>
        <v>3011.8285711800004</v>
      </c>
      <c r="Y16" s="2">
        <f t="shared" si="16"/>
        <v>3282.8931425862006</v>
      </c>
      <c r="Z16" s="2">
        <f t="shared" si="16"/>
        <v>3687.3455777528211</v>
      </c>
      <c r="AA16" s="2">
        <f t="shared" si="16"/>
        <v>4097.2082208184229</v>
      </c>
      <c r="AB16" s="2">
        <f t="shared" si="16"/>
        <v>4384.0127962757133</v>
      </c>
      <c r="AC16" s="2">
        <f t="shared" si="16"/>
        <v>4690.8936920150136</v>
      </c>
      <c r="AD16" s="2">
        <f t="shared" si="16"/>
        <v>5019.2562504560647</v>
      </c>
      <c r="AE16" s="2">
        <f t="shared" si="16"/>
        <v>5370.6041879879904</v>
      </c>
    </row>
    <row r="17" spans="1:121" s="3" customFormat="1" x14ac:dyDescent="0.25">
      <c r="B17" s="4" t="s">
        <v>36</v>
      </c>
      <c r="C17" s="3">
        <f>0.3-72.3-0.3</f>
        <v>-72.3</v>
      </c>
      <c r="D17" s="3">
        <f>0.1-64.8-85.2</f>
        <v>-149.9</v>
      </c>
      <c r="E17" s="3">
        <f>0.1-62.1-16.1</f>
        <v>-78.099999999999994</v>
      </c>
      <c r="F17" s="4">
        <f t="shared" ref="F17:F18" si="17">T17-E17-D17-C17</f>
        <v>-69.599999999999952</v>
      </c>
      <c r="G17" s="3">
        <f>1-50.3-6.2</f>
        <v>-55.5</v>
      </c>
      <c r="H17" s="3">
        <f>0.2-53.3-2.1</f>
        <v>-55.199999999999996</v>
      </c>
      <c r="I17" s="3">
        <f>0.8-52.8</f>
        <v>-52</v>
      </c>
      <c r="N17" s="3">
        <f>-0.3+24.4-104</f>
        <v>-79.900000000000006</v>
      </c>
      <c r="O17" s="3">
        <f>-0.2+3.1-146.3-43.9</f>
        <v>-187.3</v>
      </c>
      <c r="P17" s="3">
        <f>-0.2+22-199-16</f>
        <v>-193.2</v>
      </c>
      <c r="Q17" s="3">
        <f>-0.2+8.1-502.9-12.6</f>
        <v>-507.6</v>
      </c>
      <c r="R17" s="3">
        <f>2.8-497.3-5.4</f>
        <v>-499.9</v>
      </c>
      <c r="S17" s="3">
        <f>1.7-356.9-299.6</f>
        <v>-654.79999999999995</v>
      </c>
      <c r="T17" s="3">
        <f>0.5-257-113.4</f>
        <v>-369.9</v>
      </c>
      <c r="U17" s="4">
        <v>-300</v>
      </c>
      <c r="V17" s="3">
        <f>U7*V36</f>
        <v>-271.766592</v>
      </c>
      <c r="W17" s="3">
        <f t="shared" ref="W17:AE17" si="18">V7*W36</f>
        <v>-158.45867415719999</v>
      </c>
      <c r="X17" s="3">
        <f t="shared" si="18"/>
        <v>-63.27264080038065</v>
      </c>
      <c r="Y17" s="3">
        <f>X7*Y36</f>
        <v>45.52907303062733</v>
      </c>
      <c r="Z17" s="3">
        <f t="shared" si="18"/>
        <v>158.52259993165481</v>
      </c>
      <c r="AA17" s="3">
        <f t="shared" si="18"/>
        <v>274.94141780200601</v>
      </c>
      <c r="AB17" s="3">
        <f t="shared" si="18"/>
        <v>420.80726012048007</v>
      </c>
      <c r="AC17" s="3">
        <f t="shared" si="18"/>
        <v>581.10806925199802</v>
      </c>
      <c r="AD17" s="3">
        <f t="shared" si="18"/>
        <v>756.99522801226874</v>
      </c>
      <c r="AE17" s="3">
        <f>AD7*AE36</f>
        <v>949.70541796266855</v>
      </c>
    </row>
    <row r="18" spans="1:121" s="3" customFormat="1" x14ac:dyDescent="0.25">
      <c r="B18" s="4" t="s">
        <v>37</v>
      </c>
      <c r="C18" s="3">
        <v>0.5</v>
      </c>
      <c r="D18" s="3">
        <v>-1.6</v>
      </c>
      <c r="E18" s="3">
        <v>4.5999999999999996</v>
      </c>
      <c r="F18" s="4">
        <f t="shared" si="17"/>
        <v>-0.69999999999999973</v>
      </c>
      <c r="G18" s="3">
        <v>1.7</v>
      </c>
      <c r="H18" s="3">
        <v>-0.8</v>
      </c>
      <c r="I18" s="3">
        <v>2.6</v>
      </c>
      <c r="N18" s="3">
        <v>8.9</v>
      </c>
      <c r="O18" s="3">
        <v>1.3</v>
      </c>
      <c r="P18" s="3">
        <v>-5.8</v>
      </c>
      <c r="Q18" s="3">
        <v>-2.2000000000000002</v>
      </c>
      <c r="R18" s="3">
        <v>3.2</v>
      </c>
      <c r="S18" s="3">
        <v>-3.8</v>
      </c>
      <c r="T18" s="3">
        <v>2.8</v>
      </c>
      <c r="U18" s="4">
        <f t="shared" ref="U17:U18" si="19">SUM(F18:I18)*1.02</f>
        <v>2.8560000000000003</v>
      </c>
    </row>
    <row r="19" spans="1:121" s="2" customFormat="1" x14ac:dyDescent="0.25">
      <c r="B19" s="2" t="s">
        <v>38</v>
      </c>
      <c r="C19" s="2">
        <f>+C16+C17+C18</f>
        <v>297.00000000000006</v>
      </c>
      <c r="D19" s="2">
        <f>+D16+D17+D18</f>
        <v>264.79999999999995</v>
      </c>
      <c r="E19" s="2">
        <f>+E16+E17+E18</f>
        <v>441.5</v>
      </c>
      <c r="F19" s="2">
        <f>+F16+F17+F18</f>
        <v>479.19999999999925</v>
      </c>
      <c r="G19" s="2">
        <f>+G16+G17+G18</f>
        <v>647.49999999999989</v>
      </c>
      <c r="H19" s="2">
        <f>+H16+H17+H18</f>
        <v>699.09999999999991</v>
      </c>
      <c r="I19" s="2">
        <f>+I16+I17+I18</f>
        <v>762.19999999999982</v>
      </c>
      <c r="J19" s="2">
        <f>+J16+J17+J18</f>
        <v>0</v>
      </c>
      <c r="M19" s="2">
        <f>+M16+M17+M18</f>
        <v>0</v>
      </c>
      <c r="N19" s="2">
        <f t="shared" ref="N19:U19" si="20">+N16+N17+N18</f>
        <v>281.3000000000003</v>
      </c>
      <c r="O19" s="2">
        <f t="shared" si="20"/>
        <v>89.800000000000395</v>
      </c>
      <c r="P19" s="2">
        <f t="shared" si="20"/>
        <v>737.30000000000018</v>
      </c>
      <c r="Q19" s="2">
        <f t="shared" si="20"/>
        <v>204.50000000000063</v>
      </c>
      <c r="R19" s="2">
        <f t="shared" si="20"/>
        <v>150.39999999999992</v>
      </c>
      <c r="S19" s="2">
        <f t="shared" si="20"/>
        <v>339.49999999999994</v>
      </c>
      <c r="T19" s="2">
        <f t="shared" si="20"/>
        <v>1482.4999999999993</v>
      </c>
      <c r="U19" s="2">
        <f t="shared" si="20"/>
        <v>2576.7060000000001</v>
      </c>
      <c r="V19" s="2">
        <f>V16+V17</f>
        <v>2610.366012</v>
      </c>
      <c r="W19" s="2">
        <f t="shared" ref="W19:AE19" si="21">W16+W17</f>
        <v>2579.5672996428002</v>
      </c>
      <c r="X19" s="2">
        <f t="shared" si="21"/>
        <v>2948.5559303796199</v>
      </c>
      <c r="Y19" s="2">
        <f t="shared" si="21"/>
        <v>3328.422215616828</v>
      </c>
      <c r="Z19" s="2">
        <f t="shared" si="21"/>
        <v>3845.868177684476</v>
      </c>
      <c r="AA19" s="2">
        <f t="shared" si="21"/>
        <v>4372.149638620429</v>
      </c>
      <c r="AB19" s="2">
        <f t="shared" si="21"/>
        <v>4804.8200563961936</v>
      </c>
      <c r="AC19" s="2">
        <f t="shared" si="21"/>
        <v>5272.0017612670117</v>
      </c>
      <c r="AD19" s="2">
        <f t="shared" si="21"/>
        <v>5776.2514784683335</v>
      </c>
      <c r="AE19" s="2">
        <f t="shared" si="21"/>
        <v>6320.3096059506588</v>
      </c>
    </row>
    <row r="20" spans="1:121" s="3" customFormat="1" x14ac:dyDescent="0.25">
      <c r="B20" s="4" t="s">
        <v>39</v>
      </c>
      <c r="C20" s="3">
        <v>44.2</v>
      </c>
      <c r="D20" s="3">
        <v>22.8</v>
      </c>
      <c r="E20" s="3">
        <v>88.7</v>
      </c>
      <c r="F20" s="4">
        <f>T20-E20-D20-C20</f>
        <v>41.3</v>
      </c>
      <c r="G20" s="3">
        <v>139.4</v>
      </c>
      <c r="H20" s="3">
        <v>152.9</v>
      </c>
      <c r="I20" s="3">
        <v>181.9</v>
      </c>
      <c r="N20" s="3">
        <v>-42.6</v>
      </c>
      <c r="O20" s="3">
        <v>-80.900000000000006</v>
      </c>
      <c r="P20" s="3">
        <v>481.9</v>
      </c>
      <c r="Q20" s="3">
        <v>-151.4</v>
      </c>
      <c r="R20" s="3">
        <v>-420.2</v>
      </c>
      <c r="S20" s="3">
        <v>-9.9</v>
      </c>
      <c r="T20" s="3">
        <v>197</v>
      </c>
      <c r="U20" s="4">
        <f>SUM(F20:I20)*1.02</f>
        <v>525.81000000000006</v>
      </c>
      <c r="V20" s="3">
        <f>+V19*V35</f>
        <v>469.86588215999996</v>
      </c>
      <c r="W20" s="3">
        <f t="shared" ref="W20:AE20" si="22">+W19*W35</f>
        <v>464.32211393570401</v>
      </c>
      <c r="X20" s="3">
        <f t="shared" si="22"/>
        <v>530.74006746833152</v>
      </c>
      <c r="Y20" s="3">
        <f t="shared" si="22"/>
        <v>565.83177665486085</v>
      </c>
      <c r="Z20" s="3">
        <f t="shared" si="22"/>
        <v>615.33890842951621</v>
      </c>
      <c r="AA20" s="3">
        <f t="shared" si="22"/>
        <v>655.82244579306428</v>
      </c>
      <c r="AB20" s="3">
        <f t="shared" si="22"/>
        <v>720.72300845942902</v>
      </c>
      <c r="AC20" s="3">
        <f t="shared" si="22"/>
        <v>790.80026419005173</v>
      </c>
      <c r="AD20" s="3">
        <f t="shared" si="22"/>
        <v>866.43772177025005</v>
      </c>
      <c r="AE20" s="3">
        <f t="shared" si="22"/>
        <v>948.04644089259875</v>
      </c>
    </row>
    <row r="21" spans="1:121" s="2" customFormat="1" x14ac:dyDescent="0.25">
      <c r="B21" s="2" t="s">
        <v>40</v>
      </c>
      <c r="C21" s="2">
        <f>+C19-C20</f>
        <v>252.80000000000007</v>
      </c>
      <c r="D21" s="2">
        <f>+D19-D20</f>
        <v>241.99999999999994</v>
      </c>
      <c r="E21" s="2">
        <f>+E19-E20</f>
        <v>352.8</v>
      </c>
      <c r="F21" s="2">
        <f>+F19-F20</f>
        <v>437.89999999999924</v>
      </c>
      <c r="G21" s="2">
        <f>+G19-G20</f>
        <v>508.09999999999991</v>
      </c>
      <c r="H21" s="2">
        <f>+H19-H20</f>
        <v>546.19999999999993</v>
      </c>
      <c r="I21" s="2">
        <f>+I19-I20</f>
        <v>580.29999999999984</v>
      </c>
      <c r="J21" s="2">
        <f>+J19-J20</f>
        <v>0</v>
      </c>
      <c r="M21" s="2">
        <f>+M19-M20</f>
        <v>0</v>
      </c>
      <c r="N21" s="2">
        <f t="shared" ref="N21:U21" si="23">+N19-N20</f>
        <v>323.90000000000032</v>
      </c>
      <c r="O21" s="2">
        <f t="shared" si="23"/>
        <v>170.70000000000039</v>
      </c>
      <c r="P21" s="2">
        <f t="shared" si="23"/>
        <v>255.4000000000002</v>
      </c>
      <c r="Q21" s="2">
        <f t="shared" si="23"/>
        <v>355.90000000000066</v>
      </c>
      <c r="R21" s="2">
        <f t="shared" si="23"/>
        <v>570.59999999999991</v>
      </c>
      <c r="S21" s="2">
        <f t="shared" si="23"/>
        <v>349.39999999999992</v>
      </c>
      <c r="T21" s="2">
        <f t="shared" si="23"/>
        <v>1285.4999999999993</v>
      </c>
      <c r="U21" s="2">
        <f t="shared" si="23"/>
        <v>2050.8960000000002</v>
      </c>
      <c r="V21" s="2">
        <f>+V19-V20</f>
        <v>2140.5001298400002</v>
      </c>
      <c r="W21" s="2">
        <f t="shared" ref="W21:AE21" si="24">+W19-W20</f>
        <v>2115.2451857070964</v>
      </c>
      <c r="X21" s="2">
        <f t="shared" si="24"/>
        <v>2417.8158629112886</v>
      </c>
      <c r="Y21" s="2">
        <f t="shared" si="24"/>
        <v>2762.5904389619673</v>
      </c>
      <c r="Z21" s="2">
        <f t="shared" si="24"/>
        <v>3230.5292692549597</v>
      </c>
      <c r="AA21" s="2">
        <f t="shared" si="24"/>
        <v>3716.3271928273648</v>
      </c>
      <c r="AB21" s="2">
        <f t="shared" si="24"/>
        <v>4084.0970479367647</v>
      </c>
      <c r="AC21" s="2">
        <f t="shared" si="24"/>
        <v>4481.2014970769596</v>
      </c>
      <c r="AD21" s="2">
        <f t="shared" si="24"/>
        <v>4909.8137566980831</v>
      </c>
      <c r="AE21" s="2">
        <f t="shared" si="24"/>
        <v>5372.2631650580597</v>
      </c>
      <c r="AF21" s="2">
        <f>AE21*(1+Dash!$C$2)</f>
        <v>5318.5405334074794</v>
      </c>
      <c r="AG21" s="2">
        <f>AF21*(1+Dash!$C$2)</f>
        <v>5265.3551280734046</v>
      </c>
      <c r="AH21" s="2">
        <f>AG21*(1+Dash!$C$2)</f>
        <v>5212.7015767926705</v>
      </c>
      <c r="AI21" s="2">
        <f>AH21*(1+Dash!$C$2)</f>
        <v>5160.5745610247441</v>
      </c>
      <c r="AJ21" s="2">
        <f>AI21*(1+Dash!$C$2)</f>
        <v>5108.9688154144969</v>
      </c>
      <c r="AK21" s="2">
        <f>AJ21*(1+Dash!$C$2)</f>
        <v>5057.8791272603521</v>
      </c>
      <c r="AL21" s="2">
        <f>AK21*(1+Dash!$C$2)</f>
        <v>5007.3003359877484</v>
      </c>
      <c r="AM21" s="2">
        <f>AL21*(1+Dash!$C$2)</f>
        <v>4957.227332627871</v>
      </c>
      <c r="AN21" s="2">
        <f>AM21*(1+Dash!$C$2)</f>
        <v>4907.6550593015918</v>
      </c>
      <c r="AO21" s="2">
        <f>AN21*(1+Dash!$C$2)</f>
        <v>4858.578508708576</v>
      </c>
      <c r="AP21" s="2">
        <f>AO21*(1+Dash!$C$2)</f>
        <v>4809.9927236214899</v>
      </c>
      <c r="AQ21" s="2">
        <f>AP21*(1+Dash!$C$2)</f>
        <v>4761.8927963852748</v>
      </c>
      <c r="AR21" s="2">
        <f>AQ21*(1+Dash!$C$2)</f>
        <v>4714.2738684214219</v>
      </c>
      <c r="AS21" s="2">
        <f>AR21*(1+Dash!$C$2)</f>
        <v>4667.1311297372076</v>
      </c>
      <c r="AT21" s="2">
        <f>AS21*(1+Dash!$C$2)</f>
        <v>4620.4598184398355</v>
      </c>
      <c r="AU21" s="2">
        <f>AT21*(1+Dash!$C$2)</f>
        <v>4574.2552202554371</v>
      </c>
      <c r="AV21" s="2">
        <f>AU21*(1+Dash!$C$2)</f>
        <v>4528.5126680528829</v>
      </c>
      <c r="AW21" s="2">
        <f>AV21*(1+Dash!$C$2)</f>
        <v>4483.2275413723537</v>
      </c>
      <c r="AX21" s="2">
        <f>AW21*(1+Dash!$C$2)</f>
        <v>4438.3952659586303</v>
      </c>
      <c r="AY21" s="2">
        <f>AX21*(1+Dash!$C$2)</f>
        <v>4394.0113132990436</v>
      </c>
      <c r="AZ21" s="2">
        <f>AY21*(1+Dash!$C$2)</f>
        <v>4350.0712001660531</v>
      </c>
      <c r="BA21" s="2">
        <f>AZ21*(1+Dash!$C$2)</f>
        <v>4306.5704881643924</v>
      </c>
      <c r="BB21" s="2">
        <f>BA21*(1+Dash!$C$2)</f>
        <v>4263.5047832827486</v>
      </c>
      <c r="BC21" s="2">
        <f>BB21*(1+Dash!$C$2)</f>
        <v>4220.8697354499209</v>
      </c>
      <c r="BD21" s="2">
        <f>BC21*(1+Dash!$C$2)</f>
        <v>4178.6610380954216</v>
      </c>
      <c r="BE21" s="2">
        <f>BD21*(1+Dash!$C$2)</f>
        <v>4136.8744277144669</v>
      </c>
      <c r="BF21" s="2">
        <f>BE21*(1+Dash!$C$2)</f>
        <v>4095.5056834373222</v>
      </c>
      <c r="BG21" s="2">
        <f>BF21*(1+Dash!$C$2)</f>
        <v>4054.5506266029488</v>
      </c>
      <c r="BH21" s="2">
        <f>BG21*(1+Dash!$C$2)</f>
        <v>4014.0051203369194</v>
      </c>
      <c r="BI21" s="2">
        <f>BH21*(1+Dash!$C$2)</f>
        <v>3973.8650691335502</v>
      </c>
      <c r="BJ21" s="2">
        <f>BI21*(1+Dash!$C$2)</f>
        <v>3934.1264184422148</v>
      </c>
      <c r="BK21" s="2">
        <f>BJ21*(1+Dash!$C$2)</f>
        <v>3894.7851542577928</v>
      </c>
      <c r="BL21" s="2">
        <f>BK21*(1+Dash!$C$2)</f>
        <v>3855.8373027152147</v>
      </c>
      <c r="BM21" s="2">
        <f>BL21*(1+Dash!$C$2)</f>
        <v>3817.2789296880624</v>
      </c>
      <c r="BN21" s="2">
        <f>BM21*(1+Dash!$C$2)</f>
        <v>3779.1061403911817</v>
      </c>
      <c r="BO21" s="2">
        <f>BN21*(1+Dash!$C$2)</f>
        <v>3741.3150789872698</v>
      </c>
      <c r="BP21" s="2">
        <f>BO21*(1+Dash!$C$2)</f>
        <v>3703.901928197397</v>
      </c>
      <c r="BQ21" s="2">
        <f>BP21*(1+Dash!$C$2)</f>
        <v>3666.8629089154228</v>
      </c>
      <c r="BR21" s="2">
        <f>BQ21*(1+Dash!$C$2)</f>
        <v>3630.1942798262685</v>
      </c>
      <c r="BS21" s="2">
        <f>BR21*(1+Dash!$C$2)</f>
        <v>3593.8923370280058</v>
      </c>
      <c r="BT21" s="2">
        <f>BS21*(1+Dash!$C$2)</f>
        <v>3557.9534136577258</v>
      </c>
      <c r="BU21" s="2">
        <f>BT21*(1+Dash!$C$2)</f>
        <v>3522.3738795211484</v>
      </c>
      <c r="BV21" s="2">
        <f>BU21*(1+Dash!$C$2)</f>
        <v>3487.150140725937</v>
      </c>
      <c r="BW21" s="2">
        <f>BV21*(1+Dash!$C$2)</f>
        <v>3452.2786393186775</v>
      </c>
      <c r="BX21" s="2">
        <f>BW21*(1+Dash!$C$2)</f>
        <v>3417.7558529254907</v>
      </c>
      <c r="BY21" s="2">
        <f>BX21*(1+Dash!$C$2)</f>
        <v>3383.5782943962358</v>
      </c>
      <c r="BZ21" s="2">
        <f>BY21*(1+Dash!$C$2)</f>
        <v>3349.7425114522734</v>
      </c>
      <c r="CA21" s="2">
        <f>BZ21*(1+Dash!$C$2)</f>
        <v>3316.2450863377508</v>
      </c>
      <c r="CB21" s="2">
        <f>CA21*(1+Dash!$C$2)</f>
        <v>3283.0826354743731</v>
      </c>
      <c r="CC21" s="2">
        <f>CB21*(1+Dash!$C$2)</f>
        <v>3250.2518091196293</v>
      </c>
      <c r="CD21" s="2">
        <f>CC21*(1+Dash!$C$2)</f>
        <v>3217.7492910284332</v>
      </c>
      <c r="CE21" s="2">
        <f>CD21*(1+Dash!$C$2)</f>
        <v>3185.5717981181488</v>
      </c>
      <c r="CF21" s="2">
        <f>CE21*(1+Dash!$C$2)</f>
        <v>3153.7160801369673</v>
      </c>
      <c r="CG21" s="2">
        <f>CF21*(1+Dash!$C$2)</f>
        <v>3122.1789193355976</v>
      </c>
      <c r="CH21" s="2">
        <f>CG21*(1+Dash!$C$2)</f>
        <v>3090.9571301422416</v>
      </c>
      <c r="CI21" s="2">
        <f>CH21*(1+Dash!$C$2)</f>
        <v>3060.047558840819</v>
      </c>
      <c r="CJ21" s="2">
        <f>CI21*(1+Dash!$C$2)</f>
        <v>3029.4470832524107</v>
      </c>
      <c r="CK21" s="2">
        <f>CJ21*(1+Dash!$C$2)</f>
        <v>2999.1526124198867</v>
      </c>
      <c r="CL21" s="2">
        <f>CK21*(1+Dash!$C$2)</f>
        <v>2969.1610862956877</v>
      </c>
      <c r="CM21" s="2">
        <f>CL21*(1+Dash!$C$2)</f>
        <v>2939.4694754327306</v>
      </c>
      <c r="CN21" s="2">
        <f>CM21*(1+Dash!$C$2)</f>
        <v>2910.0747806784034</v>
      </c>
      <c r="CO21" s="2">
        <f>CN21*(1+Dash!$C$2)</f>
        <v>2880.9740328716193</v>
      </c>
      <c r="CP21" s="2">
        <f>CO21*(1+Dash!$C$2)</f>
        <v>2852.1642925429032</v>
      </c>
      <c r="CQ21" s="2">
        <f>CP21*(1+Dash!$C$2)</f>
        <v>2823.642649617474</v>
      </c>
      <c r="CR21" s="2">
        <f>CQ21*(1+Dash!$C$2)</f>
        <v>2795.4062231212993</v>
      </c>
      <c r="CS21" s="2">
        <f>CR21*(1+Dash!$C$2)</f>
        <v>2767.4521608900864</v>
      </c>
      <c r="CT21" s="2">
        <f>CS21*(1+Dash!$C$2)</f>
        <v>2739.7776392811857</v>
      </c>
      <c r="CU21" s="2">
        <f>CT21*(1+Dash!$C$2)</f>
        <v>2712.3798628883737</v>
      </c>
      <c r="CV21" s="2">
        <f>CU21*(1+Dash!$C$2)</f>
        <v>2685.2560642594899</v>
      </c>
      <c r="CW21" s="2">
        <f>CV21*(1+Dash!$C$2)</f>
        <v>2658.4035036168948</v>
      </c>
      <c r="CX21" s="2">
        <f>CW21*(1+Dash!$C$2)</f>
        <v>2631.8194685807257</v>
      </c>
      <c r="CY21" s="2">
        <f>CX21*(1+Dash!$C$2)</f>
        <v>2605.5012738949185</v>
      </c>
      <c r="CZ21" s="2">
        <f>CY21*(1+Dash!$C$2)</f>
        <v>2579.4462611559693</v>
      </c>
      <c r="DA21" s="2">
        <f>CZ21*(1+Dash!$C$2)</f>
        <v>2553.6517985444098</v>
      </c>
      <c r="DB21" s="2">
        <f>DA21*(1+Dash!$C$2)</f>
        <v>2528.1152805589654</v>
      </c>
      <c r="DC21" s="2">
        <f>DB21*(1+Dash!$C$2)</f>
        <v>2502.8341277533759</v>
      </c>
      <c r="DD21" s="2">
        <f>DC21*(1+Dash!$C$2)</f>
        <v>2477.8057864758421</v>
      </c>
      <c r="DE21" s="2">
        <f>DD21*(1+Dash!$C$2)</f>
        <v>2453.0277286110836</v>
      </c>
      <c r="DF21" s="2">
        <f>DE21*(1+Dash!$C$2)</f>
        <v>2428.4974513249726</v>
      </c>
      <c r="DG21" s="2">
        <f>DF21*(1+Dash!$C$2)</f>
        <v>2404.2124768117228</v>
      </c>
      <c r="DH21" s="2">
        <f>DG21*(1+Dash!$C$2)</f>
        <v>2380.1703520436054</v>
      </c>
      <c r="DI21" s="2">
        <f>DH21*(1+Dash!$C$2)</f>
        <v>2356.3686485231692</v>
      </c>
      <c r="DJ21" s="2">
        <f>DI21*(1+Dash!$C$2)</f>
        <v>2332.8049620379375</v>
      </c>
      <c r="DK21" s="2">
        <f>DJ21*(1+Dash!$C$2)</f>
        <v>2309.4769124175582</v>
      </c>
      <c r="DL21" s="2">
        <f>DK21*(1+Dash!$C$2)</f>
        <v>2286.3821432933828</v>
      </c>
      <c r="DM21" s="2">
        <f>DL21*(1+Dash!$C$2)</f>
        <v>2263.5183218604489</v>
      </c>
      <c r="DN21" s="2">
        <f>DM21*(1+Dash!$C$2)</f>
        <v>2240.8831386418442</v>
      </c>
      <c r="DO21" s="2">
        <f>DN21*(1+Dash!$C$2)</f>
        <v>2218.4743072554256</v>
      </c>
      <c r="DP21" s="2">
        <f>DO21*(1+Dash!$C$2)</f>
        <v>2196.2895641828713</v>
      </c>
      <c r="DQ21" s="2">
        <f>DP21*(1+Dash!$C$2)</f>
        <v>2174.3266685410426</v>
      </c>
    </row>
    <row r="22" spans="1:121" s="3" customFormat="1" x14ac:dyDescent="0.25">
      <c r="B22" s="4" t="s">
        <v>1</v>
      </c>
      <c r="C22" s="3">
        <v>547.5</v>
      </c>
      <c r="D22" s="3">
        <v>551.29999999999995</v>
      </c>
      <c r="E22" s="3">
        <v>554.9</v>
      </c>
      <c r="F22" s="4">
        <f>T22</f>
        <v>552.29999999999995</v>
      </c>
      <c r="G22" s="3">
        <v>553.79999999999995</v>
      </c>
      <c r="H22" s="3">
        <v>551.5</v>
      </c>
      <c r="I22" s="3">
        <v>549.20000000000005</v>
      </c>
      <c r="N22" s="3">
        <v>203.4</v>
      </c>
      <c r="O22" s="3">
        <v>217.2</v>
      </c>
      <c r="P22" s="3">
        <v>232.9</v>
      </c>
      <c r="Q22" s="3">
        <v>236.2</v>
      </c>
      <c r="R22" s="3">
        <v>238.9</v>
      </c>
      <c r="S22" s="3">
        <v>519.20000000000005</v>
      </c>
      <c r="T22" s="3">
        <v>552.29999999999995</v>
      </c>
      <c r="U22" s="3">
        <v>552.29999999999995</v>
      </c>
    </row>
    <row r="23" spans="1:121" s="5" customFormat="1" x14ac:dyDescent="0.25">
      <c r="B23" s="5" t="s">
        <v>41</v>
      </c>
      <c r="C23" s="5">
        <f>+C21/C22</f>
        <v>0.46173515981735175</v>
      </c>
      <c r="D23" s="5">
        <f>+D21/D22</f>
        <v>0.4389624523852711</v>
      </c>
      <c r="E23" s="5">
        <f>+E21/E22</f>
        <v>0.63579023247431976</v>
      </c>
      <c r="F23" s="5">
        <f>+F21/F22</f>
        <v>0.79286619590801966</v>
      </c>
      <c r="G23" s="5">
        <f>+G21/G22</f>
        <v>0.91747923438064272</v>
      </c>
      <c r="H23" s="5">
        <f>+H21/H22</f>
        <v>0.99038984587488654</v>
      </c>
      <c r="I23" s="5">
        <f>+I21/I22</f>
        <v>1.0566278222869625</v>
      </c>
      <c r="J23" s="5" t="e">
        <f>+J21/J22</f>
        <v>#DIV/0!</v>
      </c>
      <c r="M23" s="5" t="e">
        <f>+M21/M22</f>
        <v>#DIV/0!</v>
      </c>
      <c r="N23" s="5">
        <f t="shared" ref="N23:U23" si="25">+N21/N22</f>
        <v>1.59242871189774</v>
      </c>
      <c r="O23" s="5">
        <f t="shared" si="25"/>
        <v>0.7859116022099466</v>
      </c>
      <c r="P23" s="5">
        <f t="shared" si="25"/>
        <v>1.0966079862601983</v>
      </c>
      <c r="Q23" s="5">
        <f t="shared" si="25"/>
        <v>1.5067739204064381</v>
      </c>
      <c r="R23" s="5">
        <f t="shared" si="25"/>
        <v>2.388447048974466</v>
      </c>
      <c r="S23" s="5">
        <f t="shared" si="25"/>
        <v>0.67295839753466846</v>
      </c>
      <c r="T23" s="5">
        <f t="shared" si="25"/>
        <v>2.3275393807713187</v>
      </c>
      <c r="U23" s="5">
        <f t="shared" si="25"/>
        <v>3.7133731667571976</v>
      </c>
    </row>
    <row r="25" spans="1:121" s="3" customFormat="1" x14ac:dyDescent="0.25">
      <c r="B25" s="3" t="s">
        <v>42</v>
      </c>
      <c r="F25" s="3">
        <v>305.50000000000011</v>
      </c>
      <c r="G25" s="3">
        <f>259.4+4</f>
        <v>263.39999999999998</v>
      </c>
      <c r="H25" s="3">
        <v>256.10000000000002</v>
      </c>
      <c r="I25" s="3">
        <v>248.20000000000005</v>
      </c>
      <c r="N25" s="3">
        <f>283.2+48+4</f>
        <v>335.2</v>
      </c>
      <c r="O25" s="3">
        <f>469.2+56.1+4.5</f>
        <v>529.79999999999995</v>
      </c>
      <c r="P25" s="3">
        <f>615.9+106.1+6.6</f>
        <v>728.6</v>
      </c>
      <c r="Q25" s="3">
        <f>876.4+114.6+16.5</f>
        <v>1007.5</v>
      </c>
      <c r="R25" s="3">
        <f>1215.6+121.7+17.1</f>
        <v>1354.3999999999999</v>
      </c>
      <c r="S25" s="3">
        <f>1153.3+71.1+17.1</f>
        <v>1241.4999999999998</v>
      </c>
      <c r="T25" s="3">
        <f>1143.5+44.9+11.5</f>
        <v>1199.9000000000001</v>
      </c>
    </row>
    <row r="26" spans="1:121" s="3" customFormat="1" x14ac:dyDescent="0.25">
      <c r="B26" s="3" t="s">
        <v>43</v>
      </c>
      <c r="F26" s="3">
        <v>114.60000000000002</v>
      </c>
      <c r="G26" s="3">
        <v>121.9</v>
      </c>
      <c r="H26" s="3">
        <v>110.29999999999998</v>
      </c>
      <c r="I26" s="3">
        <v>141.30000000000004</v>
      </c>
      <c r="N26" s="3">
        <v>97.9</v>
      </c>
      <c r="O26" s="3">
        <v>75.3</v>
      </c>
      <c r="P26" s="3">
        <v>206.8</v>
      </c>
      <c r="Q26" s="3">
        <v>228.9</v>
      </c>
      <c r="R26" s="3">
        <v>67.599999999999994</v>
      </c>
      <c r="S26" s="3">
        <v>92.6</v>
      </c>
      <c r="T26" s="3">
        <v>370.1</v>
      </c>
    </row>
    <row r="28" spans="1:121" x14ac:dyDescent="0.25">
      <c r="B28" t="s">
        <v>44</v>
      </c>
      <c r="F28" s="3">
        <f>F16+F25</f>
        <v>854.99999999999932</v>
      </c>
      <c r="G28" s="3">
        <f t="shared" ref="G28:I28" si="26">G16+G25</f>
        <v>964.69999999999982</v>
      </c>
      <c r="H28" s="3">
        <f t="shared" si="26"/>
        <v>1011.1999999999999</v>
      </c>
      <c r="I28" s="3">
        <f t="shared" si="26"/>
        <v>1059.7999999999997</v>
      </c>
      <c r="N28" s="3">
        <f t="shared" ref="N28:T28" si="27">N16+N25</f>
        <v>687.50000000000023</v>
      </c>
      <c r="O28" s="3">
        <f t="shared" si="27"/>
        <v>805.60000000000036</v>
      </c>
      <c r="P28" s="3">
        <f t="shared" si="27"/>
        <v>1664.9</v>
      </c>
      <c r="Q28" s="3">
        <f t="shared" si="27"/>
        <v>1721.8000000000006</v>
      </c>
      <c r="R28" s="3">
        <f t="shared" si="27"/>
        <v>2001.4999999999998</v>
      </c>
      <c r="S28" s="3">
        <f t="shared" si="27"/>
        <v>2239.5999999999995</v>
      </c>
      <c r="T28" s="3">
        <f t="shared" si="27"/>
        <v>3049.4999999999995</v>
      </c>
    </row>
    <row r="30" spans="1:121" s="6" customFormat="1" x14ac:dyDescent="0.25">
      <c r="A30" s="6" t="s">
        <v>50</v>
      </c>
      <c r="B30" s="6" t="s">
        <v>45</v>
      </c>
      <c r="C30" s="6">
        <f>C11/C9</f>
        <v>0.64202880081559832</v>
      </c>
      <c r="D30" s="6">
        <f t="shared" ref="D30:I30" si="28">D11/D9</f>
        <v>0.64753303430718878</v>
      </c>
      <c r="E30" s="6">
        <f t="shared" si="28"/>
        <v>0.65621621621621617</v>
      </c>
      <c r="F30" s="6">
        <f t="shared" si="28"/>
        <v>0.66175035245634939</v>
      </c>
      <c r="G30" s="6">
        <f t="shared" si="28"/>
        <v>0.66709105724180073</v>
      </c>
      <c r="H30" s="6">
        <f t="shared" si="28"/>
        <v>0.67427165734130812</v>
      </c>
      <c r="I30" s="6">
        <f t="shared" si="28"/>
        <v>0.67803798635441626</v>
      </c>
      <c r="J30" s="6" t="e">
        <f>J11/J9</f>
        <v>#DIV/0!</v>
      </c>
      <c r="N30" s="6">
        <f t="shared" ref="M30:U30" si="29">N11/N9</f>
        <v>0.55468642157088299</v>
      </c>
      <c r="O30" s="6">
        <f t="shared" si="29"/>
        <v>0.51564058923645761</v>
      </c>
      <c r="P30" s="6">
        <f t="shared" si="29"/>
        <v>0.60809385048231512</v>
      </c>
      <c r="Q30" s="6">
        <f t="shared" si="29"/>
        <v>0.54795775306103378</v>
      </c>
      <c r="R30" s="6">
        <f t="shared" si="29"/>
        <v>0.61470933980508891</v>
      </c>
      <c r="S30" s="6">
        <f t="shared" si="29"/>
        <v>0.62128567225654607</v>
      </c>
      <c r="T30" s="6">
        <f t="shared" si="29"/>
        <v>0.65234793062499075</v>
      </c>
      <c r="U30" s="6">
        <f t="shared" si="29"/>
        <v>0.67066656729025365</v>
      </c>
      <c r="V30" s="6">
        <v>0.67</v>
      </c>
      <c r="W30" s="6">
        <v>0.67</v>
      </c>
      <c r="X30" s="6">
        <v>0.67</v>
      </c>
      <c r="Y30" s="6">
        <v>0.67</v>
      </c>
      <c r="Z30" s="6">
        <v>0.67</v>
      </c>
      <c r="AA30" s="6">
        <v>0.68</v>
      </c>
      <c r="AB30" s="6">
        <v>0.68</v>
      </c>
      <c r="AC30" s="6">
        <v>0.68</v>
      </c>
      <c r="AD30" s="6">
        <v>0.68</v>
      </c>
      <c r="AE30" s="6">
        <v>0.68</v>
      </c>
    </row>
    <row r="31" spans="1:121" s="6" customFormat="1" x14ac:dyDescent="0.25">
      <c r="A31" s="6" t="s">
        <v>50</v>
      </c>
      <c r="B31" s="6" t="s">
        <v>46</v>
      </c>
      <c r="C31" s="6">
        <f>C16/C9</f>
        <v>0.23499426532432779</v>
      </c>
      <c r="D31" s="6">
        <f t="shared" ref="D31:I31" si="30">D16/D9</f>
        <v>0.2523336161959025</v>
      </c>
      <c r="E31" s="6">
        <f t="shared" si="30"/>
        <v>0.2930298719772404</v>
      </c>
      <c r="F31" s="6">
        <f t="shared" si="30"/>
        <v>0.29796117557748586</v>
      </c>
      <c r="G31" s="6">
        <f t="shared" si="30"/>
        <v>0.35715013240985938</v>
      </c>
      <c r="H31" s="6">
        <f t="shared" si="30"/>
        <v>0.36421956395909705</v>
      </c>
      <c r="I31" s="6">
        <f t="shared" si="30"/>
        <v>0.37414715102341872</v>
      </c>
      <c r="J31" s="6" t="e">
        <f>J16/J9</f>
        <v>#DIV/0!</v>
      </c>
      <c r="N31" s="6">
        <f t="shared" ref="M31:U31" si="31">N16/N9</f>
        <v>0.16210371324713582</v>
      </c>
      <c r="O31" s="6">
        <f t="shared" si="31"/>
        <v>8.0931979576266327E-2</v>
      </c>
      <c r="P31" s="6">
        <f t="shared" si="31"/>
        <v>0.2352039790996785</v>
      </c>
      <c r="Q31" s="6">
        <f t="shared" si="31"/>
        <v>0.13352649780353315</v>
      </c>
      <c r="R31" s="6">
        <f t="shared" si="31"/>
        <v>0.12269159303780666</v>
      </c>
      <c r="S31" s="6">
        <f t="shared" si="31"/>
        <v>0.18352824360105913</v>
      </c>
      <c r="T31" s="6">
        <f t="shared" si="31"/>
        <v>0.27116656159744307</v>
      </c>
      <c r="U31" s="6">
        <f t="shared" si="31"/>
        <v>0.34999130456386179</v>
      </c>
      <c r="V31" s="6">
        <v>0.3</v>
      </c>
      <c r="W31" s="6">
        <v>0.25</v>
      </c>
      <c r="X31" s="6">
        <v>0.25</v>
      </c>
      <c r="Y31" s="6">
        <v>0.25</v>
      </c>
      <c r="Z31" s="6">
        <v>0.26</v>
      </c>
      <c r="AA31" s="6">
        <v>0.27</v>
      </c>
      <c r="AB31" s="6">
        <v>0.27</v>
      </c>
      <c r="AC31" s="6">
        <v>0.27</v>
      </c>
      <c r="AD31" s="6">
        <v>0.27</v>
      </c>
      <c r="AE31" s="6">
        <v>0.27</v>
      </c>
    </row>
    <row r="33" spans="1:31" s="7" customFormat="1" x14ac:dyDescent="0.25">
      <c r="A33" s="7" t="s">
        <v>50</v>
      </c>
      <c r="B33" s="7" t="s">
        <v>47</v>
      </c>
      <c r="G33" s="7">
        <f>G9/C9-1</f>
        <v>0.25117879444373625</v>
      </c>
      <c r="H33" s="7">
        <f t="shared" ref="H33:J33" si="32">H9/D9-1</f>
        <v>0.25663716814159288</v>
      </c>
      <c r="I33" s="7">
        <f t="shared" si="32"/>
        <v>0.23425320056898991</v>
      </c>
      <c r="O33" s="7">
        <f>O9/N9-1</f>
        <v>0.56803018451203235</v>
      </c>
      <c r="P33" s="7">
        <f t="shared" ref="P33:U33" si="33">P9/O9-1</f>
        <v>0.16814367040319267</v>
      </c>
      <c r="Q33" s="7">
        <f t="shared" si="33"/>
        <v>0.34382536173633427</v>
      </c>
      <c r="R33" s="7">
        <f t="shared" si="33"/>
        <v>-1.4076081876810975E-2</v>
      </c>
      <c r="S33" s="7">
        <f t="shared" si="33"/>
        <v>3.1132683629744751E-2</v>
      </c>
      <c r="T33" s="7">
        <f t="shared" si="33"/>
        <v>0.25421079729332163</v>
      </c>
      <c r="U33" s="7">
        <f t="shared" si="33"/>
        <v>0.20382999310941363</v>
      </c>
      <c r="V33" s="7">
        <v>0.17</v>
      </c>
      <c r="W33" s="7">
        <v>0.14000000000000001</v>
      </c>
      <c r="X33" s="7">
        <v>0.1</v>
      </c>
      <c r="Y33" s="7">
        <v>0.09</v>
      </c>
      <c r="Z33" s="7">
        <v>0.08</v>
      </c>
      <c r="AA33" s="7">
        <v>7.0000000000000007E-2</v>
      </c>
      <c r="AB33" s="7">
        <v>7.0000000000000007E-2</v>
      </c>
      <c r="AC33" s="7">
        <v>7.0000000000000007E-2</v>
      </c>
      <c r="AD33" s="7">
        <v>7.0000000000000007E-2</v>
      </c>
      <c r="AE33" s="7">
        <v>7.0000000000000007E-2</v>
      </c>
    </row>
    <row r="35" spans="1:31" s="7" customFormat="1" x14ac:dyDescent="0.25">
      <c r="A35" s="7" t="s">
        <v>50</v>
      </c>
      <c r="B35" s="7" t="s">
        <v>48</v>
      </c>
      <c r="C35" s="7">
        <f>C20/C19</f>
        <v>0.1488215488215488</v>
      </c>
      <c r="D35" s="7">
        <f t="shared" ref="D35:I35" si="34">D20/D19</f>
        <v>8.6102719033232647E-2</v>
      </c>
      <c r="E35" s="7">
        <f t="shared" si="34"/>
        <v>0.20090600226500566</v>
      </c>
      <c r="F35" s="7">
        <f t="shared" si="34"/>
        <v>8.6185308848080261E-2</v>
      </c>
      <c r="G35" s="7">
        <f t="shared" si="34"/>
        <v>0.21528957528957535</v>
      </c>
      <c r="H35" s="7">
        <f t="shared" si="34"/>
        <v>0.21870976970390504</v>
      </c>
      <c r="I35" s="7">
        <f t="shared" si="34"/>
        <v>0.23865127263185523</v>
      </c>
      <c r="N35" s="7">
        <f t="shared" ref="N35:U35" si="35">N20/N19</f>
        <v>-0.15143974404550287</v>
      </c>
      <c r="O35" s="7">
        <f t="shared" si="35"/>
        <v>-0.90089086859687806</v>
      </c>
      <c r="P35" s="7">
        <f t="shared" si="35"/>
        <v>0.65360097653600957</v>
      </c>
      <c r="Q35" s="7">
        <f t="shared" si="35"/>
        <v>-0.74034229828850628</v>
      </c>
      <c r="R35" s="7">
        <f t="shared" si="35"/>
        <v>-2.7938829787234059</v>
      </c>
      <c r="S35" s="7">
        <f t="shared" si="35"/>
        <v>-2.9160530191458034E-2</v>
      </c>
      <c r="T35" s="7">
        <f t="shared" si="35"/>
        <v>0.13288364249578422</v>
      </c>
      <c r="U35" s="7">
        <f t="shared" si="35"/>
        <v>0.2040628616535996</v>
      </c>
      <c r="V35" s="7">
        <v>0.18</v>
      </c>
      <c r="W35" s="7">
        <v>0.18</v>
      </c>
      <c r="X35" s="7">
        <v>0.18</v>
      </c>
      <c r="Y35" s="7">
        <v>0.17</v>
      </c>
      <c r="Z35" s="7">
        <v>0.16</v>
      </c>
      <c r="AA35" s="7">
        <v>0.15</v>
      </c>
      <c r="AB35" s="7">
        <v>0.15</v>
      </c>
      <c r="AC35" s="7">
        <v>0.15</v>
      </c>
      <c r="AD35" s="7">
        <v>0.15</v>
      </c>
      <c r="AE35" s="7">
        <v>0.15</v>
      </c>
    </row>
    <row r="36" spans="1:31" s="7" customFormat="1" x14ac:dyDescent="0.25">
      <c r="A36" s="7" t="s">
        <v>50</v>
      </c>
      <c r="B36" s="7" t="s">
        <v>49</v>
      </c>
      <c r="P36" s="7">
        <f>P17/O7</f>
        <v>0.11436012785604359</v>
      </c>
      <c r="Q36" s="7">
        <f>Q17/P7</f>
        <v>0.49970466627288829</v>
      </c>
      <c r="R36" s="7">
        <f t="shared" ref="Q36:U36" si="36">R17/Q7</f>
        <v>4.9482801286810187E-2</v>
      </c>
      <c r="S36" s="7">
        <f t="shared" si="36"/>
        <v>7.0137103684661514E-2</v>
      </c>
      <c r="T36" s="7">
        <f>T17/S7</f>
        <v>4.1494194851085305E-2</v>
      </c>
      <c r="U36" s="7">
        <f>U17/T7</f>
        <v>3.8896884359562803E-2</v>
      </c>
      <c r="V36" s="7">
        <v>4.8000000000000001E-2</v>
      </c>
      <c r="W36" s="7">
        <v>4.4999999999999998E-2</v>
      </c>
      <c r="X36" s="7">
        <v>4.4999999999999998E-2</v>
      </c>
      <c r="Y36" s="7">
        <v>4.4999999999999998E-2</v>
      </c>
      <c r="Z36" s="7">
        <v>4.2000000000000003E-2</v>
      </c>
      <c r="AA36" s="7">
        <v>3.925E-2</v>
      </c>
      <c r="AB36" s="7">
        <v>3.925E-2</v>
      </c>
      <c r="AC36" s="7">
        <v>3.925E-2</v>
      </c>
      <c r="AD36" s="7">
        <v>3.925E-2</v>
      </c>
      <c r="AE36" s="7">
        <v>3.925E-2</v>
      </c>
    </row>
  </sheetData>
  <pageMargins left="0.7" right="0.7" top="0.75" bottom="0.75" header="0.3" footer="0.3"/>
  <pageSetup orientation="portrait" verticalDpi="597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78063-0DF5-4A99-9A0D-AA815BF05A21}">
  <dimension ref="B2:C4"/>
  <sheetViews>
    <sheetView workbookViewId="0">
      <selection activeCell="E43" sqref="E43"/>
    </sheetView>
  </sheetViews>
  <sheetFormatPr defaultRowHeight="15" x14ac:dyDescent="0.25"/>
  <cols>
    <col min="2" max="2" width="18.85546875" bestFit="1" customWidth="1"/>
    <col min="3" max="6" width="10" customWidth="1"/>
  </cols>
  <sheetData>
    <row r="2" spans="2:3" x14ac:dyDescent="0.25">
      <c r="B2" t="s">
        <v>14</v>
      </c>
      <c r="C2" s="8">
        <v>-0.01</v>
      </c>
    </row>
    <row r="3" spans="2:3" x14ac:dyDescent="0.25">
      <c r="B3" t="s">
        <v>15</v>
      </c>
      <c r="C3" s="8">
        <v>0.08</v>
      </c>
    </row>
    <row r="4" spans="2:3" x14ac:dyDescent="0.25">
      <c r="B4" t="s">
        <v>8</v>
      </c>
      <c r="C4" s="3">
        <f>NPV(C3,Model!V21:DQ21)</f>
        <v>49396.022818172591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Dash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2023-02-12T18:42:19Z</dcterms:created>
  <dcterms:modified xsi:type="dcterms:W3CDTF">2023-02-26T06:10:45Z</dcterms:modified>
</cp:coreProperties>
</file>