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6C96F27C-5CC0-4EDB-8F71-7D65E0674B0D}" xr6:coauthVersionLast="47" xr6:coauthVersionMax="47" xr10:uidLastSave="{00000000-0000-0000-0000-000000000000}"/>
  <bookViews>
    <workbookView xWindow="-645" yWindow="4770" windowWidth="32700" windowHeight="15045" activeTab="1" xr2:uid="{2EC0F4CB-CC56-4207-8108-7C832533A8D8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2" l="1"/>
  <c r="S36" i="2"/>
  <c r="Z3" i="2"/>
  <c r="AA3" i="2" s="1"/>
  <c r="AB3" i="2" s="1"/>
  <c r="Y3" i="2"/>
  <c r="L27" i="2" l="1"/>
  <c r="I26" i="2"/>
  <c r="AH41" i="2"/>
  <c r="AG41" i="2"/>
  <c r="AF41" i="2"/>
  <c r="AE41" i="2"/>
  <c r="AD41" i="2"/>
  <c r="AC41" i="2"/>
  <c r="AB41" i="2"/>
  <c r="AA41" i="2"/>
  <c r="Z41" i="2"/>
  <c r="Y41" i="2"/>
  <c r="Y11" i="2" l="1"/>
  <c r="Y5" i="2"/>
  <c r="W41" i="2"/>
  <c r="V41" i="2"/>
  <c r="U41" i="2"/>
  <c r="T41" i="2"/>
  <c r="S41" i="2"/>
  <c r="R41" i="2"/>
  <c r="X41" i="2"/>
  <c r="W39" i="2"/>
  <c r="V39" i="2"/>
  <c r="U39" i="2"/>
  <c r="T39" i="2"/>
  <c r="S39" i="2"/>
  <c r="R39" i="2"/>
  <c r="X39" i="2"/>
  <c r="X37" i="2"/>
  <c r="W37" i="2"/>
  <c r="V37" i="2"/>
  <c r="U37" i="2"/>
  <c r="T37" i="2"/>
  <c r="S37" i="2"/>
  <c r="R37" i="2"/>
  <c r="Q37" i="2"/>
  <c r="M41" i="2"/>
  <c r="K41" i="2"/>
  <c r="M39" i="2"/>
  <c r="K39" i="2"/>
  <c r="M37" i="2"/>
  <c r="K37" i="2"/>
  <c r="M35" i="2"/>
  <c r="K35" i="2"/>
  <c r="H31" i="2"/>
  <c r="Q26" i="2"/>
  <c r="R26" i="2"/>
  <c r="Q23" i="2"/>
  <c r="Q20" i="2"/>
  <c r="R23" i="2"/>
  <c r="R20" i="2"/>
  <c r="R24" i="2" s="1"/>
  <c r="Q12" i="2"/>
  <c r="R12" i="2"/>
  <c r="Z11" i="2" l="1"/>
  <c r="Z5" i="2"/>
  <c r="Q24" i="2"/>
  <c r="S26" i="2"/>
  <c r="T26" i="2"/>
  <c r="S23" i="2"/>
  <c r="S20" i="2"/>
  <c r="T23" i="2"/>
  <c r="T20" i="2"/>
  <c r="T24" i="2" s="1"/>
  <c r="S12" i="2"/>
  <c r="T12" i="2"/>
  <c r="U26" i="2"/>
  <c r="V26" i="2"/>
  <c r="U23" i="2"/>
  <c r="U20" i="2"/>
  <c r="V23" i="2"/>
  <c r="V20" i="2"/>
  <c r="V24" i="2" s="1"/>
  <c r="U12" i="2"/>
  <c r="V12" i="2"/>
  <c r="W26" i="2"/>
  <c r="X26" i="2"/>
  <c r="L26" i="2" s="1"/>
  <c r="L17" i="2"/>
  <c r="L15" i="2"/>
  <c r="L13" i="2"/>
  <c r="L9" i="2"/>
  <c r="L8" i="2"/>
  <c r="L6" i="2"/>
  <c r="L41" i="2" s="1"/>
  <c r="L4" i="2"/>
  <c r="L3" i="2"/>
  <c r="K12" i="2"/>
  <c r="N6" i="1"/>
  <c r="N7" i="1" s="1"/>
  <c r="X10" i="2"/>
  <c r="X11" i="2" s="1"/>
  <c r="W10" i="2"/>
  <c r="W11" i="2" s="1"/>
  <c r="W14" i="2" s="1"/>
  <c r="V10" i="2"/>
  <c r="V11" i="2" s="1"/>
  <c r="U10" i="2"/>
  <c r="U11" i="2" s="1"/>
  <c r="U14" i="2" s="1"/>
  <c r="T10" i="2"/>
  <c r="T11" i="2" s="1"/>
  <c r="S10" i="2"/>
  <c r="S11" i="2" s="1"/>
  <c r="R10" i="2"/>
  <c r="R11" i="2" s="1"/>
  <c r="Q10" i="2"/>
  <c r="Q11" i="2" s="1"/>
  <c r="P10" i="2"/>
  <c r="P11" i="2" s="1"/>
  <c r="N10" i="2"/>
  <c r="N11" i="2" s="1"/>
  <c r="M10" i="2"/>
  <c r="M11" i="2" s="1"/>
  <c r="K10" i="2"/>
  <c r="K11" i="2" s="1"/>
  <c r="W23" i="2"/>
  <c r="W20" i="2"/>
  <c r="X23" i="2"/>
  <c r="X20" i="2"/>
  <c r="W13" i="2"/>
  <c r="W12" i="2"/>
  <c r="W36" i="2" s="1"/>
  <c r="X12" i="2"/>
  <c r="W5" i="2"/>
  <c r="W31" i="2" s="1"/>
  <c r="P5" i="2"/>
  <c r="Q5" i="2"/>
  <c r="Q31" i="2" s="1"/>
  <c r="R5" i="2"/>
  <c r="R31" i="2" s="1"/>
  <c r="S5" i="2"/>
  <c r="S31" i="2" s="1"/>
  <c r="T5" i="2"/>
  <c r="T31" i="2" s="1"/>
  <c r="U5" i="2"/>
  <c r="U31" i="2" s="1"/>
  <c r="V5" i="2"/>
  <c r="V31" i="2" s="1"/>
  <c r="M26" i="2"/>
  <c r="N9" i="1"/>
  <c r="M23" i="2"/>
  <c r="M24" i="2" s="1"/>
  <c r="K5" i="2"/>
  <c r="K31" i="2" s="1"/>
  <c r="N5" i="2"/>
  <c r="M12" i="2"/>
  <c r="M5" i="2"/>
  <c r="M31" i="2" s="1"/>
  <c r="I37" i="2"/>
  <c r="H37" i="2"/>
  <c r="G37" i="2"/>
  <c r="F37" i="2"/>
  <c r="E37" i="2"/>
  <c r="D37" i="2"/>
  <c r="C37" i="2"/>
  <c r="J37" i="2"/>
  <c r="J41" i="2"/>
  <c r="I41" i="2"/>
  <c r="H41" i="2"/>
  <c r="G41" i="2"/>
  <c r="G39" i="2"/>
  <c r="H39" i="2"/>
  <c r="I39" i="2"/>
  <c r="C35" i="2"/>
  <c r="D35" i="2"/>
  <c r="E35" i="2"/>
  <c r="F35" i="2"/>
  <c r="G35" i="2"/>
  <c r="H35" i="2"/>
  <c r="I35" i="2"/>
  <c r="J35" i="2"/>
  <c r="C12" i="2"/>
  <c r="C7" i="2"/>
  <c r="C10" i="2" s="1"/>
  <c r="C5" i="2"/>
  <c r="C31" i="2" s="1"/>
  <c r="G12" i="2"/>
  <c r="G7" i="2"/>
  <c r="G10" i="2" s="1"/>
  <c r="G5" i="2"/>
  <c r="G31" i="2" s="1"/>
  <c r="D12" i="2"/>
  <c r="D7" i="2"/>
  <c r="D5" i="2"/>
  <c r="D31" i="2" s="1"/>
  <c r="H13" i="2"/>
  <c r="H12" i="2"/>
  <c r="H7" i="2"/>
  <c r="H10" i="2" s="1"/>
  <c r="H4" i="2"/>
  <c r="J39" i="2"/>
  <c r="E12" i="2"/>
  <c r="E7" i="2"/>
  <c r="E10" i="2" s="1"/>
  <c r="E5" i="2"/>
  <c r="E31" i="2" s="1"/>
  <c r="I12" i="2"/>
  <c r="I7" i="2"/>
  <c r="I10" i="2" s="1"/>
  <c r="I5" i="2"/>
  <c r="I31" i="2" s="1"/>
  <c r="F12" i="2"/>
  <c r="F7" i="2"/>
  <c r="F10" i="2" s="1"/>
  <c r="F5" i="2"/>
  <c r="F31" i="2" s="1"/>
  <c r="J7" i="2"/>
  <c r="J12" i="2"/>
  <c r="J5" i="2"/>
  <c r="J31" i="2" s="1"/>
  <c r="P16" i="2" l="1"/>
  <c r="P14" i="2"/>
  <c r="Q29" i="2"/>
  <c r="Q14" i="2"/>
  <c r="S24" i="2"/>
  <c r="M32" i="2"/>
  <c r="M14" i="2"/>
  <c r="M29" i="2" s="1"/>
  <c r="R29" i="2"/>
  <c r="R14" i="2"/>
  <c r="R35" i="2" s="1"/>
  <c r="T36" i="2"/>
  <c r="U36" i="2"/>
  <c r="X14" i="2"/>
  <c r="N16" i="2"/>
  <c r="N18" i="2" s="1"/>
  <c r="N14" i="2"/>
  <c r="V14" i="2"/>
  <c r="K32" i="2"/>
  <c r="K14" i="2"/>
  <c r="K29" i="2" s="1"/>
  <c r="S14" i="2"/>
  <c r="T29" i="2"/>
  <c r="T14" i="2"/>
  <c r="AA11" i="2"/>
  <c r="AA5" i="2"/>
  <c r="X32" i="2"/>
  <c r="X29" i="2"/>
  <c r="X24" i="2"/>
  <c r="Y12" i="2" s="1"/>
  <c r="Y14" i="2" s="1"/>
  <c r="U24" i="2"/>
  <c r="V36" i="2" s="1"/>
  <c r="W24" i="2"/>
  <c r="X36" i="2" s="1"/>
  <c r="V32" i="2"/>
  <c r="V29" i="2"/>
  <c r="S32" i="2"/>
  <c r="S29" i="2"/>
  <c r="W32" i="2"/>
  <c r="W29" i="2"/>
  <c r="U32" i="2"/>
  <c r="U29" i="2"/>
  <c r="Q16" i="2"/>
  <c r="Q18" i="2" s="1"/>
  <c r="Q32" i="2"/>
  <c r="L37" i="2"/>
  <c r="L39" i="2"/>
  <c r="T16" i="2"/>
  <c r="T18" i="2" s="1"/>
  <c r="T32" i="2"/>
  <c r="R16" i="2"/>
  <c r="R32" i="2"/>
  <c r="L35" i="2"/>
  <c r="L5" i="2"/>
  <c r="L31" i="2" s="1"/>
  <c r="S16" i="2"/>
  <c r="L12" i="2"/>
  <c r="U16" i="2"/>
  <c r="V16" i="2"/>
  <c r="K16" i="2"/>
  <c r="F11" i="2"/>
  <c r="F14" i="2" s="1"/>
  <c r="I11" i="2"/>
  <c r="L7" i="2"/>
  <c r="L10" i="2" s="1"/>
  <c r="L11" i="2" s="1"/>
  <c r="L14" i="2" s="1"/>
  <c r="L29" i="2" s="1"/>
  <c r="G11" i="2"/>
  <c r="E11" i="2"/>
  <c r="E14" i="2" s="1"/>
  <c r="J10" i="2"/>
  <c r="J11" i="2" s="1"/>
  <c r="J14" i="2" s="1"/>
  <c r="J29" i="2" s="1"/>
  <c r="D10" i="2"/>
  <c r="D11" i="2" s="1"/>
  <c r="D14" i="2" s="1"/>
  <c r="C11" i="2"/>
  <c r="C14" i="2" s="1"/>
  <c r="W16" i="2"/>
  <c r="P18" i="2"/>
  <c r="R18" i="2"/>
  <c r="S18" i="2"/>
  <c r="S35" i="2"/>
  <c r="T35" i="2"/>
  <c r="M16" i="2"/>
  <c r="H11" i="2"/>
  <c r="H14" i="2" s="1"/>
  <c r="N10" i="1"/>
  <c r="I32" i="2" l="1"/>
  <c r="I14" i="2"/>
  <c r="G32" i="2"/>
  <c r="G14" i="2"/>
  <c r="U40" i="2"/>
  <c r="S40" i="2"/>
  <c r="AC3" i="2"/>
  <c r="AB5" i="2"/>
  <c r="AB11" i="2"/>
  <c r="I16" i="2"/>
  <c r="I18" i="2" s="1"/>
  <c r="Q35" i="2"/>
  <c r="R40" i="2"/>
  <c r="G16" i="2"/>
  <c r="K40" i="2" s="1"/>
  <c r="V40" i="2"/>
  <c r="D16" i="2"/>
  <c r="D32" i="2"/>
  <c r="W18" i="2"/>
  <c r="W40" i="2"/>
  <c r="E16" i="2"/>
  <c r="E32" i="2"/>
  <c r="H16" i="2"/>
  <c r="H32" i="2"/>
  <c r="T40" i="2"/>
  <c r="K18" i="2"/>
  <c r="V35" i="2"/>
  <c r="V18" i="2"/>
  <c r="L16" i="2"/>
  <c r="L18" i="2" s="1"/>
  <c r="L32" i="2"/>
  <c r="J16" i="2"/>
  <c r="J32" i="2"/>
  <c r="U35" i="2"/>
  <c r="C16" i="2"/>
  <c r="C32" i="2"/>
  <c r="U18" i="2"/>
  <c r="F16" i="2"/>
  <c r="F32" i="2"/>
  <c r="E18" i="2"/>
  <c r="W35" i="2"/>
  <c r="M18" i="2"/>
  <c r="X16" i="2"/>
  <c r="X5" i="2"/>
  <c r="X31" i="2" s="1"/>
  <c r="G18" i="2" l="1"/>
  <c r="AD3" i="2"/>
  <c r="AC11" i="2"/>
  <c r="AC5" i="2"/>
  <c r="J18" i="2"/>
  <c r="M40" i="2"/>
  <c r="J40" i="2"/>
  <c r="I40" i="2"/>
  <c r="D18" i="2"/>
  <c r="H40" i="2"/>
  <c r="C18" i="2"/>
  <c r="F18" i="2"/>
  <c r="G40" i="2"/>
  <c r="L40" i="2"/>
  <c r="H18" i="2"/>
  <c r="AE3" i="2" l="1"/>
  <c r="AD11" i="2"/>
  <c r="AD5" i="2"/>
  <c r="AF3" i="2" l="1"/>
  <c r="AE5" i="2"/>
  <c r="AE11" i="2"/>
  <c r="AG3" i="2" l="1"/>
  <c r="AF5" i="2"/>
  <c r="AF11" i="2"/>
  <c r="AH3" i="2" l="1"/>
  <c r="AG5" i="2"/>
  <c r="AG11" i="2"/>
  <c r="AH5" i="2" l="1"/>
  <c r="AH11" i="2"/>
  <c r="X40" i="2" l="1"/>
  <c r="X35" i="2"/>
  <c r="X18" i="2"/>
  <c r="Y15" i="2"/>
  <c r="Y16" i="2" s="1"/>
  <c r="Y24" i="2" l="1"/>
  <c r="Y40" i="2"/>
  <c r="Z12" i="2" l="1"/>
  <c r="Z14" i="2" s="1"/>
  <c r="Z15" i="2" s="1"/>
  <c r="Z16" i="2" s="1"/>
  <c r="Z24" i="2" l="1"/>
  <c r="Z40" i="2"/>
  <c r="AA12" i="2" l="1"/>
  <c r="AA14" i="2" s="1"/>
  <c r="AA15" i="2" s="1"/>
  <c r="AA16" i="2" s="1"/>
  <c r="AA24" i="2" l="1"/>
  <c r="AB12" i="2" s="1"/>
  <c r="AB14" i="2" s="1"/>
  <c r="AB15" i="2" s="1"/>
  <c r="AB16" i="2" s="1"/>
  <c r="AB40" i="2" s="1"/>
  <c r="AA40" i="2"/>
  <c r="AB24" i="2" l="1"/>
  <c r="AC12" i="2" s="1"/>
  <c r="AC14" i="2" s="1"/>
  <c r="AC15" i="2" s="1"/>
  <c r="AC16" i="2" s="1"/>
  <c r="AC40" i="2" l="1"/>
  <c r="AC24" i="2"/>
  <c r="AD12" i="2" s="1"/>
  <c r="AD14" i="2" l="1"/>
  <c r="AD15" i="2" s="1"/>
  <c r="AD16" i="2" s="1"/>
  <c r="AD40" i="2" l="1"/>
  <c r="AD24" i="2"/>
  <c r="AE12" i="2" s="1"/>
  <c r="AE14" i="2" l="1"/>
  <c r="AE15" i="2" s="1"/>
  <c r="AE16" i="2" s="1"/>
  <c r="AE24" i="2" s="1"/>
  <c r="AF12" i="2" s="1"/>
  <c r="AF14" i="2" l="1"/>
  <c r="AF15" i="2" s="1"/>
  <c r="AF16" i="2" s="1"/>
  <c r="AF40" i="2" s="1"/>
  <c r="AE40" i="2"/>
  <c r="AF24" i="2" l="1"/>
  <c r="AG12" i="2" s="1"/>
  <c r="AG14" i="2" l="1"/>
  <c r="AG15" i="2" s="1"/>
  <c r="AG16" i="2" s="1"/>
  <c r="AG24" i="2" s="1"/>
  <c r="AH12" i="2" s="1"/>
  <c r="AH14" i="2" l="1"/>
  <c r="AH15" i="2" s="1"/>
  <c r="AH16" i="2" s="1"/>
  <c r="AG40" i="2"/>
  <c r="AH24" i="2" l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C5" i="3" s="1"/>
  <c r="N13" i="1" s="1"/>
  <c r="AH40" i="2"/>
  <c r="N14" i="1" l="1"/>
</calcChain>
</file>

<file path=xl/sharedStrings.xml><?xml version="1.0" encoding="utf-8"?>
<sst xmlns="http://schemas.openxmlformats.org/spreadsheetml/2006/main" count="66" uniqueCount="58">
  <si>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</si>
  <si>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</si>
  <si>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</si>
  <si>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</si>
  <si>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</si>
  <si>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</si>
  <si>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</si>
  <si>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</si>
  <si>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</si>
  <si>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</si>
  <si>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</si>
  <si>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</si>
  <si>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</si>
  <si>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</si>
  <si>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Revenue</t>
  </si>
  <si>
    <t>COGS</t>
  </si>
  <si>
    <t>Gross Margin</t>
  </si>
  <si>
    <t>R&amp;D</t>
  </si>
  <si>
    <t>SG&amp;A</t>
  </si>
  <si>
    <t>Amort</t>
  </si>
  <si>
    <t>Other</t>
  </si>
  <si>
    <t>Interest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</si>
  <si>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</si>
  <si>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</si>
  <si>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</si>
  <si>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</si>
  <si>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</si>
  <si>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</si>
  <si>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</si>
  <si>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J30</t>
  </si>
  <si>
    <t>O30</t>
  </si>
  <si>
    <t>A30</t>
  </si>
  <si>
    <t>J31</t>
  </si>
  <si>
    <t>22Q3</t>
  </si>
  <si>
    <t>22Q4</t>
  </si>
  <si>
    <t>Tax rate</t>
  </si>
  <si>
    <t>R&amp;D y/y</t>
  </si>
  <si>
    <t>Net income y/y</t>
  </si>
  <si>
    <t>NPV</t>
  </si>
  <si>
    <t>ADI</t>
  </si>
  <si>
    <t>Analog Devices</t>
  </si>
  <si>
    <t>Return on RND</t>
  </si>
  <si>
    <t>Updated</t>
  </si>
  <si>
    <t>Discount</t>
  </si>
  <si>
    <t>Maturity decay</t>
  </si>
  <si>
    <t>23Q1</t>
  </si>
  <si>
    <t>EBT</t>
  </si>
  <si>
    <t>EBITDA</t>
  </si>
  <si>
    <t>Net cash</t>
  </si>
  <si>
    <t>Inventory</t>
  </si>
  <si>
    <t>PPE</t>
  </si>
  <si>
    <t>CF Capex</t>
  </si>
  <si>
    <t>CF Deprec&amp;Amort</t>
  </si>
  <si>
    <t>Other op ex</t>
  </si>
  <si>
    <t>NPV/Sh</t>
  </si>
  <si>
    <t>Operating margin</t>
  </si>
  <si>
    <t>u</t>
  </si>
  <si>
    <t>Interest on netcash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</si>
</sst>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10" fontId="0" fillId="2" borderId="0" xfId="0" applyNumberFormat="1" applyFill="1"/>
    <xf numFmtId="8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43961</xdr:colOff>
      <xdr:row>0</xdr:row>
      <xdr:rowOff>0</xdr:rowOff>
    </xdr:from>
    <xdr:to>
      <xdr:col>13</xdr:col>
      <xdr:colOff>43961</xdr:colOff>
      <xdr:row>56</xdr:row>
      <xdr:rowOff>168519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9580167" y="0"/>
          <a:ext cx="0" cy="9312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25428</xdr:colOff>
      <xdr:row>0</xdr:row>
      <xdr:rowOff>0</xdr:rowOff>
    </xdr:from>
    <xdr:to>
      <xdr:col>24</xdr:col>
      <xdr:colOff>25428</xdr:colOff>
      <xdr:row>56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E58E6-FC18-4903-B5DD-3549C9352C60}"/>
            </a:ext>
          </a:extLst>
        </xdr:cNvPr>
        <xdr:cNvCxnSpPr/>
      </xdr:nvCxnSpPr>
      <xdr:spPr>
        <a:xfrm>
          <a:off x="17114399" y="0"/>
          <a:ext cx="0" cy="988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37498</xdr:colOff>
      <xdr:row>0</xdr:row>
      <xdr:rowOff>0</xdr:rowOff>
    </xdr:from>
    <xdr:to>
      <xdr:col>34</xdr:col>
      <xdr:colOff>37498</xdr:colOff>
      <xdr:row>56</xdr:row>
      <xdr:rowOff>168519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8578FBE-1CEF-4B1A-9B8D-2B9EC268148D}"/>
            </a:ext>
          </a:extLst>
        </xdr:cNvPr>
        <xdr:cNvCxnSpPr/>
      </xdr:nvCxnSpPr>
      <xdr:spPr>
        <a:xfrm>
          <a:off x="23424174" y="0"/>
          <a:ext cx="0" cy="10074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N14"/>
  <sheetViews>
    <sheetView workbookViewId="0">
      <selection activeCell="R38" sqref="R38"/>
    </sheetView>
  </sheetViews>
  <sheetFormatPr defaultRowHeight="15" x14ac:dyDescent="0.25"/>
  <cols>
    <col min="13" max="13" width="9.7109375" bestFit="1" customWidth="1"/>
    <col min="14" max="14" width="11.85546875" bestFit="1" customWidth="1"/>
  </cols>
  <sheetData>
    <row r="1" spans="13:14" x14ac:dyDescent="0.25">
      <c r="M1" t="s">
        <v>42</v>
      </c>
      <c r="N1" s="8">
        <v>44980</v>
      </c>
    </row>
    <row r="3" spans="13:14" x14ac:dyDescent="0.25">
      <c r="M3" t="s">
        <v>40</v>
      </c>
    </row>
    <row r="4" spans="13:14" x14ac:dyDescent="0.25">
      <c r="M4" t="s">
        <v>39</v>
      </c>
    </row>
    <row r="5" spans="13:14" x14ac:dyDescent="0.25">
      <c r="M5" t="s">
        <v>0</v>
      </c>
      <c r="N5" s="2">
        <v>185.65</v>
      </c>
    </row>
    <row r="6" spans="13:14" x14ac:dyDescent="0.25">
      <c r="M6" t="s">
        <v>1</v>
      </c>
      <c r="N6" s="1">
        <f>+Model!M17</f>
        <v>507.12</v>
      </c>
    </row>
    <row r="7" spans="13:14" x14ac:dyDescent="0.25">
      <c r="M7" t="s">
        <v>2</v>
      </c>
      <c r="N7" s="1">
        <f>N5*N6</f>
        <v>94146.828000000009</v>
      </c>
    </row>
    <row r="8" spans="13:14" x14ac:dyDescent="0.25">
      <c r="M8" t="s">
        <v>3</v>
      </c>
      <c r="N8" s="1">
        <v>1670</v>
      </c>
    </row>
    <row r="9" spans="13:14" x14ac:dyDescent="0.25">
      <c r="M9" t="s">
        <v>4</v>
      </c>
      <c r="N9" s="1">
        <f>534.7+6543.3</f>
        <v>7078</v>
      </c>
    </row>
    <row r="10" spans="13:14" x14ac:dyDescent="0.25">
      <c r="M10" t="s">
        <v>5</v>
      </c>
      <c r="N10" s="1">
        <f>N7-N8+N9</f>
        <v>99554.828000000009</v>
      </c>
    </row>
    <row r="13" spans="13:14" x14ac:dyDescent="0.25">
      <c r="M13" t="s">
        <v>38</v>
      </c>
      <c r="N13" s="1">
        <f>Dash!C5</f>
        <v>95545.612738294119</v>
      </c>
    </row>
    <row r="14" spans="13:14" x14ac:dyDescent="0.25">
      <c r="M14" t="s">
        <v>54</v>
      </c>
      <c r="N14" s="2">
        <f>N13/N6</f>
        <v>188.40829140695323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A1:HJ47"/>
  <sheetViews>
    <sheetView tabSelected="1" zoomScaleNormal="100" workbookViewId="0">
      <pane xSplit="2" ySplit="2" topLeftCell="J18" activePane="bottomRight" state="frozen"/>
      <selection pane="topRight" activeCell="C1" sqref="C1"/>
      <selection pane="bottomLeft" activeCell="A3" sqref="A3"/>
      <selection pane="bottomRight" activeCell="AF36" sqref="AF36"/>
    </sheetView>
  </sheetViews>
  <sheetFormatPr defaultRowHeight="15" x14ac:dyDescent="0.25"/>
  <cols>
    <col min="2" max="2" width="23.85546875" bestFit="1" customWidth="1"/>
    <col min="3" max="9" width="9.140625" style="1"/>
    <col min="10" max="10" width="10.28515625" style="1" bestFit="1" customWidth="1"/>
    <col min="11" max="11" width="9.140625" style="1"/>
    <col min="15" max="15" width="4.42578125" style="10" customWidth="1"/>
    <col min="25" max="25" width="12.7109375" bestFit="1" customWidth="1"/>
  </cols>
  <sheetData>
    <row r="1" spans="2:218" x14ac:dyDescent="0.25">
      <c r="G1" s="1" t="s">
        <v>32</v>
      </c>
      <c r="H1" s="1" t="s">
        <v>30</v>
      </c>
      <c r="I1" s="1" t="s">
        <v>29</v>
      </c>
      <c r="J1" s="8" t="s">
        <v>31</v>
      </c>
    </row>
    <row r="2" spans="2:218" s="17" customFormat="1" x14ac:dyDescent="0.25">
      <c r="C2" s="17" t="s">
        <v>13</v>
      </c>
      <c r="D2" s="17" t="s">
        <v>12</v>
      </c>
      <c r="E2" s="17" t="s">
        <v>11</v>
      </c>
      <c r="F2" s="17" t="s">
        <v>9</v>
      </c>
      <c r="G2" s="17" t="s">
        <v>8</v>
      </c>
      <c r="H2" s="17" t="s">
        <v>7</v>
      </c>
      <c r="I2" s="17" t="s">
        <v>6</v>
      </c>
      <c r="J2" s="17" t="s">
        <v>10</v>
      </c>
      <c r="K2" s="17" t="s">
        <v>33</v>
      </c>
      <c r="L2" s="17" t="s">
        <v>34</v>
      </c>
      <c r="M2" s="17" t="s">
        <v>45</v>
      </c>
      <c r="O2" s="18"/>
      <c r="Q2" s="17">
        <v>2015</v>
      </c>
      <c r="R2" s="17">
        <v>2016</v>
      </c>
      <c r="S2" s="17">
        <v>2017</v>
      </c>
      <c r="T2" s="17">
        <v>2018</v>
      </c>
      <c r="U2" s="17">
        <v>2019</v>
      </c>
      <c r="V2" s="17">
        <v>2020</v>
      </c>
      <c r="W2" s="17">
        <v>2021</v>
      </c>
      <c r="X2" s="17">
        <v>2022</v>
      </c>
      <c r="Y2" s="17">
        <v>2023</v>
      </c>
      <c r="Z2" s="17">
        <v>2024</v>
      </c>
      <c r="AA2" s="17">
        <v>2025</v>
      </c>
      <c r="AB2" s="17">
        <v>2026</v>
      </c>
      <c r="AC2" s="17">
        <v>2027</v>
      </c>
      <c r="AD2" s="17">
        <v>2028</v>
      </c>
      <c r="AE2" s="17">
        <v>2029</v>
      </c>
      <c r="AF2" s="17">
        <v>2030</v>
      </c>
      <c r="AG2" s="17">
        <v>2031</v>
      </c>
      <c r="AH2" s="17">
        <v>2032</v>
      </c>
      <c r="AI2" s="17">
        <v>2033</v>
      </c>
      <c r="AJ2" s="17">
        <v>2034</v>
      </c>
      <c r="AK2" s="17">
        <v>2035</v>
      </c>
      <c r="AL2" s="17">
        <v>2036</v>
      </c>
      <c r="AM2" s="17">
        <v>2037</v>
      </c>
      <c r="AN2" s="17">
        <v>2038</v>
      </c>
      <c r="AO2" s="17">
        <v>2039</v>
      </c>
      <c r="AP2" s="17">
        <v>2040</v>
      </c>
      <c r="AQ2" s="17">
        <v>2041</v>
      </c>
      <c r="AR2" s="17">
        <v>2042</v>
      </c>
      <c r="AS2" s="17">
        <v>2043</v>
      </c>
      <c r="AT2" s="17">
        <v>2044</v>
      </c>
      <c r="AU2" s="17">
        <v>2045</v>
      </c>
      <c r="AV2" s="17">
        <v>2046</v>
      </c>
      <c r="AW2" s="17">
        <v>2047</v>
      </c>
      <c r="AX2" s="17">
        <v>2048</v>
      </c>
      <c r="AY2" s="17">
        <v>2049</v>
      </c>
      <c r="AZ2" s="17">
        <v>2050</v>
      </c>
      <c r="BA2" s="17">
        <v>2051</v>
      </c>
      <c r="BB2" s="17">
        <v>2052</v>
      </c>
      <c r="BC2" s="17">
        <v>2053</v>
      </c>
      <c r="BD2" s="17">
        <v>2054</v>
      </c>
      <c r="BE2" s="17">
        <v>2055</v>
      </c>
      <c r="BF2" s="17">
        <v>2056</v>
      </c>
      <c r="BG2" s="17">
        <v>2057</v>
      </c>
      <c r="BH2" s="17">
        <v>2058</v>
      </c>
      <c r="BI2" s="17">
        <v>2059</v>
      </c>
      <c r="BJ2" s="17">
        <v>2060</v>
      </c>
      <c r="BK2" s="17">
        <v>2061</v>
      </c>
      <c r="BL2" s="17">
        <v>2062</v>
      </c>
      <c r="BM2" s="17">
        <v>2063</v>
      </c>
      <c r="BN2" s="17">
        <v>2064</v>
      </c>
      <c r="BO2" s="17">
        <v>2065</v>
      </c>
      <c r="BP2" s="17">
        <v>2066</v>
      </c>
      <c r="BQ2" s="17">
        <v>2067</v>
      </c>
      <c r="BR2" s="17">
        <v>2068</v>
      </c>
      <c r="BS2" s="17">
        <v>2069</v>
      </c>
      <c r="BT2" s="17">
        <v>2070</v>
      </c>
      <c r="BU2" s="17">
        <v>2071</v>
      </c>
      <c r="BV2" s="17">
        <v>2072</v>
      </c>
      <c r="BW2" s="17">
        <v>2073</v>
      </c>
      <c r="BX2" s="17">
        <v>2074</v>
      </c>
      <c r="BY2" s="17">
        <v>2075</v>
      </c>
      <c r="BZ2" s="17">
        <v>2076</v>
      </c>
      <c r="CA2" s="17">
        <v>2077</v>
      </c>
      <c r="CB2" s="17">
        <v>2078</v>
      </c>
      <c r="CC2" s="17">
        <v>2079</v>
      </c>
      <c r="CD2" s="17">
        <v>2080</v>
      </c>
      <c r="CE2" s="17">
        <v>2081</v>
      </c>
      <c r="CF2" s="17">
        <v>2082</v>
      </c>
      <c r="CG2" s="17">
        <v>2083</v>
      </c>
      <c r="CH2" s="17">
        <v>2084</v>
      </c>
      <c r="CI2" s="17">
        <v>2085</v>
      </c>
      <c r="CJ2" s="17">
        <v>2086</v>
      </c>
      <c r="CK2" s="17">
        <v>2087</v>
      </c>
      <c r="CL2" s="17">
        <v>2088</v>
      </c>
      <c r="CM2" s="17">
        <v>2089</v>
      </c>
      <c r="CN2" s="17">
        <v>2090</v>
      </c>
      <c r="CO2" s="17">
        <v>2091</v>
      </c>
      <c r="CP2" s="17">
        <v>2092</v>
      </c>
      <c r="CQ2" s="17">
        <v>2093</v>
      </c>
      <c r="CR2" s="17">
        <v>2094</v>
      </c>
      <c r="CS2" s="17">
        <v>2095</v>
      </c>
      <c r="CT2" s="17">
        <v>2096</v>
      </c>
      <c r="CU2" s="17">
        <v>2097</v>
      </c>
      <c r="CV2" s="17">
        <v>2098</v>
      </c>
      <c r="CW2" s="17">
        <v>2099</v>
      </c>
      <c r="CX2" s="17">
        <v>2100</v>
      </c>
      <c r="CY2" s="17">
        <v>2101</v>
      </c>
      <c r="CZ2" s="17">
        <v>2102</v>
      </c>
      <c r="DA2" s="17">
        <v>2103</v>
      </c>
      <c r="DB2" s="17">
        <v>2104</v>
      </c>
      <c r="DC2" s="17">
        <v>2105</v>
      </c>
      <c r="DD2" s="17">
        <v>2106</v>
      </c>
      <c r="DE2" s="17">
        <v>2107</v>
      </c>
      <c r="DF2" s="17">
        <v>2108</v>
      </c>
      <c r="DG2" s="17">
        <v>2109</v>
      </c>
      <c r="DH2" s="17">
        <v>2110</v>
      </c>
      <c r="DI2" s="17">
        <v>2111</v>
      </c>
      <c r="DJ2" s="17">
        <v>2112</v>
      </c>
      <c r="DK2" s="17">
        <v>2113</v>
      </c>
      <c r="DL2" s="17">
        <v>2114</v>
      </c>
      <c r="DM2" s="17">
        <v>2115</v>
      </c>
      <c r="DN2" s="17">
        <v>2116</v>
      </c>
      <c r="DO2" s="17">
        <v>2117</v>
      </c>
      <c r="DP2" s="17">
        <v>2118</v>
      </c>
      <c r="DQ2" s="17">
        <v>2119</v>
      </c>
      <c r="DR2" s="17">
        <v>2120</v>
      </c>
      <c r="DS2" s="17">
        <v>2121</v>
      </c>
      <c r="DT2" s="17">
        <v>2122</v>
      </c>
      <c r="DU2" s="17">
        <v>2123</v>
      </c>
      <c r="DV2" s="17">
        <v>2124</v>
      </c>
      <c r="DW2" s="17">
        <v>2125</v>
      </c>
      <c r="DX2" s="17">
        <v>2126</v>
      </c>
      <c r="DY2" s="17">
        <v>2127</v>
      </c>
      <c r="DZ2" s="17">
        <v>2128</v>
      </c>
      <c r="EA2" s="17">
        <v>2129</v>
      </c>
      <c r="EB2" s="17">
        <v>2130</v>
      </c>
      <c r="EC2" s="17">
        <v>2131</v>
      </c>
      <c r="ED2" s="17">
        <v>2132</v>
      </c>
      <c r="EE2" s="17">
        <v>2133</v>
      </c>
    </row>
    <row r="3" spans="2:218" s="3" customFormat="1" x14ac:dyDescent="0.25">
      <c r="B3" s="3" t="s">
        <v>14</v>
      </c>
      <c r="C3" s="4">
        <v>1456</v>
      </c>
      <c r="D3" s="4">
        <v>1526.2950000000001</v>
      </c>
      <c r="E3" s="4">
        <v>1558.46</v>
      </c>
      <c r="F3" s="4">
        <v>1661.4</v>
      </c>
      <c r="G3" s="4">
        <v>1758.8530000000001</v>
      </c>
      <c r="H3" s="4">
        <v>2340</v>
      </c>
      <c r="I3" s="4">
        <v>2684.3</v>
      </c>
      <c r="J3" s="4">
        <v>2972.0639999999999</v>
      </c>
      <c r="K3" s="4">
        <v>3109.88</v>
      </c>
      <c r="L3" s="4">
        <f>X3-K3-J3-I3</f>
        <v>3247.7059999999992</v>
      </c>
      <c r="M3" s="4">
        <v>3250</v>
      </c>
      <c r="N3" s="4"/>
      <c r="O3" s="11"/>
      <c r="P3" s="4"/>
      <c r="Q3" s="4">
        <v>3435.1</v>
      </c>
      <c r="R3" s="4">
        <v>3421.4</v>
      </c>
      <c r="S3" s="4">
        <v>5107.5</v>
      </c>
      <c r="T3" s="4">
        <v>6200.94</v>
      </c>
      <c r="U3" s="4">
        <v>5991.0649999999996</v>
      </c>
      <c r="V3" s="4">
        <v>5603.0559999999996</v>
      </c>
      <c r="W3" s="4">
        <v>7318.3</v>
      </c>
      <c r="X3" s="4">
        <v>12013.95</v>
      </c>
      <c r="Y3" s="4">
        <f>X3*(1+Y39)</f>
        <v>13695.903000000002</v>
      </c>
      <c r="Z3" s="4">
        <f>Y3*(1+Z39)</f>
        <v>15202.452330000004</v>
      </c>
      <c r="AA3" s="4">
        <f>Z3*(1+AA39)</f>
        <v>16722.697563000005</v>
      </c>
      <c r="AB3" s="4">
        <f>AA3*(1+AB39)</f>
        <v>18227.740343670008</v>
      </c>
      <c r="AC3" s="4">
        <f t="shared" ref="Z3:AH3" si="0">AB3*(1+AC39)</f>
        <v>19685.95957116361</v>
      </c>
      <c r="AD3" s="4">
        <f t="shared" si="0"/>
        <v>21063.976741145063</v>
      </c>
      <c r="AE3" s="4">
        <f t="shared" si="0"/>
        <v>22538.455113025218</v>
      </c>
      <c r="AF3" s="4">
        <f t="shared" si="0"/>
        <v>24116.146970936985</v>
      </c>
      <c r="AG3" s="4">
        <f t="shared" si="0"/>
        <v>25804.277258902574</v>
      </c>
      <c r="AH3" s="4">
        <f t="shared" si="0"/>
        <v>27610.576667025754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2:218" x14ac:dyDescent="0.25">
      <c r="B4" t="s">
        <v>15</v>
      </c>
      <c r="C4" s="1">
        <v>483.55</v>
      </c>
      <c r="D4" s="1">
        <v>503.21100000000001</v>
      </c>
      <c r="E4" s="1">
        <v>513.09</v>
      </c>
      <c r="F4" s="1">
        <v>524.79999999999995</v>
      </c>
      <c r="G4" s="1">
        <v>537.70000000000005</v>
      </c>
      <c r="H4" s="1">
        <f>+H3-H5</f>
        <v>1218</v>
      </c>
      <c r="I4" s="1">
        <v>1282.3</v>
      </c>
      <c r="J4" s="1">
        <v>1027.5440000000001</v>
      </c>
      <c r="K4" s="1">
        <v>1066.74</v>
      </c>
      <c r="L4" s="1">
        <f>X4-K4-J4-I4</f>
        <v>1104.9160000000004</v>
      </c>
      <c r="M4" s="1">
        <v>1125.3</v>
      </c>
      <c r="N4" s="1"/>
      <c r="P4" s="1"/>
      <c r="Q4" s="1">
        <v>1175.8</v>
      </c>
      <c r="R4" s="1">
        <v>1194.2360000000001</v>
      </c>
      <c r="S4" s="1">
        <v>2045.9</v>
      </c>
      <c r="T4" s="1">
        <v>1967.64</v>
      </c>
      <c r="U4" s="1">
        <v>1977.3</v>
      </c>
      <c r="V4" s="1">
        <v>1912.6</v>
      </c>
      <c r="W4" s="1">
        <v>2793.3</v>
      </c>
      <c r="X4" s="1">
        <v>4481.5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2:218" s="3" customFormat="1" x14ac:dyDescent="0.25">
      <c r="B5" s="3" t="s">
        <v>16</v>
      </c>
      <c r="C5" s="4">
        <f>+C3-C4</f>
        <v>972.45</v>
      </c>
      <c r="D5" s="4">
        <f>+D3-D4</f>
        <v>1023.0840000000001</v>
      </c>
      <c r="E5" s="4">
        <f>+E3-E4</f>
        <v>1045.3699999999999</v>
      </c>
      <c r="F5" s="4">
        <f>+F3-F4</f>
        <v>1136.6000000000001</v>
      </c>
      <c r="G5" s="4">
        <f>+G3-G4</f>
        <v>1221.153</v>
      </c>
      <c r="H5" s="4">
        <v>1122</v>
      </c>
      <c r="I5" s="4">
        <f t="shared" ref="I5:N5" si="1">+I3-I4</f>
        <v>1402.0000000000002</v>
      </c>
      <c r="J5" s="4">
        <f t="shared" si="1"/>
        <v>1944.5199999999998</v>
      </c>
      <c r="K5" s="4">
        <f t="shared" si="1"/>
        <v>2043.14</v>
      </c>
      <c r="L5" s="4">
        <f t="shared" si="1"/>
        <v>2142.7899999999991</v>
      </c>
      <c r="M5" s="4">
        <f t="shared" si="1"/>
        <v>2124.6999999999998</v>
      </c>
      <c r="N5" s="4">
        <f t="shared" si="1"/>
        <v>0</v>
      </c>
      <c r="O5" s="11"/>
      <c r="P5" s="4">
        <f t="shared" ref="P5:X5" si="2">+P3-P4</f>
        <v>0</v>
      </c>
      <c r="Q5" s="4">
        <f t="shared" si="2"/>
        <v>2259.3000000000002</v>
      </c>
      <c r="R5" s="4">
        <f t="shared" si="2"/>
        <v>2227.1639999999998</v>
      </c>
      <c r="S5" s="4">
        <f t="shared" si="2"/>
        <v>3061.6</v>
      </c>
      <c r="T5" s="4">
        <f t="shared" si="2"/>
        <v>4233.2999999999993</v>
      </c>
      <c r="U5" s="4">
        <f t="shared" si="2"/>
        <v>4013.7649999999994</v>
      </c>
      <c r="V5" s="4">
        <f t="shared" si="2"/>
        <v>3690.4559999999997</v>
      </c>
      <c r="W5" s="4">
        <f t="shared" si="2"/>
        <v>4525</v>
      </c>
      <c r="X5" s="4">
        <f t="shared" si="2"/>
        <v>7532.4500000000007</v>
      </c>
      <c r="Y5" s="4">
        <f>Y3*Y31</f>
        <v>9039.2959800000026</v>
      </c>
      <c r="Z5" s="4">
        <f t="shared" ref="Z5:AH5" si="3">Z3*Z31</f>
        <v>9881.5940145000022</v>
      </c>
      <c r="AA5" s="4">
        <f t="shared" si="3"/>
        <v>10702.526440320004</v>
      </c>
      <c r="AB5" s="4">
        <f t="shared" si="3"/>
        <v>11665.753819948804</v>
      </c>
      <c r="AC5" s="4">
        <f t="shared" si="3"/>
        <v>12599.014125544711</v>
      </c>
      <c r="AD5" s="4">
        <f t="shared" si="3"/>
        <v>13480.945114332841</v>
      </c>
      <c r="AE5" s="4">
        <f t="shared" si="3"/>
        <v>14424.61127233614</v>
      </c>
      <c r="AF5" s="4">
        <f t="shared" si="3"/>
        <v>15434.33406139967</v>
      </c>
      <c r="AG5" s="4">
        <f t="shared" si="3"/>
        <v>16514.737445697647</v>
      </c>
      <c r="AH5" s="4">
        <f t="shared" si="3"/>
        <v>17670.769066896482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2:218" x14ac:dyDescent="0.25">
      <c r="B6" t="s">
        <v>17</v>
      </c>
      <c r="C6" s="1">
        <v>260.79399999999998</v>
      </c>
      <c r="D6" s="1">
        <v>280.24</v>
      </c>
      <c r="E6" s="1">
        <v>288.14999999999998</v>
      </c>
      <c r="F6" s="1">
        <v>302.2</v>
      </c>
      <c r="G6" s="1">
        <v>306.61700000000002</v>
      </c>
      <c r="H6" s="1">
        <v>399.12099999999998</v>
      </c>
      <c r="I6" s="1">
        <v>426.78</v>
      </c>
      <c r="J6" s="1">
        <v>420.9</v>
      </c>
      <c r="K6" s="1">
        <v>431.83</v>
      </c>
      <c r="L6" s="1">
        <f>X6-K6-J6-I6</f>
        <v>420.99000000000012</v>
      </c>
      <c r="M6" s="1">
        <v>414.1</v>
      </c>
      <c r="N6" s="1"/>
      <c r="P6" s="1"/>
      <c r="Q6" s="1">
        <v>637.5</v>
      </c>
      <c r="R6" s="1">
        <v>653.79999999999995</v>
      </c>
      <c r="S6" s="1">
        <v>968.6</v>
      </c>
      <c r="T6" s="1">
        <v>1165.4000000000001</v>
      </c>
      <c r="U6" s="1">
        <v>1130.3499999999999</v>
      </c>
      <c r="V6" s="1">
        <v>1050.519</v>
      </c>
      <c r="W6" s="1">
        <v>1296.126</v>
      </c>
      <c r="X6" s="1">
        <v>1700.5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2:218" x14ac:dyDescent="0.25">
      <c r="B7" t="s">
        <v>18</v>
      </c>
      <c r="C7" s="1">
        <f>153.753+31.83</f>
        <v>185.58299999999997</v>
      </c>
      <c r="D7" s="1">
        <f>165.115+8.051</f>
        <v>173.166</v>
      </c>
      <c r="E7" s="1">
        <f>185.275+0.438</f>
        <v>185.71299999999999</v>
      </c>
      <c r="F7" s="1">
        <f>206.6+0.3</f>
        <v>206.9</v>
      </c>
      <c r="G7" s="1">
        <f>206.076-8.9</f>
        <v>197.17599999999999</v>
      </c>
      <c r="H7" s="1">
        <f>317.455+92.645</f>
        <v>410.09999999999997</v>
      </c>
      <c r="I7" s="1">
        <f>297.365+59.78</f>
        <v>357.14499999999998</v>
      </c>
      <c r="J7" s="1">
        <f>305.3+46.7</f>
        <v>352</v>
      </c>
      <c r="K7" s="1">
        <v>326.94</v>
      </c>
      <c r="L7" s="1">
        <f>X7-K7-J7-I7</f>
        <v>230.11500000000001</v>
      </c>
      <c r="M7" s="1">
        <v>326.3</v>
      </c>
      <c r="N7" s="1"/>
      <c r="P7" s="1"/>
      <c r="Q7" s="1">
        <v>478.97</v>
      </c>
      <c r="R7" s="1">
        <v>461.44</v>
      </c>
      <c r="S7" s="1">
        <v>691.05</v>
      </c>
      <c r="T7" s="1">
        <v>695.94</v>
      </c>
      <c r="U7" s="1">
        <v>648.09</v>
      </c>
      <c r="V7" s="1">
        <v>659.923</v>
      </c>
      <c r="W7" s="1">
        <v>915.41800000000001</v>
      </c>
      <c r="X7" s="1">
        <v>1266.2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2:218" x14ac:dyDescent="0.25">
      <c r="B8" t="s">
        <v>19</v>
      </c>
      <c r="C8" s="1">
        <v>107.077</v>
      </c>
      <c r="D8" s="1">
        <v>108</v>
      </c>
      <c r="E8" s="1">
        <v>107.6</v>
      </c>
      <c r="F8" s="1">
        <v>107.8</v>
      </c>
      <c r="G8" s="1">
        <v>107.8</v>
      </c>
      <c r="H8" s="1">
        <v>213.6</v>
      </c>
      <c r="I8" s="1">
        <v>253.4</v>
      </c>
      <c r="J8" s="1">
        <v>253.5</v>
      </c>
      <c r="K8" s="1">
        <v>252.9</v>
      </c>
      <c r="L8" s="1">
        <f>X8-K8-J8-I8</f>
        <v>252.80000000000004</v>
      </c>
      <c r="M8" s="1">
        <v>253.14</v>
      </c>
      <c r="N8" s="1"/>
      <c r="P8" s="1"/>
      <c r="Q8" s="1">
        <v>88.317999999999998</v>
      </c>
      <c r="R8" s="1">
        <v>70.099999999999994</v>
      </c>
      <c r="S8" s="1">
        <v>297.35000000000002</v>
      </c>
      <c r="T8" s="1">
        <v>428.9</v>
      </c>
      <c r="U8" s="1">
        <v>429.04</v>
      </c>
      <c r="V8" s="1">
        <v>429.45499999999998</v>
      </c>
      <c r="W8" s="1">
        <v>536.79999999999995</v>
      </c>
      <c r="X8" s="1">
        <v>1012.6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2:218" x14ac:dyDescent="0.25">
      <c r="B9" t="s">
        <v>53</v>
      </c>
      <c r="K9" s="1">
        <v>138.19999999999999</v>
      </c>
      <c r="L9" s="1">
        <f>X9-K9-J9-I9</f>
        <v>136.30900000000003</v>
      </c>
      <c r="M9" s="1"/>
      <c r="N9" s="1"/>
      <c r="P9" s="1"/>
      <c r="Q9" s="1">
        <v>223.67</v>
      </c>
      <c r="R9" s="1">
        <v>13.7</v>
      </c>
      <c r="S9" s="1">
        <v>49.5</v>
      </c>
      <c r="T9" s="1">
        <v>61.317999999999998</v>
      </c>
      <c r="U9" s="1">
        <v>95.7</v>
      </c>
      <c r="V9" s="1">
        <v>52.337000000000003</v>
      </c>
      <c r="W9" s="1">
        <v>84.5</v>
      </c>
      <c r="X9" s="1">
        <v>274.50900000000001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2:218" x14ac:dyDescent="0.25">
      <c r="B10" t="s">
        <v>24</v>
      </c>
      <c r="C10" s="1">
        <f t="shared" ref="C10:I10" si="4">SUM(C6:C9)</f>
        <v>553.45399999999995</v>
      </c>
      <c r="D10" s="1">
        <f t="shared" si="4"/>
        <v>561.40599999999995</v>
      </c>
      <c r="E10" s="1">
        <f t="shared" si="4"/>
        <v>581.46299999999997</v>
      </c>
      <c r="F10" s="1">
        <f t="shared" si="4"/>
        <v>616.9</v>
      </c>
      <c r="G10" s="1">
        <f t="shared" si="4"/>
        <v>611.59299999999996</v>
      </c>
      <c r="H10" s="1">
        <f t="shared" si="4"/>
        <v>1022.821</v>
      </c>
      <c r="I10" s="1">
        <f t="shared" si="4"/>
        <v>1037.325</v>
      </c>
      <c r="J10" s="1">
        <f>SUM(J6:J9)</f>
        <v>1026.4000000000001</v>
      </c>
      <c r="K10" s="1">
        <f t="shared" ref="K10:M10" si="5">SUM(K6:K9)</f>
        <v>1149.8699999999999</v>
      </c>
      <c r="L10" s="1">
        <f t="shared" si="5"/>
        <v>1040.2140000000002</v>
      </c>
      <c r="M10" s="1">
        <f t="shared" si="5"/>
        <v>993.54000000000008</v>
      </c>
      <c r="N10" s="1">
        <f>SUM(N6:N9)</f>
        <v>0</v>
      </c>
      <c r="P10" s="1">
        <f t="shared" ref="P10:X10" si="6">SUM(P6:P9)</f>
        <v>0</v>
      </c>
      <c r="Q10" s="1">
        <f t="shared" si="6"/>
        <v>1428.4580000000001</v>
      </c>
      <c r="R10" s="1">
        <f t="shared" si="6"/>
        <v>1199.04</v>
      </c>
      <c r="S10" s="1">
        <f t="shared" si="6"/>
        <v>2006.5</v>
      </c>
      <c r="T10" s="1">
        <f t="shared" si="6"/>
        <v>2351.5580000000004</v>
      </c>
      <c r="U10" s="1">
        <f t="shared" si="6"/>
        <v>2303.1799999999998</v>
      </c>
      <c r="V10" s="1">
        <f t="shared" si="6"/>
        <v>2192.2339999999999</v>
      </c>
      <c r="W10" s="1">
        <f t="shared" si="6"/>
        <v>2832.8440000000001</v>
      </c>
      <c r="X10" s="1">
        <f t="shared" si="6"/>
        <v>4253.8089999999993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2:218" s="3" customFormat="1" x14ac:dyDescent="0.25">
      <c r="B11" s="3" t="s">
        <v>25</v>
      </c>
      <c r="C11" s="4">
        <f t="shared" ref="C11:K11" si="7">+C3-C10-C4</f>
        <v>418.99600000000004</v>
      </c>
      <c r="D11" s="4">
        <f t="shared" si="7"/>
        <v>461.67800000000011</v>
      </c>
      <c r="E11" s="4">
        <f t="shared" si="7"/>
        <v>463.90700000000004</v>
      </c>
      <c r="F11" s="4">
        <f t="shared" si="7"/>
        <v>519.70000000000005</v>
      </c>
      <c r="G11" s="4">
        <f t="shared" si="7"/>
        <v>609.56000000000017</v>
      </c>
      <c r="H11" s="4">
        <f t="shared" si="7"/>
        <v>99.179000000000087</v>
      </c>
      <c r="I11" s="4">
        <f t="shared" si="7"/>
        <v>364.67500000000018</v>
      </c>
      <c r="J11" s="4">
        <f t="shared" si="7"/>
        <v>918.11999999999966</v>
      </c>
      <c r="K11" s="4">
        <f t="shared" si="7"/>
        <v>893.27000000000021</v>
      </c>
      <c r="L11" s="4">
        <f t="shared" ref="L11:N11" si="8">+L3-L10-L4</f>
        <v>1102.5759999999989</v>
      </c>
      <c r="M11" s="4">
        <f>+M3-M10-M4</f>
        <v>1131.1600000000001</v>
      </c>
      <c r="N11" s="4">
        <f t="shared" si="8"/>
        <v>0</v>
      </c>
      <c r="O11" s="11"/>
      <c r="P11" s="4">
        <f t="shared" ref="P11:X11" si="9">+P3-P10-P4</f>
        <v>0</v>
      </c>
      <c r="Q11" s="4">
        <f t="shared" si="9"/>
        <v>830.84199999999987</v>
      </c>
      <c r="R11" s="4">
        <f t="shared" si="9"/>
        <v>1028.124</v>
      </c>
      <c r="S11" s="4">
        <f t="shared" si="9"/>
        <v>1055.0999999999999</v>
      </c>
      <c r="T11" s="4">
        <f t="shared" si="9"/>
        <v>1881.7419999999991</v>
      </c>
      <c r="U11" s="4">
        <f t="shared" si="9"/>
        <v>1710.5849999999998</v>
      </c>
      <c r="V11" s="4">
        <f t="shared" si="9"/>
        <v>1498.2219999999998</v>
      </c>
      <c r="W11" s="4">
        <f t="shared" si="9"/>
        <v>1692.1559999999999</v>
      </c>
      <c r="X11" s="4">
        <f t="shared" si="9"/>
        <v>3278.6410000000014</v>
      </c>
      <c r="Y11" s="4">
        <f>Y3*Y32</f>
        <v>4793.5660500000004</v>
      </c>
      <c r="Z11" s="4">
        <f t="shared" ref="Z11:AH11" si="10">Z3*Z32</f>
        <v>5168.8337922000019</v>
      </c>
      <c r="AA11" s="4">
        <f t="shared" si="10"/>
        <v>5518.490195790002</v>
      </c>
      <c r="AB11" s="4">
        <f t="shared" si="10"/>
        <v>5832.8769099744022</v>
      </c>
      <c r="AC11" s="4">
        <f t="shared" si="10"/>
        <v>6102.6474670607195</v>
      </c>
      <c r="AD11" s="4">
        <f t="shared" si="10"/>
        <v>6529.8327897549698</v>
      </c>
      <c r="AE11" s="4">
        <f t="shared" si="10"/>
        <v>6986.9210850378176</v>
      </c>
      <c r="AF11" s="4">
        <f t="shared" si="10"/>
        <v>7476.0055609904657</v>
      </c>
      <c r="AG11" s="4">
        <f t="shared" si="10"/>
        <v>7999.3259502597975</v>
      </c>
      <c r="AH11" s="4">
        <f t="shared" si="10"/>
        <v>8559.278766777983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spans="2:218" x14ac:dyDescent="0.25">
      <c r="B12" t="s">
        <v>21</v>
      </c>
      <c r="C12" s="1">
        <f>45.914-0.504</f>
        <v>45.410000000000004</v>
      </c>
      <c r="D12" s="1">
        <f>48.593-0.527</f>
        <v>48.066000000000003</v>
      </c>
      <c r="E12" s="1">
        <f>42.5-0.2</f>
        <v>42.3</v>
      </c>
      <c r="F12" s="1">
        <f>43.066-0.29</f>
        <v>42.776000000000003</v>
      </c>
      <c r="G12" s="1">
        <f>44.7-0.3</f>
        <v>44.400000000000006</v>
      </c>
      <c r="H12" s="1">
        <f>54.621-0.421</f>
        <v>54.2</v>
      </c>
      <c r="I12" s="1">
        <f>51.964-0.218</f>
        <v>51.745999999999995</v>
      </c>
      <c r="J12" s="1">
        <f>49.578-0.563</f>
        <v>49.015000000000001</v>
      </c>
      <c r="K12" s="1">
        <f>51.2-1.8</f>
        <v>49.400000000000006</v>
      </c>
      <c r="L12" s="1">
        <f>X12-K12-J12-I12</f>
        <v>43.338999999999999</v>
      </c>
      <c r="M12" s="1">
        <f>60.45-10.83</f>
        <v>49.620000000000005</v>
      </c>
      <c r="N12" s="1"/>
      <c r="P12" s="1"/>
      <c r="Q12" s="1">
        <f>27-8.6</f>
        <v>18.399999999999999</v>
      </c>
      <c r="R12" s="1">
        <f>88.75-21.22</f>
        <v>67.53</v>
      </c>
      <c r="S12" s="1">
        <f>250.84-30.333</f>
        <v>220.50700000000001</v>
      </c>
      <c r="T12" s="1">
        <f>253.6-9.4</f>
        <v>244.2</v>
      </c>
      <c r="U12" s="1">
        <f>229+-10.2</f>
        <v>218.8</v>
      </c>
      <c r="V12" s="1">
        <f>193.3+-4.3</f>
        <v>189</v>
      </c>
      <c r="W12" s="1">
        <f>184.825-1.22</f>
        <v>183.60499999999999</v>
      </c>
      <c r="X12" s="1">
        <f>200.4-6.9</f>
        <v>193.5</v>
      </c>
      <c r="Y12" s="1">
        <f>X24*-Y36</f>
        <v>210.4402</v>
      </c>
      <c r="Z12" s="1">
        <f>Y24*-Z36</f>
        <v>59.7928533105</v>
      </c>
      <c r="AA12" s="1">
        <f t="shared" ref="AA12:AH12" si="11">Z24*-AA36</f>
        <v>-128.06209225752386</v>
      </c>
      <c r="AB12" s="1">
        <f t="shared" si="11"/>
        <v>-346.58366580496306</v>
      </c>
      <c r="AC12" s="1">
        <f t="shared" si="11"/>
        <v>-585.72879008762447</v>
      </c>
      <c r="AD12" s="1">
        <f>AC24*-AD36</f>
        <v>-843.06406658140702</v>
      </c>
      <c r="AE12" s="1">
        <f t="shared" si="11"/>
        <v>-1126.7362731289491</v>
      </c>
      <c r="AF12" s="1">
        <f t="shared" si="11"/>
        <v>-1437.0836670788278</v>
      </c>
      <c r="AG12" s="1">
        <f t="shared" si="11"/>
        <v>-1778.0093300524784</v>
      </c>
      <c r="AH12" s="1">
        <f t="shared" si="11"/>
        <v>-2151.9924045244229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2:218" x14ac:dyDescent="0.25">
      <c r="B13" t="s">
        <v>20</v>
      </c>
      <c r="C13" s="1">
        <v>0.68</v>
      </c>
      <c r="D13" s="1">
        <v>-3.7</v>
      </c>
      <c r="E13" s="1">
        <v>-15</v>
      </c>
      <c r="F13" s="1">
        <v>0.92900000000000005</v>
      </c>
      <c r="G13" s="1">
        <v>-6.99</v>
      </c>
      <c r="H13" s="1">
        <f>215.15-14.2</f>
        <v>200.95000000000002</v>
      </c>
      <c r="I13" s="1">
        <v>-10.544</v>
      </c>
      <c r="J13" s="1">
        <v>-10.069000000000001</v>
      </c>
      <c r="K13" s="1">
        <v>-4</v>
      </c>
      <c r="L13" s="1">
        <f>X13-K13-J13-I13</f>
        <v>11.113000000000001</v>
      </c>
      <c r="M13" s="1">
        <v>7.7</v>
      </c>
      <c r="N13" s="1"/>
      <c r="P13" s="1"/>
      <c r="Q13" s="1">
        <v>2.2999999999999998</v>
      </c>
      <c r="R13" s="1">
        <v>3.7</v>
      </c>
      <c r="S13" s="1">
        <v>6.1</v>
      </c>
      <c r="T13" s="1">
        <v>-1</v>
      </c>
      <c r="U13" s="1">
        <v>6.0339999999999998</v>
      </c>
      <c r="V13" s="1">
        <v>-2.3730000000000002</v>
      </c>
      <c r="W13" s="1">
        <f>215-35.3</f>
        <v>179.7</v>
      </c>
      <c r="X13" s="1">
        <v>-13.5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2:218" s="3" customFormat="1" x14ac:dyDescent="0.25">
      <c r="B14" s="3" t="s">
        <v>46</v>
      </c>
      <c r="C14" s="4">
        <f t="shared" ref="C14:N14" si="12">+C11-C12-C13</f>
        <v>372.90600000000001</v>
      </c>
      <c r="D14" s="4">
        <f t="shared" si="12"/>
        <v>417.31200000000007</v>
      </c>
      <c r="E14" s="4">
        <f t="shared" si="12"/>
        <v>436.60700000000003</v>
      </c>
      <c r="F14" s="4">
        <f t="shared" si="12"/>
        <v>475.99500000000006</v>
      </c>
      <c r="G14" s="4">
        <f t="shared" si="12"/>
        <v>572.1500000000002</v>
      </c>
      <c r="H14" s="4">
        <f t="shared" si="12"/>
        <v>-155.97099999999995</v>
      </c>
      <c r="I14" s="4">
        <f t="shared" si="12"/>
        <v>323.47300000000018</v>
      </c>
      <c r="J14" s="4">
        <f t="shared" si="12"/>
        <v>879.17399999999964</v>
      </c>
      <c r="K14" s="4">
        <f t="shared" si="12"/>
        <v>847.87000000000023</v>
      </c>
      <c r="L14" s="4">
        <f t="shared" si="12"/>
        <v>1048.1239999999989</v>
      </c>
      <c r="M14" s="4">
        <f t="shared" si="12"/>
        <v>1073.8399999999999</v>
      </c>
      <c r="N14" s="4">
        <f t="shared" si="12"/>
        <v>0</v>
      </c>
      <c r="O14" s="11"/>
      <c r="P14" s="4">
        <f>+P11-P12-P13</f>
        <v>0</v>
      </c>
      <c r="Q14" s="4">
        <f t="shared" ref="Q14:X14" si="13">+Q11-Q12-Q13</f>
        <v>810.14199999999994</v>
      </c>
      <c r="R14" s="4">
        <f t="shared" si="13"/>
        <v>956.89400000000001</v>
      </c>
      <c r="S14" s="4">
        <f t="shared" si="13"/>
        <v>828.49299999999982</v>
      </c>
      <c r="T14" s="4">
        <f t="shared" si="13"/>
        <v>1638.541999999999</v>
      </c>
      <c r="U14" s="4">
        <f t="shared" si="13"/>
        <v>1485.7509999999997</v>
      </c>
      <c r="V14" s="4">
        <f t="shared" si="13"/>
        <v>1311.5949999999998</v>
      </c>
      <c r="W14" s="4">
        <f t="shared" si="13"/>
        <v>1328.8509999999999</v>
      </c>
      <c r="X14" s="4">
        <f t="shared" si="13"/>
        <v>3098.6410000000014</v>
      </c>
      <c r="Y14" s="4">
        <f>+Y11-Y12-Y13</f>
        <v>4583.1258500000004</v>
      </c>
      <c r="Z14" s="4">
        <f t="shared" ref="Z14:AH14" si="14">+Z11-Z12-Z13</f>
        <v>5109.0409388895023</v>
      </c>
      <c r="AA14" s="4">
        <f t="shared" si="14"/>
        <v>5646.5522880475255</v>
      </c>
      <c r="AB14" s="4">
        <f t="shared" si="14"/>
        <v>6179.4605757793652</v>
      </c>
      <c r="AC14" s="4">
        <f t="shared" si="14"/>
        <v>6688.3762571483439</v>
      </c>
      <c r="AD14" s="4">
        <f t="shared" si="14"/>
        <v>7372.8968563363769</v>
      </c>
      <c r="AE14" s="4">
        <f t="shared" si="14"/>
        <v>8113.6573581667672</v>
      </c>
      <c r="AF14" s="4">
        <f t="shared" si="14"/>
        <v>8913.0892280692933</v>
      </c>
      <c r="AG14" s="4">
        <f t="shared" si="14"/>
        <v>9777.3352803122762</v>
      </c>
      <c r="AH14" s="4">
        <f t="shared" si="14"/>
        <v>10711.271171302405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spans="2:218" x14ac:dyDescent="0.25">
      <c r="B15" t="s">
        <v>22</v>
      </c>
      <c r="C15" s="1">
        <v>10.4</v>
      </c>
      <c r="D15" s="1">
        <v>30.78</v>
      </c>
      <c r="E15" s="1">
        <v>48.1</v>
      </c>
      <c r="F15" s="1">
        <v>53.08</v>
      </c>
      <c r="G15" s="1">
        <v>68.966999999999999</v>
      </c>
      <c r="H15" s="1">
        <v>-231.85</v>
      </c>
      <c r="I15" s="1">
        <v>43.478000000000002</v>
      </c>
      <c r="J15" s="1">
        <v>95.97</v>
      </c>
      <c r="K15" s="1">
        <v>98.95</v>
      </c>
      <c r="L15" s="1">
        <f>X15-K15-J15-I15</f>
        <v>111.80199999999999</v>
      </c>
      <c r="M15" s="1">
        <v>112</v>
      </c>
      <c r="N15" s="1"/>
      <c r="P15" s="1"/>
      <c r="Q15" s="1">
        <v>113.23</v>
      </c>
      <c r="R15" s="1">
        <v>95.257000000000005</v>
      </c>
      <c r="S15" s="1">
        <v>101.226</v>
      </c>
      <c r="T15" s="1">
        <v>143.08500000000001</v>
      </c>
      <c r="U15" s="1">
        <v>122.7</v>
      </c>
      <c r="V15" s="1">
        <v>90.855999999999995</v>
      </c>
      <c r="W15" s="1">
        <v>-61.7</v>
      </c>
      <c r="X15" s="1">
        <v>350.2</v>
      </c>
      <c r="Y15" s="1">
        <f>Y35*Y14</f>
        <v>618.72198975000003</v>
      </c>
      <c r="Z15" s="1">
        <f t="shared" ref="Z15:AH15" si="15">Z35*Z14</f>
        <v>689.72052675008285</v>
      </c>
      <c r="AA15" s="1">
        <f t="shared" si="15"/>
        <v>790.5173203266537</v>
      </c>
      <c r="AB15" s="1">
        <f t="shared" si="15"/>
        <v>865.12448060911117</v>
      </c>
      <c r="AC15" s="1">
        <f t="shared" si="15"/>
        <v>969.81455728650985</v>
      </c>
      <c r="AD15" s="1">
        <f t="shared" si="15"/>
        <v>1069.0700441687745</v>
      </c>
      <c r="AE15" s="1">
        <f t="shared" si="15"/>
        <v>1217.048603725015</v>
      </c>
      <c r="AF15" s="1">
        <f t="shared" si="15"/>
        <v>1336.963384210394</v>
      </c>
      <c r="AG15" s="1">
        <f t="shared" si="15"/>
        <v>1466.6002920468413</v>
      </c>
      <c r="AH15" s="1">
        <f t="shared" si="15"/>
        <v>1606.6906756953608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2:218" s="3" customFormat="1" x14ac:dyDescent="0.25">
      <c r="B16" s="3" t="s">
        <v>23</v>
      </c>
      <c r="C16" s="4">
        <f>+C11-C12-C13-C15</f>
        <v>362.50600000000003</v>
      </c>
      <c r="D16" s="4">
        <f t="shared" ref="D16:N16" si="16">+D11-D12-D13-D15</f>
        <v>386.53200000000004</v>
      </c>
      <c r="E16" s="4">
        <f t="shared" si="16"/>
        <v>388.50700000000001</v>
      </c>
      <c r="F16" s="4">
        <f t="shared" si="16"/>
        <v>422.91500000000008</v>
      </c>
      <c r="G16" s="4">
        <f t="shared" si="16"/>
        <v>503.18300000000022</v>
      </c>
      <c r="H16" s="4">
        <f t="shared" si="16"/>
        <v>75.879000000000048</v>
      </c>
      <c r="I16" s="4">
        <f t="shared" si="16"/>
        <v>279.99500000000018</v>
      </c>
      <c r="J16" s="4">
        <f t="shared" si="16"/>
        <v>783.20399999999961</v>
      </c>
      <c r="K16" s="4">
        <f t="shared" si="16"/>
        <v>748.92000000000019</v>
      </c>
      <c r="L16" s="4">
        <f t="shared" si="16"/>
        <v>936.32199999999887</v>
      </c>
      <c r="M16" s="4">
        <f t="shared" si="16"/>
        <v>961.83999999999992</v>
      </c>
      <c r="N16" s="4">
        <f t="shared" si="16"/>
        <v>0</v>
      </c>
      <c r="O16" s="11"/>
      <c r="P16" s="4">
        <f t="shared" ref="P16:X16" si="17">+P11-P12-P13-P15</f>
        <v>0</v>
      </c>
      <c r="Q16" s="4">
        <f t="shared" si="17"/>
        <v>696.91199999999992</v>
      </c>
      <c r="R16" s="4">
        <f t="shared" si="17"/>
        <v>861.63699999999994</v>
      </c>
      <c r="S16" s="4">
        <f t="shared" si="17"/>
        <v>727.26699999999983</v>
      </c>
      <c r="T16" s="4">
        <f t="shared" si="17"/>
        <v>1495.456999999999</v>
      </c>
      <c r="U16" s="4">
        <f t="shared" si="17"/>
        <v>1363.0509999999997</v>
      </c>
      <c r="V16" s="4">
        <f t="shared" si="17"/>
        <v>1220.7389999999998</v>
      </c>
      <c r="W16" s="4">
        <f t="shared" si="17"/>
        <v>1390.5509999999999</v>
      </c>
      <c r="X16" s="4">
        <f t="shared" si="17"/>
        <v>2748.4410000000016</v>
      </c>
      <c r="Y16" s="4">
        <f t="shared" ref="Y16:AH16" si="18">+Y11-Y12-Y13-Y15</f>
        <v>3964.4038602500004</v>
      </c>
      <c r="Z16" s="4">
        <f t="shared" si="18"/>
        <v>4419.3204121394192</v>
      </c>
      <c r="AA16" s="4">
        <f t="shared" si="18"/>
        <v>4856.0349677208715</v>
      </c>
      <c r="AB16" s="4">
        <f t="shared" si="18"/>
        <v>5314.3360951702543</v>
      </c>
      <c r="AC16" s="4">
        <f t="shared" si="18"/>
        <v>5718.5616998618343</v>
      </c>
      <c r="AD16" s="4">
        <f t="shared" si="18"/>
        <v>6303.8268121676028</v>
      </c>
      <c r="AE16" s="4">
        <f t="shared" si="18"/>
        <v>6896.6087544417524</v>
      </c>
      <c r="AF16" s="4">
        <f t="shared" si="18"/>
        <v>7576.1258438588993</v>
      </c>
      <c r="AG16" s="4">
        <f t="shared" si="18"/>
        <v>8310.7349882654344</v>
      </c>
      <c r="AH16" s="4">
        <f t="shared" si="18"/>
        <v>9104.5804956070442</v>
      </c>
      <c r="AI16" s="4">
        <f>AH16*(1+Dash!$C$3)</f>
        <v>9059.0575931290095</v>
      </c>
      <c r="AJ16" s="4">
        <f>AI16*(1+Dash!$C$3)</f>
        <v>9013.7623051633636</v>
      </c>
      <c r="AK16" s="4">
        <f>AJ16*(1+Dash!$C$3)</f>
        <v>8968.6934936375474</v>
      </c>
      <c r="AL16" s="4">
        <f>AK16*(1+Dash!$C$3)</f>
        <v>8923.8500261693589</v>
      </c>
      <c r="AM16" s="4">
        <f>AL16*(1+Dash!$C$3)</f>
        <v>8879.230776038512</v>
      </c>
      <c r="AN16" s="4">
        <f>AM16*(1+Dash!$C$3)</f>
        <v>8834.8346221583197</v>
      </c>
      <c r="AO16" s="4">
        <f>AN16*(1+Dash!$C$3)</f>
        <v>8790.6604490475274</v>
      </c>
      <c r="AP16" s="4">
        <f>AO16*(1+Dash!$C$3)</f>
        <v>8746.7071468022896</v>
      </c>
      <c r="AQ16" s="4">
        <f>AP16*(1+Dash!$C$3)</f>
        <v>8702.9736110682788</v>
      </c>
      <c r="AR16" s="4">
        <f>AQ16*(1+Dash!$C$3)</f>
        <v>8659.4587430129377</v>
      </c>
      <c r="AS16" s="4">
        <f>AR16*(1+Dash!$C$3)</f>
        <v>8616.1614492978733</v>
      </c>
      <c r="AT16" s="4">
        <f>AS16*(1+Dash!$C$3)</f>
        <v>8573.0806420513836</v>
      </c>
      <c r="AU16" s="4">
        <f>AT16*(1+Dash!$C$3)</f>
        <v>8530.2152388411268</v>
      </c>
      <c r="AV16" s="4">
        <f>AU16*(1+Dash!$C$3)</f>
        <v>8487.5641626469205</v>
      </c>
      <c r="AW16" s="4">
        <f>AV16*(1+Dash!$C$3)</f>
        <v>8445.1263418336857</v>
      </c>
      <c r="AX16" s="4">
        <f>AW16*(1+Dash!$C$3)</f>
        <v>8402.900710124517</v>
      </c>
      <c r="AY16" s="4">
        <f>AX16*(1+Dash!$C$3)</f>
        <v>8360.886206573894</v>
      </c>
      <c r="AZ16" s="4">
        <f>AY16*(1+Dash!$C$3)</f>
        <v>8319.0817755410244</v>
      </c>
      <c r="BA16" s="4">
        <f>AZ16*(1+Dash!$C$3)</f>
        <v>8277.4863666633191</v>
      </c>
      <c r="BB16" s="4">
        <f>BA16*(1+Dash!$C$3)</f>
        <v>8236.0989348300027</v>
      </c>
      <c r="BC16" s="4">
        <f>BB16*(1+Dash!$C$3)</f>
        <v>8194.9184401558523</v>
      </c>
      <c r="BD16" s="4">
        <f>BC16*(1+Dash!$C$3)</f>
        <v>8153.9438479550727</v>
      </c>
      <c r="BE16" s="4">
        <f>BD16*(1+Dash!$C$3)</f>
        <v>8113.1741287152972</v>
      </c>
      <c r="BF16" s="4">
        <f>BE16*(1+Dash!$C$3)</f>
        <v>8072.6082580717211</v>
      </c>
      <c r="BG16" s="4">
        <f>BF16*(1+Dash!$C$3)</f>
        <v>8032.2452167813626</v>
      </c>
      <c r="BH16" s="4">
        <f>BG16*(1+Dash!$C$3)</f>
        <v>7992.0839906974561</v>
      </c>
      <c r="BI16" s="4">
        <f>BH16*(1+Dash!$C$3)</f>
        <v>7952.1235707439691</v>
      </c>
      <c r="BJ16" s="4">
        <f>BI16*(1+Dash!$C$3)</f>
        <v>7912.3629528902493</v>
      </c>
      <c r="BK16" s="4">
        <f>BJ16*(1+Dash!$C$3)</f>
        <v>7872.8011381257984</v>
      </c>
      <c r="BL16" s="4">
        <f>BK16*(1+Dash!$C$3)</f>
        <v>7833.4371324351696</v>
      </c>
      <c r="BM16" s="4">
        <f>BL16*(1+Dash!$C$3)</f>
        <v>7794.2699467729935</v>
      </c>
      <c r="BN16" s="4">
        <f>BM16*(1+Dash!$C$3)</f>
        <v>7755.2985970391283</v>
      </c>
      <c r="BO16" s="4">
        <f>BN16*(1+Dash!$C$3)</f>
        <v>7716.5221040539327</v>
      </c>
      <c r="BP16" s="4">
        <f>BO16*(1+Dash!$C$3)</f>
        <v>7677.9394935336632</v>
      </c>
      <c r="BQ16" s="4">
        <f>BP16*(1+Dash!$C$3)</f>
        <v>7639.549796065995</v>
      </c>
      <c r="BR16" s="4">
        <f>BQ16*(1+Dash!$C$3)</f>
        <v>7601.3520470856647</v>
      </c>
      <c r="BS16" s="4">
        <f>BR16*(1+Dash!$C$3)</f>
        <v>7563.3452868502363</v>
      </c>
      <c r="BT16" s="4">
        <f>BS16*(1+Dash!$C$3)</f>
        <v>7525.5285604159853</v>
      </c>
      <c r="BU16" s="4">
        <f>BT16*(1+Dash!$C$3)</f>
        <v>7487.9009176139052</v>
      </c>
      <c r="BV16" s="4">
        <f>BU16*(1+Dash!$C$3)</f>
        <v>7450.461413025836</v>
      </c>
      <c r="BW16" s="4">
        <f>BV16*(1+Dash!$C$3)</f>
        <v>7413.2091059607064</v>
      </c>
      <c r="BX16" s="4">
        <f>BW16*(1+Dash!$C$3)</f>
        <v>7376.1430604309026</v>
      </c>
      <c r="BY16" s="4">
        <f>BX16*(1+Dash!$C$3)</f>
        <v>7339.2623451287482</v>
      </c>
      <c r="BZ16" s="4">
        <f>BY16*(1+Dash!$C$3)</f>
        <v>7302.5660334031045</v>
      </c>
      <c r="CA16" s="4">
        <f>BZ16*(1+Dash!$C$3)</f>
        <v>7266.0532032360888</v>
      </c>
      <c r="CB16" s="4">
        <f>CA16*(1+Dash!$C$3)</f>
        <v>7229.7229372199081</v>
      </c>
      <c r="CC16" s="4">
        <f>CB16*(1+Dash!$C$3)</f>
        <v>7193.5743225338083</v>
      </c>
      <c r="CD16" s="4">
        <f>CC16*(1+Dash!$C$3)</f>
        <v>7157.6064509211392</v>
      </c>
      <c r="CE16" s="4">
        <f>CD16*(1+Dash!$C$3)</f>
        <v>7121.818418666533</v>
      </c>
      <c r="CF16" s="4">
        <f>CE16*(1+Dash!$C$3)</f>
        <v>7086.2093265732001</v>
      </c>
      <c r="CG16" s="4">
        <f>CF16*(1+Dash!$C$3)</f>
        <v>7050.778279940334</v>
      </c>
      <c r="CH16" s="4">
        <f>CG16*(1+Dash!$C$3)</f>
        <v>7015.5243885406326</v>
      </c>
      <c r="CI16" s="4">
        <f>CH16*(1+Dash!$C$3)</f>
        <v>6980.4467665979291</v>
      </c>
      <c r="CJ16" s="4">
        <f>CI16*(1+Dash!$C$3)</f>
        <v>6945.5445327649395</v>
      </c>
      <c r="CK16" s="4">
        <f>CJ16*(1+Dash!$C$3)</f>
        <v>6910.8168101011152</v>
      </c>
      <c r="CL16" s="4">
        <f>CK16*(1+Dash!$C$3)</f>
        <v>6876.2627260506097</v>
      </c>
      <c r="CM16" s="4">
        <f>CL16*(1+Dash!$C$3)</f>
        <v>6841.8814124203564</v>
      </c>
      <c r="CN16" s="4">
        <f>CM16*(1+Dash!$C$3)</f>
        <v>6807.6720053582549</v>
      </c>
      <c r="CO16" s="4">
        <f>CN16*(1+Dash!$C$3)</f>
        <v>6773.6336453314634</v>
      </c>
      <c r="CP16" s="4">
        <f>CO16*(1+Dash!$C$3)</f>
        <v>6739.7654771048065</v>
      </c>
      <c r="CQ16" s="4">
        <f>CP16*(1+Dash!$C$3)</f>
        <v>6706.0666497192824</v>
      </c>
      <c r="CR16" s="4">
        <f>CQ16*(1+Dash!$C$3)</f>
        <v>6672.536316470686</v>
      </c>
      <c r="CS16" s="4">
        <f>CR16*(1+Dash!$C$3)</f>
        <v>6639.1736348883323</v>
      </c>
      <c r="CT16" s="4">
        <f>CS16*(1+Dash!$C$3)</f>
        <v>6605.9777667138906</v>
      </c>
      <c r="CU16" s="4">
        <f>CT16*(1+Dash!$C$3)</f>
        <v>6572.9478778803214</v>
      </c>
      <c r="CV16" s="4">
        <f>CU16*(1+Dash!$C$3)</f>
        <v>6540.0831384909197</v>
      </c>
      <c r="CW16" s="4">
        <f>CV16*(1+Dash!$C$3)</f>
        <v>6507.3827227984648</v>
      </c>
      <c r="CX16" s="4">
        <f>CW16*(1+Dash!$C$3)</f>
        <v>6474.8458091844723</v>
      </c>
      <c r="CY16" s="4">
        <f>CX16*(1+Dash!$C$3)</f>
        <v>6442.4715801385501</v>
      </c>
      <c r="CZ16" s="4">
        <f>CY16*(1+Dash!$C$3)</f>
        <v>6410.2592222378571</v>
      </c>
      <c r="DA16" s="4">
        <f>CZ16*(1+Dash!$C$3)</f>
        <v>6378.2079261266681</v>
      </c>
      <c r="DB16" s="4">
        <f>DA16*(1+Dash!$C$3)</f>
        <v>6346.3168864960344</v>
      </c>
      <c r="DC16" s="4">
        <f>DB16*(1+Dash!$C$3)</f>
        <v>6314.5853020635541</v>
      </c>
      <c r="DD16" s="4">
        <f>DC16*(1+Dash!$C$3)</f>
        <v>6283.0123755532359</v>
      </c>
      <c r="DE16" s="4">
        <f>DD16*(1+Dash!$C$3)</f>
        <v>6251.5973136754701</v>
      </c>
      <c r="DF16" s="4">
        <f>DE16*(1+Dash!$C$3)</f>
        <v>6220.3393271070927</v>
      </c>
      <c r="DG16" s="4">
        <f>DF16*(1+Dash!$C$3)</f>
        <v>6189.2376304715572</v>
      </c>
      <c r="DH16" s="4">
        <f>DG16*(1+Dash!$C$3)</f>
        <v>6158.2914423191996</v>
      </c>
      <c r="DI16" s="4">
        <f>DH16*(1+Dash!$C$3)</f>
        <v>6127.4999851076036</v>
      </c>
      <c r="DJ16" s="4">
        <f>DI16*(1+Dash!$C$3)</f>
        <v>6096.8624851820659</v>
      </c>
      <c r="DK16" s="4">
        <f>DJ16*(1+Dash!$C$3)</f>
        <v>6066.3781727561554</v>
      </c>
      <c r="DL16" s="4">
        <f>DK16*(1+Dash!$C$3)</f>
        <v>6036.0462818923743</v>
      </c>
      <c r="DM16" s="4">
        <f>DL16*(1+Dash!$C$3)</f>
        <v>6005.8660504829122</v>
      </c>
      <c r="DN16" s="4">
        <f>DM16*(1+Dash!$C$3)</f>
        <v>5975.836720230498</v>
      </c>
      <c r="DO16" s="4">
        <f>DN16*(1+Dash!$C$3)</f>
        <v>5945.9575366293457</v>
      </c>
      <c r="DP16" s="4">
        <f>DO16*(1+Dash!$C$3)</f>
        <v>5916.2277489461985</v>
      </c>
      <c r="DQ16" s="4">
        <f>DP16*(1+Dash!$C$3)</f>
        <v>5886.6466102014674</v>
      </c>
      <c r="DR16" s="4">
        <f>DQ16*(1+Dash!$C$3)</f>
        <v>5857.2133771504605</v>
      </c>
      <c r="DS16" s="4">
        <f>DR16*(1+Dash!$C$3)</f>
        <v>5827.9273102647085</v>
      </c>
      <c r="DT16" s="4">
        <f>DS16*(1+Dash!$C$3)</f>
        <v>5798.7876737133847</v>
      </c>
      <c r="DU16" s="4">
        <f>DT16*(1+Dash!$C$3)</f>
        <v>5769.7937353448178</v>
      </c>
      <c r="DV16" s="4">
        <f>DU16*(1+Dash!$C$3)</f>
        <v>5740.9447666680935</v>
      </c>
      <c r="DW16" s="4">
        <f>DV16*(1+Dash!$C$3)</f>
        <v>5712.2400428347528</v>
      </c>
      <c r="DX16" s="4">
        <f>DW16*(1+Dash!$C$3)</f>
        <v>5683.6788426205794</v>
      </c>
      <c r="DY16" s="4">
        <f>DX16*(1+Dash!$C$3)</f>
        <v>5655.2604484074764</v>
      </c>
      <c r="DZ16" s="4">
        <f>DY16*(1+Dash!$C$3)</f>
        <v>5626.9841461654387</v>
      </c>
      <c r="EA16" s="4">
        <f>DZ16*(1+Dash!$C$3)</f>
        <v>5598.8492254346111</v>
      </c>
      <c r="EB16" s="4">
        <f>EA16*(1+Dash!$C$3)</f>
        <v>5570.854979307438</v>
      </c>
      <c r="EC16" s="4">
        <f>EB16*(1+Dash!$C$3)</f>
        <v>5543.0007044109007</v>
      </c>
      <c r="ED16" s="4">
        <f>EC16*(1+Dash!$C$3)</f>
        <v>5515.2857008888459</v>
      </c>
      <c r="EE16" s="4">
        <f>ED16*(1+Dash!$C$3)</f>
        <v>5487.7092723844016</v>
      </c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</row>
    <row r="17" spans="1:81" x14ac:dyDescent="0.25">
      <c r="B17" t="s">
        <v>1</v>
      </c>
      <c r="C17" s="1">
        <v>368.79</v>
      </c>
      <c r="D17" s="1">
        <v>369.28399999999999</v>
      </c>
      <c r="E17" s="1">
        <v>369.20299999999997</v>
      </c>
      <c r="F17" s="1">
        <v>368.82299999999998</v>
      </c>
      <c r="G17" s="1">
        <v>368.476</v>
      </c>
      <c r="H17" s="1">
        <v>483.34500000000003</v>
      </c>
      <c r="I17" s="1">
        <v>525.29100000000005</v>
      </c>
      <c r="J17" s="1">
        <v>522.37</v>
      </c>
      <c r="K17" s="1">
        <v>517.01099999999997</v>
      </c>
      <c r="L17" s="1">
        <f>X17-K17-J17-I17</f>
        <v>-1045.4459999999999</v>
      </c>
      <c r="M17" s="1">
        <v>507.12</v>
      </c>
      <c r="N17" s="1"/>
      <c r="P17" s="1"/>
      <c r="Q17" s="1">
        <v>312.66000000000003</v>
      </c>
      <c r="R17" s="1">
        <v>308.73599999999999</v>
      </c>
      <c r="S17" s="1">
        <v>346.4</v>
      </c>
      <c r="T17" s="1">
        <v>370.4</v>
      </c>
      <c r="U17" s="1">
        <v>369.1</v>
      </c>
      <c r="V17" s="1">
        <v>368.6</v>
      </c>
      <c r="W17" s="1">
        <v>397.5</v>
      </c>
      <c r="X17" s="1">
        <v>519.226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s="6" customFormat="1" x14ac:dyDescent="0.25">
      <c r="B18" s="5" t="s">
        <v>26</v>
      </c>
      <c r="C18" s="6">
        <f t="shared" ref="C18:M18" si="19">+C16/C17</f>
        <v>0.98296049242116112</v>
      </c>
      <c r="D18" s="6">
        <f t="shared" si="19"/>
        <v>1.0467065997985292</v>
      </c>
      <c r="E18" s="6">
        <f t="shared" si="19"/>
        <v>1.0522855989794233</v>
      </c>
      <c r="F18" s="6">
        <f t="shared" si="19"/>
        <v>1.146661135558249</v>
      </c>
      <c r="G18" s="6">
        <f t="shared" si="19"/>
        <v>1.3655787622531732</v>
      </c>
      <c r="H18" s="6">
        <f t="shared" si="19"/>
        <v>0.15698724513546233</v>
      </c>
      <c r="I18" s="6">
        <f t="shared" si="19"/>
        <v>0.53302835951881933</v>
      </c>
      <c r="J18" s="6">
        <f t="shared" si="19"/>
        <v>1.4993280624844452</v>
      </c>
      <c r="K18" s="6">
        <f t="shared" si="19"/>
        <v>1.4485571873712557</v>
      </c>
      <c r="L18" s="6">
        <f t="shared" ref="L18:N18" si="20">+L16/L17</f>
        <v>-0.8956196685433766</v>
      </c>
      <c r="M18" s="6">
        <f t="shared" si="19"/>
        <v>1.8966713992743334</v>
      </c>
      <c r="N18" s="6" t="e">
        <f t="shared" si="20"/>
        <v>#DIV/0!</v>
      </c>
      <c r="O18" s="12"/>
      <c r="P18" s="6" t="e">
        <f t="shared" ref="P18:X18" si="21">+P16/P17</f>
        <v>#DIV/0!</v>
      </c>
      <c r="Q18" s="6">
        <f t="shared" si="21"/>
        <v>2.2289771636921891</v>
      </c>
      <c r="R18" s="6">
        <f t="shared" si="21"/>
        <v>2.7908536743366499</v>
      </c>
      <c r="S18" s="6">
        <f t="shared" si="21"/>
        <v>2.0995005773672051</v>
      </c>
      <c r="T18" s="6">
        <f t="shared" si="21"/>
        <v>4.0374109071274269</v>
      </c>
      <c r="U18" s="6">
        <f t="shared" si="21"/>
        <v>3.6929043619615269</v>
      </c>
      <c r="V18" s="6">
        <f t="shared" si="21"/>
        <v>3.3118258274552352</v>
      </c>
      <c r="W18" s="6">
        <f t="shared" si="21"/>
        <v>3.4982415094339623</v>
      </c>
      <c r="X18" s="6">
        <f t="shared" si="21"/>
        <v>5.2933423981079564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5">
      <c r="L19" s="1"/>
      <c r="M19" s="1"/>
      <c r="W19" s="1"/>
      <c r="X19" s="1"/>
    </row>
    <row r="20" spans="1:81" s="1" customFormat="1" x14ac:dyDescent="0.25">
      <c r="B20" s="1" t="s">
        <v>3</v>
      </c>
      <c r="M20" s="1">
        <v>1670</v>
      </c>
      <c r="O20" s="16"/>
      <c r="Q20" s="1">
        <f>884.4+2144.6+17.5</f>
        <v>3046.5</v>
      </c>
      <c r="R20" s="1">
        <f>921.1+3134.6+21.94</f>
        <v>4077.64</v>
      </c>
      <c r="S20" s="1">
        <f>1047.8+24.838</f>
        <v>1072.6379999999999</v>
      </c>
      <c r="T20" s="1">
        <f>816.6+28.73</f>
        <v>845.33</v>
      </c>
      <c r="U20" s="1">
        <f>648.3+77.3</f>
        <v>725.59999999999991</v>
      </c>
      <c r="V20" s="1">
        <f>1055.86+86.73</f>
        <v>1142.5899999999999</v>
      </c>
      <c r="W20" s="1">
        <f>1977.96+127.856</f>
        <v>2105.8159999999998</v>
      </c>
      <c r="X20" s="1">
        <f>1470.6+122.3</f>
        <v>1592.8999999999999</v>
      </c>
    </row>
    <row r="21" spans="1:81" s="1" customFormat="1" x14ac:dyDescent="0.25">
      <c r="B21" s="1" t="s">
        <v>49</v>
      </c>
      <c r="M21" s="1">
        <v>1522.94</v>
      </c>
      <c r="O21" s="16"/>
      <c r="Q21" s="1">
        <v>412.3</v>
      </c>
      <c r="R21" s="1">
        <v>376.55</v>
      </c>
      <c r="S21" s="1">
        <v>550.81600000000003</v>
      </c>
      <c r="T21" s="1">
        <v>586.79999999999995</v>
      </c>
      <c r="U21" s="1">
        <v>609.9</v>
      </c>
      <c r="V21" s="1">
        <v>608.26</v>
      </c>
      <c r="W21" s="1">
        <v>1200.5999999999999</v>
      </c>
      <c r="X21" s="1">
        <v>1399.9</v>
      </c>
    </row>
    <row r="22" spans="1:81" s="1" customFormat="1" x14ac:dyDescent="0.25">
      <c r="B22" s="1" t="s">
        <v>50</v>
      </c>
      <c r="M22" s="1">
        <v>2524</v>
      </c>
      <c r="O22" s="16"/>
      <c r="Q22" s="1">
        <v>644.1</v>
      </c>
      <c r="R22" s="1">
        <v>636.11</v>
      </c>
      <c r="S22" s="1">
        <v>1107.3</v>
      </c>
      <c r="T22" s="1">
        <v>1154.3</v>
      </c>
      <c r="U22" s="1">
        <v>3811.25</v>
      </c>
      <c r="V22" s="1">
        <v>1120.56</v>
      </c>
      <c r="W22" s="1">
        <v>1979</v>
      </c>
      <c r="X22" s="1">
        <v>2401.3000000000002</v>
      </c>
    </row>
    <row r="23" spans="1:81" s="1" customFormat="1" x14ac:dyDescent="0.25">
      <c r="B23" s="1" t="s">
        <v>4</v>
      </c>
      <c r="M23" s="1">
        <f>534.7+6543.3</f>
        <v>7078</v>
      </c>
      <c r="O23" s="16"/>
      <c r="Q23" s="1">
        <f>174.3+374.6+495.34</f>
        <v>1044.24</v>
      </c>
      <c r="R23" s="1">
        <f>171.44+0+1732.2</f>
        <v>1903.64</v>
      </c>
      <c r="S23" s="1">
        <f>236.6+300+7551</f>
        <v>8087.6</v>
      </c>
      <c r="T23" s="1">
        <f>260.9+67+6265.674</f>
        <v>6593.5739999999996</v>
      </c>
      <c r="U23" s="1">
        <f>225.3+5192.25</f>
        <v>5417.55</v>
      </c>
      <c r="V23" s="1">
        <f>227.3+5145.1</f>
        <v>5372.4000000000005</v>
      </c>
      <c r="W23" s="1">
        <f>443.4+516.66+6253.212</f>
        <v>7213.2720000000008</v>
      </c>
      <c r="X23" s="1">
        <f>582.2+6548.6</f>
        <v>7130.8</v>
      </c>
    </row>
    <row r="24" spans="1:81" x14ac:dyDescent="0.25">
      <c r="B24" t="s">
        <v>48</v>
      </c>
      <c r="L24" s="1"/>
      <c r="M24" s="1">
        <f t="shared" ref="M24" si="22">M20-M23</f>
        <v>-5408</v>
      </c>
      <c r="Q24" s="1">
        <f t="shared" ref="Q24:W24" si="23">Q20-Q23</f>
        <v>2002.26</v>
      </c>
      <c r="R24" s="1">
        <f t="shared" si="23"/>
        <v>2174</v>
      </c>
      <c r="S24" s="1">
        <f t="shared" si="23"/>
        <v>-7014.9620000000004</v>
      </c>
      <c r="T24" s="1">
        <f t="shared" si="23"/>
        <v>-5748.2439999999997</v>
      </c>
      <c r="U24" s="1">
        <f t="shared" si="23"/>
        <v>-4691.9500000000007</v>
      </c>
      <c r="V24" s="1">
        <f t="shared" si="23"/>
        <v>-4229.8100000000004</v>
      </c>
      <c r="W24" s="1">
        <f t="shared" si="23"/>
        <v>-5107.456000000001</v>
      </c>
      <c r="X24" s="1">
        <f>X20-X23</f>
        <v>-5537.9000000000005</v>
      </c>
      <c r="Y24" s="1">
        <f>X24+Y16</f>
        <v>-1573.4961397500001</v>
      </c>
      <c r="Z24" s="1">
        <f t="shared" ref="Z24:AH24" si="24">Y24+Z16</f>
        <v>2845.8242723894191</v>
      </c>
      <c r="AA24" s="1">
        <f>Z24+AA16</f>
        <v>7701.8592401102906</v>
      </c>
      <c r="AB24" s="1">
        <f t="shared" si="24"/>
        <v>13016.195335280545</v>
      </c>
      <c r="AC24" s="1">
        <f t="shared" si="24"/>
        <v>18734.757035142378</v>
      </c>
      <c r="AD24" s="1">
        <f t="shared" si="24"/>
        <v>25038.583847309979</v>
      </c>
      <c r="AE24" s="1">
        <f t="shared" si="24"/>
        <v>31935.192601751733</v>
      </c>
      <c r="AF24" s="1">
        <f t="shared" si="24"/>
        <v>39511.318445610632</v>
      </c>
      <c r="AG24" s="1">
        <f t="shared" si="24"/>
        <v>47822.053433876063</v>
      </c>
      <c r="AH24" s="1">
        <f t="shared" si="24"/>
        <v>56926.633929483105</v>
      </c>
    </row>
    <row r="25" spans="1:81" x14ac:dyDescent="0.25">
      <c r="L25" s="1"/>
      <c r="M25" s="1"/>
      <c r="W25" s="1"/>
      <c r="X25" s="1"/>
    </row>
    <row r="26" spans="1:81" s="1" customFormat="1" x14ac:dyDescent="0.25">
      <c r="B26" s="1" t="s">
        <v>52</v>
      </c>
      <c r="I26" s="1">
        <f>65.16+504.64</f>
        <v>569.79999999999995</v>
      </c>
      <c r="J26" s="1">
        <v>576.10000000000014</v>
      </c>
      <c r="K26" s="1">
        <v>578.9849999999999</v>
      </c>
      <c r="L26" s="1">
        <f>X26-K26-J26-I26</f>
        <v>575.61400000000026</v>
      </c>
      <c r="M26" s="1">
        <f>85.321+502.177</f>
        <v>587.49800000000005</v>
      </c>
      <c r="O26" s="16"/>
      <c r="Q26" s="1">
        <f>130.15+92.1</f>
        <v>222.25</v>
      </c>
      <c r="R26" s="1">
        <f>134.54+75.25</f>
        <v>209.79</v>
      </c>
      <c r="S26" s="1">
        <f>194.66+389.4</f>
        <v>584.05999999999995</v>
      </c>
      <c r="T26" s="1">
        <f>228.5+570.5</f>
        <v>799</v>
      </c>
      <c r="U26" s="1">
        <f>240.7+570.574</f>
        <v>811.27399999999989</v>
      </c>
      <c r="V26" s="1">
        <f>233.775+577.15</f>
        <v>810.92499999999995</v>
      </c>
      <c r="W26" s="1">
        <f>231.3+843.359</f>
        <v>1074.6590000000001</v>
      </c>
      <c r="X26" s="1">
        <f>283.338+2017.161</f>
        <v>2300.4990000000003</v>
      </c>
    </row>
    <row r="27" spans="1:81" s="1" customFormat="1" x14ac:dyDescent="0.25">
      <c r="B27" s="1" t="s">
        <v>51</v>
      </c>
      <c r="I27" s="1">
        <v>111.133</v>
      </c>
      <c r="J27" s="1">
        <v>118.76700000000001</v>
      </c>
      <c r="K27" s="1">
        <v>164.9</v>
      </c>
      <c r="L27" s="1">
        <f>X27-K27-J27-I27</f>
        <v>304.20000000000005</v>
      </c>
      <c r="M27" s="1">
        <v>176.15799999999999</v>
      </c>
      <c r="O27" s="16"/>
      <c r="Q27" s="1">
        <v>153.96</v>
      </c>
      <c r="R27" s="1">
        <v>127.4</v>
      </c>
      <c r="S27" s="1">
        <v>204.1</v>
      </c>
      <c r="T27" s="1">
        <v>254.9</v>
      </c>
      <c r="U27" s="1">
        <v>275.39999999999998</v>
      </c>
      <c r="V27" s="1">
        <v>165.7</v>
      </c>
      <c r="W27" s="1">
        <v>343.7</v>
      </c>
      <c r="X27" s="1">
        <v>699</v>
      </c>
    </row>
    <row r="28" spans="1:81" s="1" customFormat="1" x14ac:dyDescent="0.25">
      <c r="O28" s="16"/>
    </row>
    <row r="29" spans="1:81" s="1" customFormat="1" x14ac:dyDescent="0.25">
      <c r="B29" s="1" t="s">
        <v>47</v>
      </c>
      <c r="J29" s="1">
        <f t="shared" ref="J29:L29" si="25">J14-J26</f>
        <v>303.0739999999995</v>
      </c>
      <c r="K29" s="1">
        <f t="shared" si="25"/>
        <v>268.88500000000033</v>
      </c>
      <c r="L29" s="1">
        <f t="shared" si="25"/>
        <v>472.50999999999863</v>
      </c>
      <c r="M29" s="1">
        <f>M14-M26</f>
        <v>486.34199999999987</v>
      </c>
      <c r="O29" s="16"/>
      <c r="Q29" s="1">
        <f t="shared" ref="Q29:W29" si="26">Q11-Q26</f>
        <v>608.59199999999987</v>
      </c>
      <c r="R29" s="1">
        <f t="shared" si="26"/>
        <v>818.33400000000006</v>
      </c>
      <c r="S29" s="1">
        <f t="shared" si="26"/>
        <v>471.03999999999996</v>
      </c>
      <c r="T29" s="1">
        <f t="shared" si="26"/>
        <v>1082.7419999999991</v>
      </c>
      <c r="U29" s="1">
        <f t="shared" si="26"/>
        <v>899.31099999999992</v>
      </c>
      <c r="V29" s="1">
        <f t="shared" si="26"/>
        <v>687.2969999999998</v>
      </c>
      <c r="W29" s="1">
        <f t="shared" si="26"/>
        <v>617.49699999999984</v>
      </c>
      <c r="X29" s="1">
        <f>X11-X26</f>
        <v>978.14200000000119</v>
      </c>
    </row>
    <row r="30" spans="1:81" x14ac:dyDescent="0.25">
      <c r="L30" s="1"/>
      <c r="M30" s="1"/>
      <c r="W30" s="1"/>
      <c r="X30" s="1"/>
    </row>
    <row r="31" spans="1:81" s="19" customFormat="1" x14ac:dyDescent="0.25">
      <c r="A31" s="19" t="s">
        <v>56</v>
      </c>
      <c r="B31" s="19" t="s">
        <v>28</v>
      </c>
      <c r="C31" s="19">
        <f t="shared" ref="C31:J31" si="27">C5/C3</f>
        <v>0.66789148351648353</v>
      </c>
      <c r="D31" s="19">
        <f t="shared" si="27"/>
        <v>0.67030554381688989</v>
      </c>
      <c r="E31" s="19">
        <f t="shared" si="27"/>
        <v>0.67077114587477371</v>
      </c>
      <c r="F31" s="19">
        <f t="shared" si="27"/>
        <v>0.68412182496689544</v>
      </c>
      <c r="G31" s="19">
        <f t="shared" si="27"/>
        <v>0.69428940337822431</v>
      </c>
      <c r="H31" s="19">
        <f t="shared" si="27"/>
        <v>0.4794871794871795</v>
      </c>
      <c r="I31" s="19">
        <f t="shared" si="27"/>
        <v>0.52229631561300904</v>
      </c>
      <c r="J31" s="19">
        <f t="shared" si="27"/>
        <v>0.65426585699365825</v>
      </c>
      <c r="K31" s="19">
        <f t="shared" ref="K31:M31" si="28">K5/K3</f>
        <v>0.65698354920447088</v>
      </c>
      <c r="L31" s="19">
        <f t="shared" si="28"/>
        <v>0.65978570720379237</v>
      </c>
      <c r="M31" s="19">
        <f t="shared" si="28"/>
        <v>0.65375384615384613</v>
      </c>
      <c r="O31" s="20"/>
      <c r="Q31" s="19">
        <f t="shared" ref="Q31:V31" si="29">Q5/Q3</f>
        <v>0.657710110331577</v>
      </c>
      <c r="R31" s="19">
        <f t="shared" si="29"/>
        <v>0.65095107266031438</v>
      </c>
      <c r="S31" s="19">
        <f t="shared" si="29"/>
        <v>0.59943220753793436</v>
      </c>
      <c r="T31" s="19">
        <f t="shared" si="29"/>
        <v>0.68268681845010593</v>
      </c>
      <c r="U31" s="19">
        <f t="shared" si="29"/>
        <v>0.66995851321926903</v>
      </c>
      <c r="V31" s="19">
        <f t="shared" si="29"/>
        <v>0.65865056497739805</v>
      </c>
      <c r="W31" s="19">
        <f>W5/W3</f>
        <v>0.61831299618763924</v>
      </c>
      <c r="X31" s="19">
        <f>X5/X3</f>
        <v>0.62697530787126632</v>
      </c>
      <c r="Y31" s="19">
        <v>0.66</v>
      </c>
      <c r="Z31" s="19">
        <v>0.65</v>
      </c>
      <c r="AA31" s="19">
        <v>0.64</v>
      </c>
      <c r="AB31" s="19">
        <v>0.64</v>
      </c>
      <c r="AC31" s="19">
        <v>0.64</v>
      </c>
      <c r="AD31" s="19">
        <v>0.64</v>
      </c>
      <c r="AE31" s="19">
        <v>0.64</v>
      </c>
      <c r="AF31" s="19">
        <v>0.64</v>
      </c>
      <c r="AG31" s="19">
        <v>0.64</v>
      </c>
      <c r="AH31" s="19">
        <v>0.64</v>
      </c>
    </row>
    <row r="32" spans="1:81" s="19" customFormat="1" x14ac:dyDescent="0.25">
      <c r="A32" s="19" t="s">
        <v>56</v>
      </c>
      <c r="B32" s="19" t="s">
        <v>55</v>
      </c>
      <c r="C32" s="19">
        <f>C11/C3</f>
        <v>0.28777197802197807</v>
      </c>
      <c r="D32" s="19">
        <f t="shared" ref="D32:M32" si="30">D11/D3</f>
        <v>0.30248280967964913</v>
      </c>
      <c r="E32" s="19">
        <f t="shared" si="30"/>
        <v>0.29767013590339181</v>
      </c>
      <c r="F32" s="19">
        <f t="shared" si="30"/>
        <v>0.31280847478030577</v>
      </c>
      <c r="G32" s="19">
        <f t="shared" si="30"/>
        <v>0.34656676822906757</v>
      </c>
      <c r="H32" s="19">
        <f t="shared" si="30"/>
        <v>4.2384188034188072E-2</v>
      </c>
      <c r="I32" s="19">
        <f t="shared" si="30"/>
        <v>0.13585478523264916</v>
      </c>
      <c r="J32" s="19">
        <f t="shared" si="30"/>
        <v>0.30891663167414957</v>
      </c>
      <c r="K32" s="19">
        <f t="shared" si="30"/>
        <v>0.28723616345325226</v>
      </c>
      <c r="L32" s="19">
        <f t="shared" si="30"/>
        <v>0.33949378422800558</v>
      </c>
      <c r="M32" s="19">
        <f t="shared" si="30"/>
        <v>0.34804923076923078</v>
      </c>
      <c r="O32" s="20"/>
      <c r="Q32" s="19">
        <f t="shared" ref="Q32:W32" si="31">Q11/Q3</f>
        <v>0.24186835899973796</v>
      </c>
      <c r="R32" s="19">
        <f t="shared" si="31"/>
        <v>0.30049804173730049</v>
      </c>
      <c r="S32" s="19">
        <f t="shared" si="31"/>
        <v>0.2065785609397944</v>
      </c>
      <c r="T32" s="19">
        <f t="shared" si="31"/>
        <v>0.30346076562585661</v>
      </c>
      <c r="U32" s="19">
        <f t="shared" si="31"/>
        <v>0.28552269087382626</v>
      </c>
      <c r="V32" s="19">
        <f t="shared" si="31"/>
        <v>0.26739372228298269</v>
      </c>
      <c r="W32" s="19">
        <f t="shared" si="31"/>
        <v>0.23122255168550071</v>
      </c>
      <c r="X32" s="19">
        <f>X11/X3</f>
        <v>0.27290283378905367</v>
      </c>
      <c r="Y32" s="19">
        <v>0.35</v>
      </c>
      <c r="Z32" s="19">
        <v>0.34</v>
      </c>
      <c r="AA32" s="19">
        <v>0.33</v>
      </c>
      <c r="AB32" s="19">
        <v>0.32</v>
      </c>
      <c r="AC32" s="19">
        <v>0.31</v>
      </c>
      <c r="AD32" s="19">
        <v>0.31</v>
      </c>
      <c r="AE32" s="19">
        <v>0.31</v>
      </c>
      <c r="AF32" s="19">
        <v>0.31</v>
      </c>
      <c r="AG32" s="19">
        <v>0.31</v>
      </c>
      <c r="AH32" s="19">
        <v>0.31</v>
      </c>
    </row>
    <row r="33" spans="1:34" s="9" customFormat="1" x14ac:dyDescent="0.25">
      <c r="O33" s="13"/>
    </row>
    <row r="34" spans="1:34" s="9" customFormat="1" x14ac:dyDescent="0.25">
      <c r="O34" s="13"/>
    </row>
    <row r="35" spans="1:34" s="7" customFormat="1" x14ac:dyDescent="0.25">
      <c r="A35" s="7" t="s">
        <v>56</v>
      </c>
      <c r="B35" s="7" t="s">
        <v>35</v>
      </c>
      <c r="C35" s="7">
        <f t="shared" ref="C35:J35" si="32">C15/C3</f>
        <v>7.1428571428571435E-3</v>
      </c>
      <c r="D35" s="7">
        <f t="shared" si="32"/>
        <v>2.0166481577938735E-2</v>
      </c>
      <c r="E35" s="7">
        <f t="shared" si="32"/>
        <v>3.0863801445016235E-2</v>
      </c>
      <c r="F35" s="7">
        <f t="shared" si="32"/>
        <v>3.1948958709522086E-2</v>
      </c>
      <c r="G35" s="7">
        <f t="shared" si="32"/>
        <v>3.9211349669358381E-2</v>
      </c>
      <c r="H35" s="7">
        <f t="shared" si="32"/>
        <v>-9.9081196581196573E-2</v>
      </c>
      <c r="I35" s="7">
        <f t="shared" si="32"/>
        <v>1.6197146369630815E-2</v>
      </c>
      <c r="J35" s="7">
        <f t="shared" si="32"/>
        <v>3.2290690913789208E-2</v>
      </c>
      <c r="K35" s="7">
        <f t="shared" ref="K35:M35" si="33">K15/K3</f>
        <v>3.1817947959406796E-2</v>
      </c>
      <c r="L35" s="7">
        <f t="shared" si="33"/>
        <v>3.4424914077813701E-2</v>
      </c>
      <c r="M35" s="7">
        <f t="shared" si="33"/>
        <v>3.446153846153846E-2</v>
      </c>
      <c r="O35" s="14"/>
      <c r="Q35" s="7">
        <f t="shared" ref="Q35:W35" si="34">Q15/Q14</f>
        <v>0.13976562133551898</v>
      </c>
      <c r="R35" s="7">
        <f t="shared" si="34"/>
        <v>9.9548121317512714E-2</v>
      </c>
      <c r="S35" s="7">
        <f t="shared" si="34"/>
        <v>0.12218087539665395</v>
      </c>
      <c r="T35" s="7">
        <f t="shared" si="34"/>
        <v>8.7324584905361047E-2</v>
      </c>
      <c r="U35" s="7">
        <f t="shared" si="34"/>
        <v>8.2584497671547935E-2</v>
      </c>
      <c r="V35" s="7">
        <f t="shared" si="34"/>
        <v>6.9271383315733903E-2</v>
      </c>
      <c r="W35" s="7">
        <f t="shared" si="34"/>
        <v>-4.6431089715852275E-2</v>
      </c>
      <c r="X35" s="7">
        <f>X15/X14</f>
        <v>0.11301728725592923</v>
      </c>
      <c r="Y35" s="7">
        <v>0.13500000000000001</v>
      </c>
      <c r="Z35" s="7">
        <v>0.13500000000000001</v>
      </c>
      <c r="AA35" s="7">
        <v>0.14000000000000001</v>
      </c>
      <c r="AB35" s="7">
        <v>0.14000000000000001</v>
      </c>
      <c r="AC35" s="7">
        <v>0.14499999999999999</v>
      </c>
      <c r="AD35" s="7">
        <v>0.14499999999999999</v>
      </c>
      <c r="AE35" s="7">
        <v>0.15</v>
      </c>
      <c r="AF35" s="7">
        <v>0.15</v>
      </c>
      <c r="AG35" s="7">
        <v>0.15</v>
      </c>
      <c r="AH35" s="7">
        <v>0.15</v>
      </c>
    </row>
    <row r="36" spans="1:34" s="7" customFormat="1" x14ac:dyDescent="0.25">
      <c r="A36" s="7" t="s">
        <v>56</v>
      </c>
      <c r="B36" s="7" t="s">
        <v>57</v>
      </c>
      <c r="O36" s="14"/>
      <c r="R36" s="7">
        <f>R12/Q24</f>
        <v>3.3726888615864072E-2</v>
      </c>
      <c r="S36" s="7">
        <f>S12/R24</f>
        <v>0.10142916283348666</v>
      </c>
      <c r="T36" s="7">
        <f t="shared" ref="T36:W36" si="35">T12/-S24</f>
        <v>3.4811307602236476E-2</v>
      </c>
      <c r="U36" s="7">
        <f t="shared" si="35"/>
        <v>3.8063798266044384E-2</v>
      </c>
      <c r="V36" s="7">
        <f t="shared" si="35"/>
        <v>4.0281759183282001E-2</v>
      </c>
      <c r="W36" s="7">
        <f t="shared" si="35"/>
        <v>4.3407387093037271E-2</v>
      </c>
      <c r="X36" s="7">
        <f>X12/-W24</f>
        <v>3.7885788932885564E-2</v>
      </c>
      <c r="Y36" s="7">
        <v>3.7999999999999999E-2</v>
      </c>
      <c r="Z36" s="7">
        <v>3.7999999999999999E-2</v>
      </c>
      <c r="AA36" s="7">
        <v>4.4999999999999998E-2</v>
      </c>
      <c r="AB36" s="7">
        <v>4.4999999999999998E-2</v>
      </c>
      <c r="AC36" s="7">
        <v>4.4999999999999998E-2</v>
      </c>
      <c r="AD36" s="7">
        <v>4.4999999999999998E-2</v>
      </c>
      <c r="AE36" s="7">
        <v>4.4999999999999998E-2</v>
      </c>
      <c r="AF36" s="7">
        <v>4.4999999999999998E-2</v>
      </c>
      <c r="AG36" s="7">
        <v>4.4999999999999998E-2</v>
      </c>
      <c r="AH36" s="7">
        <v>4.4999999999999998E-2</v>
      </c>
    </row>
    <row r="37" spans="1:34" s="9" customFormat="1" x14ac:dyDescent="0.25">
      <c r="B37" s="9" t="s">
        <v>41</v>
      </c>
      <c r="C37" s="9">
        <f t="shared" ref="C37:I37" si="36">C3/C6-1</f>
        <v>4.5829505280029448</v>
      </c>
      <c r="D37" s="9">
        <f t="shared" si="36"/>
        <v>4.4463852412218099</v>
      </c>
      <c r="E37" s="9">
        <f t="shared" si="36"/>
        <v>4.4085025160506683</v>
      </c>
      <c r="F37" s="9">
        <f t="shared" si="36"/>
        <v>4.497683653209795</v>
      </c>
      <c r="G37" s="9">
        <f t="shared" si="36"/>
        <v>4.736319251704896</v>
      </c>
      <c r="H37" s="9">
        <f t="shared" si="36"/>
        <v>4.8628836869019674</v>
      </c>
      <c r="I37" s="9">
        <f t="shared" si="36"/>
        <v>5.2896574347438969</v>
      </c>
      <c r="J37" s="9">
        <f>J3/J6-1</f>
        <v>6.0612116892373482</v>
      </c>
      <c r="K37" s="9">
        <f t="shared" ref="K37:M37" si="37">K3/K6-1</f>
        <v>6.2016302711715268</v>
      </c>
      <c r="L37" s="9">
        <f t="shared" si="37"/>
        <v>6.7144492743295521</v>
      </c>
      <c r="M37" s="9">
        <f t="shared" si="37"/>
        <v>6.848345810190775</v>
      </c>
      <c r="O37" s="13"/>
      <c r="Q37" s="9">
        <f t="shared" ref="Q37:X37" si="38">Q3/Q6-1</f>
        <v>4.3883921568627446</v>
      </c>
      <c r="R37" s="9">
        <f t="shared" si="38"/>
        <v>4.2330988069746107</v>
      </c>
      <c r="S37" s="9">
        <f t="shared" si="38"/>
        <v>4.273074540574024</v>
      </c>
      <c r="T37" s="9">
        <f t="shared" si="38"/>
        <v>4.320868371374635</v>
      </c>
      <c r="U37" s="9">
        <f t="shared" si="38"/>
        <v>4.3001857831645065</v>
      </c>
      <c r="V37" s="9">
        <f t="shared" si="38"/>
        <v>4.3336074835390885</v>
      </c>
      <c r="W37" s="9">
        <f t="shared" si="38"/>
        <v>4.6462874751374486</v>
      </c>
      <c r="X37" s="9">
        <f t="shared" si="38"/>
        <v>6.0649514848573949</v>
      </c>
    </row>
    <row r="38" spans="1:34" s="9" customFormat="1" x14ac:dyDescent="0.25">
      <c r="O38" s="13"/>
    </row>
    <row r="39" spans="1:34" s="21" customFormat="1" x14ac:dyDescent="0.25">
      <c r="A39" s="21" t="s">
        <v>56</v>
      </c>
      <c r="B39" s="21" t="s">
        <v>27</v>
      </c>
      <c r="G39" s="21">
        <f>G3/C3-1</f>
        <v>0.20800343406593402</v>
      </c>
      <c r="H39" s="21">
        <f>H3/D3-1</f>
        <v>0.53312433048657026</v>
      </c>
      <c r="I39" s="21">
        <f>I3/E3-1</f>
        <v>0.7224054515354903</v>
      </c>
      <c r="J39" s="21">
        <f>J3/F3-1</f>
        <v>0.78889129649693013</v>
      </c>
      <c r="K39" s="21">
        <f t="shared" ref="K39:M39" si="39">K3/G3-1</f>
        <v>0.76812957080551936</v>
      </c>
      <c r="L39" s="21">
        <f t="shared" si="39"/>
        <v>0.3879085470085466</v>
      </c>
      <c r="M39" s="21">
        <f t="shared" si="39"/>
        <v>0.21074395559363701</v>
      </c>
      <c r="O39" s="22"/>
      <c r="R39" s="21">
        <f t="shared" ref="R39:X39" si="40">R3/Q3-1</f>
        <v>-3.9882390614537355E-3</v>
      </c>
      <c r="S39" s="21">
        <f t="shared" si="40"/>
        <v>0.49280996083474604</v>
      </c>
      <c r="T39" s="21">
        <f t="shared" si="40"/>
        <v>0.21408516886930973</v>
      </c>
      <c r="U39" s="21">
        <f t="shared" si="40"/>
        <v>-3.3845675010562903E-2</v>
      </c>
      <c r="V39" s="21">
        <f t="shared" si="40"/>
        <v>-6.4764611967988994E-2</v>
      </c>
      <c r="W39" s="21">
        <f t="shared" si="40"/>
        <v>0.30612651381674594</v>
      </c>
      <c r="X39" s="21">
        <f t="shared" si="40"/>
        <v>0.64163125315988689</v>
      </c>
      <c r="Y39" s="21">
        <v>0.14000000000000001</v>
      </c>
      <c r="Z39" s="21">
        <v>0.11</v>
      </c>
      <c r="AA39" s="21">
        <v>0.1</v>
      </c>
      <c r="AB39" s="21">
        <v>0.09</v>
      </c>
      <c r="AC39" s="21">
        <v>0.08</v>
      </c>
      <c r="AD39" s="21">
        <v>7.0000000000000007E-2</v>
      </c>
      <c r="AE39" s="21">
        <v>7.0000000000000007E-2</v>
      </c>
      <c r="AF39" s="21">
        <v>7.0000000000000007E-2</v>
      </c>
      <c r="AG39" s="21">
        <v>7.0000000000000007E-2</v>
      </c>
      <c r="AH39" s="21">
        <v>7.0000000000000007E-2</v>
      </c>
    </row>
    <row r="40" spans="1:34" s="9" customFormat="1" x14ac:dyDescent="0.25">
      <c r="B40" s="9" t="s">
        <v>37</v>
      </c>
      <c r="G40" s="9">
        <f t="shared" ref="G40:M40" si="41">G16/C16-1</f>
        <v>0.38806805956315249</v>
      </c>
      <c r="H40" s="9">
        <f t="shared" si="41"/>
        <v>-0.80369283785042367</v>
      </c>
      <c r="I40" s="9">
        <f t="shared" si="41"/>
        <v>-0.27930513478521579</v>
      </c>
      <c r="J40" s="9">
        <f t="shared" si="41"/>
        <v>0.85191823416052737</v>
      </c>
      <c r="K40" s="9">
        <f t="shared" si="41"/>
        <v>0.48836506797725643</v>
      </c>
      <c r="L40" s="9">
        <f t="shared" si="41"/>
        <v>11.33967237312034</v>
      </c>
      <c r="M40" s="9">
        <f t="shared" si="41"/>
        <v>2.4352042000749989</v>
      </c>
      <c r="O40" s="13"/>
      <c r="R40" s="9">
        <f t="shared" ref="R40:X40" si="42">R16/Q16-1</f>
        <v>0.23636413205684503</v>
      </c>
      <c r="S40" s="9">
        <f t="shared" si="42"/>
        <v>-0.15594734209417671</v>
      </c>
      <c r="T40" s="9">
        <f t="shared" si="42"/>
        <v>1.0562695681228482</v>
      </c>
      <c r="U40" s="9">
        <f t="shared" si="42"/>
        <v>-8.8538821243271726E-2</v>
      </c>
      <c r="V40" s="9">
        <f t="shared" si="42"/>
        <v>-0.10440695175749104</v>
      </c>
      <c r="W40" s="9">
        <f t="shared" si="42"/>
        <v>0.13910590224446029</v>
      </c>
      <c r="X40" s="9">
        <f t="shared" si="42"/>
        <v>0.97651218833397824</v>
      </c>
      <c r="Y40" s="9">
        <f t="shared" ref="Y40:AH40" si="43">Y16/X16-1</f>
        <v>0.44241912424170571</v>
      </c>
      <c r="Z40" s="9">
        <f t="shared" si="43"/>
        <v>0.11475030494515037</v>
      </c>
      <c r="AA40" s="9">
        <f t="shared" si="43"/>
        <v>9.8819391864378492E-2</v>
      </c>
      <c r="AB40" s="9">
        <f t="shared" si="43"/>
        <v>9.437764153178696E-2</v>
      </c>
      <c r="AC40" s="9">
        <f t="shared" si="43"/>
        <v>7.6063236771747755E-2</v>
      </c>
      <c r="AD40" s="9">
        <f t="shared" si="43"/>
        <v>0.10234481029030595</v>
      </c>
      <c r="AE40" s="9">
        <f t="shared" si="43"/>
        <v>9.4035251909200035E-2</v>
      </c>
      <c r="AF40" s="9">
        <f t="shared" si="43"/>
        <v>9.8529163189010172E-2</v>
      </c>
      <c r="AG40" s="9">
        <f t="shared" si="43"/>
        <v>9.6963693521801675E-2</v>
      </c>
      <c r="AH40" s="9">
        <f t="shared" si="43"/>
        <v>9.5520493489745562E-2</v>
      </c>
    </row>
    <row r="41" spans="1:34" s="9" customFormat="1" x14ac:dyDescent="0.25">
      <c r="B41" s="9" t="s">
        <v>36</v>
      </c>
      <c r="G41" s="9">
        <f t="shared" ref="G41:M41" si="44">G6/C6-1</f>
        <v>0.1757057294262907</v>
      </c>
      <c r="H41" s="9">
        <f t="shared" si="44"/>
        <v>0.42421139023693955</v>
      </c>
      <c r="I41" s="9">
        <f t="shared" si="44"/>
        <v>0.48110359187922969</v>
      </c>
      <c r="J41" s="9">
        <f t="shared" si="44"/>
        <v>0.39278623428193238</v>
      </c>
      <c r="K41" s="9">
        <f t="shared" si="44"/>
        <v>0.40836939895700475</v>
      </c>
      <c r="L41" s="9">
        <f t="shared" si="44"/>
        <v>5.4792907414042746E-2</v>
      </c>
      <c r="M41" s="9">
        <f t="shared" si="44"/>
        <v>-2.9710858053329514E-2</v>
      </c>
      <c r="O41" s="13"/>
      <c r="R41" s="9">
        <f t="shared" ref="R41:X41" si="45">R6/Q6-1</f>
        <v>2.5568627450980319E-2</v>
      </c>
      <c r="S41" s="9">
        <f t="shared" si="45"/>
        <v>0.4814928112572654</v>
      </c>
      <c r="T41" s="9">
        <f t="shared" si="45"/>
        <v>0.20317984720214755</v>
      </c>
      <c r="U41" s="9">
        <f t="shared" si="45"/>
        <v>-3.0075510554316232E-2</v>
      </c>
      <c r="V41" s="9">
        <f t="shared" si="45"/>
        <v>-7.0625027646304184E-2</v>
      </c>
      <c r="W41" s="9">
        <f t="shared" si="45"/>
        <v>0.23379586661450191</v>
      </c>
      <c r="X41" s="9">
        <f t="shared" si="45"/>
        <v>0.31198664327387937</v>
      </c>
      <c r="Y41" s="9">
        <f t="shared" ref="Y41:AH41" si="46">Y6/X6-1</f>
        <v>-1</v>
      </c>
      <c r="Z41" s="9" t="e">
        <f t="shared" si="46"/>
        <v>#DIV/0!</v>
      </c>
      <c r="AA41" s="9" t="e">
        <f t="shared" si="46"/>
        <v>#DIV/0!</v>
      </c>
      <c r="AB41" s="9" t="e">
        <f t="shared" si="46"/>
        <v>#DIV/0!</v>
      </c>
      <c r="AC41" s="9" t="e">
        <f t="shared" si="46"/>
        <v>#DIV/0!</v>
      </c>
      <c r="AD41" s="9" t="e">
        <f t="shared" si="46"/>
        <v>#DIV/0!</v>
      </c>
      <c r="AE41" s="9" t="e">
        <f t="shared" si="46"/>
        <v>#DIV/0!</v>
      </c>
      <c r="AF41" s="9" t="e">
        <f t="shared" si="46"/>
        <v>#DIV/0!</v>
      </c>
      <c r="AG41" s="9" t="e">
        <f t="shared" si="46"/>
        <v>#DIV/0!</v>
      </c>
      <c r="AH41" s="9" t="e">
        <f t="shared" si="46"/>
        <v>#DIV/0!</v>
      </c>
    </row>
    <row r="47" spans="1:34" x14ac:dyDescent="0.25">
      <c r="Y47" s="15"/>
    </row>
  </sheetData>
  <phoneticPr fontId="2" type="noConversion"/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84A-58C3-48F4-B92F-5B458CCF04EC}">
  <dimension ref="B3:D9"/>
  <sheetViews>
    <sheetView workbookViewId="0">
      <selection activeCell="C4" sqref="C4"/>
    </sheetView>
  </sheetViews>
  <sheetFormatPr defaultRowHeight="15" x14ac:dyDescent="0.25"/>
  <cols>
    <col min="2" max="2" width="14.28515625" bestFit="1" customWidth="1"/>
    <col min="3" max="3" width="11.85546875" bestFit="1" customWidth="1"/>
  </cols>
  <sheetData>
    <row r="3" spans="2:4" x14ac:dyDescent="0.25">
      <c r="B3" t="s">
        <v>44</v>
      </c>
      <c r="C3" s="7">
        <v>-5.0000000000000001E-3</v>
      </c>
    </row>
    <row r="4" spans="2:4" x14ac:dyDescent="0.25">
      <c r="B4" t="s">
        <v>43</v>
      </c>
      <c r="C4" s="7">
        <v>7.4999999999999997E-2</v>
      </c>
    </row>
    <row r="5" spans="2:4" x14ac:dyDescent="0.25">
      <c r="B5" t="s">
        <v>38</v>
      </c>
      <c r="C5" s="1">
        <f>NPV(C4,Model!Y16:EE16)</f>
        <v>95545.612738294119</v>
      </c>
    </row>
    <row r="9" spans="2:4" x14ac:dyDescent="0.25">
      <c r="D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2023-02-24T05:11:51Z</dcterms:modified>
</cp:coreProperties>
</file>