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2C64F0AE-6E61-499B-8AB7-83699A18A62F}" xr6:coauthVersionLast="47" xr6:coauthVersionMax="47" xr10:uidLastSave="{00000000-0000-0000-0000-000000000000}"/>
  <bookViews>
    <workbookView xWindow="19050" yWindow="0" windowWidth="24210" windowHeight="21600" xr2:uid="{0059096E-FB45-4687-8E83-CA48A4808244}"/>
  </bookViews>
  <sheets>
    <sheet name="Main" sheetId="2" r:id="rId1"/>
    <sheet name="Model" sheetId="1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8" i="1" l="1"/>
  <c r="AG47" i="1"/>
  <c r="AH21" i="1"/>
  <c r="O51" i="1"/>
  <c r="O48" i="1"/>
  <c r="O47" i="1"/>
  <c r="O46" i="1"/>
  <c r="O44" i="1"/>
  <c r="O43" i="1"/>
  <c r="O41" i="1"/>
  <c r="O40" i="1"/>
  <c r="O39" i="1"/>
  <c r="O38" i="1"/>
  <c r="O37" i="1"/>
  <c r="O36" i="1"/>
  <c r="O35" i="1"/>
  <c r="O34" i="1"/>
  <c r="O33" i="1"/>
  <c r="O32" i="1"/>
  <c r="N51" i="1"/>
  <c r="N48" i="1"/>
  <c r="N47" i="1"/>
  <c r="N46" i="1"/>
  <c r="N44" i="1"/>
  <c r="N43" i="1"/>
  <c r="N41" i="1"/>
  <c r="N40" i="1"/>
  <c r="N39" i="1"/>
  <c r="N38" i="1"/>
  <c r="N37" i="1"/>
  <c r="N36" i="1"/>
  <c r="N35" i="1"/>
  <c r="N34" i="1"/>
  <c r="N33" i="1"/>
  <c r="N32" i="1"/>
  <c r="O23" i="1"/>
  <c r="O21" i="1"/>
  <c r="O19" i="1"/>
  <c r="O13" i="1"/>
  <c r="O15" i="1"/>
  <c r="O30" i="1"/>
  <c r="O29" i="1"/>
  <c r="O26" i="1"/>
  <c r="O25" i="1"/>
  <c r="N26" i="1"/>
  <c r="N25" i="1"/>
  <c r="N30" i="1" s="1"/>
  <c r="N20" i="1"/>
  <c r="N18" i="1"/>
  <c r="N17" i="1"/>
  <c r="N16" i="1"/>
  <c r="N14" i="1"/>
  <c r="N12" i="1"/>
  <c r="N13" i="1"/>
  <c r="N11" i="1"/>
  <c r="N10" i="1"/>
  <c r="N9" i="1"/>
  <c r="N8" i="1"/>
  <c r="N7" i="1"/>
  <c r="N6" i="1"/>
  <c r="N5" i="1"/>
  <c r="N4" i="1"/>
  <c r="N3" i="1"/>
  <c r="V34" i="1"/>
  <c r="W45" i="1"/>
  <c r="W46" i="1"/>
  <c r="W44" i="1"/>
  <c r="W43" i="1"/>
  <c r="W35" i="1"/>
  <c r="W34" i="1"/>
  <c r="W33" i="1"/>
  <c r="W32" i="1"/>
  <c r="W12" i="1"/>
  <c r="V33" i="1"/>
  <c r="V32" i="1"/>
  <c r="W30" i="1"/>
  <c r="U30" i="1"/>
  <c r="V51" i="1" s="1"/>
  <c r="T30" i="1"/>
  <c r="U51" i="1" s="1"/>
  <c r="W26" i="1"/>
  <c r="W25" i="1"/>
  <c r="W29" i="1" s="1"/>
  <c r="D38" i="1"/>
  <c r="T38" i="1"/>
  <c r="V38" i="1"/>
  <c r="I51" i="1"/>
  <c r="K30" i="1"/>
  <c r="L51" i="1" s="1"/>
  <c r="H30" i="1"/>
  <c r="V46" i="1"/>
  <c r="U46" i="1"/>
  <c r="T46" i="1"/>
  <c r="S46" i="1"/>
  <c r="X5" i="1"/>
  <c r="V35" i="1"/>
  <c r="U35" i="1"/>
  <c r="T35" i="1"/>
  <c r="S35" i="1"/>
  <c r="R35" i="1"/>
  <c r="U33" i="1"/>
  <c r="T33" i="1"/>
  <c r="S33" i="1"/>
  <c r="R33" i="1"/>
  <c r="U32" i="1"/>
  <c r="T32" i="1"/>
  <c r="S32" i="1"/>
  <c r="R32" i="1"/>
  <c r="M35" i="1"/>
  <c r="L35" i="1"/>
  <c r="K35" i="1"/>
  <c r="I35" i="1"/>
  <c r="H35" i="1"/>
  <c r="G35" i="1"/>
  <c r="E35" i="1"/>
  <c r="D35" i="1"/>
  <c r="C35" i="1"/>
  <c r="M34" i="1"/>
  <c r="L34" i="1"/>
  <c r="K34" i="1"/>
  <c r="M33" i="1"/>
  <c r="L33" i="1"/>
  <c r="K33" i="1"/>
  <c r="I33" i="1"/>
  <c r="H33" i="1"/>
  <c r="G33" i="1"/>
  <c r="E33" i="1"/>
  <c r="D33" i="1"/>
  <c r="C33" i="1"/>
  <c r="L32" i="1"/>
  <c r="K32" i="1"/>
  <c r="I32" i="1"/>
  <c r="H32" i="1"/>
  <c r="G32" i="1"/>
  <c r="E32" i="1"/>
  <c r="D32" i="1"/>
  <c r="C32" i="1"/>
  <c r="M32" i="1"/>
  <c r="F39" i="1"/>
  <c r="G39" i="1"/>
  <c r="H39" i="1"/>
  <c r="I39" i="1"/>
  <c r="J39" i="1"/>
  <c r="K39" i="1"/>
  <c r="L39" i="1"/>
  <c r="M39" i="1"/>
  <c r="S39" i="1"/>
  <c r="T39" i="1"/>
  <c r="U39" i="1"/>
  <c r="V39" i="1"/>
  <c r="R41" i="1"/>
  <c r="S47" i="1"/>
  <c r="S44" i="1"/>
  <c r="S43" i="1"/>
  <c r="M46" i="1"/>
  <c r="L46" i="1"/>
  <c r="K46" i="1"/>
  <c r="I46" i="1"/>
  <c r="H46" i="1"/>
  <c r="G46" i="1"/>
  <c r="M44" i="1"/>
  <c r="L44" i="1"/>
  <c r="K44" i="1"/>
  <c r="I44" i="1"/>
  <c r="H44" i="1"/>
  <c r="G44" i="1"/>
  <c r="L43" i="1"/>
  <c r="K43" i="1"/>
  <c r="I43" i="1"/>
  <c r="H43" i="1"/>
  <c r="G43" i="1"/>
  <c r="D41" i="1"/>
  <c r="C41" i="1"/>
  <c r="H47" i="1"/>
  <c r="G47" i="1"/>
  <c r="M47" i="1"/>
  <c r="M43" i="1"/>
  <c r="V41" i="1"/>
  <c r="U41" i="1"/>
  <c r="T41" i="1"/>
  <c r="S41" i="1"/>
  <c r="U29" i="1"/>
  <c r="T29" i="1"/>
  <c r="S29" i="1"/>
  <c r="M29" i="1"/>
  <c r="L29" i="1"/>
  <c r="K29" i="1"/>
  <c r="I29" i="1"/>
  <c r="H29" i="1"/>
  <c r="G29" i="1"/>
  <c r="F29" i="1"/>
  <c r="M41" i="1"/>
  <c r="K41" i="1"/>
  <c r="I41" i="1"/>
  <c r="H41" i="1"/>
  <c r="G41" i="1"/>
  <c r="E41" i="1"/>
  <c r="F7" i="1"/>
  <c r="F20" i="1"/>
  <c r="F18" i="1"/>
  <c r="F17" i="1"/>
  <c r="F16" i="1"/>
  <c r="F14" i="1"/>
  <c r="F41" i="1" s="1"/>
  <c r="F12" i="1"/>
  <c r="F13" i="1" s="1"/>
  <c r="F36" i="1" s="1"/>
  <c r="F10" i="1"/>
  <c r="F35" i="1" s="1"/>
  <c r="F9" i="1"/>
  <c r="F8" i="1"/>
  <c r="F6" i="1"/>
  <c r="F5" i="1"/>
  <c r="F4" i="1"/>
  <c r="F3" i="1"/>
  <c r="F32" i="1" s="1"/>
  <c r="J20" i="1"/>
  <c r="J18" i="1"/>
  <c r="J17" i="1"/>
  <c r="J16" i="1"/>
  <c r="J14" i="1"/>
  <c r="J41" i="1" s="1"/>
  <c r="J12" i="1"/>
  <c r="J13" i="1" s="1"/>
  <c r="J36" i="1" s="1"/>
  <c r="J10" i="1"/>
  <c r="J9" i="1"/>
  <c r="J8" i="1"/>
  <c r="J7" i="1"/>
  <c r="J6" i="1"/>
  <c r="J35" i="1" s="1"/>
  <c r="J5" i="1"/>
  <c r="J34" i="1" s="1"/>
  <c r="J4" i="1"/>
  <c r="J3" i="1"/>
  <c r="C13" i="1"/>
  <c r="C15" i="1" s="1"/>
  <c r="C19" i="1" s="1"/>
  <c r="C21" i="1" s="1"/>
  <c r="C23" i="1" s="1"/>
  <c r="G26" i="1"/>
  <c r="G40" i="1" s="1"/>
  <c r="D13" i="1"/>
  <c r="D15" i="1" s="1"/>
  <c r="D19" i="1" s="1"/>
  <c r="D21" i="1" s="1"/>
  <c r="D23" i="1" s="1"/>
  <c r="F26" i="1"/>
  <c r="F40" i="1" s="1"/>
  <c r="U26" i="1"/>
  <c r="U40" i="1" s="1"/>
  <c r="H26" i="1"/>
  <c r="H40" i="1" s="1"/>
  <c r="E13" i="1"/>
  <c r="E15" i="1" s="1"/>
  <c r="E37" i="1" s="1"/>
  <c r="I26" i="1"/>
  <c r="I40" i="1" s="1"/>
  <c r="G13" i="1"/>
  <c r="G15" i="1" s="1"/>
  <c r="G19" i="1" s="1"/>
  <c r="G21" i="1" s="1"/>
  <c r="G23" i="1" s="1"/>
  <c r="K13" i="1"/>
  <c r="K15" i="1" s="1"/>
  <c r="K19" i="1" s="1"/>
  <c r="K21" i="1" s="1"/>
  <c r="K23" i="1" s="1"/>
  <c r="K26" i="1"/>
  <c r="K40" i="1" s="1"/>
  <c r="H13" i="1"/>
  <c r="H15" i="1" s="1"/>
  <c r="H19" i="1" s="1"/>
  <c r="H21" i="1" s="1"/>
  <c r="H23" i="1" s="1"/>
  <c r="L13" i="1"/>
  <c r="L15" i="1" s="1"/>
  <c r="L19" i="1" s="1"/>
  <c r="L21" i="1" s="1"/>
  <c r="L23" i="1" s="1"/>
  <c r="L26" i="1"/>
  <c r="L40" i="1" s="1"/>
  <c r="I13" i="1"/>
  <c r="I15" i="1" s="1"/>
  <c r="I19" i="1" s="1"/>
  <c r="I21" i="1" s="1"/>
  <c r="I23" i="1" s="1"/>
  <c r="M13" i="1"/>
  <c r="M15" i="1" s="1"/>
  <c r="M19" i="1" s="1"/>
  <c r="M21" i="1" s="1"/>
  <c r="M23" i="1" s="1"/>
  <c r="J26" i="1"/>
  <c r="J40" i="1" s="1"/>
  <c r="J25" i="1"/>
  <c r="J29" i="1" s="1"/>
  <c r="M26" i="1"/>
  <c r="M40" i="1" s="1"/>
  <c r="R13" i="1"/>
  <c r="R15" i="1" s="1"/>
  <c r="R19" i="1" s="1"/>
  <c r="R21" i="1" s="1"/>
  <c r="R23" i="1" s="1"/>
  <c r="S16" i="1"/>
  <c r="S13" i="1"/>
  <c r="S15" i="1" s="1"/>
  <c r="S37" i="1" s="1"/>
  <c r="S26" i="1"/>
  <c r="S40" i="1" s="1"/>
  <c r="T26" i="1"/>
  <c r="T40" i="1" s="1"/>
  <c r="T13" i="1"/>
  <c r="T15" i="1" s="1"/>
  <c r="T19" i="1" s="1"/>
  <c r="T21" i="1" s="1"/>
  <c r="T23" i="1" s="1"/>
  <c r="U13" i="1"/>
  <c r="U15" i="1" s="1"/>
  <c r="U19" i="1" s="1"/>
  <c r="U21" i="1" s="1"/>
  <c r="U23" i="1" s="1"/>
  <c r="V13" i="1"/>
  <c r="V15" i="1" s="1"/>
  <c r="V19" i="1" s="1"/>
  <c r="V26" i="1"/>
  <c r="V40" i="1" s="1"/>
  <c r="V25" i="1"/>
  <c r="V29" i="1" s="1"/>
  <c r="L47" i="1"/>
  <c r="L41" i="1"/>
  <c r="N29" i="1" l="1"/>
  <c r="N15" i="1"/>
  <c r="N19" i="1" s="1"/>
  <c r="N21" i="1" s="1"/>
  <c r="N23" i="1" s="1"/>
  <c r="F30" i="1"/>
  <c r="G51" i="1" s="1"/>
  <c r="K38" i="1"/>
  <c r="G30" i="1"/>
  <c r="H51" i="1" s="1"/>
  <c r="L38" i="1"/>
  <c r="F33" i="1"/>
  <c r="J43" i="1"/>
  <c r="I30" i="1"/>
  <c r="J51" i="1" s="1"/>
  <c r="R38" i="1"/>
  <c r="J30" i="1"/>
  <c r="K51" i="1" s="1"/>
  <c r="S30" i="1"/>
  <c r="T51" i="1" s="1"/>
  <c r="L30" i="1"/>
  <c r="M51" i="1" s="1"/>
  <c r="U38" i="1"/>
  <c r="M30" i="1"/>
  <c r="M38" i="1"/>
  <c r="V30" i="1"/>
  <c r="W51" i="1" s="1"/>
  <c r="J46" i="1"/>
  <c r="C38" i="1"/>
  <c r="C37" i="1"/>
  <c r="G38" i="1"/>
  <c r="E36" i="1"/>
  <c r="H38" i="1"/>
  <c r="C36" i="1"/>
  <c r="I38" i="1"/>
  <c r="D36" i="1"/>
  <c r="J44" i="1"/>
  <c r="J33" i="1"/>
  <c r="J32" i="1"/>
  <c r="D37" i="1"/>
  <c r="X9" i="1"/>
  <c r="Y5" i="1"/>
  <c r="V37" i="1"/>
  <c r="V36" i="1"/>
  <c r="U37" i="1"/>
  <c r="U36" i="1"/>
  <c r="T36" i="1"/>
  <c r="S36" i="1"/>
  <c r="R37" i="1"/>
  <c r="R36" i="1"/>
  <c r="T37" i="1"/>
  <c r="M37" i="1"/>
  <c r="M36" i="1"/>
  <c r="L37" i="1"/>
  <c r="L36" i="1"/>
  <c r="K37" i="1"/>
  <c r="K36" i="1"/>
  <c r="I37" i="1"/>
  <c r="I36" i="1"/>
  <c r="H37" i="1"/>
  <c r="H36" i="1"/>
  <c r="G37" i="1"/>
  <c r="G36" i="1"/>
  <c r="G48" i="1"/>
  <c r="H48" i="1"/>
  <c r="M48" i="1"/>
  <c r="F15" i="1"/>
  <c r="F37" i="1" s="1"/>
  <c r="J15" i="1"/>
  <c r="J37" i="1" s="1"/>
  <c r="E19" i="1"/>
  <c r="S19" i="1"/>
  <c r="V21" i="1"/>
  <c r="V23" i="1" s="1"/>
  <c r="L48" i="1"/>
  <c r="E21" i="1" l="1"/>
  <c r="E23" i="1" s="1"/>
  <c r="E38" i="1"/>
  <c r="S21" i="1"/>
  <c r="S38" i="1"/>
  <c r="Z5" i="1"/>
  <c r="Y9" i="1"/>
  <c r="S23" i="1"/>
  <c r="S48" i="1"/>
  <c r="J19" i="1"/>
  <c r="F19" i="1"/>
  <c r="V47" i="1"/>
  <c r="U47" i="1"/>
  <c r="T47" i="1"/>
  <c r="V44" i="1"/>
  <c r="U44" i="1"/>
  <c r="T44" i="1"/>
  <c r="U43" i="1"/>
  <c r="T43" i="1"/>
  <c r="V43" i="1"/>
  <c r="F21" i="1" l="1"/>
  <c r="F23" i="1" s="1"/>
  <c r="F38" i="1"/>
  <c r="J21" i="1"/>
  <c r="J23" i="1" s="1"/>
  <c r="J38" i="1"/>
  <c r="AA5" i="1"/>
  <c r="Z9" i="1"/>
  <c r="K47" i="1"/>
  <c r="I47" i="1"/>
  <c r="N7" i="2"/>
  <c r="N10" i="2" s="1"/>
  <c r="AB5" i="1" l="1"/>
  <c r="AA9" i="1"/>
  <c r="T48" i="1"/>
  <c r="V48" i="1"/>
  <c r="U48" i="1"/>
  <c r="I48" i="1"/>
  <c r="K48" i="1"/>
  <c r="X16" i="1" l="1"/>
  <c r="AC5" i="1"/>
  <c r="AB9" i="1"/>
  <c r="X51" i="1" l="1"/>
  <c r="AC9" i="1"/>
  <c r="AD5" i="1"/>
  <c r="J48" i="1"/>
  <c r="AD9" i="1" l="1"/>
  <c r="AE5" i="1"/>
  <c r="AE9" i="1" l="1"/>
  <c r="AF5" i="1"/>
  <c r="AF9" i="1" l="1"/>
  <c r="AG5" i="1"/>
  <c r="AG9" i="1" s="1"/>
  <c r="J47" i="1" l="1"/>
  <c r="X6" i="1" l="1"/>
  <c r="X10" i="1" s="1"/>
  <c r="X3" i="1"/>
  <c r="X4" i="1"/>
  <c r="X8" i="1" s="1"/>
  <c r="W11" i="1"/>
  <c r="W41" i="1" l="1"/>
  <c r="W39" i="1"/>
  <c r="W47" i="1"/>
  <c r="W40" i="1"/>
  <c r="Y6" i="1"/>
  <c r="Z6" i="1" s="1"/>
  <c r="X11" i="1"/>
  <c r="X47" i="1" s="1"/>
  <c r="W13" i="1"/>
  <c r="W36" i="1" s="1"/>
  <c r="Z10" i="1"/>
  <c r="AA6" i="1"/>
  <c r="Y4" i="1"/>
  <c r="Y10" i="1"/>
  <c r="X7" i="1"/>
  <c r="X12" i="1" s="1"/>
  <c r="X13" i="1" s="1"/>
  <c r="Y3" i="1"/>
  <c r="X14" i="1" l="1"/>
  <c r="X15" i="1" s="1"/>
  <c r="X36" i="1"/>
  <c r="Y7" i="1"/>
  <c r="Z3" i="1"/>
  <c r="Y11" i="1"/>
  <c r="Z4" i="1"/>
  <c r="Y8" i="1"/>
  <c r="AB6" i="1"/>
  <c r="AA10" i="1"/>
  <c r="W15" i="1"/>
  <c r="W37" i="1" s="1"/>
  <c r="Y12" i="1" l="1"/>
  <c r="Z8" i="1"/>
  <c r="AA4" i="1"/>
  <c r="X19" i="1"/>
  <c r="X20" i="1" s="1"/>
  <c r="X21" i="1" s="1"/>
  <c r="X37" i="1"/>
  <c r="W19" i="1"/>
  <c r="W38" i="1" s="1"/>
  <c r="AC6" i="1"/>
  <c r="AB10" i="1"/>
  <c r="Y14" i="1"/>
  <c r="Y13" i="1"/>
  <c r="Y47" i="1"/>
  <c r="Z11" i="1"/>
  <c r="AA3" i="1"/>
  <c r="Z7" i="1"/>
  <c r="Z12" i="1" s="1"/>
  <c r="X30" i="1" l="1"/>
  <c r="X29" i="1"/>
  <c r="AC10" i="1"/>
  <c r="AD6" i="1"/>
  <c r="Z47" i="1"/>
  <c r="Z14" i="1"/>
  <c r="Z13" i="1"/>
  <c r="AB4" i="1"/>
  <c r="AA8" i="1"/>
  <c r="AA11" i="1"/>
  <c r="AA7" i="1"/>
  <c r="AB3" i="1"/>
  <c r="Y15" i="1"/>
  <c r="Y36" i="1"/>
  <c r="W21" i="1"/>
  <c r="W48" i="1" l="1"/>
  <c r="W23" i="1"/>
  <c r="AA12" i="1"/>
  <c r="AA13" i="1" s="1"/>
  <c r="X48" i="1"/>
  <c r="Z36" i="1"/>
  <c r="Z15" i="1"/>
  <c r="Y37" i="1"/>
  <c r="AB11" i="1"/>
  <c r="AC3" i="1"/>
  <c r="AB7" i="1"/>
  <c r="AB8" i="1"/>
  <c r="AC4" i="1"/>
  <c r="AD10" i="1"/>
  <c r="AE6" i="1"/>
  <c r="Y16" i="1"/>
  <c r="Y51" i="1" s="1"/>
  <c r="AA14" i="1"/>
  <c r="AA47" i="1"/>
  <c r="AB12" i="1" l="1"/>
  <c r="Y19" i="1"/>
  <c r="Y20" i="1" s="1"/>
  <c r="Y21" i="1" s="1"/>
  <c r="AF6" i="1"/>
  <c r="AE10" i="1"/>
  <c r="AC11" i="1"/>
  <c r="AD3" i="1"/>
  <c r="AC7" i="1"/>
  <c r="Z37" i="1"/>
  <c r="AD4" i="1"/>
  <c r="AC8" i="1"/>
  <c r="AB14" i="1"/>
  <c r="AB47" i="1"/>
  <c r="AB13" i="1"/>
  <c r="AA15" i="1"/>
  <c r="AA36" i="1"/>
  <c r="AA37" i="1" l="1"/>
  <c r="AC14" i="1"/>
  <c r="AC47" i="1"/>
  <c r="AE4" i="1"/>
  <c r="AD8" i="1"/>
  <c r="AB15" i="1"/>
  <c r="AB36" i="1"/>
  <c r="AE3" i="1"/>
  <c r="AD11" i="1"/>
  <c r="AD7" i="1"/>
  <c r="AD12" i="1" s="1"/>
  <c r="AF10" i="1"/>
  <c r="AG6" i="1"/>
  <c r="AG10" i="1" s="1"/>
  <c r="Y29" i="1"/>
  <c r="Y48" i="1"/>
  <c r="Y30" i="1"/>
  <c r="AC12" i="1"/>
  <c r="AC13" i="1" s="1"/>
  <c r="AC36" i="1" l="1"/>
  <c r="AC15" i="1"/>
  <c r="AD13" i="1"/>
  <c r="AD14" i="1"/>
  <c r="AD47" i="1"/>
  <c r="AF4" i="1"/>
  <c r="AE8" i="1"/>
  <c r="AB37" i="1"/>
  <c r="Z16" i="1"/>
  <c r="AE7" i="1"/>
  <c r="AE12" i="1" s="1"/>
  <c r="AE11" i="1"/>
  <c r="AF3" i="1"/>
  <c r="AG3" i="1" l="1"/>
  <c r="AF11" i="1"/>
  <c r="AF7" i="1"/>
  <c r="AE13" i="1"/>
  <c r="AE14" i="1"/>
  <c r="AE47" i="1"/>
  <c r="AC37" i="1"/>
  <c r="Z51" i="1"/>
  <c r="Z19" i="1"/>
  <c r="Z20" i="1" s="1"/>
  <c r="Z21" i="1" s="1"/>
  <c r="AG4" i="1"/>
  <c r="AG8" i="1" s="1"/>
  <c r="AF8" i="1"/>
  <c r="AD36" i="1"/>
  <c r="AD15" i="1"/>
  <c r="Z29" i="1" l="1"/>
  <c r="Z48" i="1"/>
  <c r="Z30" i="1"/>
  <c r="AD37" i="1"/>
  <c r="AF12" i="1"/>
  <c r="AF13" i="1" s="1"/>
  <c r="AF47" i="1"/>
  <c r="AF14" i="1"/>
  <c r="AE36" i="1"/>
  <c r="AE15" i="1"/>
  <c r="AG7" i="1"/>
  <c r="AG12" i="1" s="1"/>
  <c r="AG11" i="1"/>
  <c r="AF36" i="1" l="1"/>
  <c r="AF15" i="1"/>
  <c r="AG13" i="1"/>
  <c r="AG14" i="1"/>
  <c r="AA16" i="1"/>
  <c r="AE37" i="1"/>
  <c r="AA51" i="1" l="1"/>
  <c r="AA19" i="1"/>
  <c r="AA20" i="1" s="1"/>
  <c r="AA21" i="1" s="1"/>
  <c r="AG36" i="1"/>
  <c r="AG15" i="1"/>
  <c r="AF37" i="1"/>
  <c r="AA29" i="1" l="1"/>
  <c r="AA48" i="1"/>
  <c r="AA30" i="1"/>
  <c r="AG37" i="1"/>
  <c r="AB16" i="1" l="1"/>
  <c r="AB51" i="1" l="1"/>
  <c r="AB19" i="1"/>
  <c r="AB20" i="1" s="1"/>
  <c r="AB21" i="1" s="1"/>
  <c r="AB48" i="1" l="1"/>
  <c r="AB29" i="1"/>
  <c r="AB30" i="1"/>
  <c r="AC16" i="1" l="1"/>
  <c r="AC51" i="1" l="1"/>
  <c r="AC19" i="1"/>
  <c r="AC20" i="1" s="1"/>
  <c r="AC21" i="1" s="1"/>
  <c r="AC48" i="1" l="1"/>
  <c r="AC29" i="1"/>
  <c r="AC30" i="1"/>
  <c r="AD16" i="1" l="1"/>
  <c r="AD51" i="1" l="1"/>
  <c r="AD19" i="1"/>
  <c r="AD20" i="1" s="1"/>
  <c r="AD21" i="1" s="1"/>
  <c r="AD29" i="1" l="1"/>
  <c r="AD48" i="1"/>
  <c r="AD30" i="1"/>
  <c r="AE16" i="1" l="1"/>
  <c r="AE51" i="1" l="1"/>
  <c r="AE19" i="1"/>
  <c r="AE20" i="1" s="1"/>
  <c r="AE21" i="1" s="1"/>
  <c r="AE48" i="1" l="1"/>
  <c r="AE29" i="1"/>
  <c r="AE30" i="1"/>
  <c r="AF16" i="1" l="1"/>
  <c r="AF51" i="1" l="1"/>
  <c r="AF19" i="1"/>
  <c r="AF20" i="1" s="1"/>
  <c r="AF21" i="1" s="1"/>
  <c r="AF48" i="1" l="1"/>
  <c r="AF29" i="1"/>
  <c r="AF30" i="1"/>
  <c r="AG16" i="1" l="1"/>
  <c r="AG51" i="1" l="1"/>
  <c r="AG19" i="1"/>
  <c r="AG20" i="1" s="1"/>
  <c r="AG21" i="1" s="1"/>
  <c r="AG29" i="1" l="1"/>
  <c r="AG30" i="1"/>
  <c r="AI21" i="1" l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C4" i="3" s="1"/>
  <c r="N13" i="2" s="1"/>
  <c r="N14" i="2" l="1"/>
</calcChain>
</file>

<file path=xl/sharedStrings.xml><?xml version="1.0" encoding="utf-8"?>
<sst xmlns="http://schemas.openxmlformats.org/spreadsheetml/2006/main" count="78" uniqueCount="74">
  <si>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</si>
  <si>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</si>
  <si>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</si>
  <si>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</si>
  <si>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</si>
  <si>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</si>
  <si>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</si>
  <si>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</si>
  <si>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</si>
  <si>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</si>
  <si>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</si>
  <si>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</si>
  <si>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</si>
  <si>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</si>
  <si>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SG&amp;A</t>
  </si>
  <si>
    <t>Operating Income</t>
  </si>
  <si>
    <t>Taxes expense</t>
  </si>
  <si>
    <t>Net income</t>
  </si>
  <si>
    <t>Shares</t>
  </si>
  <si>
    <t>EPS</t>
  </si>
  <si>
    <t>Gross margin</t>
  </si>
  <si>
    <t>Operating margin</t>
  </si>
  <si>
    <t>Revenue y/y</t>
  </si>
  <si>
    <t>Net income y/y</t>
  </si>
  <si>
    <t>Price</t>
  </si>
  <si>
    <t>MkCap</t>
  </si>
  <si>
    <t>Cash</t>
  </si>
  <si>
    <t>Debt</t>
  </si>
  <si>
    <t>EV</t>
  </si>
  <si>
    <t>Inventory</t>
  </si>
  <si>
    <t>PP&amp;E, net</t>
  </si>
  <si>
    <t>Gross profit</t>
  </si>
  <si>
    <t>Net cash</t>
  </si>
  <si>
    <t>Revenue on PP&amp;E gross</t>
  </si>
  <si>
    <t>Interest on Cash</t>
  </si>
  <si>
    <t>Terminal</t>
  </si>
  <si>
    <t>Discount</t>
  </si>
  <si>
    <t>NPV</t>
  </si>
  <si>
    <t>SG&amp;A rate</t>
  </si>
  <si>
    <t>Loss on extinguishment of debt</t>
  </si>
  <si>
    <t>Weirdo schedule</t>
  </si>
  <si>
    <t>Dec</t>
  </si>
  <si>
    <t>Mar</t>
  </si>
  <si>
    <t>Jun</t>
  </si>
  <si>
    <t>Interest gain</t>
  </si>
  <si>
    <t>Income before taxes</t>
  </si>
  <si>
    <t>Other income</t>
  </si>
  <si>
    <t>Home sales</t>
  </si>
  <si>
    <t>Land sales</t>
  </si>
  <si>
    <t>Rental property</t>
  </si>
  <si>
    <t>Financial services</t>
  </si>
  <si>
    <t>Home sales COGS</t>
  </si>
  <si>
    <t>Land sales COGS</t>
  </si>
  <si>
    <t>Rental property COGS</t>
  </si>
  <si>
    <t>Financial services COGS</t>
  </si>
  <si>
    <t>Sep</t>
  </si>
  <si>
    <t>Revenue on inventory</t>
  </si>
  <si>
    <t>Home sales y/y</t>
  </si>
  <si>
    <t>Land sales y/y</t>
  </si>
  <si>
    <t>Rental property y/y</t>
  </si>
  <si>
    <t>Financial services y/y</t>
  </si>
  <si>
    <t>Home sales margin</t>
  </si>
  <si>
    <t>Land sales margin</t>
  </si>
  <si>
    <t>Rental property margin</t>
  </si>
  <si>
    <t>Financial services margin</t>
  </si>
  <si>
    <t>Interest on inventory</t>
  </si>
  <si>
    <t>Net Investment</t>
  </si>
  <si>
    <t>Tax on income rate</t>
  </si>
  <si>
    <t>DHI</t>
  </si>
  <si>
    <t>D R Horton Inc.</t>
  </si>
  <si>
    <t>Year end: 09/30</t>
  </si>
  <si>
    <t>23Q1</t>
  </si>
  <si>
    <t>Update</t>
  </si>
  <si>
    <t>NPV/Sh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</si>
</sst>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3" fontId="1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43164</xdr:colOff>
      <xdr:row>0</xdr:row>
      <xdr:rowOff>36054</xdr:rowOff>
    </xdr:from>
    <xdr:to>
      <xdr:col>15</xdr:col>
      <xdr:colOff>43164</xdr:colOff>
      <xdr:row>52</xdr:row>
      <xdr:rowOff>14073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10610311" y="36054"/>
          <a:ext cx="0" cy="9884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0</xdr:row>
      <xdr:rowOff>31936</xdr:rowOff>
    </xdr:from>
    <xdr:to>
      <xdr:col>23</xdr:col>
      <xdr:colOff>19050</xdr:colOff>
      <xdr:row>52</xdr:row>
      <xdr:rowOff>22411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4508256" y="31936"/>
          <a:ext cx="0" cy="98964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M1:N14"/>
  <sheetViews>
    <sheetView tabSelected="1" workbookViewId="0">
      <selection activeCell="M22" sqref="M22"/>
    </sheetView>
  </sheetViews>
  <sheetFormatPr defaultRowHeight="15" x14ac:dyDescent="0.25"/>
  <cols>
    <col min="13" max="13" width="9.7109375" bestFit="1" customWidth="1"/>
    <col min="14" max="14" width="9.85546875" bestFit="1" customWidth="1"/>
  </cols>
  <sheetData>
    <row r="1" spans="13:14" x14ac:dyDescent="0.25">
      <c r="M1" t="s">
        <v>72</v>
      </c>
      <c r="N1" s="2">
        <v>44984</v>
      </c>
    </row>
    <row r="3" spans="13:14" ht="18" x14ac:dyDescent="0.25">
      <c r="M3" s="21" t="s">
        <v>69</v>
      </c>
    </row>
    <row r="4" spans="13:14" x14ac:dyDescent="0.25">
      <c r="M4" t="s">
        <v>68</v>
      </c>
    </row>
    <row r="5" spans="13:14" x14ac:dyDescent="0.25">
      <c r="M5" t="s">
        <v>24</v>
      </c>
      <c r="N5" s="17">
        <v>91.49</v>
      </c>
    </row>
    <row r="6" spans="13:14" x14ac:dyDescent="0.25">
      <c r="M6" t="s">
        <v>18</v>
      </c>
      <c r="N6" s="1">
        <v>344.2</v>
      </c>
    </row>
    <row r="7" spans="13:14" x14ac:dyDescent="0.25">
      <c r="M7" t="s">
        <v>25</v>
      </c>
      <c r="N7" s="1">
        <f>N5*N6</f>
        <v>31490.857999999997</v>
      </c>
    </row>
    <row r="8" spans="13:14" x14ac:dyDescent="0.25">
      <c r="M8" t="s">
        <v>26</v>
      </c>
      <c r="N8" s="1">
        <v>2612.5</v>
      </c>
    </row>
    <row r="9" spans="13:14" x14ac:dyDescent="0.25">
      <c r="M9" t="s">
        <v>27</v>
      </c>
      <c r="N9" s="1">
        <v>5690.3</v>
      </c>
    </row>
    <row r="10" spans="13:14" x14ac:dyDescent="0.25">
      <c r="M10" t="s">
        <v>28</v>
      </c>
      <c r="N10" s="1">
        <f>N7-N8+N9</f>
        <v>34568.657999999996</v>
      </c>
    </row>
    <row r="13" spans="13:14" x14ac:dyDescent="0.25">
      <c r="M13" t="s">
        <v>37</v>
      </c>
      <c r="N13" s="10">
        <f>+Dash!C4</f>
        <v>56115.999003056495</v>
      </c>
    </row>
    <row r="14" spans="13:14" x14ac:dyDescent="0.25">
      <c r="M14" t="s">
        <v>73</v>
      </c>
      <c r="N14" s="17">
        <f>+N13/N6</f>
        <v>163.0331173825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1:DF72"/>
  <sheetViews>
    <sheetView zoomScale="85" zoomScaleNormal="8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Z27" sqref="Z27"/>
    </sheetView>
  </sheetViews>
  <sheetFormatPr defaultRowHeight="15" x14ac:dyDescent="0.25"/>
  <cols>
    <col min="2" max="2" width="31.42578125" customWidth="1"/>
    <col min="3" max="16" width="9.140625" style="1"/>
    <col min="17" max="17" width="4.42578125" style="3" customWidth="1"/>
    <col min="24" max="24" width="10.85546875" bestFit="1" customWidth="1"/>
    <col min="36" max="36" width="10.85546875" bestFit="1" customWidth="1"/>
    <col min="41" max="41" width="10.85546875" bestFit="1" customWidth="1"/>
  </cols>
  <sheetData>
    <row r="1" spans="1:38" x14ac:dyDescent="0.25">
      <c r="B1" t="s">
        <v>40</v>
      </c>
      <c r="C1" s="1" t="s">
        <v>70</v>
      </c>
      <c r="J1" s="1" t="s">
        <v>55</v>
      </c>
      <c r="K1" s="1" t="s">
        <v>41</v>
      </c>
      <c r="L1" s="1" t="s">
        <v>42</v>
      </c>
      <c r="M1" s="1" t="s">
        <v>43</v>
      </c>
    </row>
    <row r="2" spans="1:38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71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</row>
    <row r="3" spans="1:38" s="1" customFormat="1" x14ac:dyDescent="0.25">
      <c r="B3" s="1" t="s">
        <v>47</v>
      </c>
      <c r="C3" s="1">
        <v>5698.7</v>
      </c>
      <c r="D3" s="1">
        <v>4363.3</v>
      </c>
      <c r="E3" s="1">
        <v>5207.6000000000004</v>
      </c>
      <c r="F3" s="1">
        <f>U3-E3-D3-C3</f>
        <v>4291.199999999998</v>
      </c>
      <c r="G3" s="1">
        <v>5698.7</v>
      </c>
      <c r="H3" s="1">
        <v>6170.4</v>
      </c>
      <c r="I3" s="1">
        <v>7040.1</v>
      </c>
      <c r="J3" s="1">
        <f>V3-I3-H3-G3</f>
        <v>7592.800000000002</v>
      </c>
      <c r="K3" s="1">
        <v>6656.4</v>
      </c>
      <c r="L3" s="1">
        <v>7499.2</v>
      </c>
      <c r="M3" s="1">
        <v>8336.4</v>
      </c>
      <c r="N3" s="1">
        <f>W3-M3-L3-K3</f>
        <v>9369.7000000000025</v>
      </c>
      <c r="O3" s="1">
        <v>6709.2</v>
      </c>
      <c r="Q3" s="11"/>
      <c r="R3" s="1">
        <v>13653.2</v>
      </c>
      <c r="S3" s="1">
        <v>15502</v>
      </c>
      <c r="T3" s="1">
        <v>16925</v>
      </c>
      <c r="U3" s="1">
        <v>19560.8</v>
      </c>
      <c r="V3" s="1">
        <v>26502</v>
      </c>
      <c r="W3" s="1">
        <v>31861.7</v>
      </c>
      <c r="X3" s="1">
        <f>W3*(1+X43)</f>
        <v>25489.360000000001</v>
      </c>
      <c r="Y3" s="1">
        <f t="shared" ref="Y3:AH3" si="0">X3*(1+Y43)</f>
        <v>20901.275200000004</v>
      </c>
      <c r="Z3" s="1">
        <f t="shared" si="0"/>
        <v>23409.428224000007</v>
      </c>
      <c r="AA3" s="1">
        <f t="shared" si="0"/>
        <v>25516.276764160008</v>
      </c>
      <c r="AB3" s="1">
        <f t="shared" si="0"/>
        <v>27557.578905292808</v>
      </c>
      <c r="AC3" s="1">
        <f t="shared" si="0"/>
        <v>29762.185217716236</v>
      </c>
      <c r="AD3" s="1">
        <f t="shared" si="0"/>
        <v>32143.160035133536</v>
      </c>
      <c r="AE3" s="1">
        <f t="shared" si="0"/>
        <v>34714.612837944223</v>
      </c>
      <c r="AF3" s="1">
        <f t="shared" si="0"/>
        <v>37491.781864979763</v>
      </c>
      <c r="AG3" s="1">
        <f t="shared" si="0"/>
        <v>40491.12441417815</v>
      </c>
    </row>
    <row r="4" spans="1:38" s="1" customFormat="1" x14ac:dyDescent="0.25">
      <c r="B4" s="1" t="s">
        <v>48</v>
      </c>
      <c r="C4" s="1">
        <v>47.5</v>
      </c>
      <c r="D4" s="1">
        <v>32.200000000000003</v>
      </c>
      <c r="E4" s="1">
        <v>25.8</v>
      </c>
      <c r="F4" s="1">
        <f t="shared" ref="F4:F20" si="1">U4-E4-D4-C4</f>
        <v>59.899999999999991</v>
      </c>
      <c r="G4" s="1">
        <v>47.5</v>
      </c>
      <c r="H4" s="1">
        <v>51.4</v>
      </c>
      <c r="I4" s="1">
        <v>55.8</v>
      </c>
      <c r="J4" s="1">
        <f t="shared" ref="J4:J20" si="2">V4-I4-H4-G4</f>
        <v>57.299999999999983</v>
      </c>
      <c r="K4" s="1">
        <v>56.2</v>
      </c>
      <c r="L4" s="1">
        <v>54.8</v>
      </c>
      <c r="M4" s="1">
        <v>87.7</v>
      </c>
      <c r="N4" s="1">
        <f t="shared" ref="N4:O22" si="3">W4-M4-L4-K4</f>
        <v>114.40000000000002</v>
      </c>
      <c r="O4" s="1">
        <v>84.1</v>
      </c>
      <c r="Q4" s="11"/>
      <c r="R4" s="1">
        <v>88.3</v>
      </c>
      <c r="S4" s="1">
        <v>190.7</v>
      </c>
      <c r="T4" s="1">
        <v>226.2</v>
      </c>
      <c r="U4" s="1">
        <v>165.4</v>
      </c>
      <c r="V4" s="1">
        <v>212</v>
      </c>
      <c r="W4" s="1">
        <v>313.10000000000002</v>
      </c>
      <c r="X4" s="1">
        <f t="shared" ref="X4:AH4" si="4">W4*(1+X44)</f>
        <v>269.26600000000002</v>
      </c>
      <c r="Y4" s="1">
        <f t="shared" si="4"/>
        <v>215.41280000000003</v>
      </c>
      <c r="Z4" s="1">
        <f t="shared" si="4"/>
        <v>254.18710400000003</v>
      </c>
      <c r="AA4" s="1">
        <f t="shared" si="4"/>
        <v>279.60581440000004</v>
      </c>
      <c r="AB4" s="1">
        <f t="shared" si="4"/>
        <v>310.36245398400007</v>
      </c>
      <c r="AC4" s="1">
        <f t="shared" si="4"/>
        <v>335.19145030272011</v>
      </c>
      <c r="AD4" s="1">
        <f t="shared" si="4"/>
        <v>362.00676632693774</v>
      </c>
      <c r="AE4" s="1">
        <f t="shared" si="4"/>
        <v>390.96730763309279</v>
      </c>
      <c r="AF4" s="1">
        <f t="shared" si="4"/>
        <v>422.24469224374025</v>
      </c>
      <c r="AG4" s="1">
        <f t="shared" si="4"/>
        <v>456.0242676232395</v>
      </c>
    </row>
    <row r="5" spans="1:38" s="1" customFormat="1" x14ac:dyDescent="0.25">
      <c r="B5" s="1" t="s">
        <v>49</v>
      </c>
      <c r="C5" s="1">
        <v>0</v>
      </c>
      <c r="D5" s="1">
        <v>0</v>
      </c>
      <c r="E5" s="1">
        <v>0</v>
      </c>
      <c r="F5" s="1">
        <f t="shared" si="1"/>
        <v>0</v>
      </c>
      <c r="G5" s="1">
        <v>0</v>
      </c>
      <c r="H5" s="1">
        <v>0</v>
      </c>
      <c r="I5" s="1">
        <v>0</v>
      </c>
      <c r="J5" s="1">
        <f t="shared" si="2"/>
        <v>236</v>
      </c>
      <c r="K5" s="1">
        <v>156.5</v>
      </c>
      <c r="L5" s="1">
        <v>222.9</v>
      </c>
      <c r="M5" s="1">
        <v>109.7</v>
      </c>
      <c r="N5" s="1">
        <f t="shared" si="3"/>
        <v>21.099999999999994</v>
      </c>
      <c r="O5" s="1">
        <v>327.5</v>
      </c>
      <c r="Q5" s="11"/>
      <c r="R5" s="1">
        <v>0</v>
      </c>
      <c r="S5" s="1">
        <v>0</v>
      </c>
      <c r="T5" s="1">
        <v>0</v>
      </c>
      <c r="U5" s="1">
        <v>0</v>
      </c>
      <c r="V5" s="1">
        <v>236</v>
      </c>
      <c r="W5" s="1">
        <v>510.2</v>
      </c>
      <c r="X5" s="1">
        <f t="shared" ref="X5:AH5" si="5">W5*(1+X45)</f>
        <v>841.82999999999993</v>
      </c>
      <c r="Y5" s="1">
        <f t="shared" si="5"/>
        <v>1010.1959999999999</v>
      </c>
      <c r="Z5" s="1">
        <f t="shared" si="5"/>
        <v>2020.3919999999998</v>
      </c>
      <c r="AA5" s="1">
        <f t="shared" si="5"/>
        <v>2626.5095999999999</v>
      </c>
      <c r="AB5" s="1">
        <f t="shared" si="5"/>
        <v>3151.8115199999997</v>
      </c>
      <c r="AC5" s="1">
        <f t="shared" si="5"/>
        <v>3624.5832479999995</v>
      </c>
      <c r="AD5" s="1">
        <f t="shared" si="5"/>
        <v>3987.0415727999998</v>
      </c>
      <c r="AE5" s="1">
        <f t="shared" si="5"/>
        <v>4385.7457300799997</v>
      </c>
      <c r="AF5" s="1">
        <f t="shared" si="5"/>
        <v>4605.0330165839996</v>
      </c>
      <c r="AG5" s="1">
        <f t="shared" si="5"/>
        <v>4835.2846674131997</v>
      </c>
    </row>
    <row r="6" spans="1:38" s="1" customFormat="1" x14ac:dyDescent="0.25">
      <c r="B6" s="1" t="s">
        <v>50</v>
      </c>
      <c r="C6" s="1">
        <v>187.2</v>
      </c>
      <c r="D6" s="1">
        <v>104.5</v>
      </c>
      <c r="E6" s="1">
        <v>156.6</v>
      </c>
      <c r="F6" s="1">
        <f t="shared" si="1"/>
        <v>136.59999999999997</v>
      </c>
      <c r="G6" s="1">
        <v>187.2</v>
      </c>
      <c r="H6" s="1">
        <v>225</v>
      </c>
      <c r="I6" s="1">
        <v>188.7</v>
      </c>
      <c r="J6" s="1">
        <f t="shared" si="2"/>
        <v>222.7000000000001</v>
      </c>
      <c r="K6" s="1">
        <v>184.3</v>
      </c>
      <c r="L6" s="1">
        <v>222.1</v>
      </c>
      <c r="M6" s="1">
        <v>254.3</v>
      </c>
      <c r="N6" s="1">
        <f t="shared" si="3"/>
        <v>134.30000000000001</v>
      </c>
      <c r="O6" s="1">
        <v>137</v>
      </c>
      <c r="Q6" s="11"/>
      <c r="R6" s="1">
        <v>349.5</v>
      </c>
      <c r="S6" s="1">
        <v>375.3</v>
      </c>
      <c r="T6" s="1">
        <v>441.7</v>
      </c>
      <c r="U6" s="1">
        <v>584.9</v>
      </c>
      <c r="V6" s="1">
        <v>823.6</v>
      </c>
      <c r="W6" s="1">
        <v>795</v>
      </c>
      <c r="X6" s="1">
        <f t="shared" ref="X6:AH6" si="6">W6*(1+X46)</f>
        <v>874.50000000000011</v>
      </c>
      <c r="Y6" s="1">
        <f t="shared" si="6"/>
        <v>961.95000000000016</v>
      </c>
      <c r="Z6" s="1">
        <f t="shared" si="6"/>
        <v>1058.1450000000002</v>
      </c>
      <c r="AA6" s="1">
        <f t="shared" si="6"/>
        <v>1163.9595000000004</v>
      </c>
      <c r="AB6" s="1">
        <f t="shared" si="6"/>
        <v>1280.3554500000005</v>
      </c>
      <c r="AC6" s="1">
        <f t="shared" si="6"/>
        <v>1408.3909950000007</v>
      </c>
      <c r="AD6" s="1">
        <f t="shared" si="6"/>
        <v>1549.2300945000009</v>
      </c>
      <c r="AE6" s="1">
        <f t="shared" si="6"/>
        <v>1704.1531039500012</v>
      </c>
      <c r="AF6" s="1">
        <f t="shared" si="6"/>
        <v>1874.5684143450014</v>
      </c>
      <c r="AG6" s="1">
        <f t="shared" si="6"/>
        <v>2062.0252557795015</v>
      </c>
    </row>
    <row r="7" spans="1:38" s="1" customFormat="1" x14ac:dyDescent="0.25">
      <c r="B7" s="1" t="s">
        <v>51</v>
      </c>
      <c r="C7" s="1">
        <v>4297.3999999999996</v>
      </c>
      <c r="D7" s="1">
        <v>3424.5</v>
      </c>
      <c r="E7" s="1">
        <v>4065.5</v>
      </c>
      <c r="F7" s="1">
        <f>U7-E7-D7-C7</f>
        <v>3459.6000000000004</v>
      </c>
      <c r="G7" s="1">
        <v>4297.3999999999996</v>
      </c>
      <c r="H7" s="1">
        <v>4616.3999999999996</v>
      </c>
      <c r="I7" s="1">
        <v>5179.2</v>
      </c>
      <c r="J7" s="1">
        <f t="shared" si="2"/>
        <v>5515</v>
      </c>
      <c r="K7" s="1">
        <v>4796.2</v>
      </c>
      <c r="L7" s="1">
        <v>5291.5</v>
      </c>
      <c r="M7" s="1">
        <v>5774.3</v>
      </c>
      <c r="N7" s="1">
        <f t="shared" si="3"/>
        <v>6655.7000000000016</v>
      </c>
      <c r="O7" s="1">
        <v>5057.7</v>
      </c>
      <c r="Q7" s="11"/>
      <c r="R7" s="1">
        <v>10927.8</v>
      </c>
      <c r="S7" s="1">
        <v>12194.3</v>
      </c>
      <c r="T7" s="1">
        <v>13498.8</v>
      </c>
      <c r="U7" s="1">
        <v>15247</v>
      </c>
      <c r="V7" s="1">
        <v>19608</v>
      </c>
      <c r="W7" s="1">
        <v>22517.7</v>
      </c>
      <c r="X7" s="1">
        <f t="shared" ref="X7:AG7" si="7">X3-X3*X32</f>
        <v>19371.9136</v>
      </c>
      <c r="Y7" s="1">
        <f t="shared" si="7"/>
        <v>16302.994656000003</v>
      </c>
      <c r="Z7" s="1">
        <f t="shared" si="7"/>
        <v>17557.071168000006</v>
      </c>
      <c r="AA7" s="1">
        <f t="shared" si="7"/>
        <v>19392.370340761605</v>
      </c>
      <c r="AB7" s="1">
        <f t="shared" si="7"/>
        <v>20943.759968022536</v>
      </c>
      <c r="AC7" s="1">
        <f t="shared" si="7"/>
        <v>22619.26076546434</v>
      </c>
      <c r="AD7" s="1">
        <f t="shared" si="7"/>
        <v>24428.80162670149</v>
      </c>
      <c r="AE7" s="1">
        <f t="shared" si="7"/>
        <v>26383.105756837613</v>
      </c>
      <c r="AF7" s="1">
        <f t="shared" si="7"/>
        <v>28493.75421738462</v>
      </c>
      <c r="AG7" s="1">
        <f t="shared" si="7"/>
        <v>30773.254554775394</v>
      </c>
    </row>
    <row r="8" spans="1:38" s="1" customFormat="1" x14ac:dyDescent="0.25">
      <c r="B8" s="1" t="s">
        <v>52</v>
      </c>
      <c r="C8" s="1">
        <v>26.8</v>
      </c>
      <c r="D8" s="1">
        <v>17.399999999999999</v>
      </c>
      <c r="E8" s="1">
        <v>14.2</v>
      </c>
      <c r="F8" s="1">
        <f t="shared" si="1"/>
        <v>43.8</v>
      </c>
      <c r="G8" s="1">
        <v>26.8</v>
      </c>
      <c r="H8" s="1">
        <v>30.7</v>
      </c>
      <c r="I8" s="1">
        <v>27.8</v>
      </c>
      <c r="J8" s="1">
        <f t="shared" si="2"/>
        <v>34</v>
      </c>
      <c r="K8" s="1">
        <v>33</v>
      </c>
      <c r="L8" s="1">
        <v>25</v>
      </c>
      <c r="M8" s="1">
        <v>43.5</v>
      </c>
      <c r="N8" s="1">
        <f t="shared" si="3"/>
        <v>48</v>
      </c>
      <c r="O8" s="1">
        <v>24</v>
      </c>
      <c r="Q8" s="11"/>
      <c r="R8" s="1">
        <v>74.8</v>
      </c>
      <c r="S8" s="1">
        <v>153.4</v>
      </c>
      <c r="T8" s="1">
        <v>168.1</v>
      </c>
      <c r="U8" s="1">
        <v>102.2</v>
      </c>
      <c r="V8" s="1">
        <v>119.3</v>
      </c>
      <c r="W8" s="1">
        <v>149.5</v>
      </c>
      <c r="X8" s="1">
        <f t="shared" ref="X8:AG8" si="8">X4-X4*X33</f>
        <v>175.02290000000002</v>
      </c>
      <c r="Y8" s="1">
        <f t="shared" si="8"/>
        <v>146.480704</v>
      </c>
      <c r="Z8" s="1">
        <f t="shared" si="8"/>
        <v>162.67974656000001</v>
      </c>
      <c r="AA8" s="1">
        <f t="shared" si="8"/>
        <v>167.76348864000002</v>
      </c>
      <c r="AB8" s="1">
        <f t="shared" si="8"/>
        <v>186.21747239040002</v>
      </c>
      <c r="AC8" s="1">
        <f t="shared" si="8"/>
        <v>201.11487018163206</v>
      </c>
      <c r="AD8" s="1">
        <f t="shared" si="8"/>
        <v>217.20405979616262</v>
      </c>
      <c r="AE8" s="1">
        <f t="shared" si="8"/>
        <v>234.58038457985566</v>
      </c>
      <c r="AF8" s="1">
        <f t="shared" si="8"/>
        <v>253.34681534624414</v>
      </c>
      <c r="AG8" s="1">
        <f t="shared" si="8"/>
        <v>273.61456057394366</v>
      </c>
    </row>
    <row r="9" spans="1:38" s="1" customFormat="1" x14ac:dyDescent="0.25">
      <c r="B9" s="1" t="s">
        <v>53</v>
      </c>
      <c r="C9" s="1">
        <v>0</v>
      </c>
      <c r="D9" s="1">
        <v>0</v>
      </c>
      <c r="E9" s="1">
        <v>0</v>
      </c>
      <c r="F9" s="1">
        <f t="shared" si="1"/>
        <v>0</v>
      </c>
      <c r="G9" s="1">
        <v>0</v>
      </c>
      <c r="H9" s="1">
        <v>0</v>
      </c>
      <c r="I9" s="1">
        <v>0</v>
      </c>
      <c r="J9" s="1">
        <f t="shared" si="2"/>
        <v>143</v>
      </c>
      <c r="K9" s="1">
        <v>71.7</v>
      </c>
      <c r="L9" s="1">
        <v>98.2</v>
      </c>
      <c r="M9" s="1">
        <v>50.9</v>
      </c>
      <c r="N9" s="1">
        <f t="shared" si="3"/>
        <v>17.5</v>
      </c>
      <c r="O9" s="1">
        <v>182.1</v>
      </c>
      <c r="Q9" s="11"/>
      <c r="R9" s="1">
        <v>0</v>
      </c>
      <c r="S9" s="1">
        <v>0</v>
      </c>
      <c r="T9" s="1">
        <v>0</v>
      </c>
      <c r="U9" s="1">
        <v>0</v>
      </c>
      <c r="V9" s="1">
        <v>143</v>
      </c>
      <c r="W9" s="1">
        <v>238.3</v>
      </c>
      <c r="X9" s="1">
        <f t="shared" ref="X9:AG9" si="9">X5-X5*X34</f>
        <v>505.09799999999996</v>
      </c>
      <c r="Y9" s="1">
        <f t="shared" si="9"/>
        <v>555.6078</v>
      </c>
      <c r="Z9" s="1">
        <f t="shared" si="9"/>
        <v>1091.0116799999998</v>
      </c>
      <c r="AA9" s="1">
        <f t="shared" si="9"/>
        <v>1418.3151839999998</v>
      </c>
      <c r="AB9" s="1">
        <f t="shared" si="9"/>
        <v>1701.9782207999997</v>
      </c>
      <c r="AC9" s="1">
        <f t="shared" si="9"/>
        <v>1957.2749539199997</v>
      </c>
      <c r="AD9" s="1">
        <f t="shared" si="9"/>
        <v>2153.002449312</v>
      </c>
      <c r="AE9" s="1">
        <f t="shared" si="9"/>
        <v>2368.3026942431998</v>
      </c>
      <c r="AF9" s="1">
        <f t="shared" si="9"/>
        <v>2486.7178289553599</v>
      </c>
      <c r="AG9" s="1">
        <f t="shared" si="9"/>
        <v>2611.053720403128</v>
      </c>
    </row>
    <row r="10" spans="1:38" s="1" customFormat="1" x14ac:dyDescent="0.25">
      <c r="B10" s="1" t="s">
        <v>54</v>
      </c>
      <c r="C10" s="1">
        <v>8.3000000000000007</v>
      </c>
      <c r="D10" s="1">
        <v>8.9</v>
      </c>
      <c r="E10" s="1">
        <v>5</v>
      </c>
      <c r="F10" s="1">
        <f t="shared" si="1"/>
        <v>1.5999999999999996</v>
      </c>
      <c r="G10" s="1">
        <v>8.3000000000000007</v>
      </c>
      <c r="H10" s="1">
        <v>3.8</v>
      </c>
      <c r="I10" s="1">
        <v>5.6</v>
      </c>
      <c r="J10" s="1">
        <f t="shared" si="2"/>
        <v>10.899999999999999</v>
      </c>
      <c r="K10" s="1">
        <v>4.8</v>
      </c>
      <c r="L10" s="1">
        <v>15.2</v>
      </c>
      <c r="M10" s="1">
        <v>10.6</v>
      </c>
      <c r="N10" s="1">
        <f t="shared" si="3"/>
        <v>39.800000000000011</v>
      </c>
      <c r="O10" s="1">
        <v>27.5</v>
      </c>
      <c r="Q10" s="11"/>
      <c r="R10" s="1">
        <v>40.200000000000003</v>
      </c>
      <c r="S10" s="1">
        <v>50.4</v>
      </c>
      <c r="T10" s="1">
        <v>54</v>
      </c>
      <c r="U10" s="1">
        <v>23.8</v>
      </c>
      <c r="V10" s="1">
        <v>28.6</v>
      </c>
      <c r="W10" s="1">
        <v>70.400000000000006</v>
      </c>
      <c r="X10" s="1">
        <f t="shared" ref="X10:AG10" si="10">X6-X6*X35</f>
        <v>174.89999999999998</v>
      </c>
      <c r="Y10" s="1">
        <f t="shared" si="10"/>
        <v>192.39</v>
      </c>
      <c r="Z10" s="1">
        <f t="shared" si="10"/>
        <v>211.62900000000002</v>
      </c>
      <c r="AA10" s="1">
        <f t="shared" si="10"/>
        <v>232.79190000000006</v>
      </c>
      <c r="AB10" s="1">
        <f t="shared" si="10"/>
        <v>256.07109000000014</v>
      </c>
      <c r="AC10" s="1">
        <f t="shared" si="10"/>
        <v>281.67819900000018</v>
      </c>
      <c r="AD10" s="1">
        <f t="shared" si="10"/>
        <v>309.84601889999999</v>
      </c>
      <c r="AE10" s="1">
        <f t="shared" si="10"/>
        <v>340.83062079000024</v>
      </c>
      <c r="AF10" s="1">
        <f t="shared" si="10"/>
        <v>374.91368286900024</v>
      </c>
      <c r="AG10" s="1">
        <f t="shared" si="10"/>
        <v>412.40505115590031</v>
      </c>
    </row>
    <row r="11" spans="1:38" x14ac:dyDescent="0.25">
      <c r="A11" s="4"/>
      <c r="B11" s="4" t="s">
        <v>12</v>
      </c>
      <c r="C11" s="5">
        <v>4020.7</v>
      </c>
      <c r="D11" s="5">
        <v>4500</v>
      </c>
      <c r="E11" s="5">
        <v>5390</v>
      </c>
      <c r="F11" s="5">
        <v>5390</v>
      </c>
      <c r="G11" s="5">
        <v>5933.4</v>
      </c>
      <c r="H11" s="5">
        <v>6446.9</v>
      </c>
      <c r="I11" s="5">
        <v>7284.6</v>
      </c>
      <c r="J11" s="5">
        <v>7284.6</v>
      </c>
      <c r="K11" s="5">
        <v>7053.4</v>
      </c>
      <c r="L11" s="5">
        <v>7999</v>
      </c>
      <c r="M11" s="5">
        <v>8788</v>
      </c>
      <c r="N11" s="5">
        <f t="shared" si="3"/>
        <v>9639.6</v>
      </c>
      <c r="O11" s="5">
        <v>7257.8</v>
      </c>
      <c r="P11" s="5"/>
      <c r="Q11" s="6"/>
      <c r="R11" s="5">
        <v>14091</v>
      </c>
      <c r="S11" s="5">
        <v>16068</v>
      </c>
      <c r="T11" s="5">
        <v>17592.900000000001</v>
      </c>
      <c r="U11" s="5">
        <v>20311</v>
      </c>
      <c r="V11" s="5">
        <v>27774</v>
      </c>
      <c r="W11" s="5">
        <f>SUM(W3:W6)</f>
        <v>33480</v>
      </c>
      <c r="X11" s="5">
        <f t="shared" ref="X11:AG11" si="11">SUM(X3:X6)</f>
        <v>27474.955999999998</v>
      </c>
      <c r="Y11" s="5">
        <f t="shared" si="11"/>
        <v>23088.834000000003</v>
      </c>
      <c r="Z11" s="5">
        <f t="shared" si="11"/>
        <v>26742.152328000007</v>
      </c>
      <c r="AA11" s="5">
        <f t="shared" si="11"/>
        <v>29586.351678560011</v>
      </c>
      <c r="AB11" s="5">
        <f t="shared" si="11"/>
        <v>32300.108329276805</v>
      </c>
      <c r="AC11" s="5">
        <f t="shared" si="11"/>
        <v>35130.350911018963</v>
      </c>
      <c r="AD11" s="5">
        <f t="shared" si="11"/>
        <v>38041.438468760476</v>
      </c>
      <c r="AE11" s="5">
        <f t="shared" si="11"/>
        <v>41195.478979607324</v>
      </c>
      <c r="AF11" s="5">
        <f t="shared" si="11"/>
        <v>44393.627988152497</v>
      </c>
      <c r="AG11" s="5">
        <f t="shared" si="11"/>
        <v>47844.458604994092</v>
      </c>
      <c r="AH11" s="5"/>
      <c r="AI11" s="5"/>
      <c r="AJ11" s="5"/>
      <c r="AK11" s="5"/>
      <c r="AL11" s="5"/>
    </row>
    <row r="12" spans="1:38" s="1" customFormat="1" x14ac:dyDescent="0.25">
      <c r="B12" s="1" t="s">
        <v>13</v>
      </c>
      <c r="C12" s="1">
        <v>3084.2</v>
      </c>
      <c r="D12" s="1">
        <v>3450.8</v>
      </c>
      <c r="E12" s="1">
        <v>4084.7</v>
      </c>
      <c r="F12" s="1">
        <f t="shared" si="1"/>
        <v>4753.2999999999993</v>
      </c>
      <c r="G12" s="1">
        <v>4332.5</v>
      </c>
      <c r="H12" s="1">
        <v>4650.8999999999996</v>
      </c>
      <c r="I12" s="1">
        <v>5212.6000000000004</v>
      </c>
      <c r="J12" s="1">
        <f t="shared" si="2"/>
        <v>5703</v>
      </c>
      <c r="K12" s="1">
        <v>4905.7</v>
      </c>
      <c r="L12" s="1">
        <v>5429.9</v>
      </c>
      <c r="M12" s="1">
        <v>5879.3</v>
      </c>
      <c r="N12" s="1">
        <f t="shared" si="3"/>
        <v>6761.0000000000027</v>
      </c>
      <c r="O12" s="1">
        <v>5291.3</v>
      </c>
      <c r="Q12" s="11"/>
      <c r="R12" s="1">
        <v>11042.8</v>
      </c>
      <c r="S12" s="1">
        <v>12398</v>
      </c>
      <c r="T12" s="1">
        <v>13720.9</v>
      </c>
      <c r="U12" s="1">
        <v>15373</v>
      </c>
      <c r="V12" s="1">
        <v>19899</v>
      </c>
      <c r="W12" s="1">
        <f>SUM(W7:W10)</f>
        <v>22975.9</v>
      </c>
      <c r="X12" s="1">
        <f t="shared" ref="X12:AG12" si="12">SUM(X7:X10)</f>
        <v>20226.934500000003</v>
      </c>
      <c r="Y12" s="1">
        <f t="shared" si="12"/>
        <v>17197.473160000005</v>
      </c>
      <c r="Z12" s="1">
        <f t="shared" si="12"/>
        <v>19022.391594560006</v>
      </c>
      <c r="AA12" s="1">
        <f t="shared" si="12"/>
        <v>21211.240913401605</v>
      </c>
      <c r="AB12" s="1">
        <f t="shared" si="12"/>
        <v>23088.026751212936</v>
      </c>
      <c r="AC12" s="1">
        <f t="shared" si="12"/>
        <v>25059.328788565974</v>
      </c>
      <c r="AD12" s="1">
        <f t="shared" si="12"/>
        <v>27108.854154709654</v>
      </c>
      <c r="AE12" s="1">
        <f t="shared" si="12"/>
        <v>29326.819456450667</v>
      </c>
      <c r="AF12" s="1">
        <f t="shared" si="12"/>
        <v>31608.732544555223</v>
      </c>
      <c r="AG12" s="1">
        <f t="shared" si="12"/>
        <v>34070.327886908373</v>
      </c>
    </row>
    <row r="13" spans="1:38" x14ac:dyDescent="0.25">
      <c r="A13" s="4"/>
      <c r="B13" s="4" t="s">
        <v>31</v>
      </c>
      <c r="C13" s="5">
        <f t="shared" ref="C13:N13" si="13">+C11-C12</f>
        <v>936.5</v>
      </c>
      <c r="D13" s="5">
        <f t="shared" si="13"/>
        <v>1049.1999999999998</v>
      </c>
      <c r="E13" s="5">
        <f t="shared" si="13"/>
        <v>1305.3000000000002</v>
      </c>
      <c r="F13" s="5">
        <f t="shared" si="13"/>
        <v>636.70000000000073</v>
      </c>
      <c r="G13" s="5">
        <f t="shared" si="13"/>
        <v>1600.8999999999996</v>
      </c>
      <c r="H13" s="5">
        <f t="shared" si="13"/>
        <v>1796</v>
      </c>
      <c r="I13" s="5">
        <f t="shared" si="13"/>
        <v>2072</v>
      </c>
      <c r="J13" s="5">
        <f t="shared" si="13"/>
        <v>1581.6000000000004</v>
      </c>
      <c r="K13" s="5">
        <f t="shared" si="13"/>
        <v>2147.6999999999998</v>
      </c>
      <c r="L13" s="5">
        <f t="shared" si="13"/>
        <v>2569.1000000000004</v>
      </c>
      <c r="M13" s="5">
        <f t="shared" si="13"/>
        <v>2908.7</v>
      </c>
      <c r="N13" s="5">
        <f t="shared" si="13"/>
        <v>2878.5999999999976</v>
      </c>
      <c r="O13" s="5">
        <f>+O11-O12</f>
        <v>1966.5</v>
      </c>
      <c r="P13" s="5"/>
      <c r="Q13" s="6"/>
      <c r="R13" s="5">
        <f>+R11-R12</f>
        <v>3048.2000000000007</v>
      </c>
      <c r="S13" s="5">
        <f>+S11-S12</f>
        <v>3670</v>
      </c>
      <c r="T13" s="5">
        <f>+T11-T12</f>
        <v>3872.0000000000018</v>
      </c>
      <c r="U13" s="5">
        <f>+U11-U12</f>
        <v>4938</v>
      </c>
      <c r="V13" s="5">
        <f>+V11-V12</f>
        <v>7875</v>
      </c>
      <c r="W13" s="5">
        <f t="shared" ref="W13:AG13" si="14">+W11-W12</f>
        <v>10504.099999999999</v>
      </c>
      <c r="X13" s="5">
        <f t="shared" si="14"/>
        <v>7248.0214999999953</v>
      </c>
      <c r="Y13" s="5">
        <f t="shared" si="14"/>
        <v>5891.3608399999976</v>
      </c>
      <c r="Z13" s="5">
        <f t="shared" si="14"/>
        <v>7719.7607334400018</v>
      </c>
      <c r="AA13" s="5">
        <f t="shared" si="14"/>
        <v>8375.1107651584061</v>
      </c>
      <c r="AB13" s="5">
        <f t="shared" si="14"/>
        <v>9212.0815780638695</v>
      </c>
      <c r="AC13" s="5">
        <f t="shared" si="14"/>
        <v>10071.022122452989</v>
      </c>
      <c r="AD13" s="5">
        <f t="shared" si="14"/>
        <v>10932.584314050822</v>
      </c>
      <c r="AE13" s="5">
        <f t="shared" si="14"/>
        <v>11868.659523156657</v>
      </c>
      <c r="AF13" s="5">
        <f t="shared" si="14"/>
        <v>12784.895443597274</v>
      </c>
      <c r="AG13" s="5">
        <f t="shared" si="14"/>
        <v>13774.130718085718</v>
      </c>
      <c r="AH13" s="5"/>
      <c r="AI13" s="5"/>
      <c r="AJ13" s="5"/>
      <c r="AK13" s="5"/>
      <c r="AL13" s="5"/>
    </row>
    <row r="14" spans="1:38" x14ac:dyDescent="0.25">
      <c r="B14" t="s">
        <v>14</v>
      </c>
      <c r="C14" s="1">
        <v>455.8</v>
      </c>
      <c r="D14" s="1">
        <v>466.8</v>
      </c>
      <c r="E14" s="1">
        <v>527.5</v>
      </c>
      <c r="F14" s="1">
        <f t="shared" si="1"/>
        <v>597.70000000000005</v>
      </c>
      <c r="G14" s="1">
        <v>585.9</v>
      </c>
      <c r="H14" s="1">
        <v>621.5</v>
      </c>
      <c r="I14" s="1">
        <v>655.7</v>
      </c>
      <c r="J14" s="1">
        <f t="shared" si="2"/>
        <v>692.9</v>
      </c>
      <c r="K14" s="1">
        <v>665.9</v>
      </c>
      <c r="L14" s="1">
        <v>695.1</v>
      </c>
      <c r="M14" s="1">
        <v>740.6</v>
      </c>
      <c r="N14" s="1">
        <f t="shared" si="3"/>
        <v>832.1</v>
      </c>
      <c r="O14" s="1">
        <v>737</v>
      </c>
      <c r="R14" s="1">
        <v>1471.6</v>
      </c>
      <c r="S14" s="1">
        <v>1676.8</v>
      </c>
      <c r="T14" s="1">
        <v>1832.5</v>
      </c>
      <c r="U14" s="1">
        <v>2047.8</v>
      </c>
      <c r="V14" s="1">
        <v>2556</v>
      </c>
      <c r="W14" s="1">
        <v>2933.7</v>
      </c>
      <c r="X14" s="1">
        <f t="shared" ref="X14:AG14" si="15">X11*X41</f>
        <v>2472.7460399999995</v>
      </c>
      <c r="Y14" s="1">
        <f t="shared" si="15"/>
        <v>2077.9950600000002</v>
      </c>
      <c r="Z14" s="1">
        <f t="shared" si="15"/>
        <v>2406.7937095200004</v>
      </c>
      <c r="AA14" s="1">
        <f t="shared" si="15"/>
        <v>2662.7716510704008</v>
      </c>
      <c r="AB14" s="1">
        <f t="shared" si="15"/>
        <v>2907.0097496349122</v>
      </c>
      <c r="AC14" s="1">
        <f t="shared" si="15"/>
        <v>3161.7315819917067</v>
      </c>
      <c r="AD14" s="1">
        <f t="shared" si="15"/>
        <v>3423.7294621884425</v>
      </c>
      <c r="AE14" s="1">
        <f t="shared" si="15"/>
        <v>3707.593108164659</v>
      </c>
      <c r="AF14" s="1">
        <f t="shared" si="15"/>
        <v>3995.4265189337248</v>
      </c>
      <c r="AG14" s="1">
        <f t="shared" si="15"/>
        <v>4306.0012744494679</v>
      </c>
      <c r="AH14" s="1"/>
      <c r="AI14" s="1"/>
      <c r="AJ14" s="1"/>
      <c r="AK14" s="1"/>
      <c r="AL14" s="1"/>
    </row>
    <row r="15" spans="1:38" x14ac:dyDescent="0.25">
      <c r="A15" s="4"/>
      <c r="B15" s="4" t="s">
        <v>15</v>
      </c>
      <c r="C15" s="5">
        <f t="shared" ref="C15:O15" si="16">+C13-C14</f>
        <v>480.7</v>
      </c>
      <c r="D15" s="5">
        <f t="shared" si="16"/>
        <v>582.39999999999986</v>
      </c>
      <c r="E15" s="5">
        <f t="shared" si="16"/>
        <v>777.80000000000018</v>
      </c>
      <c r="F15" s="5">
        <f t="shared" si="16"/>
        <v>39.000000000000682</v>
      </c>
      <c r="G15" s="5">
        <f t="shared" si="16"/>
        <v>1014.9999999999997</v>
      </c>
      <c r="H15" s="5">
        <f t="shared" si="16"/>
        <v>1174.5</v>
      </c>
      <c r="I15" s="5">
        <f t="shared" si="16"/>
        <v>1416.3</v>
      </c>
      <c r="J15" s="5">
        <f t="shared" si="16"/>
        <v>888.70000000000039</v>
      </c>
      <c r="K15" s="5">
        <f t="shared" si="16"/>
        <v>1481.7999999999997</v>
      </c>
      <c r="L15" s="5">
        <f t="shared" si="16"/>
        <v>1874.0000000000005</v>
      </c>
      <c r="M15" s="5">
        <f t="shared" si="16"/>
        <v>2168.1</v>
      </c>
      <c r="N15" s="5">
        <f t="shared" si="16"/>
        <v>2046.4999999999977</v>
      </c>
      <c r="O15" s="5">
        <f t="shared" si="16"/>
        <v>1229.5</v>
      </c>
      <c r="P15" s="5"/>
      <c r="Q15" s="6"/>
      <c r="R15" s="5">
        <f t="shared" ref="R15:W15" si="17">+R13-R14</f>
        <v>1576.6000000000008</v>
      </c>
      <c r="S15" s="5">
        <f t="shared" si="17"/>
        <v>1993.2</v>
      </c>
      <c r="T15" s="5">
        <f t="shared" si="17"/>
        <v>2039.5000000000018</v>
      </c>
      <c r="U15" s="5">
        <f t="shared" si="17"/>
        <v>2890.2</v>
      </c>
      <c r="V15" s="5">
        <f t="shared" si="17"/>
        <v>5319</v>
      </c>
      <c r="W15" s="5">
        <f t="shared" si="17"/>
        <v>7570.3999999999987</v>
      </c>
      <c r="X15" s="5">
        <f t="shared" ref="X15:AG15" si="18">+X13-X14</f>
        <v>4775.2754599999953</v>
      </c>
      <c r="Y15" s="5">
        <f t="shared" si="18"/>
        <v>3813.3657799999974</v>
      </c>
      <c r="Z15" s="5">
        <f t="shared" si="18"/>
        <v>5312.9670239200013</v>
      </c>
      <c r="AA15" s="5">
        <f t="shared" si="18"/>
        <v>5712.3391140880049</v>
      </c>
      <c r="AB15" s="5">
        <f t="shared" si="18"/>
        <v>6305.0718284289578</v>
      </c>
      <c r="AC15" s="5">
        <f t="shared" si="18"/>
        <v>6909.290540461282</v>
      </c>
      <c r="AD15" s="5">
        <f t="shared" si="18"/>
        <v>7508.8548518623793</v>
      </c>
      <c r="AE15" s="5">
        <f t="shared" si="18"/>
        <v>8161.0664149919976</v>
      </c>
      <c r="AF15" s="5">
        <f t="shared" si="18"/>
        <v>8789.4689246635498</v>
      </c>
      <c r="AG15" s="5">
        <f t="shared" si="18"/>
        <v>9468.1294436362514</v>
      </c>
      <c r="AH15" s="5"/>
      <c r="AI15" s="5"/>
      <c r="AJ15" s="5"/>
      <c r="AK15" s="5"/>
      <c r="AL15" s="5"/>
    </row>
    <row r="16" spans="1:38" x14ac:dyDescent="0.25">
      <c r="B16" t="s">
        <v>44</v>
      </c>
      <c r="C16" s="1">
        <v>31.1</v>
      </c>
      <c r="D16" s="1">
        <v>28.5</v>
      </c>
      <c r="E16" s="1">
        <v>0</v>
      </c>
      <c r="F16" s="1">
        <f t="shared" si="1"/>
        <v>-0.10000000000000142</v>
      </c>
      <c r="G16" s="1">
        <v>14</v>
      </c>
      <c r="H16" s="1">
        <v>0</v>
      </c>
      <c r="I16" s="1">
        <v>0</v>
      </c>
      <c r="J16" s="1">
        <f t="shared" si="2"/>
        <v>0</v>
      </c>
      <c r="K16" s="1">
        <v>0</v>
      </c>
      <c r="L16" s="1">
        <v>0</v>
      </c>
      <c r="M16" s="1">
        <v>0</v>
      </c>
      <c r="N16" s="1">
        <f t="shared" si="3"/>
        <v>0</v>
      </c>
      <c r="O16" s="1">
        <v>0</v>
      </c>
      <c r="R16" s="1">
        <v>0</v>
      </c>
      <c r="S16" s="1">
        <f>2.8+18.8</f>
        <v>21.6</v>
      </c>
      <c r="T16" s="1">
        <v>53.9</v>
      </c>
      <c r="U16" s="1">
        <v>59.5</v>
      </c>
      <c r="V16" s="1">
        <v>14</v>
      </c>
      <c r="W16" s="1">
        <v>0</v>
      </c>
      <c r="X16" s="1">
        <f t="shared" ref="X16:AH16" si="19">W30*0.005</f>
        <v>102.73850000000003</v>
      </c>
      <c r="Y16" s="1">
        <f t="shared" si="19"/>
        <v>120.24756804799999</v>
      </c>
      <c r="Z16" s="1">
        <f t="shared" si="19"/>
        <v>133.99282309010241</v>
      </c>
      <c r="AA16" s="1">
        <f t="shared" si="19"/>
        <v>153.35134227783976</v>
      </c>
      <c r="AB16" s="1">
        <f t="shared" si="19"/>
        <v>174.10745258925155</v>
      </c>
      <c r="AC16" s="1">
        <f t="shared" si="19"/>
        <v>196.98725933122824</v>
      </c>
      <c r="AD16" s="1">
        <f t="shared" si="19"/>
        <v>222.02124237712749</v>
      </c>
      <c r="AE16" s="1">
        <f t="shared" si="19"/>
        <v>249.17835911146634</v>
      </c>
      <c r="AF16" s="1">
        <f t="shared" si="19"/>
        <v>278.64550566194487</v>
      </c>
      <c r="AG16" s="1">
        <f t="shared" si="19"/>
        <v>310.31788544056229</v>
      </c>
      <c r="AH16" s="1"/>
      <c r="AI16" s="1"/>
      <c r="AJ16" s="1"/>
      <c r="AK16" s="1"/>
      <c r="AL16" s="1"/>
    </row>
    <row r="17" spans="1:110" x14ac:dyDescent="0.25">
      <c r="B17" t="s">
        <v>39</v>
      </c>
      <c r="C17" s="1">
        <v>0</v>
      </c>
      <c r="D17" s="1">
        <v>0</v>
      </c>
      <c r="E17" s="1">
        <v>0</v>
      </c>
      <c r="F17" s="1">
        <f t="shared" si="1"/>
        <v>0</v>
      </c>
      <c r="G17" s="1">
        <v>0</v>
      </c>
      <c r="H17" s="1">
        <v>0</v>
      </c>
      <c r="I17" s="1">
        <v>18.100000000000001</v>
      </c>
      <c r="J17" s="1">
        <f t="shared" si="2"/>
        <v>0</v>
      </c>
      <c r="K17" s="1">
        <v>0</v>
      </c>
      <c r="L17" s="1">
        <v>0</v>
      </c>
      <c r="M17" s="1">
        <v>0</v>
      </c>
      <c r="N17" s="1">
        <f t="shared" si="3"/>
        <v>0</v>
      </c>
      <c r="O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18.100000000000001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110" x14ac:dyDescent="0.25">
      <c r="B18" t="s">
        <v>46</v>
      </c>
      <c r="C18" s="1">
        <v>11.5</v>
      </c>
      <c r="D18" s="1">
        <v>10.4</v>
      </c>
      <c r="E18" s="1">
        <v>4.5999999999999996</v>
      </c>
      <c r="F18" s="1">
        <f t="shared" si="1"/>
        <v>6.8999999999999986</v>
      </c>
      <c r="G18" s="1">
        <v>5.3</v>
      </c>
      <c r="H18" s="1">
        <v>5.4</v>
      </c>
      <c r="I18" s="1">
        <v>17.399999999999999</v>
      </c>
      <c r="J18" s="1">
        <f t="shared" si="2"/>
        <v>13.900000000000002</v>
      </c>
      <c r="K18" s="1">
        <v>15.5</v>
      </c>
      <c r="L18" s="1">
        <v>9.3000000000000007</v>
      </c>
      <c r="M18" s="1">
        <v>15.1</v>
      </c>
      <c r="N18" s="1">
        <f t="shared" si="3"/>
        <v>19.399999999999991</v>
      </c>
      <c r="O18" s="1">
        <v>37.700000000000003</v>
      </c>
      <c r="R18" s="1">
        <v>25.5</v>
      </c>
      <c r="S18" s="1">
        <v>45.3</v>
      </c>
      <c r="T18" s="1">
        <v>31.9</v>
      </c>
      <c r="U18" s="1">
        <v>33.4</v>
      </c>
      <c r="V18" s="1">
        <v>42</v>
      </c>
      <c r="W18" s="1">
        <v>59.3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110" s="4" customFormat="1" x14ac:dyDescent="0.25">
      <c r="B19" s="4" t="s">
        <v>45</v>
      </c>
      <c r="C19" s="5">
        <f t="shared" ref="C19:O19" si="20">+C15+C16-C17+C18</f>
        <v>523.29999999999995</v>
      </c>
      <c r="D19" s="5">
        <f t="shared" si="20"/>
        <v>621.29999999999984</v>
      </c>
      <c r="E19" s="5">
        <f t="shared" si="20"/>
        <v>782.4000000000002</v>
      </c>
      <c r="F19" s="5">
        <f t="shared" si="20"/>
        <v>45.800000000000679</v>
      </c>
      <c r="G19" s="5">
        <f t="shared" si="20"/>
        <v>1034.2999999999995</v>
      </c>
      <c r="H19" s="5">
        <f t="shared" si="20"/>
        <v>1179.9000000000001</v>
      </c>
      <c r="I19" s="5">
        <f t="shared" si="20"/>
        <v>1415.6000000000001</v>
      </c>
      <c r="J19" s="5">
        <f t="shared" si="20"/>
        <v>902.60000000000036</v>
      </c>
      <c r="K19" s="5">
        <f t="shared" si="20"/>
        <v>1497.2999999999997</v>
      </c>
      <c r="L19" s="5">
        <f t="shared" si="20"/>
        <v>1883.3000000000004</v>
      </c>
      <c r="M19" s="5">
        <f t="shared" si="20"/>
        <v>2183.1999999999998</v>
      </c>
      <c r="N19" s="5">
        <f t="shared" si="20"/>
        <v>2065.8999999999978</v>
      </c>
      <c r="O19" s="5">
        <f t="shared" si="20"/>
        <v>1267.2</v>
      </c>
      <c r="P19" s="5"/>
      <c r="Q19" s="6"/>
      <c r="R19" s="5">
        <f>+R15+R16-R17+R18</f>
        <v>1602.1000000000008</v>
      </c>
      <c r="S19" s="5">
        <f>+S15+S16-S17+S18</f>
        <v>2060.1</v>
      </c>
      <c r="T19" s="5">
        <f>+T15+T16-T17+T18</f>
        <v>2125.300000000002</v>
      </c>
      <c r="U19" s="5">
        <f>+U15+U16-U17+U18</f>
        <v>2983.1</v>
      </c>
      <c r="V19" s="5">
        <f>+V15+V16-V17+V18</f>
        <v>5356.9</v>
      </c>
      <c r="W19" s="5">
        <f t="shared" ref="W19:AG19" si="21">+W15+W16-W17+W18</f>
        <v>7629.6999999999989</v>
      </c>
      <c r="X19" s="5">
        <f t="shared" si="21"/>
        <v>4878.0139599999957</v>
      </c>
      <c r="Y19" s="5">
        <f t="shared" si="21"/>
        <v>3933.6133480479975</v>
      </c>
      <c r="Z19" s="5">
        <f t="shared" si="21"/>
        <v>5446.9598470101037</v>
      </c>
      <c r="AA19" s="5">
        <f t="shared" si="21"/>
        <v>5865.6904563658445</v>
      </c>
      <c r="AB19" s="5">
        <f t="shared" si="21"/>
        <v>6479.1792810182096</v>
      </c>
      <c r="AC19" s="5">
        <f t="shared" si="21"/>
        <v>7106.2777997925105</v>
      </c>
      <c r="AD19" s="5">
        <f t="shared" si="21"/>
        <v>7730.8760942395065</v>
      </c>
      <c r="AE19" s="5">
        <f t="shared" si="21"/>
        <v>8410.2447741034648</v>
      </c>
      <c r="AF19" s="5">
        <f t="shared" si="21"/>
        <v>9068.1144303254951</v>
      </c>
      <c r="AG19" s="5">
        <f t="shared" si="21"/>
        <v>9778.4473290768128</v>
      </c>
      <c r="AH19" s="5"/>
      <c r="AI19" s="5"/>
      <c r="AJ19" s="5"/>
      <c r="AK19" s="5"/>
      <c r="AL19" s="5"/>
    </row>
    <row r="20" spans="1:110" x14ac:dyDescent="0.25">
      <c r="A20" s="4"/>
      <c r="B20" t="s">
        <v>16</v>
      </c>
      <c r="C20" s="1">
        <v>90.8</v>
      </c>
      <c r="D20" s="1">
        <v>137.30000000000001</v>
      </c>
      <c r="E20" s="1">
        <v>149.5</v>
      </c>
      <c r="F20" s="1">
        <f t="shared" si="1"/>
        <v>224.89999999999998</v>
      </c>
      <c r="G20" s="1">
        <v>239.1</v>
      </c>
      <c r="H20" s="1">
        <v>246</v>
      </c>
      <c r="I20" s="1">
        <v>299.10000000000002</v>
      </c>
      <c r="J20" s="1">
        <f t="shared" si="2"/>
        <v>380.79999999999995</v>
      </c>
      <c r="K20" s="1">
        <v>351.5</v>
      </c>
      <c r="L20" s="1">
        <v>441</v>
      </c>
      <c r="M20" s="1">
        <v>524</v>
      </c>
      <c r="N20" s="1">
        <f t="shared" si="3"/>
        <v>417.59999999999991</v>
      </c>
      <c r="O20" s="1">
        <v>298.89999999999998</v>
      </c>
      <c r="Q20" s="6"/>
      <c r="R20" s="1">
        <v>563.70000000000005</v>
      </c>
      <c r="S20" s="1">
        <v>597.70000000000005</v>
      </c>
      <c r="T20" s="1">
        <v>506.7</v>
      </c>
      <c r="U20" s="1">
        <v>602.5</v>
      </c>
      <c r="V20" s="1">
        <v>1165</v>
      </c>
      <c r="W20" s="1">
        <v>1734.1</v>
      </c>
      <c r="X20" s="1">
        <f t="shared" ref="X20:AG20" si="22">X19*X38</f>
        <v>1170.7233503999989</v>
      </c>
      <c r="Y20" s="1">
        <f t="shared" si="22"/>
        <v>944.06720353151934</v>
      </c>
      <c r="Z20" s="1">
        <f t="shared" si="22"/>
        <v>1307.2703632824248</v>
      </c>
      <c r="AA20" s="1">
        <f t="shared" si="22"/>
        <v>1407.7657095278025</v>
      </c>
      <c r="AB20" s="1">
        <f t="shared" si="22"/>
        <v>1555.0030274443702</v>
      </c>
      <c r="AC20" s="1">
        <f t="shared" si="22"/>
        <v>1705.5066719502024</v>
      </c>
      <c r="AD20" s="1">
        <f t="shared" si="22"/>
        <v>1855.4102626174815</v>
      </c>
      <c r="AE20" s="1">
        <f t="shared" si="22"/>
        <v>2018.4587457848315</v>
      </c>
      <c r="AF20" s="1">
        <f t="shared" si="22"/>
        <v>2176.3474632781185</v>
      </c>
      <c r="AG20" s="1">
        <f t="shared" si="22"/>
        <v>2346.8273589784349</v>
      </c>
      <c r="AH20" s="1"/>
      <c r="AI20" s="1"/>
      <c r="AJ20" s="1"/>
      <c r="AK20" s="1"/>
      <c r="AL20" s="1"/>
    </row>
    <row r="21" spans="1:110" x14ac:dyDescent="0.25">
      <c r="B21" s="4" t="s">
        <v>17</v>
      </c>
      <c r="C21" s="5">
        <f t="shared" ref="C21:N21" si="23">+C19-C20</f>
        <v>432.49999999999994</v>
      </c>
      <c r="D21" s="5">
        <f t="shared" si="23"/>
        <v>483.99999999999983</v>
      </c>
      <c r="E21" s="5">
        <f t="shared" si="23"/>
        <v>632.9000000000002</v>
      </c>
      <c r="F21" s="5">
        <f t="shared" si="23"/>
        <v>-179.09999999999928</v>
      </c>
      <c r="G21" s="5">
        <f t="shared" si="23"/>
        <v>795.19999999999948</v>
      </c>
      <c r="H21" s="5">
        <f t="shared" si="23"/>
        <v>933.90000000000009</v>
      </c>
      <c r="I21" s="5">
        <f t="shared" si="23"/>
        <v>1116.5</v>
      </c>
      <c r="J21" s="5">
        <f t="shared" si="23"/>
        <v>521.80000000000041</v>
      </c>
      <c r="K21" s="5">
        <f t="shared" si="23"/>
        <v>1145.7999999999997</v>
      </c>
      <c r="L21" s="5">
        <f t="shared" si="23"/>
        <v>1442.3000000000004</v>
      </c>
      <c r="M21" s="5">
        <f t="shared" si="23"/>
        <v>1659.1999999999998</v>
      </c>
      <c r="N21" s="5">
        <f t="shared" si="23"/>
        <v>1648.2999999999979</v>
      </c>
      <c r="O21" s="5">
        <f>+O19-O20</f>
        <v>968.30000000000007</v>
      </c>
      <c r="P21" s="5"/>
      <c r="R21" s="5">
        <f t="shared" ref="R21:W21" si="24">+R19-R20</f>
        <v>1038.4000000000008</v>
      </c>
      <c r="S21" s="5">
        <f t="shared" si="24"/>
        <v>1462.3999999999999</v>
      </c>
      <c r="T21" s="5">
        <f t="shared" si="24"/>
        <v>1618.600000000002</v>
      </c>
      <c r="U21" s="5">
        <f t="shared" si="24"/>
        <v>2380.6</v>
      </c>
      <c r="V21" s="5">
        <f t="shared" si="24"/>
        <v>4191.8999999999996</v>
      </c>
      <c r="W21" s="5">
        <f t="shared" si="24"/>
        <v>5895.5999999999985</v>
      </c>
      <c r="X21" s="5">
        <f t="shared" ref="X21:AG21" si="25">+X15-X16-X20-X17</f>
        <v>3501.8136095999962</v>
      </c>
      <c r="Y21" s="5">
        <f t="shared" si="25"/>
        <v>2749.051008420478</v>
      </c>
      <c r="Z21" s="5">
        <f t="shared" si="25"/>
        <v>3871.703837547474</v>
      </c>
      <c r="AA21" s="5">
        <f t="shared" si="25"/>
        <v>4151.2220622823625</v>
      </c>
      <c r="AB21" s="5">
        <f t="shared" si="25"/>
        <v>4575.9613483953362</v>
      </c>
      <c r="AC21" s="5">
        <f t="shared" si="25"/>
        <v>5006.7966091798517</v>
      </c>
      <c r="AD21" s="5">
        <f t="shared" si="25"/>
        <v>5431.4233468677703</v>
      </c>
      <c r="AE21" s="5">
        <f t="shared" si="25"/>
        <v>5893.4293100957002</v>
      </c>
      <c r="AF21" s="5">
        <f t="shared" si="25"/>
        <v>6334.4759557234865</v>
      </c>
      <c r="AG21" s="5">
        <f t="shared" si="25"/>
        <v>6810.9841992172551</v>
      </c>
      <c r="AH21" s="5">
        <f>+AG21*(1+Dash!$C$2)</f>
        <v>6708.819436228996</v>
      </c>
      <c r="AI21" s="5">
        <f>+AH21*(1+Dash!$C$2)</f>
        <v>6608.1871446855612</v>
      </c>
      <c r="AJ21" s="5">
        <f>+AI21*(1+Dash!$C$2)</f>
        <v>6509.0643375152777</v>
      </c>
      <c r="AK21" s="5">
        <f>+AJ21*(1+Dash!$C$2)</f>
        <v>6411.4283724525485</v>
      </c>
      <c r="AL21" s="5">
        <f>+AK21*(1+Dash!$C$2)</f>
        <v>6315.2569468657603</v>
      </c>
      <c r="AM21" s="5">
        <f>+AL21*(1+Dash!$C$2)</f>
        <v>6220.5280926627738</v>
      </c>
      <c r="AN21" s="5">
        <f>+AM21*(1+Dash!$C$2)</f>
        <v>6127.220171272832</v>
      </c>
      <c r="AO21" s="5">
        <f>+AN21*(1+Dash!$C$2)</f>
        <v>6035.3118687037395</v>
      </c>
      <c r="AP21" s="5">
        <f>+AO21*(1+Dash!$C$2)</f>
        <v>5944.7821906731833</v>
      </c>
      <c r="AQ21" s="5">
        <f>+AP21*(1+Dash!$C$2)</f>
        <v>5855.6104578130853</v>
      </c>
      <c r="AR21" s="5">
        <f>+AQ21*(1+Dash!$C$2)</f>
        <v>5767.7763009458886</v>
      </c>
      <c r="AS21" s="5">
        <f>+AR21*(1+Dash!$C$2)</f>
        <v>5681.2596564317</v>
      </c>
      <c r="AT21" s="5">
        <f>+AS21*(1+Dash!$C$2)</f>
        <v>5596.0407615852246</v>
      </c>
      <c r="AU21" s="5">
        <f>+AT21*(1+Dash!$C$2)</f>
        <v>5512.1001501614464</v>
      </c>
      <c r="AV21" s="5">
        <f>+AU21*(1+Dash!$C$2)</f>
        <v>5429.4186479090249</v>
      </c>
      <c r="AW21" s="5">
        <f>+AV21*(1+Dash!$C$2)</f>
        <v>5347.9773681903898</v>
      </c>
      <c r="AX21" s="5">
        <f>+AW21*(1+Dash!$C$2)</f>
        <v>5267.7577076675343</v>
      </c>
      <c r="AY21" s="5">
        <f>+AX21*(1+Dash!$C$2)</f>
        <v>5188.7413420525208</v>
      </c>
      <c r="AZ21" s="5">
        <f>+AY21*(1+Dash!$C$2)</f>
        <v>5110.910221921733</v>
      </c>
      <c r="BA21" s="5">
        <f>+AZ21*(1+Dash!$C$2)</f>
        <v>5034.2465685929064</v>
      </c>
      <c r="BB21" s="5">
        <f>+BA21*(1+Dash!$C$2)</f>
        <v>4958.7328700640128</v>
      </c>
      <c r="BC21" s="5">
        <f>+BB21*(1+Dash!$C$2)</f>
        <v>4884.3518770130522</v>
      </c>
      <c r="BD21" s="5">
        <f>+BC21*(1+Dash!$C$2)</f>
        <v>4811.0865988578562</v>
      </c>
      <c r="BE21" s="5">
        <f>+BD21*(1+Dash!$C$2)</f>
        <v>4738.9202998749879</v>
      </c>
      <c r="BF21" s="5">
        <f>+BE21*(1+Dash!$C$2)</f>
        <v>4667.8364953768632</v>
      </c>
      <c r="BG21" s="5">
        <f>+BF21*(1+Dash!$C$2)</f>
        <v>4597.8189479462098</v>
      </c>
      <c r="BH21" s="5">
        <f>+BG21*(1+Dash!$C$2)</f>
        <v>4528.8516637270168</v>
      </c>
      <c r="BI21" s="5">
        <f>+BH21*(1+Dash!$C$2)</f>
        <v>4460.9188887711116</v>
      </c>
      <c r="BJ21" s="5">
        <f>+BI21*(1+Dash!$C$2)</f>
        <v>4394.0051054395444</v>
      </c>
      <c r="BK21" s="5">
        <f>+BJ21*(1+Dash!$C$2)</f>
        <v>4328.0950288579515</v>
      </c>
      <c r="BL21" s="5">
        <f>+BK21*(1+Dash!$C$2)</f>
        <v>4263.1736034250825</v>
      </c>
      <c r="BM21" s="5">
        <f>+BL21*(1+Dash!$C$2)</f>
        <v>4199.2259993737061</v>
      </c>
      <c r="BN21" s="5">
        <f>+BM21*(1+Dash!$C$2)</f>
        <v>4136.2376093831008</v>
      </c>
      <c r="BO21" s="5">
        <f>+BN21*(1+Dash!$C$2)</f>
        <v>4074.1940452423542</v>
      </c>
      <c r="BP21" s="5">
        <f>+BO21*(1+Dash!$C$2)</f>
        <v>4013.0811345637189</v>
      </c>
      <c r="BQ21" s="5">
        <f>+BP21*(1+Dash!$C$2)</f>
        <v>3952.8849175452633</v>
      </c>
      <c r="BR21" s="5">
        <f>+BQ21*(1+Dash!$C$2)</f>
        <v>3893.5916437820842</v>
      </c>
      <c r="BS21" s="5">
        <f>+BR21*(1+Dash!$C$2)</f>
        <v>3835.187769125353</v>
      </c>
      <c r="BT21" s="5">
        <f>+BS21*(1+Dash!$C$2)</f>
        <v>3777.6599525884726</v>
      </c>
      <c r="BU21" s="5">
        <f>+BT21*(1+Dash!$C$2)</f>
        <v>3720.9950532996454</v>
      </c>
      <c r="BV21" s="5">
        <f>+BU21*(1+Dash!$C$2)</f>
        <v>3665.1801275001508</v>
      </c>
      <c r="BW21" s="5">
        <f>+BV21*(1+Dash!$C$2)</f>
        <v>3610.2024255876486</v>
      </c>
      <c r="BX21" s="5">
        <f>+BW21*(1+Dash!$C$2)</f>
        <v>3556.0493892038339</v>
      </c>
      <c r="BY21" s="5">
        <f>+BX21*(1+Dash!$C$2)</f>
        <v>3502.7086483657763</v>
      </c>
      <c r="BZ21" s="5">
        <f>+BY21*(1+Dash!$C$2)</f>
        <v>3450.1680186402896</v>
      </c>
      <c r="CA21" s="5">
        <f>+BZ21*(1+Dash!$C$2)</f>
        <v>3398.415498360685</v>
      </c>
      <c r="CB21" s="5">
        <f>+CA21*(1+Dash!$C$2)</f>
        <v>3347.4392658852748</v>
      </c>
      <c r="CC21" s="5">
        <f>+CB21*(1+Dash!$C$2)</f>
        <v>3297.2276768969955</v>
      </c>
      <c r="CD21" s="5">
        <f>+CC21*(1+Dash!$C$2)</f>
        <v>3247.7692617435405</v>
      </c>
      <c r="CE21" s="5">
        <f>+CD21*(1+Dash!$C$2)</f>
        <v>3199.0527228173873</v>
      </c>
      <c r="CF21" s="5">
        <f>+CE21*(1+Dash!$C$2)</f>
        <v>3151.0669319751264</v>
      </c>
      <c r="CG21" s="5">
        <f>+CF21*(1+Dash!$C$2)</f>
        <v>3103.8009279954995</v>
      </c>
      <c r="CH21" s="5">
        <f>+CG21*(1+Dash!$C$2)</f>
        <v>3057.2439140755669</v>
      </c>
      <c r="CI21" s="5">
        <f>+CH21*(1+Dash!$C$2)</f>
        <v>3011.3852553644333</v>
      </c>
      <c r="CJ21" s="5">
        <f>+CI21*(1+Dash!$C$2)</f>
        <v>2966.2144765339667</v>
      </c>
      <c r="CK21" s="5">
        <f>+CJ21*(1+Dash!$C$2)</f>
        <v>2921.7212593859572</v>
      </c>
      <c r="CL21" s="5">
        <f>+CK21*(1+Dash!$C$2)</f>
        <v>2877.8954404951678</v>
      </c>
      <c r="CM21" s="5">
        <f>+CL21*(1+Dash!$C$2)</f>
        <v>2834.7270088877403</v>
      </c>
      <c r="CN21" s="5">
        <f>+CM21*(1+Dash!$C$2)</f>
        <v>2792.206103754424</v>
      </c>
      <c r="CO21" s="5">
        <f>+CN21*(1+Dash!$C$2)</f>
        <v>2750.3230121981078</v>
      </c>
      <c r="CP21" s="5">
        <f>+CO21*(1+Dash!$C$2)</f>
        <v>2709.0681670151362</v>
      </c>
      <c r="CQ21" s="5">
        <f>+CP21*(1+Dash!$C$2)</f>
        <v>2668.432144509909</v>
      </c>
      <c r="CR21" s="5">
        <f>+CQ21*(1+Dash!$C$2)</f>
        <v>2628.4056623422603</v>
      </c>
      <c r="CS21" s="5">
        <f>+CR21*(1+Dash!$C$2)</f>
        <v>2588.9795774071263</v>
      </c>
      <c r="CT21" s="5">
        <f>+CS21*(1+Dash!$C$2)</f>
        <v>2550.1448837460193</v>
      </c>
      <c r="CU21" s="5">
        <f>+CT21*(1+Dash!$C$2)</f>
        <v>2511.8927104898289</v>
      </c>
      <c r="CV21" s="5">
        <f>+CU21*(1+Dash!$C$2)</f>
        <v>2474.2143198324816</v>
      </c>
      <c r="CW21" s="5">
        <f>+CV21*(1+Dash!$C$2)</f>
        <v>2437.1011050349944</v>
      </c>
      <c r="CX21" s="5">
        <f>+CW21*(1+Dash!$C$2)</f>
        <v>2400.5445884594692</v>
      </c>
      <c r="CY21" s="5">
        <f>+CX21*(1+Dash!$C$2)</f>
        <v>2364.5364196325772</v>
      </c>
      <c r="CZ21" s="5">
        <f>+CY21*(1+Dash!$C$2)</f>
        <v>2329.0683733380883</v>
      </c>
      <c r="DA21" s="5">
        <f>+CZ21*(1+Dash!$C$2)</f>
        <v>2294.132347738017</v>
      </c>
      <c r="DB21" s="5">
        <f>+DA21*(1+Dash!$C$2)</f>
        <v>2259.7203625219468</v>
      </c>
      <c r="DC21" s="5">
        <f>+DB21*(1+Dash!$C$2)</f>
        <v>2225.8245570841177</v>
      </c>
      <c r="DD21" s="5">
        <f>+DC21*(1+Dash!$C$2)</f>
        <v>2192.4371887278558</v>
      </c>
      <c r="DE21" s="5">
        <f>+DD21*(1+Dash!$C$2)</f>
        <v>2159.5506308969379</v>
      </c>
      <c r="DF21" s="5"/>
    </row>
    <row r="22" spans="1:110" s="1" customFormat="1" x14ac:dyDescent="0.25">
      <c r="A22" s="5"/>
      <c r="B22" s="1" t="s">
        <v>18</v>
      </c>
      <c r="C22" s="1">
        <v>368.3</v>
      </c>
      <c r="D22" s="1">
        <v>365.8</v>
      </c>
      <c r="E22" s="1">
        <v>363.8</v>
      </c>
      <c r="F22" s="1">
        <v>363.8</v>
      </c>
      <c r="G22" s="1">
        <v>364.4</v>
      </c>
      <c r="H22" s="1">
        <v>362.3</v>
      </c>
      <c r="I22" s="1">
        <v>359.7</v>
      </c>
      <c r="J22" s="1">
        <v>359.7</v>
      </c>
      <c r="K22" s="1">
        <v>356.1</v>
      </c>
      <c r="L22" s="1">
        <v>353.1</v>
      </c>
      <c r="M22" s="1">
        <v>350.8</v>
      </c>
      <c r="N22" s="1">
        <v>351.7</v>
      </c>
      <c r="O22" s="1">
        <v>344.2</v>
      </c>
      <c r="Q22" s="20"/>
      <c r="R22" s="1">
        <v>374.3</v>
      </c>
      <c r="S22" s="1">
        <v>376.6</v>
      </c>
      <c r="T22" s="1">
        <v>372.6</v>
      </c>
      <c r="U22" s="1">
        <v>365.5</v>
      </c>
      <c r="V22" s="1">
        <v>361.1</v>
      </c>
      <c r="W22" s="1">
        <v>351.7</v>
      </c>
    </row>
    <row r="23" spans="1:110" x14ac:dyDescent="0.25">
      <c r="A23" s="7"/>
      <c r="B23" s="8" t="s">
        <v>19</v>
      </c>
      <c r="C23" s="7">
        <f t="shared" ref="C23:O23" si="26">+C21/C22</f>
        <v>1.1743144175943523</v>
      </c>
      <c r="D23" s="7">
        <f t="shared" si="26"/>
        <v>1.3231273920174953</v>
      </c>
      <c r="E23" s="7">
        <f t="shared" si="26"/>
        <v>1.7396921385376585</v>
      </c>
      <c r="F23" s="7">
        <f t="shared" si="26"/>
        <v>-0.49230346344144937</v>
      </c>
      <c r="G23" s="7">
        <f t="shared" si="26"/>
        <v>2.182217343578484</v>
      </c>
      <c r="H23" s="7">
        <f t="shared" si="26"/>
        <v>2.5776980402980958</v>
      </c>
      <c r="I23" s="7">
        <f t="shared" si="26"/>
        <v>3.1039755351681957</v>
      </c>
      <c r="J23" s="7">
        <f t="shared" si="26"/>
        <v>1.4506533222129565</v>
      </c>
      <c r="K23" s="7">
        <f t="shared" si="26"/>
        <v>3.217635495647289</v>
      </c>
      <c r="L23" s="7">
        <f t="shared" si="26"/>
        <v>4.0846785613140764</v>
      </c>
      <c r="M23" s="7">
        <f t="shared" si="26"/>
        <v>4.7297605473204101</v>
      </c>
      <c r="N23" s="7">
        <f t="shared" si="26"/>
        <v>4.6866647711117375</v>
      </c>
      <c r="O23" s="7">
        <f t="shared" si="26"/>
        <v>2.8131900058105757</v>
      </c>
      <c r="P23" s="7"/>
      <c r="Q23" s="9"/>
      <c r="R23" s="7">
        <f>+R21/R22</f>
        <v>2.7742452578145893</v>
      </c>
      <c r="S23" s="7">
        <f>+S21/S22</f>
        <v>3.8831651619755703</v>
      </c>
      <c r="T23" s="7">
        <f>+T21/T22</f>
        <v>4.344068706387552</v>
      </c>
      <c r="U23" s="7">
        <f>+U21/U22</f>
        <v>6.5132694938440494</v>
      </c>
      <c r="V23" s="7">
        <f>+V21/V22</f>
        <v>11.60869565217391</v>
      </c>
      <c r="W23" s="7">
        <f>+W21/W22</f>
        <v>16.763150412283192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110" x14ac:dyDescent="0.25">
      <c r="A24" s="1"/>
      <c r="B24" s="1"/>
      <c r="C24" s="10"/>
      <c r="D24" s="10"/>
      <c r="E24" s="10"/>
      <c r="F24" s="10"/>
      <c r="G24" s="10"/>
      <c r="H24" s="10"/>
      <c r="I24" s="10"/>
      <c r="J24" s="10"/>
      <c r="L24" s="10"/>
      <c r="M24" s="10"/>
      <c r="N24" s="10"/>
      <c r="O24" s="10"/>
      <c r="P24" s="10"/>
      <c r="Q24" s="1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110" s="1" customFormat="1" x14ac:dyDescent="0.25">
      <c r="B25" s="1" t="s">
        <v>26</v>
      </c>
      <c r="F25" s="1">
        <v>3040</v>
      </c>
      <c r="G25" s="1">
        <v>2484.9</v>
      </c>
      <c r="H25" s="1">
        <v>2231.9</v>
      </c>
      <c r="I25" s="1">
        <v>1969.1</v>
      </c>
      <c r="J25" s="1">
        <f>3210+26.8</f>
        <v>3236.8</v>
      </c>
      <c r="K25" s="1">
        <v>2464.6</v>
      </c>
      <c r="L25" s="1">
        <v>1689.1</v>
      </c>
      <c r="M25" s="1">
        <v>1684.3</v>
      </c>
      <c r="N25" s="1">
        <f>2540.5+32.4</f>
        <v>2572.9</v>
      </c>
      <c r="O25" s="1">
        <f>2591.1+21.4</f>
        <v>2612.5</v>
      </c>
      <c r="Q25" s="11"/>
      <c r="S25" s="1">
        <v>1506</v>
      </c>
      <c r="T25" s="1">
        <v>1514</v>
      </c>
      <c r="U25" s="1">
        <v>3040</v>
      </c>
      <c r="V25" s="1">
        <f>3210+26.8</f>
        <v>3236.8</v>
      </c>
      <c r="W25" s="1">
        <f>2540.5+32.4</f>
        <v>2572.9</v>
      </c>
    </row>
    <row r="26" spans="1:110" s="1" customFormat="1" x14ac:dyDescent="0.25">
      <c r="B26" s="1" t="s">
        <v>29</v>
      </c>
      <c r="F26" s="1">
        <f>12237+1529</f>
        <v>13766</v>
      </c>
      <c r="G26" s="1">
        <f>13576.5+1438.9</f>
        <v>15015.4</v>
      </c>
      <c r="H26" s="1">
        <f>14476+1755</f>
        <v>16231</v>
      </c>
      <c r="I26" s="1">
        <f>16011.7+1644.1</f>
        <v>17655.8</v>
      </c>
      <c r="J26" s="1">
        <f>16479.1+2027</f>
        <v>18506.099999999999</v>
      </c>
      <c r="K26" s="1">
        <f>18202.5+1833.3</f>
        <v>20035.8</v>
      </c>
      <c r="L26" s="1">
        <f>19846.5+2242.8</f>
        <v>22089.3</v>
      </c>
      <c r="M26" s="1">
        <f>21699+2082.5</f>
        <v>23781.5</v>
      </c>
      <c r="N26" s="1">
        <f>21655.7+2386</f>
        <v>24041.7</v>
      </c>
      <c r="O26" s="1">
        <f>22445.3+1782.7</f>
        <v>24228</v>
      </c>
      <c r="Q26" s="11"/>
      <c r="S26" s="1">
        <f>10395+796.4</f>
        <v>11191.4</v>
      </c>
      <c r="T26" s="1">
        <f>11282+1072</f>
        <v>12354</v>
      </c>
      <c r="U26" s="1">
        <f>12237+1529</f>
        <v>13766</v>
      </c>
      <c r="V26" s="1">
        <f>16479.1+2027</f>
        <v>18506.099999999999</v>
      </c>
      <c r="W26" s="1">
        <f>21655.7+2386</f>
        <v>24041.7</v>
      </c>
    </row>
    <row r="27" spans="1:110" s="1" customFormat="1" x14ac:dyDescent="0.25">
      <c r="B27" s="1" t="s">
        <v>30</v>
      </c>
      <c r="F27" s="1">
        <v>683.7</v>
      </c>
      <c r="G27" s="1">
        <v>748.4</v>
      </c>
      <c r="H27" s="1">
        <v>895</v>
      </c>
      <c r="I27" s="1">
        <v>367</v>
      </c>
      <c r="J27" s="1">
        <v>392.9</v>
      </c>
      <c r="K27" s="1">
        <v>410.4</v>
      </c>
      <c r="L27" s="1">
        <v>434</v>
      </c>
      <c r="M27" s="1">
        <v>481.3</v>
      </c>
      <c r="N27" s="1">
        <v>471.6</v>
      </c>
      <c r="O27" s="1">
        <v>501.7</v>
      </c>
      <c r="Q27" s="11"/>
      <c r="S27" s="1">
        <v>401.1</v>
      </c>
      <c r="T27" s="1">
        <v>462.2</v>
      </c>
      <c r="U27" s="1">
        <v>683.7</v>
      </c>
      <c r="V27" s="1">
        <v>392.9</v>
      </c>
      <c r="W27" s="1">
        <v>471.6</v>
      </c>
    </row>
    <row r="28" spans="1:110" s="1" customFormat="1" x14ac:dyDescent="0.25">
      <c r="B28" s="1" t="s">
        <v>27</v>
      </c>
      <c r="F28" s="1">
        <v>4283.3</v>
      </c>
      <c r="G28" s="1">
        <v>4225.6000000000004</v>
      </c>
      <c r="H28" s="1">
        <v>4472.3</v>
      </c>
      <c r="I28" s="1">
        <v>4416</v>
      </c>
      <c r="J28" s="1">
        <v>5412.4</v>
      </c>
      <c r="K28" s="1">
        <v>5255.3</v>
      </c>
      <c r="L28" s="1">
        <v>5570</v>
      </c>
      <c r="M28" s="1">
        <v>5975</v>
      </c>
      <c r="N28" s="1">
        <v>6066.9</v>
      </c>
      <c r="O28" s="1">
        <v>5690.3</v>
      </c>
      <c r="Q28" s="11"/>
      <c r="S28" s="1">
        <v>3203.5</v>
      </c>
      <c r="T28" s="1">
        <v>3399</v>
      </c>
      <c r="U28" s="1">
        <v>4283.3</v>
      </c>
      <c r="V28" s="1">
        <v>5412.4</v>
      </c>
      <c r="W28" s="1">
        <v>6066.9</v>
      </c>
    </row>
    <row r="29" spans="1:110" s="1" customFormat="1" x14ac:dyDescent="0.25">
      <c r="B29" s="5" t="s">
        <v>32</v>
      </c>
      <c r="F29" s="1">
        <f>F25-F28</f>
        <v>-1243.3000000000002</v>
      </c>
      <c r="G29" s="1">
        <f t="shared" ref="G29:O29" si="27">G25-G28</f>
        <v>-1740.7000000000003</v>
      </c>
      <c r="H29" s="1">
        <f t="shared" si="27"/>
        <v>-2240.4</v>
      </c>
      <c r="I29" s="1">
        <f t="shared" si="27"/>
        <v>-2446.9</v>
      </c>
      <c r="J29" s="1">
        <f t="shared" si="27"/>
        <v>-2175.5999999999995</v>
      </c>
      <c r="K29" s="1">
        <f t="shared" si="27"/>
        <v>-2790.7000000000003</v>
      </c>
      <c r="L29" s="1">
        <f t="shared" si="27"/>
        <v>-3880.9</v>
      </c>
      <c r="M29" s="1">
        <f t="shared" si="27"/>
        <v>-4290.7</v>
      </c>
      <c r="N29" s="1">
        <f t="shared" si="27"/>
        <v>-3493.9999999999995</v>
      </c>
      <c r="O29" s="1">
        <f t="shared" si="27"/>
        <v>-3077.8</v>
      </c>
      <c r="Q29" s="11"/>
      <c r="S29" s="1">
        <f t="shared" ref="S29:W29" si="28">S25-S28</f>
        <v>-1697.5</v>
      </c>
      <c r="T29" s="1">
        <f t="shared" si="28"/>
        <v>-1885</v>
      </c>
      <c r="U29" s="1">
        <f t="shared" si="28"/>
        <v>-1243.3000000000002</v>
      </c>
      <c r="V29" s="1">
        <f t="shared" si="28"/>
        <v>-2175.5999999999995</v>
      </c>
      <c r="W29" s="1">
        <f t="shared" si="28"/>
        <v>-3493.9999999999995</v>
      </c>
      <c r="X29" s="1">
        <f t="shared" ref="X29:AH29" si="29">X21+W29</f>
        <v>7.8136095999966528</v>
      </c>
      <c r="Y29" s="1">
        <f t="shared" si="29"/>
        <v>2756.8646180204746</v>
      </c>
      <c r="Z29" s="1">
        <f t="shared" si="29"/>
        <v>6628.5684555679491</v>
      </c>
      <c r="AA29" s="1">
        <f t="shared" si="29"/>
        <v>10779.790517850312</v>
      </c>
      <c r="AB29" s="1">
        <f t="shared" si="29"/>
        <v>15355.751866245648</v>
      </c>
      <c r="AC29" s="1">
        <f t="shared" si="29"/>
        <v>20362.548475425501</v>
      </c>
      <c r="AD29" s="1">
        <f t="shared" si="29"/>
        <v>25793.971822293272</v>
      </c>
      <c r="AE29" s="1">
        <f t="shared" si="29"/>
        <v>31687.401132388972</v>
      </c>
      <c r="AF29" s="1">
        <f t="shared" si="29"/>
        <v>38021.877088112458</v>
      </c>
      <c r="AG29" s="1">
        <f t="shared" si="29"/>
        <v>44832.86128732971</v>
      </c>
    </row>
    <row r="30" spans="1:110" s="1" customFormat="1" x14ac:dyDescent="0.25">
      <c r="B30" s="5" t="s">
        <v>66</v>
      </c>
      <c r="F30" s="1">
        <f>+F25+F26-F28</f>
        <v>12522.7</v>
      </c>
      <c r="G30" s="1">
        <f t="shared" ref="G30:M30" si="30">+G25+G26-G28</f>
        <v>13274.699999999999</v>
      </c>
      <c r="H30" s="1">
        <f t="shared" si="30"/>
        <v>13990.600000000002</v>
      </c>
      <c r="I30" s="1">
        <f t="shared" si="30"/>
        <v>15208.899999999998</v>
      </c>
      <c r="J30" s="1">
        <f t="shared" si="30"/>
        <v>16330.499999999998</v>
      </c>
      <c r="K30" s="1">
        <f t="shared" si="30"/>
        <v>17245.099999999999</v>
      </c>
      <c r="L30" s="1">
        <f t="shared" si="30"/>
        <v>18208.399999999998</v>
      </c>
      <c r="M30" s="1">
        <f t="shared" si="30"/>
        <v>19490.8</v>
      </c>
      <c r="N30" s="1">
        <f>+N25+N26-N28</f>
        <v>20547.700000000004</v>
      </c>
      <c r="O30" s="1">
        <f>+O25+O26-O28</f>
        <v>21150.2</v>
      </c>
      <c r="Q30" s="11"/>
      <c r="S30" s="1">
        <f>+S25+S26-S28</f>
        <v>9493.9</v>
      </c>
      <c r="T30" s="1">
        <f>+T25+T26-T28</f>
        <v>10469</v>
      </c>
      <c r="U30" s="1">
        <f>+U25+U26-U28</f>
        <v>12522.7</v>
      </c>
      <c r="V30" s="1">
        <f>+V25+V26-V28</f>
        <v>16330.499999999998</v>
      </c>
      <c r="W30" s="1">
        <f>+W25+W26-W28</f>
        <v>20547.700000000004</v>
      </c>
      <c r="X30" s="1">
        <f t="shared" ref="X30:AH30" si="31">W30+X21</f>
        <v>24049.513609599999</v>
      </c>
      <c r="Y30" s="1">
        <f t="shared" si="31"/>
        <v>26798.564618020479</v>
      </c>
      <c r="Z30" s="1">
        <f t="shared" si="31"/>
        <v>30670.268455567952</v>
      </c>
      <c r="AA30" s="1">
        <f t="shared" si="31"/>
        <v>34821.49051785031</v>
      </c>
      <c r="AB30" s="1">
        <f t="shared" si="31"/>
        <v>39397.451866245647</v>
      </c>
      <c r="AC30" s="1">
        <f t="shared" si="31"/>
        <v>44404.248475425498</v>
      </c>
      <c r="AD30" s="1">
        <f t="shared" si="31"/>
        <v>49835.671822293269</v>
      </c>
      <c r="AE30" s="1">
        <f t="shared" si="31"/>
        <v>55729.101132388969</v>
      </c>
      <c r="AF30" s="1">
        <f t="shared" si="31"/>
        <v>62063.577088112455</v>
      </c>
      <c r="AG30" s="1">
        <f t="shared" si="31"/>
        <v>68874.561287329707</v>
      </c>
    </row>
    <row r="31" spans="1:110" x14ac:dyDescent="0.25">
      <c r="A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2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110" s="15" customFormat="1" x14ac:dyDescent="0.25">
      <c r="B32" s="1" t="s">
        <v>61</v>
      </c>
      <c r="C32" s="15">
        <f t="shared" ref="C32:L32" si="32">(C3-C7)/C3</f>
        <v>0.24589818730587681</v>
      </c>
      <c r="D32" s="15">
        <f t="shared" si="32"/>
        <v>0.21515825178190823</v>
      </c>
      <c r="E32" s="15">
        <f t="shared" si="32"/>
        <v>0.21931407942238274</v>
      </c>
      <c r="F32" s="15">
        <f t="shared" si="32"/>
        <v>0.19379194630872437</v>
      </c>
      <c r="G32" s="15">
        <f t="shared" si="32"/>
        <v>0.24589818730587681</v>
      </c>
      <c r="H32" s="15">
        <f t="shared" si="32"/>
        <v>0.25184753014391287</v>
      </c>
      <c r="I32" s="15">
        <f t="shared" si="32"/>
        <v>0.26432863169557258</v>
      </c>
      <c r="J32" s="15">
        <f t="shared" si="32"/>
        <v>0.27365398798862101</v>
      </c>
      <c r="K32" s="15">
        <f t="shared" si="32"/>
        <v>0.27946036896821103</v>
      </c>
      <c r="L32" s="15">
        <f t="shared" si="32"/>
        <v>0.29439140174951994</v>
      </c>
      <c r="M32" s="15">
        <f>(M3-M7)/M3</f>
        <v>0.30733889928506303</v>
      </c>
      <c r="N32" s="15">
        <f>(N3-N7)/N3</f>
        <v>0.28965708613936414</v>
      </c>
      <c r="O32" s="15">
        <f>(O3-O7)/O3</f>
        <v>0.2461545340726167</v>
      </c>
      <c r="Q32" s="16"/>
      <c r="R32" s="15">
        <f t="shared" ref="R32:U32" si="33">(R3-R7)/R3</f>
        <v>0.19961620718952344</v>
      </c>
      <c r="S32" s="15">
        <f t="shared" si="33"/>
        <v>0.21337246806863636</v>
      </c>
      <c r="T32" s="15">
        <f t="shared" si="33"/>
        <v>0.20243426883308718</v>
      </c>
      <c r="U32" s="15">
        <f t="shared" si="33"/>
        <v>0.2205329025397734</v>
      </c>
      <c r="V32" s="15">
        <f>(V3-V7)/V3</f>
        <v>0.26013131084446456</v>
      </c>
      <c r="W32" s="15">
        <f>(W3-W7)/W3</f>
        <v>0.29326746532670889</v>
      </c>
      <c r="X32" s="15">
        <v>0.24</v>
      </c>
      <c r="Y32" s="15">
        <v>0.22</v>
      </c>
      <c r="Z32" s="15">
        <v>0.25</v>
      </c>
      <c r="AA32" s="15">
        <v>0.24</v>
      </c>
      <c r="AB32" s="15">
        <v>0.24</v>
      </c>
      <c r="AC32" s="15">
        <v>0.24</v>
      </c>
      <c r="AD32" s="15">
        <v>0.24</v>
      </c>
      <c r="AE32" s="15">
        <v>0.24</v>
      </c>
      <c r="AF32" s="15">
        <v>0.24</v>
      </c>
      <c r="AG32" s="15">
        <v>0.24</v>
      </c>
    </row>
    <row r="33" spans="1:38" s="15" customFormat="1" x14ac:dyDescent="0.25">
      <c r="B33" s="1" t="s">
        <v>62</v>
      </c>
      <c r="C33" s="15">
        <f t="shared" ref="C33:M33" si="34">(C4-C8)/C4</f>
        <v>0.4357894736842105</v>
      </c>
      <c r="D33" s="15">
        <f t="shared" si="34"/>
        <v>0.45962732919254667</v>
      </c>
      <c r="E33" s="15">
        <f t="shared" si="34"/>
        <v>0.44961240310077522</v>
      </c>
      <c r="F33" s="15">
        <f t="shared" si="34"/>
        <v>0.26878130217028373</v>
      </c>
      <c r="G33" s="15">
        <f t="shared" si="34"/>
        <v>0.4357894736842105</v>
      </c>
      <c r="H33" s="15">
        <f t="shared" si="34"/>
        <v>0.40272373540856032</v>
      </c>
      <c r="I33" s="15">
        <f t="shared" si="34"/>
        <v>0.50179211469534046</v>
      </c>
      <c r="J33" s="15">
        <f t="shared" si="34"/>
        <v>0.4066317626527049</v>
      </c>
      <c r="K33" s="15">
        <f t="shared" si="34"/>
        <v>0.41281138790035588</v>
      </c>
      <c r="L33" s="15">
        <f t="shared" si="34"/>
        <v>0.54379562043795615</v>
      </c>
      <c r="M33" s="15">
        <f t="shared" si="34"/>
        <v>0.50399087799315856</v>
      </c>
      <c r="N33" s="15">
        <f t="shared" ref="N33:O33" si="35">(N4-N8)/N4</f>
        <v>0.58041958041958053</v>
      </c>
      <c r="O33" s="15">
        <f t="shared" si="35"/>
        <v>0.7146254458977408</v>
      </c>
      <c r="Q33" s="16"/>
      <c r="R33" s="15">
        <f t="shared" ref="R33:U33" si="36">(R4-R8)/R4</f>
        <v>0.15288788221970556</v>
      </c>
      <c r="S33" s="15">
        <f t="shared" si="36"/>
        <v>0.19559517566858933</v>
      </c>
      <c r="T33" s="15">
        <f t="shared" si="36"/>
        <v>0.2568523430592396</v>
      </c>
      <c r="U33" s="15">
        <f t="shared" si="36"/>
        <v>0.38210399032648124</v>
      </c>
      <c r="V33" s="15">
        <f>(V4-V8)/V4</f>
        <v>0.43726415094339621</v>
      </c>
      <c r="W33" s="15">
        <f>(W4-W8)/W4</f>
        <v>0.52251676780581291</v>
      </c>
      <c r="X33" s="15">
        <v>0.35</v>
      </c>
      <c r="Y33" s="15">
        <v>0.32</v>
      </c>
      <c r="Z33" s="15">
        <v>0.36</v>
      </c>
      <c r="AA33" s="15">
        <v>0.4</v>
      </c>
      <c r="AB33" s="15">
        <v>0.4</v>
      </c>
      <c r="AC33" s="15">
        <v>0.4</v>
      </c>
      <c r="AD33" s="15">
        <v>0.4</v>
      </c>
      <c r="AE33" s="15">
        <v>0.4</v>
      </c>
      <c r="AF33" s="15">
        <v>0.4</v>
      </c>
      <c r="AG33" s="15">
        <v>0.4</v>
      </c>
    </row>
    <row r="34" spans="1:38" s="15" customFormat="1" x14ac:dyDescent="0.25">
      <c r="B34" s="1" t="s">
        <v>63</v>
      </c>
      <c r="J34" s="15">
        <f>(J5-J9)/J5</f>
        <v>0.3940677966101695</v>
      </c>
      <c r="K34" s="15">
        <f>(K5-K9)/K5</f>
        <v>0.54185303514376992</v>
      </c>
      <c r="L34" s="15">
        <f>(L5-L9)/L5</f>
        <v>0.55944369672498884</v>
      </c>
      <c r="M34" s="15">
        <f>(M5-M9)/M5</f>
        <v>0.53600729261622615</v>
      </c>
      <c r="N34" s="15">
        <f>(N5-N9)/N5</f>
        <v>0.17061611374407559</v>
      </c>
      <c r="O34" s="15">
        <f>(O5-O9)/O5</f>
        <v>0.44396946564885498</v>
      </c>
      <c r="Q34" s="16"/>
      <c r="V34" s="15">
        <f>(V5-V9)/V5</f>
        <v>0.3940677966101695</v>
      </c>
      <c r="W34" s="15">
        <f>(W5-W9)/W5</f>
        <v>0.53292826342610733</v>
      </c>
      <c r="X34" s="15">
        <v>0.4</v>
      </c>
      <c r="Y34" s="15">
        <v>0.45</v>
      </c>
      <c r="Z34" s="15">
        <v>0.46</v>
      </c>
      <c r="AA34" s="15">
        <v>0.46</v>
      </c>
      <c r="AB34" s="15">
        <v>0.46</v>
      </c>
      <c r="AC34" s="15">
        <v>0.46</v>
      </c>
      <c r="AD34" s="15">
        <v>0.46</v>
      </c>
      <c r="AE34" s="15">
        <v>0.46</v>
      </c>
      <c r="AF34" s="15">
        <v>0.46</v>
      </c>
      <c r="AG34" s="15">
        <v>0.46</v>
      </c>
    </row>
    <row r="35" spans="1:38" s="15" customFormat="1" x14ac:dyDescent="0.25">
      <c r="B35" s="1" t="s">
        <v>64</v>
      </c>
      <c r="C35" s="15">
        <f t="shared" ref="C35:M35" si="37">(C6-C10)/C6</f>
        <v>0.9556623931623931</v>
      </c>
      <c r="D35" s="15">
        <f t="shared" si="37"/>
        <v>0.91483253588516744</v>
      </c>
      <c r="E35" s="15">
        <f t="shared" si="37"/>
        <v>0.96807151979565775</v>
      </c>
      <c r="F35" s="15">
        <f t="shared" si="37"/>
        <v>0.98828696925329429</v>
      </c>
      <c r="G35" s="15">
        <f t="shared" si="37"/>
        <v>0.9556623931623931</v>
      </c>
      <c r="H35" s="15">
        <f t="shared" si="37"/>
        <v>0.98311111111111105</v>
      </c>
      <c r="I35" s="15">
        <f t="shared" si="37"/>
        <v>0.97032326444091155</v>
      </c>
      <c r="J35" s="15">
        <f t="shared" si="37"/>
        <v>0.95105523125280644</v>
      </c>
      <c r="K35" s="15">
        <f t="shared" si="37"/>
        <v>0.97395550732501346</v>
      </c>
      <c r="L35" s="15">
        <f t="shared" si="37"/>
        <v>0.93156235929761377</v>
      </c>
      <c r="M35" s="15">
        <f t="shared" si="37"/>
        <v>0.9583169484860401</v>
      </c>
      <c r="N35" s="15">
        <f t="shared" ref="N35:O35" si="38">(N6-N10)/N6</f>
        <v>0.70364854802680565</v>
      </c>
      <c r="O35" s="15">
        <f t="shared" si="38"/>
        <v>0.7992700729927007</v>
      </c>
      <c r="Q35" s="16"/>
      <c r="R35" s="15">
        <f t="shared" ref="R35:V35" si="39">(R6-R10)/R6</f>
        <v>0.88497854077253224</v>
      </c>
      <c r="S35" s="15">
        <f t="shared" si="39"/>
        <v>0.86570743405275785</v>
      </c>
      <c r="T35" s="15">
        <f t="shared" si="39"/>
        <v>0.87774507584333261</v>
      </c>
      <c r="U35" s="15">
        <f t="shared" si="39"/>
        <v>0.95930928363822887</v>
      </c>
      <c r="V35" s="15">
        <f t="shared" si="39"/>
        <v>0.9652744050509956</v>
      </c>
      <c r="W35" s="15">
        <f t="shared" ref="W35" si="40">(W6-W10)/W6</f>
        <v>0.91144654088050314</v>
      </c>
      <c r="X35" s="15">
        <v>0.8</v>
      </c>
      <c r="Y35" s="15">
        <v>0.8</v>
      </c>
      <c r="Z35" s="15">
        <v>0.8</v>
      </c>
      <c r="AA35" s="15">
        <v>0.8</v>
      </c>
      <c r="AB35" s="15">
        <v>0.8</v>
      </c>
      <c r="AC35" s="15">
        <v>0.8</v>
      </c>
      <c r="AD35" s="15">
        <v>0.8</v>
      </c>
      <c r="AE35" s="15">
        <v>0.8</v>
      </c>
      <c r="AF35" s="15">
        <v>0.8</v>
      </c>
      <c r="AG35" s="15">
        <v>0.8</v>
      </c>
    </row>
    <row r="36" spans="1:38" x14ac:dyDescent="0.25">
      <c r="A36" s="13"/>
      <c r="B36" s="13" t="s">
        <v>20</v>
      </c>
      <c r="C36" s="13">
        <f t="shared" ref="C36:D36" si="41">C13/C11</f>
        <v>0.23291964085855699</v>
      </c>
      <c r="D36" s="13">
        <f t="shared" si="41"/>
        <v>0.2331555555555555</v>
      </c>
      <c r="E36" s="13">
        <f t="shared" ref="E36:K36" si="42">E13/E11</f>
        <v>0.24217068645640077</v>
      </c>
      <c r="F36" s="13">
        <f t="shared" si="42"/>
        <v>0.11812615955473112</v>
      </c>
      <c r="G36" s="13">
        <f t="shared" si="42"/>
        <v>0.26981157515084098</v>
      </c>
      <c r="H36" s="13">
        <f t="shared" si="42"/>
        <v>0.27858350525058556</v>
      </c>
      <c r="I36" s="13">
        <f t="shared" si="42"/>
        <v>0.28443565878703014</v>
      </c>
      <c r="J36" s="13">
        <f t="shared" si="42"/>
        <v>0.21711555885017714</v>
      </c>
      <c r="K36" s="13">
        <f t="shared" si="42"/>
        <v>0.30449145093146568</v>
      </c>
      <c r="L36" s="13">
        <f>L13/L11</f>
        <v>0.32117764720590081</v>
      </c>
      <c r="M36" s="13">
        <f>M13/M11</f>
        <v>0.33098543468365954</v>
      </c>
      <c r="N36" s="13">
        <f>N13/N11</f>
        <v>0.29862234947508171</v>
      </c>
      <c r="O36" s="13">
        <f>O13/O11</f>
        <v>0.27094987461765274</v>
      </c>
      <c r="P36" s="13"/>
      <c r="Q36" s="14"/>
      <c r="R36" s="13">
        <f t="shared" ref="R36" si="43">R13/R11</f>
        <v>0.21632247533886884</v>
      </c>
      <c r="S36" s="13">
        <f t="shared" ref="S36:V36" si="44">S13/S11</f>
        <v>0.22840428180234004</v>
      </c>
      <c r="T36" s="13">
        <f t="shared" si="44"/>
        <v>0.22008878581700581</v>
      </c>
      <c r="U36" s="13">
        <f t="shared" si="44"/>
        <v>0.24311949190094037</v>
      </c>
      <c r="V36" s="13">
        <f t="shared" si="44"/>
        <v>0.28353856124432925</v>
      </c>
      <c r="W36" s="13">
        <f>W13/W11</f>
        <v>0.31374253285543602</v>
      </c>
      <c r="X36" s="13">
        <f t="shared" ref="X36:AG36" si="45">X13/X11</f>
        <v>0.26380466268990554</v>
      </c>
      <c r="Y36" s="13">
        <f t="shared" si="45"/>
        <v>0.25516060447227423</v>
      </c>
      <c r="Z36" s="13">
        <f t="shared" si="45"/>
        <v>0.28867387481587004</v>
      </c>
      <c r="AA36" s="13">
        <f t="shared" si="45"/>
        <v>0.28307345414363805</v>
      </c>
      <c r="AB36" s="13">
        <f t="shared" si="45"/>
        <v>0.28520280749999971</v>
      </c>
      <c r="AC36" s="13">
        <f t="shared" si="45"/>
        <v>0.28667581909334466</v>
      </c>
      <c r="AD36" s="13">
        <f t="shared" si="45"/>
        <v>0.28738619658214631</v>
      </c>
      <c r="AE36" s="13">
        <f t="shared" si="45"/>
        <v>0.28810587513818947</v>
      </c>
      <c r="AF36" s="13">
        <f t="shared" si="45"/>
        <v>0.28798942602774502</v>
      </c>
      <c r="AG36" s="13">
        <f t="shared" si="45"/>
        <v>0.28789396138444234</v>
      </c>
      <c r="AH36" s="13"/>
      <c r="AI36" s="13"/>
      <c r="AJ36" s="13"/>
      <c r="AK36" s="13"/>
      <c r="AL36" s="13"/>
    </row>
    <row r="37" spans="1:38" x14ac:dyDescent="0.25">
      <c r="A37" s="15"/>
      <c r="B37" s="15" t="s">
        <v>21</v>
      </c>
      <c r="C37" s="15">
        <f t="shared" ref="C37:D37" si="46">C15/C11</f>
        <v>0.11955629616733406</v>
      </c>
      <c r="D37" s="15">
        <f t="shared" si="46"/>
        <v>0.12942222222222219</v>
      </c>
      <c r="E37" s="15">
        <f t="shared" ref="E37:K37" si="47">E15/E11</f>
        <v>0.14430426716141007</v>
      </c>
      <c r="F37" s="15">
        <f t="shared" si="47"/>
        <v>7.2356215213359339E-3</v>
      </c>
      <c r="G37" s="15">
        <f t="shared" si="47"/>
        <v>0.17106549364613877</v>
      </c>
      <c r="H37" s="15">
        <f t="shared" si="47"/>
        <v>0.18218058291582001</v>
      </c>
      <c r="I37" s="15">
        <f t="shared" si="47"/>
        <v>0.19442385305987972</v>
      </c>
      <c r="J37" s="15">
        <f t="shared" si="47"/>
        <v>0.12199708975098157</v>
      </c>
      <c r="K37" s="15">
        <f t="shared" si="47"/>
        <v>0.21008308050018429</v>
      </c>
      <c r="L37" s="15">
        <f>L15/L11</f>
        <v>0.23427928491061389</v>
      </c>
      <c r="M37" s="15">
        <f>M15/M11</f>
        <v>0.24671142467000454</v>
      </c>
      <c r="N37" s="15">
        <f>N15/N11</f>
        <v>0.2123013403045767</v>
      </c>
      <c r="O37" s="15">
        <f>O15/O11</f>
        <v>0.16940395161068092</v>
      </c>
      <c r="P37" s="15"/>
      <c r="Q37" s="16"/>
      <c r="R37" s="15">
        <f t="shared" ref="R37" si="48">R15/R11</f>
        <v>0.11188702008374145</v>
      </c>
      <c r="S37" s="15">
        <f t="shared" ref="S37:V37" si="49">S15/S11</f>
        <v>0.12404779686333085</v>
      </c>
      <c r="T37" s="15">
        <f t="shared" si="49"/>
        <v>0.11592744800459286</v>
      </c>
      <c r="U37" s="15">
        <f t="shared" si="49"/>
        <v>0.14229727733740336</v>
      </c>
      <c r="V37" s="15">
        <f t="shared" si="49"/>
        <v>0.19151004536616981</v>
      </c>
      <c r="W37" s="15">
        <f t="shared" ref="W37" si="50">W15/W11</f>
        <v>0.22611708482676221</v>
      </c>
      <c r="X37" s="15">
        <f t="shared" ref="X37:AG37" si="51">X15/X11</f>
        <v>0.17380466268990552</v>
      </c>
      <c r="Y37" s="15">
        <f t="shared" si="51"/>
        <v>0.16516060447227421</v>
      </c>
      <c r="Z37" s="15">
        <f t="shared" si="51"/>
        <v>0.19867387481587004</v>
      </c>
      <c r="AA37" s="15">
        <f t="shared" si="51"/>
        <v>0.19307345414363805</v>
      </c>
      <c r="AB37" s="15">
        <f t="shared" si="51"/>
        <v>0.19520280749999971</v>
      </c>
      <c r="AC37" s="15">
        <f t="shared" si="51"/>
        <v>0.19667581909334469</v>
      </c>
      <c r="AD37" s="15">
        <f t="shared" si="51"/>
        <v>0.19738619658214634</v>
      </c>
      <c r="AE37" s="15">
        <f t="shared" si="51"/>
        <v>0.19810587513818947</v>
      </c>
      <c r="AF37" s="15">
        <f t="shared" si="51"/>
        <v>0.19798942602774502</v>
      </c>
      <c r="AG37" s="15">
        <f t="shared" si="51"/>
        <v>0.19789396138444235</v>
      </c>
      <c r="AH37" s="15"/>
      <c r="AI37" s="15"/>
      <c r="AJ37" s="15"/>
      <c r="AK37" s="15"/>
      <c r="AL37" s="15"/>
    </row>
    <row r="38" spans="1:38" s="18" customFormat="1" x14ac:dyDescent="0.25">
      <c r="B38" s="18" t="s">
        <v>67</v>
      </c>
      <c r="C38" s="18">
        <f t="shared" ref="C38:L38" si="52">C20/C19</f>
        <v>0.17351423657557807</v>
      </c>
      <c r="D38" s="18">
        <f t="shared" si="52"/>
        <v>0.22098825044262038</v>
      </c>
      <c r="E38" s="18">
        <f t="shared" si="52"/>
        <v>0.19107873210633941</v>
      </c>
      <c r="F38" s="18">
        <f t="shared" si="52"/>
        <v>4.9104803493449047</v>
      </c>
      <c r="G38" s="18">
        <f t="shared" si="52"/>
        <v>0.23117084018176556</v>
      </c>
      <c r="H38" s="18">
        <f t="shared" si="52"/>
        <v>0.20849224510551739</v>
      </c>
      <c r="I38" s="18">
        <f t="shared" si="52"/>
        <v>0.21128849957615145</v>
      </c>
      <c r="J38" s="18">
        <f t="shared" si="52"/>
        <v>0.4218923111012628</v>
      </c>
      <c r="K38" s="18">
        <f t="shared" si="52"/>
        <v>0.23475589394242974</v>
      </c>
      <c r="L38" s="18">
        <f t="shared" si="52"/>
        <v>0.23416343652100033</v>
      </c>
      <c r="M38" s="18">
        <f>M20/M19</f>
        <v>0.24001465738365704</v>
      </c>
      <c r="N38" s="18">
        <f>N20/N19</f>
        <v>0.20213950336415137</v>
      </c>
      <c r="O38" s="18">
        <f>O20/O19</f>
        <v>0.23587436868686867</v>
      </c>
      <c r="Q38" s="19"/>
      <c r="R38" s="18">
        <f t="shared" ref="R38:U38" si="53">R20/R19</f>
        <v>0.35185069596155033</v>
      </c>
      <c r="S38" s="18">
        <f t="shared" si="53"/>
        <v>0.290131547012281</v>
      </c>
      <c r="T38" s="18">
        <f t="shared" si="53"/>
        <v>0.23841340046111115</v>
      </c>
      <c r="U38" s="18">
        <f t="shared" si="53"/>
        <v>0.20197110388522008</v>
      </c>
      <c r="V38" s="18">
        <f>V20/V19</f>
        <v>0.217476525602494</v>
      </c>
      <c r="W38" s="18">
        <f>W20/W19</f>
        <v>0.22728285515813207</v>
      </c>
      <c r="X38" s="18">
        <v>0.24</v>
      </c>
      <c r="Y38" s="18">
        <v>0.24</v>
      </c>
      <c r="Z38" s="18">
        <v>0.24</v>
      </c>
      <c r="AA38" s="18">
        <v>0.24</v>
      </c>
      <c r="AB38" s="18">
        <v>0.24</v>
      </c>
      <c r="AC38" s="18">
        <v>0.24</v>
      </c>
      <c r="AD38" s="18">
        <v>0.24</v>
      </c>
      <c r="AE38" s="18">
        <v>0.24</v>
      </c>
      <c r="AF38" s="18">
        <v>0.24</v>
      </c>
      <c r="AG38" s="18">
        <v>0.24</v>
      </c>
    </row>
    <row r="39" spans="1:38" x14ac:dyDescent="0.25">
      <c r="A39" s="15"/>
      <c r="B39" s="15" t="s">
        <v>33</v>
      </c>
      <c r="C39" s="15"/>
      <c r="D39" s="15"/>
      <c r="E39" s="15"/>
      <c r="F39" s="15">
        <f t="shared" ref="F39:M39" si="54">F11/F27</f>
        <v>7.8835746672517182</v>
      </c>
      <c r="G39" s="15">
        <f t="shared" si="54"/>
        <v>7.9281133083912341</v>
      </c>
      <c r="H39" s="15">
        <f t="shared" si="54"/>
        <v>7.2032402234636868</v>
      </c>
      <c r="I39" s="15">
        <f t="shared" si="54"/>
        <v>19.849046321525886</v>
      </c>
      <c r="J39" s="15">
        <f t="shared" si="54"/>
        <v>18.540595571392213</v>
      </c>
      <c r="K39" s="15">
        <f t="shared" si="54"/>
        <v>17.186647173489281</v>
      </c>
      <c r="L39" s="15">
        <f t="shared" si="54"/>
        <v>18.430875576036865</v>
      </c>
      <c r="M39" s="15">
        <f t="shared" si="54"/>
        <v>18.258882194057758</v>
      </c>
      <c r="N39" s="15">
        <f t="shared" ref="N39:O39" si="55">N11/N27</f>
        <v>20.440203562340965</v>
      </c>
      <c r="O39" s="15">
        <f t="shared" si="55"/>
        <v>14.466414191748058</v>
      </c>
      <c r="P39" s="15"/>
      <c r="Q39" s="16"/>
      <c r="R39" s="15"/>
      <c r="S39" s="15">
        <f t="shared" ref="S39:V39" si="56">S11/S27</f>
        <v>40.05983545250561</v>
      </c>
      <c r="T39" s="15">
        <f t="shared" si="56"/>
        <v>38.063392470791868</v>
      </c>
      <c r="U39" s="15">
        <f t="shared" si="56"/>
        <v>29.7074740383209</v>
      </c>
      <c r="V39" s="15">
        <f t="shared" si="56"/>
        <v>70.689742937134142</v>
      </c>
      <c r="W39" s="15">
        <f t="shared" ref="W39" si="57">W11/W27</f>
        <v>70.992366412213741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</row>
    <row r="40" spans="1:38" x14ac:dyDescent="0.25">
      <c r="A40" s="15"/>
      <c r="B40" s="15" t="s">
        <v>56</v>
      </c>
      <c r="C40" s="15"/>
      <c r="D40" s="15"/>
      <c r="E40" s="15"/>
      <c r="F40" s="15">
        <f t="shared" ref="F40:M40" si="58">F11/F26</f>
        <v>0.39154438471596686</v>
      </c>
      <c r="G40" s="15">
        <f t="shared" si="58"/>
        <v>0.39515430824353664</v>
      </c>
      <c r="H40" s="15">
        <f t="shared" si="58"/>
        <v>0.39719672232148356</v>
      </c>
      <c r="I40" s="15">
        <f t="shared" si="58"/>
        <v>0.41258963060297471</v>
      </c>
      <c r="J40" s="15">
        <f t="shared" si="58"/>
        <v>0.39363236986723299</v>
      </c>
      <c r="K40" s="15">
        <f t="shared" si="58"/>
        <v>0.35203984867087912</v>
      </c>
      <c r="L40" s="15">
        <f t="shared" si="58"/>
        <v>0.36212102692253717</v>
      </c>
      <c r="M40" s="15">
        <f t="shared" si="58"/>
        <v>0.36953093791392466</v>
      </c>
      <c r="N40" s="15">
        <f t="shared" ref="N40:O40" si="59">N11/N26</f>
        <v>0.40095334356555484</v>
      </c>
      <c r="O40" s="15">
        <f t="shared" si="59"/>
        <v>0.2995624896813604</v>
      </c>
      <c r="P40" s="15"/>
      <c r="Q40" s="16"/>
      <c r="R40" s="15"/>
      <c r="S40" s="15">
        <f t="shared" ref="S40:V40" si="60">S11/S26</f>
        <v>1.4357453044301876</v>
      </c>
      <c r="T40" s="15">
        <f t="shared" si="60"/>
        <v>1.4240650801359884</v>
      </c>
      <c r="U40" s="15">
        <f t="shared" si="60"/>
        <v>1.4754467528693884</v>
      </c>
      <c r="V40" s="15">
        <f t="shared" si="60"/>
        <v>1.500802438115</v>
      </c>
      <c r="W40" s="15">
        <f t="shared" ref="W40" si="61">W11/W26</f>
        <v>1.3925803915696477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spans="1:38" x14ac:dyDescent="0.25">
      <c r="A41" s="15"/>
      <c r="B41" s="15" t="s">
        <v>38</v>
      </c>
      <c r="C41" s="15">
        <f t="shared" ref="C41:D41" si="62">C14/C11</f>
        <v>0.11336334469122293</v>
      </c>
      <c r="D41" s="15">
        <f t="shared" si="62"/>
        <v>0.10373333333333333</v>
      </c>
      <c r="E41" s="15">
        <f t="shared" ref="E41:K41" si="63">E14/E11</f>
        <v>9.7866419294990722E-2</v>
      </c>
      <c r="F41" s="15">
        <f t="shared" si="63"/>
        <v>0.11089053803339519</v>
      </c>
      <c r="G41" s="15">
        <f t="shared" si="63"/>
        <v>9.8746081504702196E-2</v>
      </c>
      <c r="H41" s="15">
        <f t="shared" si="63"/>
        <v>9.6402922334765551E-2</v>
      </c>
      <c r="I41" s="15">
        <f t="shared" si="63"/>
        <v>9.0011805727150423E-2</v>
      </c>
      <c r="J41" s="15">
        <f t="shared" si="63"/>
        <v>9.5118469099195552E-2</v>
      </c>
      <c r="K41" s="15">
        <f t="shared" si="63"/>
        <v>9.4408370431281363E-2</v>
      </c>
      <c r="L41" s="15">
        <f>L14/L11</f>
        <v>8.6898362295286913E-2</v>
      </c>
      <c r="M41" s="15">
        <f>M14/M11</f>
        <v>8.427401001365499E-2</v>
      </c>
      <c r="N41" s="15">
        <f>N14/N11</f>
        <v>8.6321009170505003E-2</v>
      </c>
      <c r="O41" s="15">
        <f>O14/O11</f>
        <v>0.10154592300697181</v>
      </c>
      <c r="P41" s="15"/>
      <c r="Q41" s="16"/>
      <c r="R41" s="15">
        <f t="shared" ref="R41" si="64">R14/R11</f>
        <v>0.10443545525512737</v>
      </c>
      <c r="S41" s="15">
        <f t="shared" ref="S41:V41" si="65">S14/S11</f>
        <v>0.1043564849390092</v>
      </c>
      <c r="T41" s="15">
        <f t="shared" si="65"/>
        <v>0.10416133781241295</v>
      </c>
      <c r="U41" s="15">
        <f t="shared" si="65"/>
        <v>0.100822214563537</v>
      </c>
      <c r="V41" s="15">
        <f t="shared" si="65"/>
        <v>9.2028515878159425E-2</v>
      </c>
      <c r="W41" s="15">
        <f t="shared" ref="W41" si="66">W14/W11</f>
        <v>8.7625448028673836E-2</v>
      </c>
      <c r="X41" s="15">
        <v>0.09</v>
      </c>
      <c r="Y41" s="15">
        <v>0.09</v>
      </c>
      <c r="Z41" s="15">
        <v>0.09</v>
      </c>
      <c r="AA41" s="15">
        <v>0.09</v>
      </c>
      <c r="AB41" s="15">
        <v>0.09</v>
      </c>
      <c r="AC41" s="15">
        <v>0.09</v>
      </c>
      <c r="AD41" s="15">
        <v>0.09</v>
      </c>
      <c r="AE41" s="15">
        <v>0.09</v>
      </c>
      <c r="AF41" s="15">
        <v>0.09</v>
      </c>
      <c r="AG41" s="15">
        <v>0.09</v>
      </c>
      <c r="AH41" s="15"/>
      <c r="AI41" s="15"/>
      <c r="AJ41" s="15"/>
      <c r="AK41" s="15"/>
      <c r="AL41" s="15"/>
    </row>
    <row r="42" spans="1:38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8" s="15" customFormat="1" x14ac:dyDescent="0.25">
      <c r="B43" s="1" t="s">
        <v>57</v>
      </c>
      <c r="G43" s="15">
        <f t="shared" ref="G43:L43" si="67">G3/C3-1</f>
        <v>0</v>
      </c>
      <c r="H43" s="15">
        <f t="shared" si="67"/>
        <v>0.41415900809020689</v>
      </c>
      <c r="I43" s="15">
        <f t="shared" si="67"/>
        <v>0.35188954604808353</v>
      </c>
      <c r="J43" s="15">
        <f t="shared" si="67"/>
        <v>0.76938851603281266</v>
      </c>
      <c r="K43" s="15">
        <f t="shared" si="67"/>
        <v>0.16805587239194897</v>
      </c>
      <c r="L43" s="15">
        <f t="shared" si="67"/>
        <v>0.21535070659924815</v>
      </c>
      <c r="M43" s="15">
        <f>M3/I3-1</f>
        <v>0.18413090723143122</v>
      </c>
      <c r="N43" s="15">
        <f>N3/J3-1</f>
        <v>0.23402433884732909</v>
      </c>
      <c r="O43" s="15">
        <f>O3/K3-1</f>
        <v>7.9322156120424925E-3</v>
      </c>
      <c r="Q43" s="16"/>
      <c r="S43" s="15">
        <f t="shared" ref="S43:W44" si="68">S3/R3-1</f>
        <v>0.13541147862772096</v>
      </c>
      <c r="T43" s="15">
        <f t="shared" si="68"/>
        <v>9.1794607147464902E-2</v>
      </c>
      <c r="U43" s="15">
        <f t="shared" si="68"/>
        <v>0.15573412112259977</v>
      </c>
      <c r="V43" s="15">
        <f t="shared" si="68"/>
        <v>0.35485256226739192</v>
      </c>
      <c r="W43" s="15">
        <f t="shared" si="68"/>
        <v>0.2022375669760772</v>
      </c>
      <c r="X43" s="15">
        <v>-0.2</v>
      </c>
      <c r="Y43" s="15">
        <v>-0.18</v>
      </c>
      <c r="Z43" s="15">
        <v>0.12</v>
      </c>
      <c r="AA43" s="15">
        <v>0.09</v>
      </c>
      <c r="AB43" s="15">
        <v>0.08</v>
      </c>
      <c r="AC43" s="15">
        <v>0.08</v>
      </c>
      <c r="AD43" s="15">
        <v>0.08</v>
      </c>
      <c r="AE43" s="15">
        <v>0.08</v>
      </c>
      <c r="AF43" s="15">
        <v>0.08</v>
      </c>
      <c r="AG43" s="15">
        <v>0.08</v>
      </c>
    </row>
    <row r="44" spans="1:38" s="15" customFormat="1" x14ac:dyDescent="0.25">
      <c r="B44" s="1" t="s">
        <v>58</v>
      </c>
      <c r="G44" s="15">
        <f t="shared" ref="G44:O44" si="69">G4/C4-1</f>
        <v>0</v>
      </c>
      <c r="H44" s="15">
        <f t="shared" si="69"/>
        <v>0.59627329192546563</v>
      </c>
      <c r="I44" s="15">
        <f t="shared" si="69"/>
        <v>1.1627906976744184</v>
      </c>
      <c r="J44" s="15">
        <f t="shared" si="69"/>
        <v>-4.340567612687829E-2</v>
      </c>
      <c r="K44" s="15">
        <f t="shared" si="69"/>
        <v>0.18315789473684219</v>
      </c>
      <c r="L44" s="15">
        <f t="shared" si="69"/>
        <v>6.6147859922178975E-2</v>
      </c>
      <c r="M44" s="15">
        <f t="shared" si="69"/>
        <v>0.5716845878136203</v>
      </c>
      <c r="N44" s="15">
        <f t="shared" si="69"/>
        <v>0.99650959860384036</v>
      </c>
      <c r="O44" s="15">
        <f t="shared" si="69"/>
        <v>0.49644128113878994</v>
      </c>
      <c r="Q44" s="16"/>
      <c r="S44" s="15">
        <f t="shared" si="68"/>
        <v>1.1596828992072479</v>
      </c>
      <c r="T44" s="15">
        <f t="shared" si="68"/>
        <v>0.18615626638699534</v>
      </c>
      <c r="U44" s="15">
        <f t="shared" si="68"/>
        <v>-0.26878868258178601</v>
      </c>
      <c r="V44" s="15">
        <f t="shared" si="68"/>
        <v>0.28174123337363954</v>
      </c>
      <c r="W44" s="15">
        <f t="shared" si="68"/>
        <v>0.47688679245283039</v>
      </c>
      <c r="X44" s="15">
        <v>-0.14000000000000001</v>
      </c>
      <c r="Y44" s="15">
        <v>-0.2</v>
      </c>
      <c r="Z44" s="15">
        <v>0.18</v>
      </c>
      <c r="AA44" s="15">
        <v>0.1</v>
      </c>
      <c r="AB44" s="15">
        <v>0.11</v>
      </c>
      <c r="AC44" s="15">
        <v>0.08</v>
      </c>
      <c r="AD44" s="15">
        <v>0.08</v>
      </c>
      <c r="AE44" s="15">
        <v>0.08</v>
      </c>
      <c r="AF44" s="15">
        <v>0.08</v>
      </c>
      <c r="AG44" s="15">
        <v>0.08</v>
      </c>
    </row>
    <row r="45" spans="1:38" s="15" customFormat="1" x14ac:dyDescent="0.25">
      <c r="B45" s="1" t="s">
        <v>59</v>
      </c>
      <c r="Q45" s="16"/>
      <c r="W45" s="15">
        <f>W5/V5-1</f>
        <v>1.1618644067796611</v>
      </c>
      <c r="X45" s="15">
        <v>0.65</v>
      </c>
      <c r="Y45" s="15">
        <v>0.2</v>
      </c>
      <c r="Z45" s="15">
        <v>1</v>
      </c>
      <c r="AA45" s="15">
        <v>0.3</v>
      </c>
      <c r="AB45" s="15">
        <v>0.2</v>
      </c>
      <c r="AC45" s="15">
        <v>0.15</v>
      </c>
      <c r="AD45" s="15">
        <v>0.1</v>
      </c>
      <c r="AE45" s="15">
        <v>0.1</v>
      </c>
      <c r="AF45" s="15">
        <v>0.05</v>
      </c>
      <c r="AG45" s="15">
        <v>0.05</v>
      </c>
    </row>
    <row r="46" spans="1:38" s="15" customFormat="1" x14ac:dyDescent="0.25">
      <c r="B46" s="1" t="s">
        <v>60</v>
      </c>
      <c r="G46" s="15">
        <f t="shared" ref="G46:O46" si="70">G6/C6-1</f>
        <v>0</v>
      </c>
      <c r="H46" s="15">
        <f t="shared" si="70"/>
        <v>1.1531100478468899</v>
      </c>
      <c r="I46" s="15">
        <f t="shared" si="70"/>
        <v>0.20498084291187735</v>
      </c>
      <c r="J46" s="15">
        <f t="shared" si="70"/>
        <v>0.63030746705710228</v>
      </c>
      <c r="K46" s="15">
        <f t="shared" si="70"/>
        <v>-1.5491452991452825E-2</v>
      </c>
      <c r="L46" s="15">
        <f t="shared" si="70"/>
        <v>-1.288888888888895E-2</v>
      </c>
      <c r="M46" s="15">
        <f t="shared" si="70"/>
        <v>0.34764175940646536</v>
      </c>
      <c r="N46" s="15">
        <f t="shared" si="70"/>
        <v>-0.3969465648854964</v>
      </c>
      <c r="O46" s="15">
        <f t="shared" si="70"/>
        <v>-0.25664677156809557</v>
      </c>
      <c r="Q46" s="16"/>
      <c r="S46" s="15">
        <f t="shared" ref="S46:W46" si="71">S6/R6-1</f>
        <v>7.3819742489270368E-2</v>
      </c>
      <c r="T46" s="15">
        <f t="shared" si="71"/>
        <v>0.17692512656541437</v>
      </c>
      <c r="U46" s="15">
        <f t="shared" si="71"/>
        <v>0.32420194702286609</v>
      </c>
      <c r="V46" s="15">
        <f t="shared" si="71"/>
        <v>0.40810394939305872</v>
      </c>
      <c r="W46" s="15">
        <f t="shared" si="71"/>
        <v>-3.4725594949004401E-2</v>
      </c>
      <c r="X46" s="15">
        <v>0.1</v>
      </c>
      <c r="Y46" s="15">
        <v>0.1</v>
      </c>
      <c r="Z46" s="15">
        <v>0.1</v>
      </c>
      <c r="AA46" s="15">
        <v>0.1</v>
      </c>
      <c r="AB46" s="15">
        <v>0.1</v>
      </c>
      <c r="AC46" s="15">
        <v>0.1</v>
      </c>
      <c r="AD46" s="15">
        <v>0.1</v>
      </c>
      <c r="AE46" s="15">
        <v>0.1</v>
      </c>
      <c r="AF46" s="15">
        <v>0.1</v>
      </c>
      <c r="AG46" s="15">
        <v>0.1</v>
      </c>
    </row>
    <row r="47" spans="1:38" s="4" customFormat="1" x14ac:dyDescent="0.25">
      <c r="A47" s="13"/>
      <c r="B47" s="13" t="s">
        <v>22</v>
      </c>
      <c r="C47" s="13"/>
      <c r="D47" s="13"/>
      <c r="E47" s="13"/>
      <c r="F47" s="13"/>
      <c r="G47" s="13">
        <f t="shared" ref="G47:H47" si="72">G11/C11-1</f>
        <v>0.47571318427139553</v>
      </c>
      <c r="H47" s="13">
        <f t="shared" si="72"/>
        <v>0.43264444444444439</v>
      </c>
      <c r="I47" s="13">
        <f>I11/E11-1</f>
        <v>0.3515027829313544</v>
      </c>
      <c r="J47" s="13">
        <f>J11/F11-1</f>
        <v>0.3515027829313544</v>
      </c>
      <c r="K47" s="13">
        <f>K11/G11-1</f>
        <v>0.18876192402332559</v>
      </c>
      <c r="L47" s="13">
        <f>L11/H11-1</f>
        <v>0.24075136887496318</v>
      </c>
      <c r="M47" s="13">
        <f>M11/I11-1</f>
        <v>0.20638058369711443</v>
      </c>
      <c r="N47" s="13">
        <f>N11/J11-1</f>
        <v>0.3232847376657606</v>
      </c>
      <c r="O47" s="13">
        <f>O11/K11-1</f>
        <v>2.8978932146199066E-2</v>
      </c>
      <c r="P47" s="13"/>
      <c r="Q47" s="14"/>
      <c r="R47" s="13"/>
      <c r="S47" s="13">
        <f t="shared" ref="S47:AH47" si="73">S11/R11-1</f>
        <v>0.14030232063018944</v>
      </c>
      <c r="T47" s="13">
        <f t="shared" si="73"/>
        <v>9.4902912621359414E-2</v>
      </c>
      <c r="U47" s="13">
        <f t="shared" si="73"/>
        <v>0.15449982663460826</v>
      </c>
      <c r="V47" s="13">
        <f t="shared" si="73"/>
        <v>0.36743636453153461</v>
      </c>
      <c r="W47" s="13">
        <f t="shared" si="73"/>
        <v>0.2054439403758912</v>
      </c>
      <c r="X47" s="13">
        <f t="shared" si="73"/>
        <v>-0.17936212664277185</v>
      </c>
      <c r="Y47" s="13">
        <f t="shared" si="73"/>
        <v>-0.1596407288149978</v>
      </c>
      <c r="Z47" s="13">
        <f t="shared" si="73"/>
        <v>0.15822879267095091</v>
      </c>
      <c r="AA47" s="13">
        <f t="shared" si="73"/>
        <v>0.10635641124450634</v>
      </c>
      <c r="AB47" s="13">
        <f t="shared" si="73"/>
        <v>9.1723260785929961E-2</v>
      </c>
      <c r="AC47" s="13">
        <f t="shared" si="73"/>
        <v>8.7623315466617946E-2</v>
      </c>
      <c r="AD47" s="13">
        <f t="shared" si="73"/>
        <v>8.2865313959287201E-2</v>
      </c>
      <c r="AE47" s="13">
        <f t="shared" si="73"/>
        <v>8.2910653166728521E-2</v>
      </c>
      <c r="AF47" s="13">
        <f t="shared" si="73"/>
        <v>7.7633494931041547E-2</v>
      </c>
      <c r="AG47" s="13">
        <f>AG11/AF11-1</f>
        <v>7.7732565983625657E-2</v>
      </c>
      <c r="AH47" s="13"/>
      <c r="AI47" s="13"/>
      <c r="AJ47" s="13"/>
      <c r="AK47" s="13"/>
      <c r="AL47" s="13"/>
    </row>
    <row r="48" spans="1:38" x14ac:dyDescent="0.25">
      <c r="A48" s="13"/>
      <c r="B48" s="13" t="s">
        <v>23</v>
      </c>
      <c r="C48" s="13"/>
      <c r="D48" s="13"/>
      <c r="E48" s="13"/>
      <c r="F48" s="13"/>
      <c r="G48" s="13">
        <f t="shared" ref="G48:H48" si="74">+G15/C15-1</f>
        <v>1.1115040565841476</v>
      </c>
      <c r="H48" s="13">
        <f t="shared" si="74"/>
        <v>1.0166552197802203</v>
      </c>
      <c r="I48" s="13">
        <f>+I15/E15-1</f>
        <v>0.8209051169966568</v>
      </c>
      <c r="J48" s="13">
        <f>+J15/F15-1</f>
        <v>21.787179487179099</v>
      </c>
      <c r="K48" s="13">
        <f>+K15/G15-1</f>
        <v>0.45990147783251256</v>
      </c>
      <c r="L48" s="13">
        <f>+L15/H15-1</f>
        <v>0.59557258407833169</v>
      </c>
      <c r="M48" s="13">
        <f>+M15/I15-1</f>
        <v>0.53081974158017364</v>
      </c>
      <c r="N48" s="13">
        <f>+N15/J15-1</f>
        <v>1.3028018453921422</v>
      </c>
      <c r="O48" s="13">
        <f>+O15/K15-1</f>
        <v>-0.17026589283304072</v>
      </c>
      <c r="P48" s="13"/>
      <c r="Q48" s="14"/>
      <c r="R48" s="13"/>
      <c r="S48" s="13">
        <f>S21/R21-1</f>
        <v>0.40832049306625451</v>
      </c>
      <c r="T48" s="13">
        <f>T21/S21-1</f>
        <v>0.10681072210065778</v>
      </c>
      <c r="U48" s="13">
        <f>U21/T21-1</f>
        <v>0.47077721487705237</v>
      </c>
      <c r="V48" s="13">
        <f>V21/U21-1</f>
        <v>0.76085860707384678</v>
      </c>
      <c r="W48" s="13">
        <f>W21/V21-1</f>
        <v>0.40642668002576365</v>
      </c>
      <c r="X48" s="13">
        <f t="shared" ref="X48:AH48" si="75">X21/W21-1</f>
        <v>-0.40602930836556128</v>
      </c>
      <c r="Y48" s="13">
        <f t="shared" si="75"/>
        <v>-0.21496364030223314</v>
      </c>
      <c r="Z48" s="13">
        <f t="shared" si="75"/>
        <v>0.40837831880465503</v>
      </c>
      <c r="AA48" s="13">
        <f t="shared" si="75"/>
        <v>7.219514623617207E-2</v>
      </c>
      <c r="AB48" s="13">
        <f t="shared" si="75"/>
        <v>0.1023166864456897</v>
      </c>
      <c r="AC48" s="13">
        <f t="shared" si="75"/>
        <v>9.4151857496697966E-2</v>
      </c>
      <c r="AD48" s="13">
        <f t="shared" si="75"/>
        <v>8.4810063366539623E-2</v>
      </c>
      <c r="AE48" s="13">
        <f t="shared" si="75"/>
        <v>8.5061674210013871E-2</v>
      </c>
      <c r="AF48" s="13">
        <f t="shared" si="75"/>
        <v>7.4837012954792614E-2</v>
      </c>
      <c r="AG48" s="13">
        <f>AG21/AF21-1</f>
        <v>7.5224572138950396E-2</v>
      </c>
      <c r="AH48" s="13"/>
      <c r="AI48" s="13"/>
      <c r="AJ48" s="13"/>
      <c r="AK48" s="13"/>
      <c r="AL48" s="13"/>
    </row>
    <row r="49" spans="1:38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1:38" x14ac:dyDescent="0.25">
      <c r="B50" s="1"/>
    </row>
    <row r="51" spans="1:38" s="18" customFormat="1" x14ac:dyDescent="0.25">
      <c r="B51" s="18" t="s">
        <v>34</v>
      </c>
      <c r="G51" s="18">
        <f>(1+(G16+G18)/F30)^4-1</f>
        <v>6.1790711699860612E-3</v>
      </c>
      <c r="H51" s="18">
        <f t="shared" ref="H51:O51" si="76">(1+(H16+H18)/G30)^4-1</f>
        <v>1.6281485482563252E-3</v>
      </c>
      <c r="I51" s="18">
        <f t="shared" si="76"/>
        <v>4.9840570921666494E-3</v>
      </c>
      <c r="J51" s="18">
        <f t="shared" si="76"/>
        <v>3.6607689528751486E-3</v>
      </c>
      <c r="K51" s="18">
        <f t="shared" si="76"/>
        <v>3.8019856270012919E-3</v>
      </c>
      <c r="L51" s="18">
        <f t="shared" si="76"/>
        <v>2.1588800787670781E-3</v>
      </c>
      <c r="M51" s="18">
        <f t="shared" si="76"/>
        <v>3.321278915317416E-3</v>
      </c>
      <c r="N51" s="18">
        <f t="shared" si="76"/>
        <v>3.9873137396007063E-3</v>
      </c>
      <c r="O51" s="18">
        <f t="shared" si="76"/>
        <v>7.3592435896725483E-3</v>
      </c>
      <c r="Q51" s="19"/>
      <c r="T51" s="18">
        <f t="shared" ref="T51:U51" si="77">(T16+T18)/S30</f>
        <v>9.0373818978501993E-3</v>
      </c>
      <c r="U51" s="18">
        <f t="shared" si="77"/>
        <v>8.8738179386760926E-3</v>
      </c>
      <c r="V51" s="18">
        <f>(V16+V18)/U30</f>
        <v>4.4718790676132143E-3</v>
      </c>
      <c r="W51" s="18">
        <f>(W16+W18)/V30</f>
        <v>3.6312421542512479E-3</v>
      </c>
      <c r="X51" s="18">
        <f t="shared" ref="X51:AH51" si="78">X16/W30</f>
        <v>5.0000000000000001E-3</v>
      </c>
      <c r="Y51" s="18">
        <f t="shared" si="78"/>
        <v>5.0000000000000001E-3</v>
      </c>
      <c r="Z51" s="18">
        <f t="shared" si="78"/>
        <v>5.0000000000000001E-3</v>
      </c>
      <c r="AA51" s="18">
        <f t="shared" si="78"/>
        <v>5.0000000000000001E-3</v>
      </c>
      <c r="AB51" s="18">
        <f t="shared" si="78"/>
        <v>5.0000000000000001E-3</v>
      </c>
      <c r="AC51" s="18">
        <f t="shared" si="78"/>
        <v>5.0000000000000001E-3</v>
      </c>
      <c r="AD51" s="18">
        <f t="shared" si="78"/>
        <v>5.0000000000000001E-3</v>
      </c>
      <c r="AE51" s="18">
        <f t="shared" si="78"/>
        <v>5.0000000000000001E-3</v>
      </c>
      <c r="AF51" s="18">
        <f t="shared" si="78"/>
        <v>5.0000000000000001E-3</v>
      </c>
      <c r="AG51" s="18">
        <f t="shared" si="78"/>
        <v>5.0000000000000001E-3</v>
      </c>
    </row>
    <row r="52" spans="1:38" x14ac:dyDescent="0.25">
      <c r="B52" t="s">
        <v>65</v>
      </c>
    </row>
    <row r="56" spans="1:38" x14ac:dyDescent="0.25">
      <c r="W56" s="15"/>
    </row>
    <row r="57" spans="1:38" x14ac:dyDescent="0.25">
      <c r="W57" s="15"/>
    </row>
    <row r="58" spans="1:38" x14ac:dyDescent="0.25">
      <c r="W58" s="15"/>
    </row>
    <row r="59" spans="1:38" x14ac:dyDescent="0.25">
      <c r="W59" s="15"/>
    </row>
    <row r="60" spans="1:38" x14ac:dyDescent="0.25">
      <c r="W60" s="15"/>
    </row>
    <row r="61" spans="1:38" x14ac:dyDescent="0.25">
      <c r="W61" s="15"/>
    </row>
    <row r="62" spans="1:38" x14ac:dyDescent="0.25">
      <c r="W62" s="15"/>
    </row>
    <row r="63" spans="1:38" x14ac:dyDescent="0.25">
      <c r="W63" s="15"/>
    </row>
    <row r="64" spans="1:38" x14ac:dyDescent="0.25">
      <c r="W64" s="15"/>
    </row>
    <row r="65" spans="23:23" x14ac:dyDescent="0.25">
      <c r="W65" s="15"/>
    </row>
    <row r="66" spans="23:23" x14ac:dyDescent="0.25">
      <c r="W66" s="15"/>
    </row>
    <row r="67" spans="23:23" x14ac:dyDescent="0.25">
      <c r="W67" s="15"/>
    </row>
    <row r="68" spans="23:23" x14ac:dyDescent="0.25">
      <c r="W68" s="15"/>
    </row>
    <row r="69" spans="23:23" x14ac:dyDescent="0.25">
      <c r="W69" s="15"/>
    </row>
    <row r="70" spans="23:23" x14ac:dyDescent="0.25">
      <c r="W70" s="15"/>
    </row>
    <row r="71" spans="23:23" x14ac:dyDescent="0.25">
      <c r="W71" s="15"/>
    </row>
    <row r="72" spans="23:23" x14ac:dyDescent="0.25">
      <c r="W72" s="1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AE4F-5042-4B8F-AAF3-227F2A622032}">
  <dimension ref="B2:C4"/>
  <sheetViews>
    <sheetView workbookViewId="0">
      <selection activeCell="C4" sqref="C4"/>
    </sheetView>
  </sheetViews>
  <sheetFormatPr defaultRowHeight="15" x14ac:dyDescent="0.25"/>
  <cols>
    <col min="3" max="3" width="10.85546875" bestFit="1" customWidth="1"/>
  </cols>
  <sheetData>
    <row r="2" spans="2:3" x14ac:dyDescent="0.25">
      <c r="B2" s="10" t="s">
        <v>35</v>
      </c>
      <c r="C2" s="18">
        <v>-1.4999999999999999E-2</v>
      </c>
    </row>
    <row r="3" spans="2:3" x14ac:dyDescent="0.25">
      <c r="B3" t="s">
        <v>36</v>
      </c>
      <c r="C3" s="18">
        <v>0.09</v>
      </c>
    </row>
    <row r="4" spans="2:3" x14ac:dyDescent="0.25">
      <c r="B4" s="15" t="s">
        <v>37</v>
      </c>
      <c r="C4" s="10">
        <f>NPV(C3,Model!X21:DE21)</f>
        <v>56115.999003056495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2022-07-29T15:39:37Z</dcterms:created>
  <dcterms:modified xsi:type="dcterms:W3CDTF">2023-02-28T05:57:07Z</dcterms:modified>
</cp:coreProperties>
</file>