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7CE209C7-C22B-4F9F-9196-D8B0EACEFA5F}" xr6:coauthVersionLast="47" xr6:coauthVersionMax="47" xr10:uidLastSave="{00000000-0000-0000-0000-000000000000}"/>
  <bookViews>
    <workbookView xWindow="14940" yWindow="0" windowWidth="25455" windowHeight="21600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T28" i="2"/>
  <c r="S28" i="2"/>
  <c r="R28" i="2"/>
  <c r="Q28" i="2"/>
  <c r="P28" i="2"/>
  <c r="O28" i="2"/>
  <c r="N28" i="2"/>
  <c r="M28" i="2"/>
  <c r="I28" i="2"/>
  <c r="H28" i="2"/>
  <c r="G28" i="2"/>
  <c r="F28" i="2"/>
  <c r="E28" i="2"/>
  <c r="D28" i="2"/>
  <c r="C28" i="2"/>
  <c r="J28" i="2"/>
  <c r="U8" i="2"/>
  <c r="U9" i="2" s="1"/>
  <c r="U13" i="2" l="1"/>
  <c r="U14" i="2"/>
  <c r="U11" i="2"/>
  <c r="U15" i="2"/>
  <c r="U10" i="2"/>
  <c r="U16" i="2" s="1"/>
  <c r="U31" i="2" s="1"/>
  <c r="U12" i="2"/>
  <c r="V8" i="2"/>
  <c r="V10" i="2" s="1"/>
  <c r="V15" i="2" l="1"/>
  <c r="W8" i="2"/>
  <c r="V12" i="2"/>
  <c r="V9" i="2"/>
  <c r="V13" i="2"/>
  <c r="V11" i="2"/>
  <c r="V14" i="2"/>
  <c r="V16" i="2" l="1"/>
  <c r="V31" i="2" s="1"/>
  <c r="W14" i="2"/>
  <c r="W15" i="2"/>
  <c r="W11" i="2"/>
  <c r="X8" i="2"/>
  <c r="W9" i="2"/>
  <c r="W10" i="2"/>
  <c r="W12" i="2"/>
  <c r="W13" i="2"/>
  <c r="X9" i="2" l="1"/>
  <c r="X13" i="2"/>
  <c r="X14" i="2"/>
  <c r="X10" i="2"/>
  <c r="X11" i="2"/>
  <c r="X12" i="2"/>
  <c r="X15" i="2"/>
  <c r="Y8" i="2"/>
  <c r="W16" i="2"/>
  <c r="W31" i="2" s="1"/>
  <c r="Y10" i="2" l="1"/>
  <c r="Y9" i="2"/>
  <c r="Y11" i="2"/>
  <c r="Y14" i="2"/>
  <c r="Y13" i="2"/>
  <c r="Z8" i="2"/>
  <c r="Y12" i="2"/>
  <c r="Y15" i="2"/>
  <c r="X16" i="2"/>
  <c r="X31" i="2" s="1"/>
  <c r="Z14" i="2" l="1"/>
  <c r="Z9" i="2"/>
  <c r="Z12" i="2"/>
  <c r="Z11" i="2"/>
  <c r="Z15" i="2"/>
  <c r="Z10" i="2"/>
  <c r="Z13" i="2"/>
  <c r="AA8" i="2"/>
  <c r="Y16" i="2"/>
  <c r="Y31" i="2" s="1"/>
  <c r="AA9" i="2" l="1"/>
  <c r="AB8" i="2"/>
  <c r="AA11" i="2"/>
  <c r="AA13" i="2"/>
  <c r="AA10" i="2"/>
  <c r="AA12" i="2"/>
  <c r="AA14" i="2"/>
  <c r="AA15" i="2"/>
  <c r="Z16" i="2"/>
  <c r="Z31" i="2" s="1"/>
  <c r="AB9" i="2" l="1"/>
  <c r="AB12" i="2"/>
  <c r="AC8" i="2"/>
  <c r="AB13" i="2"/>
  <c r="AB11" i="2"/>
  <c r="AB15" i="2"/>
  <c r="AB14" i="2"/>
  <c r="AB10" i="2"/>
  <c r="AA16" i="2"/>
  <c r="AA31" i="2" s="1"/>
  <c r="AC9" i="2" l="1"/>
  <c r="AC11" i="2"/>
  <c r="AC15" i="2"/>
  <c r="AD8" i="2"/>
  <c r="AC13" i="2"/>
  <c r="AC12" i="2"/>
  <c r="AC10" i="2"/>
  <c r="AC14" i="2"/>
  <c r="AB16" i="2"/>
  <c r="AB31" i="2" s="1"/>
  <c r="AD9" i="2" l="1"/>
  <c r="AD11" i="2"/>
  <c r="AD13" i="2"/>
  <c r="AD14" i="2"/>
  <c r="AD15" i="2"/>
  <c r="AD10" i="2"/>
  <c r="AD12" i="2"/>
  <c r="AC16" i="2"/>
  <c r="AC31" i="2" s="1"/>
  <c r="AD16" i="2" l="1"/>
  <c r="AD31" i="2" s="1"/>
  <c r="T41" i="2" l="1"/>
  <c r="S41" i="2"/>
  <c r="R41" i="2"/>
  <c r="Q41" i="2"/>
  <c r="P41" i="2"/>
  <c r="O41" i="2"/>
  <c r="N41" i="2"/>
  <c r="I41" i="2"/>
  <c r="H41" i="2"/>
  <c r="G41" i="2"/>
  <c r="T39" i="2"/>
  <c r="S39" i="2"/>
  <c r="R39" i="2"/>
  <c r="Q39" i="2"/>
  <c r="P39" i="2"/>
  <c r="O39" i="2"/>
  <c r="N39" i="2"/>
  <c r="M39" i="2"/>
  <c r="I39" i="2"/>
  <c r="H39" i="2"/>
  <c r="G39" i="2"/>
  <c r="E39" i="2"/>
  <c r="D39" i="2"/>
  <c r="C39" i="2"/>
  <c r="T38" i="2"/>
  <c r="S38" i="2"/>
  <c r="R38" i="2"/>
  <c r="Q38" i="2"/>
  <c r="P38" i="2"/>
  <c r="O38" i="2"/>
  <c r="N38" i="2"/>
  <c r="M38" i="2"/>
  <c r="I38" i="2"/>
  <c r="H38" i="2"/>
  <c r="G38" i="2"/>
  <c r="E38" i="2"/>
  <c r="D38" i="2"/>
  <c r="C38" i="2"/>
  <c r="T37" i="2"/>
  <c r="S37" i="2"/>
  <c r="R37" i="2"/>
  <c r="Q37" i="2"/>
  <c r="P37" i="2"/>
  <c r="O37" i="2"/>
  <c r="N37" i="2"/>
  <c r="M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I36" i="2"/>
  <c r="H36" i="2"/>
  <c r="G36" i="2"/>
  <c r="E36" i="2"/>
  <c r="D36" i="2"/>
  <c r="C36" i="2"/>
  <c r="T35" i="2"/>
  <c r="S35" i="2"/>
  <c r="R35" i="2"/>
  <c r="Q35" i="2"/>
  <c r="P35" i="2"/>
  <c r="O35" i="2"/>
  <c r="N35" i="2"/>
  <c r="M35" i="2"/>
  <c r="I35" i="2"/>
  <c r="H35" i="2"/>
  <c r="G35" i="2"/>
  <c r="E35" i="2"/>
  <c r="D35" i="2"/>
  <c r="C35" i="2"/>
  <c r="T34" i="2"/>
  <c r="S34" i="2"/>
  <c r="R34" i="2"/>
  <c r="Q34" i="2"/>
  <c r="P34" i="2"/>
  <c r="O34" i="2"/>
  <c r="N34" i="2"/>
  <c r="M34" i="2"/>
  <c r="I34" i="2"/>
  <c r="H34" i="2"/>
  <c r="G34" i="2"/>
  <c r="E34" i="2"/>
  <c r="D34" i="2"/>
  <c r="C34" i="2"/>
  <c r="T33" i="2"/>
  <c r="S33" i="2"/>
  <c r="R33" i="2"/>
  <c r="Q33" i="2"/>
  <c r="P33" i="2"/>
  <c r="O33" i="2"/>
  <c r="N33" i="2"/>
  <c r="M33" i="2"/>
  <c r="I33" i="2"/>
  <c r="H33" i="2"/>
  <c r="G33" i="2"/>
  <c r="E33" i="2"/>
  <c r="D33" i="2"/>
  <c r="C33" i="2"/>
  <c r="I31" i="2"/>
  <c r="G31" i="2"/>
  <c r="F15" i="2"/>
  <c r="F39" i="2" s="1"/>
  <c r="F20" i="2"/>
  <c r="F18" i="2"/>
  <c r="F17" i="2"/>
  <c r="F14" i="2"/>
  <c r="F38" i="2" s="1"/>
  <c r="F13" i="2"/>
  <c r="F12" i="2"/>
  <c r="F11" i="2"/>
  <c r="F10" i="2"/>
  <c r="F9" i="2"/>
  <c r="F33" i="2" s="1"/>
  <c r="F8" i="2"/>
  <c r="F34" i="2" s="1"/>
  <c r="J20" i="2"/>
  <c r="J18" i="2"/>
  <c r="J17" i="2"/>
  <c r="J15" i="2"/>
  <c r="J14" i="2"/>
  <c r="J13" i="2"/>
  <c r="J12" i="2"/>
  <c r="J11" i="2"/>
  <c r="J10" i="2"/>
  <c r="J9" i="2"/>
  <c r="J8" i="2"/>
  <c r="I6" i="2"/>
  <c r="E6" i="2"/>
  <c r="J5" i="2"/>
  <c r="J6" i="2" s="1"/>
  <c r="M26" i="2"/>
  <c r="N26" i="2"/>
  <c r="M5" i="2"/>
  <c r="M6" i="2" s="1"/>
  <c r="N44" i="2" s="1"/>
  <c r="N5" i="2"/>
  <c r="N6" i="2" s="1"/>
  <c r="O44" i="2" s="1"/>
  <c r="O26" i="2"/>
  <c r="P26" i="2"/>
  <c r="O16" i="2"/>
  <c r="O19" i="2" s="1"/>
  <c r="O21" i="2" s="1"/>
  <c r="O23" i="2" s="1"/>
  <c r="O5" i="2"/>
  <c r="O6" i="2" s="1"/>
  <c r="P44" i="2" s="1"/>
  <c r="P5" i="2"/>
  <c r="P6" i="2" s="1"/>
  <c r="Q44" i="2" s="1"/>
  <c r="Q26" i="2"/>
  <c r="R26" i="2"/>
  <c r="Q16" i="2"/>
  <c r="Q19" i="2" s="1"/>
  <c r="Q21" i="2" s="1"/>
  <c r="Q23" i="2" s="1"/>
  <c r="P16" i="2"/>
  <c r="P19" i="2" s="1"/>
  <c r="P21" i="2" s="1"/>
  <c r="P23" i="2" s="1"/>
  <c r="N16" i="2"/>
  <c r="N19" i="2" s="1"/>
  <c r="N21" i="2" s="1"/>
  <c r="N23" i="2" s="1"/>
  <c r="M16" i="2"/>
  <c r="M19" i="2" s="1"/>
  <c r="M21" i="2" s="1"/>
  <c r="M23" i="2" s="1"/>
  <c r="I16" i="2"/>
  <c r="I19" i="2" s="1"/>
  <c r="I21" i="2" s="1"/>
  <c r="I23" i="2" s="1"/>
  <c r="H16" i="2"/>
  <c r="H19" i="2" s="1"/>
  <c r="H21" i="2" s="1"/>
  <c r="H23" i="2" s="1"/>
  <c r="G16" i="2"/>
  <c r="G19" i="2" s="1"/>
  <c r="G21" i="2" s="1"/>
  <c r="G23" i="2" s="1"/>
  <c r="E16" i="2"/>
  <c r="E19" i="2" s="1"/>
  <c r="E21" i="2" s="1"/>
  <c r="E23" i="2" s="1"/>
  <c r="D16" i="2"/>
  <c r="D19" i="2" s="1"/>
  <c r="D21" i="2" s="1"/>
  <c r="D23" i="2" s="1"/>
  <c r="C16" i="2"/>
  <c r="C19" i="2" s="1"/>
  <c r="C21" i="2" s="1"/>
  <c r="C23" i="2" s="1"/>
  <c r="H6" i="2"/>
  <c r="G6" i="2"/>
  <c r="F6" i="2"/>
  <c r="D6" i="2"/>
  <c r="C6" i="2"/>
  <c r="Q5" i="2"/>
  <c r="Q6" i="2" s="1"/>
  <c r="R44" i="2" s="1"/>
  <c r="R5" i="2"/>
  <c r="R6" i="2" s="1"/>
  <c r="S44" i="2" s="1"/>
  <c r="R16" i="2"/>
  <c r="R19" i="2" s="1"/>
  <c r="R21" i="2" s="1"/>
  <c r="R23" i="2" s="1"/>
  <c r="S16" i="2"/>
  <c r="S19" i="2" s="1"/>
  <c r="S21" i="2" s="1"/>
  <c r="S23" i="2" s="1"/>
  <c r="T16" i="2"/>
  <c r="T31" i="2" s="1"/>
  <c r="S5" i="2"/>
  <c r="S6" i="2" s="1"/>
  <c r="T44" i="2" s="1"/>
  <c r="T5" i="2"/>
  <c r="T6" i="2" s="1"/>
  <c r="U17" i="2" s="1"/>
  <c r="U19" i="2" s="1"/>
  <c r="U20" i="2" s="1"/>
  <c r="U21" i="2" s="1"/>
  <c r="U6" i="2" s="1"/>
  <c r="V17" i="2" s="1"/>
  <c r="V19" i="2" s="1"/>
  <c r="V20" i="2" s="1"/>
  <c r="V21" i="2" s="1"/>
  <c r="N8" i="1"/>
  <c r="N11" i="1" s="1"/>
  <c r="V6" i="2" l="1"/>
  <c r="W17" i="2" s="1"/>
  <c r="W19" i="2" s="1"/>
  <c r="W20" i="2" s="1"/>
  <c r="W21" i="2" s="1"/>
  <c r="W6" i="2" s="1"/>
  <c r="X17" i="2" s="1"/>
  <c r="X19" i="2" s="1"/>
  <c r="X20" i="2" s="1"/>
  <c r="X21" i="2" s="1"/>
  <c r="X6" i="2" s="1"/>
  <c r="Y17" i="2" s="1"/>
  <c r="Y19" i="2" s="1"/>
  <c r="Y20" i="2" s="1"/>
  <c r="Y21" i="2" s="1"/>
  <c r="Y6" i="2" s="1"/>
  <c r="Z17" i="2" s="1"/>
  <c r="Z19" i="2" s="1"/>
  <c r="Z20" i="2" s="1"/>
  <c r="Z21" i="2" s="1"/>
  <c r="Z6" i="2" s="1"/>
  <c r="AA17" i="2" s="1"/>
  <c r="AA19" i="2" s="1"/>
  <c r="AA20" i="2" s="1"/>
  <c r="AA21" i="2" s="1"/>
  <c r="AA6" i="2" s="1"/>
  <c r="AB17" i="2" s="1"/>
  <c r="AB19" i="2" s="1"/>
  <c r="AB20" i="2" s="1"/>
  <c r="AB21" i="2" s="1"/>
  <c r="AB6" i="2" s="1"/>
  <c r="AC17" i="2" s="1"/>
  <c r="AC19" i="2" s="1"/>
  <c r="AC20" i="2" s="1"/>
  <c r="AC21" i="2" s="1"/>
  <c r="AC6" i="2" s="1"/>
  <c r="AD17" i="2" s="1"/>
  <c r="AD19" i="2" s="1"/>
  <c r="AD20" i="2" s="1"/>
  <c r="AD21" i="2" s="1"/>
  <c r="E31" i="2"/>
  <c r="J41" i="2"/>
  <c r="F36" i="2"/>
  <c r="F35" i="2"/>
  <c r="M43" i="2"/>
  <c r="N43" i="2"/>
  <c r="O31" i="2"/>
  <c r="J39" i="2"/>
  <c r="P43" i="2"/>
  <c r="H31" i="2"/>
  <c r="O43" i="2"/>
  <c r="T19" i="2"/>
  <c r="J33" i="2"/>
  <c r="J34" i="2"/>
  <c r="J35" i="2"/>
  <c r="J36" i="2"/>
  <c r="J37" i="2"/>
  <c r="J38" i="2"/>
  <c r="Q43" i="2"/>
  <c r="N31" i="2"/>
  <c r="P31" i="2"/>
  <c r="C43" i="2"/>
  <c r="Q31" i="2"/>
  <c r="D43" i="2"/>
  <c r="S43" i="2"/>
  <c r="R31" i="2"/>
  <c r="E43" i="2"/>
  <c r="S31" i="2"/>
  <c r="M31" i="2"/>
  <c r="G43" i="2"/>
  <c r="C31" i="2"/>
  <c r="H43" i="2"/>
  <c r="R43" i="2"/>
  <c r="D31" i="2"/>
  <c r="I43" i="2"/>
  <c r="F16" i="2"/>
  <c r="J16" i="2"/>
  <c r="AD6" i="2" l="1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F19" i="2"/>
  <c r="F31" i="2"/>
  <c r="J19" i="2"/>
  <c r="J31" i="2"/>
  <c r="T21" i="2"/>
  <c r="T23" i="2" s="1"/>
  <c r="T43" i="2"/>
  <c r="C4" i="3" l="1"/>
  <c r="N14" i="1" s="1"/>
  <c r="N15" i="1" s="1"/>
  <c r="J21" i="2"/>
  <c r="J23" i="2" s="1"/>
  <c r="J43" i="2"/>
  <c r="F21" i="2"/>
  <c r="F23" i="2" s="1"/>
  <c r="F43" i="2"/>
</calcChain>
</file>

<file path=xl/sharedStrings.xml><?xml version="1.0" encoding="utf-8"?>
<sst xmlns="http://schemas.openxmlformats.org/spreadsheetml/2006/main" count="70" uniqueCount="51">
  <si>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</si>
  <si>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</si>
  <si>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</si>
  <si>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</si>
  <si>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</si>
  <si>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</si>
  <si>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</si>
  <si>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</si>
  <si>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</si>
  <si>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</si>
  <si>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</si>
  <si>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</si>
  <si>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</si>
  <si>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</si>
  <si>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</si>
  <si>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</si>
  <si>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</si>
  <si>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</si>
  <si>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</si>
  <si>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</si>
  <si>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</si>
  <si>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</si>
  <si>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SAIA</t>
  </si>
  <si>
    <t>Saia</t>
  </si>
  <si>
    <t>Net PPE</t>
  </si>
  <si>
    <t>Net cash</t>
  </si>
  <si>
    <t>Revenue</t>
  </si>
  <si>
    <t>Salaries</t>
  </si>
  <si>
    <t>Fuel</t>
  </si>
  <si>
    <t>Op licenses</t>
  </si>
  <si>
    <t>Insurance</t>
  </si>
  <si>
    <t>Depre &amp; Amort</t>
  </si>
  <si>
    <t>Misc</t>
  </si>
  <si>
    <t>Operating income</t>
  </si>
  <si>
    <t>Purch. transport</t>
  </si>
  <si>
    <t>Interest expense</t>
  </si>
  <si>
    <t>Other expense</t>
  </si>
  <si>
    <t>EBT</t>
  </si>
  <si>
    <t>Taxes</t>
  </si>
  <si>
    <t>Net income</t>
  </si>
  <si>
    <t>EPS</t>
  </si>
  <si>
    <t>CF PPE</t>
  </si>
  <si>
    <t>CF Debt repay</t>
  </si>
  <si>
    <t>Op margin</t>
  </si>
  <si>
    <t>Salary %rev</t>
  </si>
  <si>
    <t>Rev y/y</t>
  </si>
  <si>
    <t>Tax rate</t>
  </si>
  <si>
    <t>Interest rate</t>
  </si>
  <si>
    <t>We may experience shortages of qualified employees that could result in us not meeting customer demands, upward pressure on wages and benefits, underutilization of our truck fleet and/or use of higher cost purchased transportation which could have a material adverse effect on our financial condition, results of operations, liquidity and cash flows.</t>
  </si>
  <si>
    <t>u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</si>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</sst>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24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15"/>
  <sheetViews>
    <sheetView tabSelected="1" workbookViewId="0">
      <selection activeCell="N35" sqref="N35"/>
    </sheetView>
  </sheetViews>
  <sheetFormatPr defaultRowHeight="15" x14ac:dyDescent="0.25"/>
  <cols>
    <col min="14" max="14" width="9.7109375" bestFit="1" customWidth="1"/>
  </cols>
  <sheetData>
    <row r="2" spans="2:14" x14ac:dyDescent="0.25">
      <c r="B2" s="10" t="s">
        <v>48</v>
      </c>
      <c r="C2" s="10"/>
      <c r="D2" s="10"/>
      <c r="E2" s="10"/>
      <c r="F2" s="10"/>
      <c r="G2" s="10"/>
      <c r="H2" s="10"/>
      <c r="I2" s="10"/>
      <c r="J2" s="10"/>
      <c r="K2" s="10"/>
      <c r="M2" t="s">
        <v>7</v>
      </c>
      <c r="N2" s="1">
        <v>44992</v>
      </c>
    </row>
    <row r="3" spans="2:14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M3" t="s">
        <v>20</v>
      </c>
      <c r="N3" t="s">
        <v>22</v>
      </c>
    </row>
    <row r="4" spans="2:14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M4" t="s">
        <v>21</v>
      </c>
      <c r="N4" t="s">
        <v>23</v>
      </c>
    </row>
    <row r="5" spans="2:14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2:14" x14ac:dyDescent="0.25">
      <c r="M6" t="s">
        <v>0</v>
      </c>
      <c r="N6" s="2">
        <v>288.77</v>
      </c>
    </row>
    <row r="7" spans="2:14" x14ac:dyDescent="0.25">
      <c r="M7" t="s">
        <v>1</v>
      </c>
      <c r="N7" s="8">
        <v>26.52</v>
      </c>
    </row>
    <row r="8" spans="2:14" x14ac:dyDescent="0.25">
      <c r="M8" t="s">
        <v>2</v>
      </c>
      <c r="N8" s="3">
        <f>N6*N7</f>
        <v>7658.1803999999993</v>
      </c>
    </row>
    <row r="9" spans="2:14" x14ac:dyDescent="0.25">
      <c r="M9" t="s">
        <v>3</v>
      </c>
      <c r="N9" s="3">
        <v>187.4</v>
      </c>
    </row>
    <row r="10" spans="2:14" x14ac:dyDescent="0.25">
      <c r="M10" t="s">
        <v>4</v>
      </c>
      <c r="N10" s="3">
        <v>236.74</v>
      </c>
    </row>
    <row r="11" spans="2:14" x14ac:dyDescent="0.25">
      <c r="M11" t="s">
        <v>6</v>
      </c>
      <c r="N11" s="3">
        <f>+N8-N9+N10</f>
        <v>7707.5203999999994</v>
      </c>
    </row>
    <row r="12" spans="2:14" x14ac:dyDescent="0.25">
      <c r="M12" t="s">
        <v>5</v>
      </c>
      <c r="N12" s="3">
        <f>+Model!T26</f>
        <v>19.47</v>
      </c>
    </row>
    <row r="13" spans="2:14" x14ac:dyDescent="0.25">
      <c r="N13" s="3"/>
    </row>
    <row r="14" spans="2:14" x14ac:dyDescent="0.25">
      <c r="M14" t="s">
        <v>8</v>
      </c>
      <c r="N14" s="3">
        <f>Dash!C4</f>
        <v>7684.7281871497207</v>
      </c>
    </row>
    <row r="15" spans="2:14" x14ac:dyDescent="0.25">
      <c r="M15" t="s">
        <v>17</v>
      </c>
      <c r="N15" s="2">
        <f>N14/N7</f>
        <v>289.77104778090956</v>
      </c>
    </row>
  </sheetData>
  <mergeCells count="1">
    <mergeCell ref="B2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Q44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V43" sqref="V43"/>
    </sheetView>
  </sheetViews>
  <sheetFormatPr defaultRowHeight="15" x14ac:dyDescent="0.25"/>
  <cols>
    <col min="2" max="2" width="17" bestFit="1" customWidth="1"/>
  </cols>
  <sheetData>
    <row r="1" spans="2:121" x14ac:dyDescent="0.25">
      <c r="J1" s="1">
        <v>44595</v>
      </c>
    </row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3" customFormat="1" x14ac:dyDescent="0.25">
      <c r="B3" s="3" t="s">
        <v>3</v>
      </c>
      <c r="J3" s="3">
        <v>187.4</v>
      </c>
      <c r="M3" s="3">
        <v>0.124</v>
      </c>
      <c r="N3" s="3">
        <v>1.54</v>
      </c>
      <c r="O3" s="3">
        <v>4.7</v>
      </c>
      <c r="P3" s="3">
        <v>2.194</v>
      </c>
      <c r="Q3" s="3">
        <v>0.248</v>
      </c>
      <c r="R3" s="3">
        <v>25.3</v>
      </c>
      <c r="S3" s="3">
        <v>106.6</v>
      </c>
      <c r="T3" s="3">
        <v>187.4</v>
      </c>
    </row>
    <row r="4" spans="2:121" s="3" customFormat="1" x14ac:dyDescent="0.25">
      <c r="B4" s="3" t="s">
        <v>24</v>
      </c>
      <c r="J4" s="3">
        <v>1482.6</v>
      </c>
      <c r="M4" s="3">
        <v>539.20000000000005</v>
      </c>
      <c r="N4" s="3">
        <v>604.11900000000003</v>
      </c>
      <c r="O4" s="3">
        <v>735.8</v>
      </c>
      <c r="P4" s="3">
        <v>893</v>
      </c>
      <c r="Q4" s="3">
        <v>1052.5999999999999</v>
      </c>
      <c r="R4" s="3">
        <v>1136</v>
      </c>
      <c r="S4" s="3">
        <v>1280.45</v>
      </c>
      <c r="T4" s="3">
        <v>1482.6</v>
      </c>
    </row>
    <row r="5" spans="2:121" s="3" customFormat="1" x14ac:dyDescent="0.25">
      <c r="B5" s="3" t="s">
        <v>4</v>
      </c>
      <c r="J5" s="3">
        <f>99.8+45.5+14.5+16.5+60.44</f>
        <v>236.74</v>
      </c>
      <c r="M5" s="3">
        <f>54.75+26.9+12.4+56.5+35.99</f>
        <v>186.54000000000002</v>
      </c>
      <c r="N5" s="3">
        <f>45.15+33.05+16.76+57+35.1</f>
        <v>187.05999999999997</v>
      </c>
      <c r="O5" s="3">
        <f>57.4+35.9+14.1+118.8+39.6</f>
        <v>265.8</v>
      </c>
      <c r="P5" s="3">
        <f>79+41+18+104.8+37</f>
        <v>279.8</v>
      </c>
      <c r="Q5" s="3">
        <f>83.6+36.9+19.4+117+44.4</f>
        <v>301.29999999999995</v>
      </c>
      <c r="R5" s="3">
        <f>89.4+49.6+20.6+50.4+46.2</f>
        <v>256.2</v>
      </c>
      <c r="S5" s="3">
        <f>114+54.7+19.4+31+60</f>
        <v>279.10000000000002</v>
      </c>
      <c r="T5" s="3">
        <f>99.8+45.5+14.5+16.5+60.44</f>
        <v>236.74</v>
      </c>
    </row>
    <row r="6" spans="2:121" s="3" customFormat="1" x14ac:dyDescent="0.25">
      <c r="B6" s="3" t="s">
        <v>25</v>
      </c>
      <c r="C6" s="3">
        <f t="shared" ref="C6" si="0">+C3-C5</f>
        <v>0</v>
      </c>
      <c r="D6" s="3">
        <f t="shared" ref="D6" si="1">+D3-D5</f>
        <v>0</v>
      </c>
      <c r="E6" s="3">
        <f t="shared" ref="E6" si="2">+E3-E5</f>
        <v>0</v>
      </c>
      <c r="F6" s="3">
        <f t="shared" ref="F6" si="3">+F3-F5</f>
        <v>0</v>
      </c>
      <c r="G6" s="3">
        <f t="shared" ref="G6" si="4">+G3-G5</f>
        <v>0</v>
      </c>
      <c r="H6" s="3">
        <f t="shared" ref="H6:I6" si="5">+H3-H5</f>
        <v>0</v>
      </c>
      <c r="I6" s="3">
        <f t="shared" si="5"/>
        <v>0</v>
      </c>
      <c r="J6" s="3">
        <f>+J3-J5</f>
        <v>-49.34</v>
      </c>
      <c r="M6" s="3">
        <f t="shared" ref="M6" si="6">+M3-M5</f>
        <v>-186.41600000000003</v>
      </c>
      <c r="N6" s="3">
        <f t="shared" ref="N6" si="7">+N3-N5</f>
        <v>-185.51999999999998</v>
      </c>
      <c r="O6" s="3">
        <f t="shared" ref="O6" si="8">+O3-O5</f>
        <v>-261.10000000000002</v>
      </c>
      <c r="P6" s="3">
        <f t="shared" ref="P6" si="9">+P3-P5</f>
        <v>-277.60599999999999</v>
      </c>
      <c r="Q6" s="3">
        <f t="shared" ref="Q6" si="10">+Q3-Q5</f>
        <v>-301.05199999999996</v>
      </c>
      <c r="R6" s="3">
        <f t="shared" ref="R6:S6" si="11">+R3-R5</f>
        <v>-230.89999999999998</v>
      </c>
      <c r="S6" s="3">
        <f t="shared" si="11"/>
        <v>-172.50000000000003</v>
      </c>
      <c r="T6" s="3">
        <f>+T3-T5</f>
        <v>-49.34</v>
      </c>
      <c r="U6" s="3">
        <f>+T6+U21</f>
        <v>312.43140844000038</v>
      </c>
      <c r="V6" s="3">
        <f t="shared" ref="V6:AD6" si="12">+U6+V21</f>
        <v>707.17897664184466</v>
      </c>
      <c r="W6" s="3">
        <f t="shared" si="12"/>
        <v>1128.3795835012529</v>
      </c>
      <c r="X6" s="3">
        <f t="shared" si="12"/>
        <v>1582.7330971999784</v>
      </c>
      <c r="Y6" s="3">
        <f t="shared" si="12"/>
        <v>2071.3088906194371</v>
      </c>
      <c r="Z6" s="3">
        <f t="shared" si="12"/>
        <v>2587.4152439881755</v>
      </c>
      <c r="AA6" s="3">
        <f t="shared" si="12"/>
        <v>3180.7530879823898</v>
      </c>
      <c r="AB6" s="3">
        <f t="shared" si="12"/>
        <v>3860.8594081735769</v>
      </c>
      <c r="AC6" s="3">
        <f t="shared" si="12"/>
        <v>4611.3190263316392</v>
      </c>
      <c r="AD6" s="3">
        <f t="shared" si="12"/>
        <v>5438.4960153266411</v>
      </c>
    </row>
    <row r="7" spans="2:121" s="3" customFormat="1" x14ac:dyDescent="0.25"/>
    <row r="8" spans="2:121" s="4" customFormat="1" x14ac:dyDescent="0.25">
      <c r="B8" s="4" t="s">
        <v>26</v>
      </c>
      <c r="C8" s="4">
        <v>484.1</v>
      </c>
      <c r="D8" s="4">
        <v>571.29999999999995</v>
      </c>
      <c r="E8" s="4">
        <v>616.20000000000005</v>
      </c>
      <c r="F8" s="4">
        <f>+S8-E8-D8-C8</f>
        <v>617.0999999999998</v>
      </c>
      <c r="G8" s="4">
        <v>661.2</v>
      </c>
      <c r="H8" s="4">
        <v>745.5</v>
      </c>
      <c r="I8" s="4">
        <v>729.56</v>
      </c>
      <c r="J8" s="4">
        <f>+T8-I8-H8-G8</f>
        <v>655.83999999999992</v>
      </c>
      <c r="M8" s="4">
        <v>1221.3</v>
      </c>
      <c r="N8" s="4">
        <v>1218.5</v>
      </c>
      <c r="O8" s="4">
        <v>1404.7</v>
      </c>
      <c r="P8" s="4">
        <v>1653.85</v>
      </c>
      <c r="Q8" s="4">
        <v>1786.7</v>
      </c>
      <c r="R8" s="4">
        <v>1822.4</v>
      </c>
      <c r="S8" s="4">
        <v>2288.6999999999998</v>
      </c>
      <c r="T8" s="4">
        <v>2792.1</v>
      </c>
      <c r="U8" s="4">
        <f>+T8*(1+U41)</f>
        <v>3294.6779999999999</v>
      </c>
      <c r="V8" s="4">
        <f t="shared" ref="V8:AD8" si="13">+U8*(1+V41)</f>
        <v>3755.9329200000002</v>
      </c>
      <c r="W8" s="4">
        <f t="shared" si="13"/>
        <v>4131.5262120000007</v>
      </c>
      <c r="X8" s="4">
        <f t="shared" si="13"/>
        <v>4544.6788332000015</v>
      </c>
      <c r="Y8" s="4">
        <f t="shared" si="13"/>
        <v>4999.146716520002</v>
      </c>
      <c r="Z8" s="4">
        <f t="shared" si="13"/>
        <v>5424.0741874242021</v>
      </c>
      <c r="AA8" s="4">
        <f t="shared" si="13"/>
        <v>5885.120493355259</v>
      </c>
      <c r="AB8" s="4">
        <f t="shared" si="13"/>
        <v>6385.3557352904554</v>
      </c>
      <c r="AC8" s="4">
        <f t="shared" si="13"/>
        <v>6928.1109727901439</v>
      </c>
      <c r="AD8" s="4">
        <f t="shared" si="13"/>
        <v>7517.0004054773062</v>
      </c>
    </row>
    <row r="9" spans="2:121" s="8" customFormat="1" x14ac:dyDescent="0.25">
      <c r="B9" s="8" t="s">
        <v>27</v>
      </c>
      <c r="C9" s="8">
        <v>244.4</v>
      </c>
      <c r="D9" s="8">
        <v>268.8</v>
      </c>
      <c r="E9" s="8">
        <v>277.10000000000002</v>
      </c>
      <c r="F9" s="8">
        <f>+S9-E9-D9-C9</f>
        <v>273.39999999999998</v>
      </c>
      <c r="G9" s="8">
        <v>289.5</v>
      </c>
      <c r="H9" s="8">
        <v>295</v>
      </c>
      <c r="I9" s="8">
        <v>297.25</v>
      </c>
      <c r="J9" s="8">
        <f>+T9-I9-H9-G9</f>
        <v>287.75</v>
      </c>
      <c r="M9" s="8">
        <v>670.17</v>
      </c>
      <c r="N9" s="8">
        <v>696</v>
      </c>
      <c r="O9" s="8">
        <v>766.8</v>
      </c>
      <c r="P9" s="8">
        <v>872.7</v>
      </c>
      <c r="Q9" s="8">
        <v>947.9</v>
      </c>
      <c r="R9" s="8">
        <v>963.3</v>
      </c>
      <c r="S9" s="8">
        <v>1063.7</v>
      </c>
      <c r="T9" s="8">
        <v>1169.5</v>
      </c>
      <c r="U9" s="8">
        <f>+U$8*U33</f>
        <v>1416.71154</v>
      </c>
      <c r="V9" s="8">
        <f t="shared" ref="V9:AD9" si="14">+V$8*V33</f>
        <v>1652.6104848</v>
      </c>
      <c r="W9" s="8">
        <f t="shared" si="14"/>
        <v>1859.1867954000004</v>
      </c>
      <c r="X9" s="8">
        <f t="shared" si="14"/>
        <v>2090.5522632720008</v>
      </c>
      <c r="Y9" s="8">
        <f t="shared" si="14"/>
        <v>2349.598956764401</v>
      </c>
      <c r="Z9" s="8">
        <f t="shared" si="14"/>
        <v>2603.5556099636169</v>
      </c>
      <c r="AA9" s="8">
        <f t="shared" si="14"/>
        <v>2824.8578368105241</v>
      </c>
      <c r="AB9" s="8">
        <f t="shared" si="14"/>
        <v>3064.9707529394186</v>
      </c>
      <c r="AC9" s="8">
        <f t="shared" si="14"/>
        <v>3325.4932669392688</v>
      </c>
      <c r="AD9" s="8">
        <f t="shared" si="14"/>
        <v>3608.1601946291071</v>
      </c>
    </row>
    <row r="10" spans="2:121" s="8" customFormat="1" x14ac:dyDescent="0.25">
      <c r="B10" s="8" t="s">
        <v>34</v>
      </c>
      <c r="C10" s="8">
        <v>45</v>
      </c>
      <c r="D10" s="8">
        <v>62.5</v>
      </c>
      <c r="E10" s="8">
        <v>72.2</v>
      </c>
      <c r="F10" s="8">
        <f t="shared" ref="F10:F14" si="15">+S10-E10-D10-C10</f>
        <v>70</v>
      </c>
      <c r="G10" s="8">
        <v>78.2</v>
      </c>
      <c r="H10" s="8">
        <v>91.8</v>
      </c>
      <c r="I10" s="8">
        <v>85.5</v>
      </c>
      <c r="J10" s="8">
        <f t="shared" ref="J10:J15" si="16">+T10-I10-H10-G10</f>
        <v>60.399999999999963</v>
      </c>
      <c r="M10" s="8">
        <v>70.599999999999994</v>
      </c>
      <c r="N10" s="8">
        <v>56.3</v>
      </c>
      <c r="O10" s="8">
        <v>107.7</v>
      </c>
      <c r="P10" s="8">
        <v>123.9</v>
      </c>
      <c r="Q10" s="8">
        <v>130</v>
      </c>
      <c r="R10" s="8">
        <v>141.4</v>
      </c>
      <c r="S10" s="8">
        <v>249.7</v>
      </c>
      <c r="T10" s="8">
        <v>315.89999999999998</v>
      </c>
      <c r="U10" s="8">
        <f t="shared" ref="U10:AD10" si="17">+U$8*U34</f>
        <v>362.41458</v>
      </c>
      <c r="V10" s="8">
        <f t="shared" si="17"/>
        <v>394.37295660000001</v>
      </c>
      <c r="W10" s="8">
        <f t="shared" si="17"/>
        <v>413.15262120000011</v>
      </c>
      <c r="X10" s="8">
        <f t="shared" si="17"/>
        <v>431.74448915400012</v>
      </c>
      <c r="Y10" s="8">
        <f t="shared" si="17"/>
        <v>449.92320448680016</v>
      </c>
      <c r="Z10" s="8">
        <f t="shared" si="17"/>
        <v>461.04630593105719</v>
      </c>
      <c r="AA10" s="8">
        <f t="shared" si="17"/>
        <v>470.80963946842076</v>
      </c>
      <c r="AB10" s="8">
        <f t="shared" si="17"/>
        <v>478.90168014678414</v>
      </c>
      <c r="AC10" s="8">
        <f t="shared" si="17"/>
        <v>519.60832295926082</v>
      </c>
      <c r="AD10" s="8">
        <f t="shared" si="17"/>
        <v>563.77503041079797</v>
      </c>
    </row>
    <row r="11" spans="2:121" s="8" customFormat="1" x14ac:dyDescent="0.25">
      <c r="B11" s="8" t="s">
        <v>28</v>
      </c>
      <c r="C11" s="8">
        <v>84.9</v>
      </c>
      <c r="D11" s="8">
        <v>90.7</v>
      </c>
      <c r="E11" s="8">
        <v>98.8</v>
      </c>
      <c r="F11" s="8">
        <f t="shared" si="15"/>
        <v>107.49999999999997</v>
      </c>
      <c r="G11" s="8">
        <v>122.8</v>
      </c>
      <c r="H11" s="8">
        <v>145.5</v>
      </c>
      <c r="I11" s="8">
        <v>145.5</v>
      </c>
      <c r="J11" s="8">
        <f t="shared" si="16"/>
        <v>144.69999999999999</v>
      </c>
      <c r="M11" s="8">
        <v>261.39999999999998</v>
      </c>
      <c r="N11" s="8">
        <v>230.4</v>
      </c>
      <c r="O11" s="8">
        <v>268.08999999999997</v>
      </c>
      <c r="P11" s="8">
        <v>325</v>
      </c>
      <c r="Q11" s="8">
        <v>340.1</v>
      </c>
      <c r="R11" s="8">
        <v>299.2</v>
      </c>
      <c r="S11" s="8">
        <v>381.9</v>
      </c>
      <c r="T11" s="8">
        <v>558.5</v>
      </c>
      <c r="U11" s="8">
        <f t="shared" ref="U11:AD11" si="18">+U$8*U35</f>
        <v>675.4089899999999</v>
      </c>
      <c r="V11" s="8">
        <f t="shared" si="18"/>
        <v>769.96624859999997</v>
      </c>
      <c r="W11" s="8">
        <f t="shared" si="18"/>
        <v>846.96287346000008</v>
      </c>
      <c r="X11" s="8">
        <f t="shared" si="18"/>
        <v>931.65916080600027</v>
      </c>
      <c r="Y11" s="8">
        <f t="shared" si="18"/>
        <v>1024.8250768866003</v>
      </c>
      <c r="Z11" s="8">
        <f t="shared" si="18"/>
        <v>1111.9352084219613</v>
      </c>
      <c r="AA11" s="8">
        <f t="shared" si="18"/>
        <v>1206.449701137828</v>
      </c>
      <c r="AB11" s="8">
        <f t="shared" si="18"/>
        <v>1308.9979257345433</v>
      </c>
      <c r="AC11" s="8">
        <f t="shared" si="18"/>
        <v>1420.2627494219794</v>
      </c>
      <c r="AD11" s="8">
        <f t="shared" si="18"/>
        <v>1540.9850831228478</v>
      </c>
    </row>
    <row r="12" spans="2:121" s="8" customFormat="1" x14ac:dyDescent="0.25">
      <c r="B12" s="8" t="s">
        <v>29</v>
      </c>
      <c r="C12" s="8">
        <v>14.3</v>
      </c>
      <c r="D12" s="8">
        <v>14.6</v>
      </c>
      <c r="E12" s="8">
        <v>14.6</v>
      </c>
      <c r="F12" s="8">
        <f t="shared" si="15"/>
        <v>15.599999999999998</v>
      </c>
      <c r="G12" s="8">
        <v>16.600000000000001</v>
      </c>
      <c r="H12" s="8">
        <v>16</v>
      </c>
      <c r="I12" s="8">
        <v>16.3</v>
      </c>
      <c r="J12" s="8">
        <f t="shared" si="16"/>
        <v>14.899999999999999</v>
      </c>
      <c r="M12" s="8">
        <v>37</v>
      </c>
      <c r="N12" s="8">
        <v>40</v>
      </c>
      <c r="O12" s="8">
        <v>43.33</v>
      </c>
      <c r="P12" s="8">
        <v>50.1</v>
      </c>
      <c r="Q12" s="8">
        <v>54.4</v>
      </c>
      <c r="R12" s="8">
        <v>56.3</v>
      </c>
      <c r="S12" s="8">
        <v>59.1</v>
      </c>
      <c r="T12" s="8">
        <v>63.8</v>
      </c>
      <c r="U12" s="8">
        <f t="shared" ref="U12:AD12" si="19">+U$8*U36</f>
        <v>85.661627999999993</v>
      </c>
      <c r="V12" s="8">
        <f t="shared" si="19"/>
        <v>108.92205468000002</v>
      </c>
      <c r="W12" s="8">
        <f t="shared" si="19"/>
        <v>123.94578636000001</v>
      </c>
      <c r="X12" s="8">
        <f t="shared" si="19"/>
        <v>136.34036499600003</v>
      </c>
      <c r="Y12" s="8">
        <f t="shared" si="19"/>
        <v>149.97440149560006</v>
      </c>
      <c r="Z12" s="8">
        <f t="shared" si="19"/>
        <v>162.72222562272606</v>
      </c>
      <c r="AA12" s="8">
        <f t="shared" si="19"/>
        <v>176.55361480065775</v>
      </c>
      <c r="AB12" s="8">
        <f t="shared" si="19"/>
        <v>191.56067205871366</v>
      </c>
      <c r="AC12" s="8">
        <f t="shared" si="19"/>
        <v>207.8433291837043</v>
      </c>
      <c r="AD12" s="8">
        <f t="shared" si="19"/>
        <v>225.51001216431919</v>
      </c>
    </row>
    <row r="13" spans="2:121" s="8" customFormat="1" x14ac:dyDescent="0.25">
      <c r="B13" s="8" t="s">
        <v>30</v>
      </c>
      <c r="C13" s="8">
        <v>11.5</v>
      </c>
      <c r="D13" s="8">
        <v>17.3</v>
      </c>
      <c r="E13" s="8">
        <v>15.5</v>
      </c>
      <c r="F13" s="8">
        <f t="shared" si="15"/>
        <v>16.999999999999996</v>
      </c>
      <c r="G13" s="8">
        <v>10.7</v>
      </c>
      <c r="H13" s="8">
        <v>14.2</v>
      </c>
      <c r="I13" s="8">
        <v>16</v>
      </c>
      <c r="J13" s="8">
        <f t="shared" si="16"/>
        <v>15.700000000000003</v>
      </c>
      <c r="M13" s="8">
        <v>36.799999999999997</v>
      </c>
      <c r="N13" s="8">
        <v>39.6</v>
      </c>
      <c r="O13" s="8">
        <v>37.200000000000003</v>
      </c>
      <c r="P13" s="8">
        <v>38.4</v>
      </c>
      <c r="Q13" s="8">
        <v>43.1</v>
      </c>
      <c r="R13" s="8">
        <v>49.8</v>
      </c>
      <c r="S13" s="8">
        <v>61.3</v>
      </c>
      <c r="T13" s="8">
        <v>56.6</v>
      </c>
      <c r="U13" s="8">
        <f t="shared" ref="U13:AD13" si="20">+U$8*U37</f>
        <v>92.250984000000003</v>
      </c>
      <c r="V13" s="8">
        <f t="shared" si="20"/>
        <v>105.16612176000001</v>
      </c>
      <c r="W13" s="8">
        <f t="shared" si="20"/>
        <v>115.68273393600002</v>
      </c>
      <c r="X13" s="8">
        <f t="shared" si="20"/>
        <v>127.25100732960004</v>
      </c>
      <c r="Y13" s="8">
        <f t="shared" si="20"/>
        <v>139.97610806256006</v>
      </c>
      <c r="Z13" s="8">
        <f t="shared" si="20"/>
        <v>151.87407724787766</v>
      </c>
      <c r="AA13" s="8">
        <f t="shared" si="20"/>
        <v>164.78337381394726</v>
      </c>
      <c r="AB13" s="8">
        <f t="shared" si="20"/>
        <v>178.78996058813274</v>
      </c>
      <c r="AC13" s="8">
        <f t="shared" si="20"/>
        <v>193.98710723812403</v>
      </c>
      <c r="AD13" s="8">
        <f t="shared" si="20"/>
        <v>210.47601135336458</v>
      </c>
    </row>
    <row r="14" spans="2:121" s="8" customFormat="1" x14ac:dyDescent="0.25">
      <c r="B14" s="8" t="s">
        <v>31</v>
      </c>
      <c r="C14" s="8">
        <v>35.4</v>
      </c>
      <c r="D14" s="8">
        <v>34.700000000000003</v>
      </c>
      <c r="E14" s="8">
        <v>35.700000000000003</v>
      </c>
      <c r="F14" s="8">
        <f t="shared" si="15"/>
        <v>35.899999999999984</v>
      </c>
      <c r="G14" s="8">
        <v>40</v>
      </c>
      <c r="H14" s="8">
        <v>36.9</v>
      </c>
      <c r="I14" s="8">
        <v>40.700000000000003</v>
      </c>
      <c r="J14" s="8">
        <f t="shared" si="16"/>
        <v>39.599999999999994</v>
      </c>
      <c r="M14" s="8">
        <v>65</v>
      </c>
      <c r="N14" s="8">
        <v>76.2</v>
      </c>
      <c r="O14" s="8">
        <v>87.1</v>
      </c>
      <c r="P14" s="8">
        <v>102.15</v>
      </c>
      <c r="Q14" s="8">
        <v>119.1</v>
      </c>
      <c r="R14" s="8">
        <v>134.69999999999999</v>
      </c>
      <c r="S14" s="8">
        <v>141.69999999999999</v>
      </c>
      <c r="T14" s="8">
        <v>157.19999999999999</v>
      </c>
      <c r="U14" s="8">
        <f t="shared" ref="U14:AD14" si="21">+U$8*U38</f>
        <v>197.68068</v>
      </c>
      <c r="V14" s="8">
        <f t="shared" si="21"/>
        <v>232.86784104</v>
      </c>
      <c r="W14" s="8">
        <f t="shared" si="21"/>
        <v>264.41767756800004</v>
      </c>
      <c r="X14" s="8">
        <f t="shared" si="21"/>
        <v>295.40412415800012</v>
      </c>
      <c r="Y14" s="8">
        <f t="shared" si="21"/>
        <v>324.94453657380012</v>
      </c>
      <c r="Z14" s="8">
        <f t="shared" si="21"/>
        <v>352.56482218257315</v>
      </c>
      <c r="AA14" s="8">
        <f t="shared" si="21"/>
        <v>382.53283206809186</v>
      </c>
      <c r="AB14" s="8">
        <f t="shared" si="21"/>
        <v>415.0481227938796</v>
      </c>
      <c r="AC14" s="8">
        <f t="shared" si="21"/>
        <v>450.32721323135939</v>
      </c>
      <c r="AD14" s="8">
        <f t="shared" si="21"/>
        <v>488.60502635602489</v>
      </c>
    </row>
    <row r="15" spans="2:121" s="8" customFormat="1" x14ac:dyDescent="0.25">
      <c r="B15" s="8" t="s">
        <v>32</v>
      </c>
      <c r="C15" s="8">
        <v>-0.2</v>
      </c>
      <c r="D15" s="8">
        <v>-0.1</v>
      </c>
      <c r="E15" s="8">
        <v>-3.85</v>
      </c>
      <c r="F15" s="8">
        <f>+S15-E15-D15-C15</f>
        <v>0.25000000000000022</v>
      </c>
      <c r="G15" s="8">
        <v>0</v>
      </c>
      <c r="H15" s="8">
        <v>2.1000000000000001E-2</v>
      </c>
      <c r="I15" s="8">
        <v>0.1</v>
      </c>
      <c r="J15" s="8">
        <f t="shared" si="16"/>
        <v>-7.1000000000000008E-2</v>
      </c>
      <c r="M15" s="8">
        <v>0.31</v>
      </c>
      <c r="N15" s="8">
        <v>0.7</v>
      </c>
      <c r="O15" s="8">
        <v>-0.2</v>
      </c>
      <c r="P15" s="8">
        <v>0.4</v>
      </c>
      <c r="Q15" s="8">
        <v>-0.4</v>
      </c>
      <c r="R15" s="8">
        <v>-2.5</v>
      </c>
      <c r="S15" s="8">
        <v>-3.9</v>
      </c>
      <c r="T15" s="8">
        <v>0.05</v>
      </c>
      <c r="U15" s="8">
        <f t="shared" ref="U15:AD15" si="22">+U$8*U39</f>
        <v>0</v>
      </c>
      <c r="V15" s="8">
        <f t="shared" si="22"/>
        <v>0</v>
      </c>
      <c r="W15" s="8">
        <f t="shared" si="22"/>
        <v>0</v>
      </c>
      <c r="X15" s="8">
        <f t="shared" si="22"/>
        <v>0</v>
      </c>
      <c r="Y15" s="8">
        <f t="shared" si="22"/>
        <v>0</v>
      </c>
      <c r="Z15" s="8">
        <f t="shared" si="22"/>
        <v>0</v>
      </c>
      <c r="AA15" s="8">
        <f t="shared" si="22"/>
        <v>0</v>
      </c>
      <c r="AB15" s="8">
        <f t="shared" si="22"/>
        <v>0</v>
      </c>
      <c r="AC15" s="8">
        <f t="shared" si="22"/>
        <v>0</v>
      </c>
      <c r="AD15" s="8">
        <f t="shared" si="22"/>
        <v>0</v>
      </c>
    </row>
    <row r="16" spans="2:121" s="4" customFormat="1" x14ac:dyDescent="0.25">
      <c r="B16" s="4" t="s">
        <v>33</v>
      </c>
      <c r="C16" s="4">
        <f t="shared" ref="C16:Q16" si="23">+C8-SUM(C9:C15)</f>
        <v>48.800000000000068</v>
      </c>
      <c r="D16" s="4">
        <f t="shared" si="23"/>
        <v>82.799999999999955</v>
      </c>
      <c r="E16" s="4">
        <f t="shared" si="23"/>
        <v>106.14999999999998</v>
      </c>
      <c r="F16" s="4">
        <f t="shared" si="23"/>
        <v>97.449999999999818</v>
      </c>
      <c r="G16" s="4">
        <f t="shared" si="23"/>
        <v>103.39999999999998</v>
      </c>
      <c r="H16" s="4">
        <f t="shared" si="23"/>
        <v>146.07900000000006</v>
      </c>
      <c r="I16" s="4">
        <f>+I8-SUM(I9:I15)</f>
        <v>128.20999999999992</v>
      </c>
      <c r="J16" s="4">
        <f t="shared" si="23"/>
        <v>92.86099999999999</v>
      </c>
      <c r="M16" s="4">
        <f t="shared" si="23"/>
        <v>80.019999999999982</v>
      </c>
      <c r="N16" s="4">
        <f t="shared" si="23"/>
        <v>79.299999999999955</v>
      </c>
      <c r="O16" s="4">
        <f t="shared" si="23"/>
        <v>94.680000000000291</v>
      </c>
      <c r="P16" s="4">
        <f t="shared" si="23"/>
        <v>141.19999999999982</v>
      </c>
      <c r="Q16" s="4">
        <f t="shared" si="23"/>
        <v>152.50000000000023</v>
      </c>
      <c r="R16" s="4">
        <f>+R8-SUM(R9:R15)</f>
        <v>180.20000000000005</v>
      </c>
      <c r="S16" s="4">
        <f>+S8-SUM(S9:S15)</f>
        <v>335.19999999999982</v>
      </c>
      <c r="T16" s="4">
        <f>+T8-SUM(T9:T15)</f>
        <v>470.54999999999973</v>
      </c>
      <c r="U16" s="4">
        <f t="shared" ref="U16:AD16" si="24">+U8-SUM(U9:U15)</f>
        <v>464.54959800000051</v>
      </c>
      <c r="V16" s="4">
        <f t="shared" si="24"/>
        <v>492.02721252000038</v>
      </c>
      <c r="W16" s="4">
        <f t="shared" si="24"/>
        <v>508.17772407599932</v>
      </c>
      <c r="X16" s="4">
        <f t="shared" si="24"/>
        <v>531.72742348439942</v>
      </c>
      <c r="Y16" s="4">
        <f t="shared" si="24"/>
        <v>559.90443225024046</v>
      </c>
      <c r="Z16" s="4">
        <f t="shared" si="24"/>
        <v>580.37593805438974</v>
      </c>
      <c r="AA16" s="4">
        <f t="shared" si="24"/>
        <v>659.13349525578997</v>
      </c>
      <c r="AB16" s="4">
        <f t="shared" si="24"/>
        <v>747.08662102898234</v>
      </c>
      <c r="AC16" s="4">
        <f t="shared" si="24"/>
        <v>810.58898381644667</v>
      </c>
      <c r="AD16" s="4">
        <f t="shared" si="24"/>
        <v>879.48904744084484</v>
      </c>
    </row>
    <row r="17" spans="2:121" s="8" customFormat="1" x14ac:dyDescent="0.25">
      <c r="B17" s="8" t="s">
        <v>35</v>
      </c>
      <c r="C17" s="8">
        <v>0.9</v>
      </c>
      <c r="D17" s="8">
        <v>0.8</v>
      </c>
      <c r="E17" s="8">
        <v>0.77700000000000002</v>
      </c>
      <c r="F17" s="8">
        <f t="shared" ref="F17:F18" si="25">+S17-E17-D17-C17</f>
        <v>0.72299999999999998</v>
      </c>
      <c r="G17" s="8">
        <v>0.7</v>
      </c>
      <c r="H17" s="8">
        <v>0.7</v>
      </c>
      <c r="I17" s="8">
        <v>0.57999999999999996</v>
      </c>
      <c r="J17" s="8">
        <f t="shared" ref="J17:J18" si="26">+T17-I17-H17-G17</f>
        <v>0.62000000000000011</v>
      </c>
      <c r="M17" s="8">
        <v>4.0999999999999996</v>
      </c>
      <c r="N17" s="8">
        <v>4.4000000000000004</v>
      </c>
      <c r="O17" s="8">
        <v>5.0999999999999996</v>
      </c>
      <c r="P17" s="8">
        <v>5.4</v>
      </c>
      <c r="Q17" s="8">
        <v>6.7</v>
      </c>
      <c r="R17" s="8">
        <v>5.2</v>
      </c>
      <c r="S17" s="8">
        <v>3.2</v>
      </c>
      <c r="T17" s="8">
        <v>2.6</v>
      </c>
      <c r="U17" s="8">
        <f>+T6*U44</f>
        <v>0.74009999999999998</v>
      </c>
      <c r="V17" s="8">
        <f t="shared" ref="V17:AD17" si="27">+U6*V44</f>
        <v>-14.059413379800016</v>
      </c>
      <c r="W17" s="8">
        <f t="shared" si="27"/>
        <v>-31.823053948883008</v>
      </c>
      <c r="X17" s="8">
        <f t="shared" si="27"/>
        <v>-50.777081257556382</v>
      </c>
      <c r="Y17" s="8">
        <f t="shared" si="27"/>
        <v>-66.474790082399096</v>
      </c>
      <c r="Z17" s="8">
        <f t="shared" si="27"/>
        <v>-81.298873956812912</v>
      </c>
      <c r="AA17" s="8">
        <f t="shared" si="27"/>
        <v>-101.55604832653589</v>
      </c>
      <c r="AB17" s="8">
        <f t="shared" si="27"/>
        <v>-124.84455870330881</v>
      </c>
      <c r="AC17" s="8">
        <f t="shared" si="27"/>
        <v>-151.53873177081289</v>
      </c>
      <c r="AD17" s="8">
        <f t="shared" si="27"/>
        <v>-180.99427178351684</v>
      </c>
    </row>
    <row r="18" spans="2:121" s="8" customFormat="1" x14ac:dyDescent="0.25">
      <c r="B18" s="8" t="s">
        <v>36</v>
      </c>
      <c r="C18" s="8">
        <v>-0.1</v>
      </c>
      <c r="D18" s="8">
        <v>-0.4</v>
      </c>
      <c r="E18" s="8">
        <v>1.4E-2</v>
      </c>
      <c r="F18" s="8">
        <f t="shared" si="25"/>
        <v>-0.31400000000000006</v>
      </c>
      <c r="G18" s="8">
        <v>0.2</v>
      </c>
      <c r="H18" s="8">
        <v>0.8</v>
      </c>
      <c r="I18" s="8">
        <v>0.1</v>
      </c>
      <c r="J18" s="8">
        <f t="shared" si="26"/>
        <v>-1.3</v>
      </c>
      <c r="M18" s="8">
        <v>-0.1</v>
      </c>
      <c r="N18" s="8">
        <v>-0.2</v>
      </c>
      <c r="O18" s="8">
        <v>-0.1</v>
      </c>
      <c r="P18" s="8">
        <v>-7.0000000000000007E-2</v>
      </c>
      <c r="Q18" s="8">
        <v>-0.8</v>
      </c>
      <c r="R18" s="8">
        <v>-1.1000000000000001</v>
      </c>
      <c r="S18" s="8">
        <v>-0.8</v>
      </c>
      <c r="T18" s="8">
        <v>-0.2</v>
      </c>
    </row>
    <row r="19" spans="2:121" s="4" customFormat="1" x14ac:dyDescent="0.25">
      <c r="B19" s="4" t="s">
        <v>37</v>
      </c>
      <c r="C19" s="4">
        <f t="shared" ref="C19:Q19" si="28">+C16-C17-C18</f>
        <v>48.000000000000071</v>
      </c>
      <c r="D19" s="4">
        <f t="shared" si="28"/>
        <v>82.399999999999963</v>
      </c>
      <c r="E19" s="4">
        <f t="shared" si="28"/>
        <v>105.35899999999998</v>
      </c>
      <c r="F19" s="4">
        <f t="shared" si="28"/>
        <v>97.040999999999826</v>
      </c>
      <c r="G19" s="4">
        <f t="shared" si="28"/>
        <v>102.49999999999997</v>
      </c>
      <c r="H19" s="4">
        <f t="shared" si="28"/>
        <v>144.57900000000006</v>
      </c>
      <c r="I19" s="4">
        <f>+I16-I17-I18</f>
        <v>127.52999999999993</v>
      </c>
      <c r="J19" s="4">
        <f t="shared" si="28"/>
        <v>93.540999999999983</v>
      </c>
      <c r="M19" s="4">
        <f t="shared" si="28"/>
        <v>76.019999999999982</v>
      </c>
      <c r="N19" s="4">
        <f t="shared" si="28"/>
        <v>75.099999999999952</v>
      </c>
      <c r="O19" s="4">
        <f t="shared" si="28"/>
        <v>89.680000000000291</v>
      </c>
      <c r="P19" s="4">
        <f t="shared" si="28"/>
        <v>135.86999999999981</v>
      </c>
      <c r="Q19" s="4">
        <f t="shared" si="28"/>
        <v>146.60000000000025</v>
      </c>
      <c r="R19" s="4">
        <f>+R16-R17-R18</f>
        <v>176.10000000000005</v>
      </c>
      <c r="S19" s="4">
        <f>+S16-S17-S18</f>
        <v>332.79999999999984</v>
      </c>
      <c r="T19" s="4">
        <f>+T16-T17-T18</f>
        <v>468.14999999999969</v>
      </c>
      <c r="U19" s="4">
        <f t="shared" ref="U19:AD19" si="29">+U16-U17-U18</f>
        <v>463.80949800000053</v>
      </c>
      <c r="V19" s="4">
        <f t="shared" si="29"/>
        <v>506.08662589980037</v>
      </c>
      <c r="W19" s="4">
        <f t="shared" si="29"/>
        <v>540.00077802488238</v>
      </c>
      <c r="X19" s="4">
        <f t="shared" si="29"/>
        <v>582.50450474195577</v>
      </c>
      <c r="Y19" s="4">
        <f t="shared" si="29"/>
        <v>626.37922233263953</v>
      </c>
      <c r="Z19" s="4">
        <f t="shared" si="29"/>
        <v>661.67481201120268</v>
      </c>
      <c r="AA19" s="4">
        <f t="shared" si="29"/>
        <v>760.68954358232588</v>
      </c>
      <c r="AB19" s="4">
        <f t="shared" si="29"/>
        <v>871.93117973229118</v>
      </c>
      <c r="AC19" s="4">
        <f t="shared" si="29"/>
        <v>962.12771558725956</v>
      </c>
      <c r="AD19" s="4">
        <f t="shared" si="29"/>
        <v>1060.4833192243616</v>
      </c>
    </row>
    <row r="20" spans="2:121" s="8" customFormat="1" x14ac:dyDescent="0.25">
      <c r="B20" s="8" t="s">
        <v>38</v>
      </c>
      <c r="C20" s="8">
        <v>10.7</v>
      </c>
      <c r="D20" s="8">
        <v>20</v>
      </c>
      <c r="E20" s="8">
        <v>25.617000000000001</v>
      </c>
      <c r="F20" s="8">
        <f>+S20-E20-D20-C20</f>
        <v>23.182999999999996</v>
      </c>
      <c r="G20" s="8">
        <v>23.1</v>
      </c>
      <c r="H20" s="8">
        <v>35.299999999999997</v>
      </c>
      <c r="I20" s="8">
        <v>29.815200000000001</v>
      </c>
      <c r="J20" s="8">
        <f>+T20-I20-H20-G20</f>
        <v>22.384799999999991</v>
      </c>
      <c r="M20" s="8">
        <v>30.95</v>
      </c>
      <c r="N20" s="8">
        <v>26.9</v>
      </c>
      <c r="O20" s="8">
        <v>-1.4</v>
      </c>
      <c r="P20" s="8">
        <v>30.852</v>
      </c>
      <c r="Q20" s="8">
        <v>32.933</v>
      </c>
      <c r="R20" s="8">
        <v>37.9</v>
      </c>
      <c r="S20" s="8">
        <v>79.5</v>
      </c>
      <c r="T20" s="8">
        <v>110.6</v>
      </c>
      <c r="U20" s="8">
        <f>+U19*U43</f>
        <v>102.03808956000012</v>
      </c>
      <c r="V20" s="8">
        <f t="shared" ref="V20:AD20" si="30">+V19*V43</f>
        <v>111.33905769795608</v>
      </c>
      <c r="W20" s="8">
        <f t="shared" si="30"/>
        <v>118.80017116547413</v>
      </c>
      <c r="X20" s="8">
        <f t="shared" si="30"/>
        <v>128.15099104323028</v>
      </c>
      <c r="Y20" s="8">
        <f t="shared" si="30"/>
        <v>137.80342891318071</v>
      </c>
      <c r="Z20" s="8">
        <f t="shared" si="30"/>
        <v>145.56845864246458</v>
      </c>
      <c r="AA20" s="8">
        <f t="shared" si="30"/>
        <v>167.3516995881117</v>
      </c>
      <c r="AB20" s="8">
        <f t="shared" si="30"/>
        <v>191.82485954110408</v>
      </c>
      <c r="AC20" s="8">
        <f t="shared" si="30"/>
        <v>211.6680974291971</v>
      </c>
      <c r="AD20" s="8">
        <f t="shared" si="30"/>
        <v>233.30633022935956</v>
      </c>
    </row>
    <row r="21" spans="2:121" s="4" customFormat="1" x14ac:dyDescent="0.25">
      <c r="B21" s="4" t="s">
        <v>39</v>
      </c>
      <c r="C21" s="4">
        <f t="shared" ref="C21:Q21" si="31">+C19-C20</f>
        <v>37.300000000000068</v>
      </c>
      <c r="D21" s="4">
        <f t="shared" si="31"/>
        <v>62.399999999999963</v>
      </c>
      <c r="E21" s="4">
        <f t="shared" si="31"/>
        <v>79.741999999999976</v>
      </c>
      <c r="F21" s="4">
        <f t="shared" si="31"/>
        <v>73.857999999999834</v>
      </c>
      <c r="G21" s="4">
        <f t="shared" si="31"/>
        <v>79.399999999999977</v>
      </c>
      <c r="H21" s="4">
        <f t="shared" si="31"/>
        <v>109.27900000000007</v>
      </c>
      <c r="I21" s="4">
        <f>+I19-I20</f>
        <v>97.714799999999926</v>
      </c>
      <c r="J21" s="4">
        <f t="shared" si="31"/>
        <v>71.156199999999984</v>
      </c>
      <c r="M21" s="4">
        <f t="shared" si="31"/>
        <v>45.069999999999979</v>
      </c>
      <c r="N21" s="4">
        <f t="shared" si="31"/>
        <v>48.199999999999953</v>
      </c>
      <c r="O21" s="4">
        <f t="shared" si="31"/>
        <v>91.080000000000297</v>
      </c>
      <c r="P21" s="4">
        <f t="shared" si="31"/>
        <v>105.0179999999998</v>
      </c>
      <c r="Q21" s="4">
        <f t="shared" si="31"/>
        <v>113.66700000000026</v>
      </c>
      <c r="R21" s="4">
        <f>+R19-R20</f>
        <v>138.20000000000005</v>
      </c>
      <c r="S21" s="4">
        <f>+S19-S20</f>
        <v>253.29999999999984</v>
      </c>
      <c r="T21" s="4">
        <f>+T19-T20</f>
        <v>357.54999999999973</v>
      </c>
      <c r="U21" s="4">
        <f t="shared" ref="U21:AD21" si="32">+U19-U20</f>
        <v>361.77140844000041</v>
      </c>
      <c r="V21" s="4">
        <f t="shared" si="32"/>
        <v>394.74756820184427</v>
      </c>
      <c r="W21" s="4">
        <f t="shared" si="32"/>
        <v>421.20060685940825</v>
      </c>
      <c r="X21" s="4">
        <f t="shared" si="32"/>
        <v>454.35351369872546</v>
      </c>
      <c r="Y21" s="4">
        <f t="shared" si="32"/>
        <v>488.57579341945882</v>
      </c>
      <c r="Z21" s="4">
        <f t="shared" si="32"/>
        <v>516.10635336873816</v>
      </c>
      <c r="AA21" s="4">
        <f t="shared" si="32"/>
        <v>593.33784399421415</v>
      </c>
      <c r="AB21" s="4">
        <f t="shared" si="32"/>
        <v>680.10632019118714</v>
      </c>
      <c r="AC21" s="4">
        <f t="shared" si="32"/>
        <v>750.45961815806243</v>
      </c>
      <c r="AD21" s="4">
        <f t="shared" si="32"/>
        <v>827.17698899500203</v>
      </c>
      <c r="AE21" s="4">
        <f>+AD21*(1+Dash!$C$2)</f>
        <v>818.90521910505197</v>
      </c>
      <c r="AF21" s="4">
        <f>+AE21*(1+Dash!$C$2)</f>
        <v>810.71616691400141</v>
      </c>
      <c r="AG21" s="4">
        <f>+AF21*(1+Dash!$C$2)</f>
        <v>802.60900524486135</v>
      </c>
      <c r="AH21" s="4">
        <f>+AG21*(1+Dash!$C$2)</f>
        <v>794.58291519241277</v>
      </c>
      <c r="AI21" s="4">
        <f>+AH21*(1+Dash!$C$2)</f>
        <v>786.63708604048861</v>
      </c>
      <c r="AJ21" s="4">
        <f>+AI21*(1+Dash!$C$2)</f>
        <v>778.7707151800837</v>
      </c>
      <c r="AK21" s="4">
        <f>+AJ21*(1+Dash!$C$2)</f>
        <v>770.98300802828282</v>
      </c>
      <c r="AL21" s="4">
        <f>+AK21*(1+Dash!$C$2)</f>
        <v>763.27317794800001</v>
      </c>
      <c r="AM21" s="4">
        <f>+AL21*(1+Dash!$C$2)</f>
        <v>755.64044616852004</v>
      </c>
      <c r="AN21" s="4">
        <f>+AM21*(1+Dash!$C$2)</f>
        <v>748.0840417068348</v>
      </c>
      <c r="AO21" s="4">
        <f>+AN21*(1+Dash!$C$2)</f>
        <v>740.60320128976639</v>
      </c>
      <c r="AP21" s="4">
        <f>+AO21*(1+Dash!$C$2)</f>
        <v>733.19716927686875</v>
      </c>
      <c r="AQ21" s="4">
        <f>+AP21*(1+Dash!$C$2)</f>
        <v>725.86519758410009</v>
      </c>
      <c r="AR21" s="4">
        <f>+AQ21*(1+Dash!$C$2)</f>
        <v>718.60654560825913</v>
      </c>
      <c r="AS21" s="4">
        <f>+AR21*(1+Dash!$C$2)</f>
        <v>711.42048015217654</v>
      </c>
      <c r="AT21" s="4">
        <f>+AS21*(1+Dash!$C$2)</f>
        <v>704.3062753506548</v>
      </c>
      <c r="AU21" s="4">
        <f>+AT21*(1+Dash!$C$2)</f>
        <v>697.26321259714825</v>
      </c>
      <c r="AV21" s="4">
        <f>+AU21*(1+Dash!$C$2)</f>
        <v>690.29058047117678</v>
      </c>
      <c r="AW21" s="4">
        <f>+AV21*(1+Dash!$C$2)</f>
        <v>683.38767466646505</v>
      </c>
      <c r="AX21" s="4">
        <f>+AW21*(1+Dash!$C$2)</f>
        <v>676.55379791980045</v>
      </c>
      <c r="AY21" s="4">
        <f>+AX21*(1+Dash!$C$2)</f>
        <v>669.78825994060242</v>
      </c>
      <c r="AZ21" s="4">
        <f>+AY21*(1+Dash!$C$2)</f>
        <v>663.09037734119636</v>
      </c>
      <c r="BA21" s="4">
        <f>+AZ21*(1+Dash!$C$2)</f>
        <v>656.45947356778436</v>
      </c>
      <c r="BB21" s="4">
        <f>+BA21*(1+Dash!$C$2)</f>
        <v>649.89487883210654</v>
      </c>
      <c r="BC21" s="4">
        <f>+BB21*(1+Dash!$C$2)</f>
        <v>643.39593004378548</v>
      </c>
      <c r="BD21" s="4">
        <f>+BC21*(1+Dash!$C$2)</f>
        <v>636.96197074334759</v>
      </c>
      <c r="BE21" s="4">
        <f>+BD21*(1+Dash!$C$2)</f>
        <v>630.59235103591413</v>
      </c>
      <c r="BF21" s="4">
        <f>+BE21*(1+Dash!$C$2)</f>
        <v>624.28642752555504</v>
      </c>
      <c r="BG21" s="4">
        <f>+BF21*(1+Dash!$C$2)</f>
        <v>618.04356325029948</v>
      </c>
      <c r="BH21" s="4">
        <f>+BG21*(1+Dash!$C$2)</f>
        <v>611.86312761779652</v>
      </c>
      <c r="BI21" s="4">
        <f>+BH21*(1+Dash!$C$2)</f>
        <v>605.74449634161851</v>
      </c>
      <c r="BJ21" s="4">
        <f>+BI21*(1+Dash!$C$2)</f>
        <v>599.68705137820234</v>
      </c>
      <c r="BK21" s="4">
        <f>+BJ21*(1+Dash!$C$2)</f>
        <v>593.69018086442031</v>
      </c>
      <c r="BL21" s="4">
        <f>+BK21*(1+Dash!$C$2)</f>
        <v>587.75327905577615</v>
      </c>
      <c r="BM21" s="4">
        <f>+BL21*(1+Dash!$C$2)</f>
        <v>581.87574626521837</v>
      </c>
      <c r="BN21" s="4">
        <f>+BM21*(1+Dash!$C$2)</f>
        <v>576.05698880256614</v>
      </c>
      <c r="BO21" s="4">
        <f>+BN21*(1+Dash!$C$2)</f>
        <v>570.29641891454048</v>
      </c>
      <c r="BP21" s="4">
        <f>+BO21*(1+Dash!$C$2)</f>
        <v>564.59345472539508</v>
      </c>
      <c r="BQ21" s="4">
        <f>+BP21*(1+Dash!$C$2)</f>
        <v>558.94752017814108</v>
      </c>
      <c r="BR21" s="4">
        <f>+BQ21*(1+Dash!$C$2)</f>
        <v>553.35804497635968</v>
      </c>
      <c r="BS21" s="4">
        <f>+BR21*(1+Dash!$C$2)</f>
        <v>547.8244645265961</v>
      </c>
      <c r="BT21" s="4">
        <f>+BS21*(1+Dash!$C$2)</f>
        <v>542.34621988133017</v>
      </c>
      <c r="BU21" s="4">
        <f>+BT21*(1+Dash!$C$2)</f>
        <v>536.92275768251682</v>
      </c>
      <c r="BV21" s="4">
        <f>+BU21*(1+Dash!$C$2)</f>
        <v>531.55353010569161</v>
      </c>
      <c r="BW21" s="4">
        <f>+BV21*(1+Dash!$C$2)</f>
        <v>526.2379948046347</v>
      </c>
      <c r="BX21" s="4">
        <f>+BW21*(1+Dash!$C$2)</f>
        <v>520.97561485658832</v>
      </c>
      <c r="BY21" s="4">
        <f>+BX21*(1+Dash!$C$2)</f>
        <v>515.76585870802239</v>
      </c>
      <c r="BZ21" s="4">
        <f>+BY21*(1+Dash!$C$2)</f>
        <v>510.60820012094217</v>
      </c>
      <c r="CA21" s="4">
        <f>+BZ21*(1+Dash!$C$2)</f>
        <v>505.50211811973276</v>
      </c>
      <c r="CB21" s="4">
        <f>+CA21*(1+Dash!$C$2)</f>
        <v>500.44709693853542</v>
      </c>
      <c r="CC21" s="4">
        <f>+CB21*(1+Dash!$C$2)</f>
        <v>495.44262596915007</v>
      </c>
      <c r="CD21" s="4">
        <f>+CC21*(1+Dash!$C$2)</f>
        <v>490.48819970945857</v>
      </c>
      <c r="CE21" s="4">
        <f>+CD21*(1+Dash!$C$2)</f>
        <v>485.58331771236396</v>
      </c>
      <c r="CF21" s="4">
        <f>+CE21*(1+Dash!$C$2)</f>
        <v>480.72748453524031</v>
      </c>
      <c r="CG21" s="4">
        <f>+CF21*(1+Dash!$C$2)</f>
        <v>475.92020968988788</v>
      </c>
      <c r="CH21" s="4">
        <f>+CG21*(1+Dash!$C$2)</f>
        <v>471.16100759298899</v>
      </c>
      <c r="CI21" s="4">
        <f>+CH21*(1+Dash!$C$2)</f>
        <v>466.44939751705908</v>
      </c>
      <c r="CJ21" s="4">
        <f>+CI21*(1+Dash!$C$2)</f>
        <v>461.78490354188847</v>
      </c>
      <c r="CK21" s="4">
        <f>+CJ21*(1+Dash!$C$2)</f>
        <v>457.16705450646958</v>
      </c>
      <c r="CL21" s="4">
        <f>+CK21*(1+Dash!$C$2)</f>
        <v>452.59538396140488</v>
      </c>
      <c r="CM21" s="4">
        <f>+CL21*(1+Dash!$C$2)</f>
        <v>448.06943012179084</v>
      </c>
      <c r="CN21" s="4">
        <f>+CM21*(1+Dash!$C$2)</f>
        <v>443.58873582057294</v>
      </c>
      <c r="CO21" s="4">
        <f>+CN21*(1+Dash!$C$2)</f>
        <v>439.15284846236722</v>
      </c>
      <c r="CP21" s="4">
        <f>+CO21*(1+Dash!$C$2)</f>
        <v>434.76131997774354</v>
      </c>
      <c r="CQ21" s="4">
        <f>+CP21*(1+Dash!$C$2)</f>
        <v>430.41370677796613</v>
      </c>
      <c r="CR21" s="4">
        <f>+CQ21*(1+Dash!$C$2)</f>
        <v>426.10956971018646</v>
      </c>
      <c r="CS21" s="4">
        <f>+CR21*(1+Dash!$C$2)</f>
        <v>421.84847401308457</v>
      </c>
      <c r="CT21" s="4">
        <f>+CS21*(1+Dash!$C$2)</f>
        <v>417.62998927295371</v>
      </c>
      <c r="CU21" s="4">
        <f>+CT21*(1+Dash!$C$2)</f>
        <v>413.45368938022415</v>
      </c>
      <c r="CV21" s="4">
        <f>+CU21*(1+Dash!$C$2)</f>
        <v>409.3191524864219</v>
      </c>
      <c r="CW21" s="4">
        <f>+CV21*(1+Dash!$C$2)</f>
        <v>405.22596096155769</v>
      </c>
      <c r="CX21" s="4">
        <f>+CW21*(1+Dash!$C$2)</f>
        <v>401.1737013519421</v>
      </c>
      <c r="CY21" s="4">
        <f>+CX21*(1+Dash!$C$2)</f>
        <v>397.16196433842265</v>
      </c>
      <c r="CZ21" s="4">
        <f>+CY21*(1+Dash!$C$2)</f>
        <v>393.19034469503839</v>
      </c>
      <c r="DA21" s="4">
        <f>+CZ21*(1+Dash!$C$2)</f>
        <v>389.25844124808799</v>
      </c>
      <c r="DB21" s="4">
        <f>+DA21*(1+Dash!$C$2)</f>
        <v>385.36585683560713</v>
      </c>
      <c r="DC21" s="4">
        <f>+DB21*(1+Dash!$C$2)</f>
        <v>381.51219826725105</v>
      </c>
      <c r="DD21" s="4">
        <f>+DC21*(1+Dash!$C$2)</f>
        <v>377.69707628457854</v>
      </c>
      <c r="DE21" s="4">
        <f>+DD21*(1+Dash!$C$2)</f>
        <v>373.92010552173275</v>
      </c>
      <c r="DF21" s="4">
        <f>+DE21*(1+Dash!$C$2)</f>
        <v>370.18090446651541</v>
      </c>
      <c r="DG21" s="4">
        <f>+DF21*(1+Dash!$C$2)</f>
        <v>366.47909542185027</v>
      </c>
      <c r="DH21" s="4">
        <f>+DG21*(1+Dash!$C$2)</f>
        <v>362.81430446763176</v>
      </c>
      <c r="DI21" s="4">
        <f>+DH21*(1+Dash!$C$2)</f>
        <v>359.18616142295542</v>
      </c>
      <c r="DJ21" s="4">
        <f>+DI21*(1+Dash!$C$2)</f>
        <v>355.59429980872585</v>
      </c>
      <c r="DK21" s="4">
        <f>+DJ21*(1+Dash!$C$2)</f>
        <v>352.03835681063856</v>
      </c>
      <c r="DL21" s="4">
        <f>+DK21*(1+Dash!$C$2)</f>
        <v>348.51797324253215</v>
      </c>
      <c r="DM21" s="4">
        <f>+DL21*(1+Dash!$C$2)</f>
        <v>345.03279351010684</v>
      </c>
      <c r="DN21" s="4">
        <f>+DM21*(1+Dash!$C$2)</f>
        <v>341.58246557500576</v>
      </c>
      <c r="DO21" s="4">
        <f>+DN21*(1+Dash!$C$2)</f>
        <v>338.16664091925571</v>
      </c>
      <c r="DP21" s="4">
        <f>+DO21*(1+Dash!$C$2)</f>
        <v>334.78497451006314</v>
      </c>
      <c r="DQ21" s="4">
        <f>+DP21*(1+Dash!$C$2)</f>
        <v>331.4371247649625</v>
      </c>
    </row>
    <row r="22" spans="2:121" s="8" customFormat="1" x14ac:dyDescent="0.25">
      <c r="B22" s="8" t="s">
        <v>1</v>
      </c>
      <c r="C22" s="8">
        <v>26.285</v>
      </c>
      <c r="D22" s="8">
        <v>26.332000000000001</v>
      </c>
      <c r="E22" s="8">
        <v>26.334</v>
      </c>
      <c r="F22" s="8">
        <v>26.321999999999999</v>
      </c>
      <c r="G22" s="8">
        <v>26.390999999999998</v>
      </c>
      <c r="H22" s="8">
        <v>26.5</v>
      </c>
      <c r="I22" s="8">
        <v>26.54</v>
      </c>
      <c r="J22" s="8">
        <v>26.52</v>
      </c>
      <c r="M22" s="8">
        <v>24.919</v>
      </c>
      <c r="N22" s="8">
        <v>25.038</v>
      </c>
      <c r="O22" s="8">
        <v>25.518000000000001</v>
      </c>
      <c r="P22" s="8">
        <v>25.762</v>
      </c>
      <c r="Q22" s="8">
        <v>25.952000000000002</v>
      </c>
      <c r="R22" s="8">
        <v>26.14</v>
      </c>
      <c r="S22" s="8">
        <v>26.321999999999999</v>
      </c>
      <c r="T22" s="8">
        <v>26.52</v>
      </c>
    </row>
    <row r="23" spans="2:121" s="5" customFormat="1" x14ac:dyDescent="0.25">
      <c r="B23" s="5" t="s">
        <v>40</v>
      </c>
      <c r="C23" s="5">
        <f t="shared" ref="C23:Q23" si="33">+C21/C22</f>
        <v>1.419060300551648</v>
      </c>
      <c r="D23" s="5">
        <f t="shared" si="33"/>
        <v>2.3697402400121512</v>
      </c>
      <c r="E23" s="5">
        <f t="shared" si="33"/>
        <v>3.0281005544163428</v>
      </c>
      <c r="F23" s="5">
        <f t="shared" si="33"/>
        <v>2.8059417977357279</v>
      </c>
      <c r="G23" s="5">
        <f t="shared" si="33"/>
        <v>3.0086014171497855</v>
      </c>
      <c r="H23" s="5">
        <f t="shared" si="33"/>
        <v>4.1237358490566063</v>
      </c>
      <c r="I23" s="5">
        <f>+I21/I22</f>
        <v>3.6817935192162747</v>
      </c>
      <c r="J23" s="5">
        <f t="shared" si="33"/>
        <v>2.6831146304675713</v>
      </c>
      <c r="M23" s="5">
        <f t="shared" si="33"/>
        <v>1.8086600585898303</v>
      </c>
      <c r="N23" s="5">
        <f t="shared" si="33"/>
        <v>1.9250738876907083</v>
      </c>
      <c r="O23" s="5">
        <f t="shared" si="33"/>
        <v>3.5692452386550784</v>
      </c>
      <c r="P23" s="5">
        <f t="shared" si="33"/>
        <v>4.0764692182283904</v>
      </c>
      <c r="Q23" s="5">
        <f t="shared" si="33"/>
        <v>4.3798936498150525</v>
      </c>
      <c r="R23" s="5">
        <f>+R21/R22</f>
        <v>5.2869166029074233</v>
      </c>
      <c r="S23" s="5">
        <f>+S21/S22</f>
        <v>9.6231289415697834</v>
      </c>
      <c r="T23" s="5">
        <f>+T21/T22</f>
        <v>13.482277526395164</v>
      </c>
    </row>
    <row r="25" spans="2:121" s="3" customFormat="1" x14ac:dyDescent="0.25">
      <c r="B25" s="3" t="s">
        <v>41</v>
      </c>
      <c r="C25" s="3">
        <v>25.6</v>
      </c>
      <c r="D25" s="3">
        <v>74.599999999999994</v>
      </c>
      <c r="E25" s="3">
        <v>54.68</v>
      </c>
      <c r="F25" s="3">
        <v>130.87</v>
      </c>
      <c r="G25" s="3">
        <v>46.3</v>
      </c>
      <c r="H25" s="3">
        <v>110.05</v>
      </c>
      <c r="I25" s="3">
        <v>122.64999999999999</v>
      </c>
      <c r="J25" s="3">
        <v>88.399999999999991</v>
      </c>
      <c r="M25" s="3">
        <v>86.5</v>
      </c>
      <c r="N25" s="3">
        <v>119.4</v>
      </c>
      <c r="O25" s="3">
        <v>186.7</v>
      </c>
      <c r="P25" s="3">
        <v>223.7</v>
      </c>
      <c r="Q25" s="3">
        <v>287.7</v>
      </c>
      <c r="R25" s="3">
        <v>231.1</v>
      </c>
      <c r="S25" s="3">
        <v>285.75</v>
      </c>
      <c r="T25" s="3">
        <v>367.4</v>
      </c>
    </row>
    <row r="26" spans="2:121" s="3" customFormat="1" x14ac:dyDescent="0.25">
      <c r="B26" s="3" t="s">
        <v>42</v>
      </c>
      <c r="C26" s="3">
        <v>5</v>
      </c>
      <c r="D26" s="3">
        <v>4.9499999999999993</v>
      </c>
      <c r="E26" s="3">
        <v>5.8500000000000014</v>
      </c>
      <c r="F26" s="3">
        <v>4.7699999999999996</v>
      </c>
      <c r="G26" s="3">
        <v>5.5</v>
      </c>
      <c r="H26" s="3">
        <v>5.6</v>
      </c>
      <c r="I26" s="3">
        <v>4.4500000000000011</v>
      </c>
      <c r="J26" s="3">
        <v>3.9199999999999982</v>
      </c>
      <c r="M26" s="3">
        <f>280.5-250+7.1+3.5</f>
        <v>41.1</v>
      </c>
      <c r="N26" s="3">
        <f>199.8-185.3+7.1+8.2</f>
        <v>29.8</v>
      </c>
      <c r="O26" s="3">
        <f>217.9-260.9+7.14+12.2</f>
        <v>-23.659999999999972</v>
      </c>
      <c r="P26" s="3">
        <f>233.9-210.9+16.15</f>
        <v>39.15</v>
      </c>
      <c r="Q26" s="3">
        <f>331.2-357.1+0.6+18.5</f>
        <v>-6.8000000000000327</v>
      </c>
      <c r="R26" s="3">
        <f>369-323+19.525</f>
        <v>65.525000000000006</v>
      </c>
      <c r="S26" s="3">
        <v>20.57</v>
      </c>
      <c r="T26" s="3">
        <v>19.47</v>
      </c>
    </row>
    <row r="28" spans="2:121" x14ac:dyDescent="0.25">
      <c r="B28" t="s">
        <v>50</v>
      </c>
      <c r="C28" s="3">
        <f t="shared" ref="C28:J28" si="34">+C16+C14</f>
        <v>84.200000000000074</v>
      </c>
      <c r="D28" s="3">
        <f t="shared" si="34"/>
        <v>117.49999999999996</v>
      </c>
      <c r="E28" s="3">
        <f t="shared" si="34"/>
        <v>141.84999999999997</v>
      </c>
      <c r="F28" s="3">
        <f t="shared" si="34"/>
        <v>133.3499999999998</v>
      </c>
      <c r="G28" s="3">
        <f t="shared" si="34"/>
        <v>143.39999999999998</v>
      </c>
      <c r="H28" s="3">
        <f t="shared" si="34"/>
        <v>182.97900000000007</v>
      </c>
      <c r="I28" s="3">
        <f t="shared" si="34"/>
        <v>168.90999999999991</v>
      </c>
      <c r="J28" s="3">
        <f>+J16+J14</f>
        <v>132.46099999999998</v>
      </c>
      <c r="M28" s="3">
        <f t="shared" ref="M28:T28" si="35">+M16+M14</f>
        <v>145.01999999999998</v>
      </c>
      <c r="N28" s="3">
        <f t="shared" si="35"/>
        <v>155.49999999999994</v>
      </c>
      <c r="O28" s="3">
        <f t="shared" si="35"/>
        <v>181.78000000000029</v>
      </c>
      <c r="P28" s="3">
        <f t="shared" si="35"/>
        <v>243.34999999999982</v>
      </c>
      <c r="Q28" s="3">
        <f t="shared" si="35"/>
        <v>271.60000000000025</v>
      </c>
      <c r="R28" s="3">
        <f t="shared" si="35"/>
        <v>314.90000000000003</v>
      </c>
      <c r="S28" s="3">
        <f t="shared" si="35"/>
        <v>476.89999999999981</v>
      </c>
      <c r="T28" s="3">
        <f t="shared" si="35"/>
        <v>627.74999999999977</v>
      </c>
    </row>
    <row r="31" spans="2:121" s="11" customFormat="1" x14ac:dyDescent="0.25">
      <c r="B31" s="11" t="s">
        <v>43</v>
      </c>
      <c r="C31" s="11">
        <f>+C16/C8</f>
        <v>0.10080561867382785</v>
      </c>
      <c r="D31" s="11">
        <f t="shared" ref="D31:AD31" si="36">+D16/D8</f>
        <v>0.14493260983721332</v>
      </c>
      <c r="E31" s="11">
        <f t="shared" si="36"/>
        <v>0.17226549821486525</v>
      </c>
      <c r="F31" s="11">
        <f t="shared" si="36"/>
        <v>0.15791605898557745</v>
      </c>
      <c r="G31" s="11">
        <f t="shared" si="36"/>
        <v>0.15638233514821531</v>
      </c>
      <c r="H31" s="11">
        <f t="shared" si="36"/>
        <v>0.1959476861167003</v>
      </c>
      <c r="I31" s="11">
        <f t="shared" si="36"/>
        <v>0.17573606009101367</v>
      </c>
      <c r="J31" s="11">
        <f t="shared" si="36"/>
        <v>0.14159093681385704</v>
      </c>
      <c r="M31" s="11">
        <f t="shared" si="36"/>
        <v>6.5520347171047238E-2</v>
      </c>
      <c r="N31" s="11">
        <f t="shared" si="36"/>
        <v>6.5080016413623265E-2</v>
      </c>
      <c r="O31" s="11">
        <f t="shared" si="36"/>
        <v>6.7402292304406836E-2</v>
      </c>
      <c r="P31" s="11">
        <f t="shared" si="36"/>
        <v>8.5376545635940271E-2</v>
      </c>
      <c r="Q31" s="11">
        <f t="shared" si="36"/>
        <v>8.5352885207365656E-2</v>
      </c>
      <c r="R31" s="11">
        <f t="shared" si="36"/>
        <v>9.8880597014925395E-2</v>
      </c>
      <c r="S31" s="11">
        <f t="shared" si="36"/>
        <v>0.14645868833835796</v>
      </c>
      <c r="T31" s="11">
        <f t="shared" si="36"/>
        <v>0.16852906414526692</v>
      </c>
      <c r="U31" s="11">
        <f t="shared" si="36"/>
        <v>0.14100000000000015</v>
      </c>
      <c r="V31" s="11">
        <f t="shared" si="36"/>
        <v>0.13100000000000009</v>
      </c>
      <c r="W31" s="11">
        <f t="shared" si="36"/>
        <v>0.12299999999999982</v>
      </c>
      <c r="X31" s="11">
        <f t="shared" si="36"/>
        <v>0.11699999999999984</v>
      </c>
      <c r="Y31" s="11">
        <f t="shared" si="36"/>
        <v>0.11200000000000004</v>
      </c>
      <c r="Z31" s="11">
        <f t="shared" si="36"/>
        <v>0.10700000000000003</v>
      </c>
      <c r="AA31" s="11">
        <f t="shared" si="36"/>
        <v>0.11200000000000017</v>
      </c>
      <c r="AB31" s="11">
        <f t="shared" si="36"/>
        <v>0.11699999999999985</v>
      </c>
      <c r="AC31" s="11">
        <f t="shared" si="36"/>
        <v>0.11699999999999998</v>
      </c>
      <c r="AD31" s="11">
        <f t="shared" si="36"/>
        <v>0.11700000000000001</v>
      </c>
    </row>
    <row r="33" spans="1:30" s="6" customFormat="1" x14ac:dyDescent="0.25">
      <c r="A33" s="6" t="s">
        <v>49</v>
      </c>
      <c r="B33" s="6" t="s">
        <v>44</v>
      </c>
      <c r="C33" s="6">
        <f>+C9/C$8</f>
        <v>0.50485436893203883</v>
      </c>
      <c r="D33" s="6">
        <f t="shared" ref="D33:T33" si="37">+D9/D$8</f>
        <v>0.47050586381935944</v>
      </c>
      <c r="E33" s="6">
        <f t="shared" si="37"/>
        <v>0.44969165855241805</v>
      </c>
      <c r="F33" s="6">
        <f t="shared" si="37"/>
        <v>0.44304002592772657</v>
      </c>
      <c r="G33" s="6">
        <f t="shared" si="37"/>
        <v>0.43784029038112521</v>
      </c>
      <c r="H33" s="6">
        <f t="shared" si="37"/>
        <v>0.39570757880617036</v>
      </c>
      <c r="I33" s="6">
        <f t="shared" si="37"/>
        <v>0.40743735950435883</v>
      </c>
      <c r="J33" s="6">
        <f t="shared" si="37"/>
        <v>0.43875030495242745</v>
      </c>
      <c r="M33" s="6">
        <f t="shared" si="37"/>
        <v>0.54873495455662002</v>
      </c>
      <c r="N33" s="6">
        <f t="shared" si="37"/>
        <v>0.57119409109560937</v>
      </c>
      <c r="O33" s="6">
        <f t="shared" si="37"/>
        <v>0.5458816829216202</v>
      </c>
      <c r="P33" s="6">
        <f t="shared" si="37"/>
        <v>0.52767784260966843</v>
      </c>
      <c r="Q33" s="6">
        <f t="shared" si="37"/>
        <v>0.53053114680696256</v>
      </c>
      <c r="R33" s="6">
        <f t="shared" si="37"/>
        <v>0.52858867427568035</v>
      </c>
      <c r="S33" s="6">
        <f t="shared" si="37"/>
        <v>0.46476165508804129</v>
      </c>
      <c r="T33" s="6">
        <f t="shared" si="37"/>
        <v>0.4188603560044411</v>
      </c>
      <c r="U33" s="6">
        <v>0.43</v>
      </c>
      <c r="V33" s="6">
        <v>0.44</v>
      </c>
      <c r="W33" s="6">
        <v>0.45</v>
      </c>
      <c r="X33" s="6">
        <v>0.46</v>
      </c>
      <c r="Y33" s="6">
        <v>0.47</v>
      </c>
      <c r="Z33" s="6">
        <v>0.48</v>
      </c>
      <c r="AA33" s="6">
        <v>0.48</v>
      </c>
      <c r="AB33" s="6">
        <v>0.48</v>
      </c>
      <c r="AC33" s="6">
        <v>0.48</v>
      </c>
      <c r="AD33" s="6">
        <v>0.48</v>
      </c>
    </row>
    <row r="34" spans="1:30" s="6" customFormat="1" x14ac:dyDescent="0.25">
      <c r="A34" s="6" t="s">
        <v>49</v>
      </c>
      <c r="B34" s="9" t="s">
        <v>34</v>
      </c>
      <c r="C34" s="6">
        <f t="shared" ref="C34:T34" si="38">+C10/C$8</f>
        <v>9.2956000826275559E-2</v>
      </c>
      <c r="D34" s="6">
        <f t="shared" si="38"/>
        <v>0.10939961491335551</v>
      </c>
      <c r="E34" s="6">
        <f t="shared" si="38"/>
        <v>0.11716975008114248</v>
      </c>
      <c r="F34" s="6">
        <f t="shared" si="38"/>
        <v>0.1134338032733755</v>
      </c>
      <c r="G34" s="6">
        <f t="shared" si="38"/>
        <v>0.11826981246218995</v>
      </c>
      <c r="H34" s="6">
        <f t="shared" si="38"/>
        <v>0.12313883299798792</v>
      </c>
      <c r="I34" s="6">
        <f t="shared" si="38"/>
        <v>0.11719392510554308</v>
      </c>
      <c r="J34" s="6">
        <f t="shared" si="38"/>
        <v>9.2095633081239275E-2</v>
      </c>
      <c r="M34" s="6">
        <f t="shared" si="38"/>
        <v>5.7807254564807987E-2</v>
      </c>
      <c r="N34" s="6">
        <f t="shared" si="38"/>
        <v>4.6204349610176443E-2</v>
      </c>
      <c r="O34" s="6">
        <f t="shared" si="38"/>
        <v>7.6671175339930231E-2</v>
      </c>
      <c r="P34" s="6">
        <f t="shared" si="38"/>
        <v>7.4916104846267803E-2</v>
      </c>
      <c r="Q34" s="6">
        <f t="shared" si="38"/>
        <v>7.2759836570213246E-2</v>
      </c>
      <c r="R34" s="6">
        <f t="shared" si="38"/>
        <v>7.7589991220368748E-2</v>
      </c>
      <c r="S34" s="6">
        <f t="shared" si="38"/>
        <v>0.10910123650980906</v>
      </c>
      <c r="T34" s="6">
        <f t="shared" si="38"/>
        <v>0.11314064682497045</v>
      </c>
      <c r="U34" s="6">
        <v>0.11</v>
      </c>
      <c r="V34" s="6">
        <v>0.105</v>
      </c>
      <c r="W34" s="6">
        <v>0.1</v>
      </c>
      <c r="X34" s="6">
        <v>9.5000000000000001E-2</v>
      </c>
      <c r="Y34" s="6">
        <v>0.09</v>
      </c>
      <c r="Z34" s="6">
        <v>8.5000000000000006E-2</v>
      </c>
      <c r="AA34" s="6">
        <v>0.08</v>
      </c>
      <c r="AB34" s="6">
        <v>7.4999999999999997E-2</v>
      </c>
      <c r="AC34" s="6">
        <v>7.4999999999999997E-2</v>
      </c>
      <c r="AD34" s="6">
        <v>7.4999999999999997E-2</v>
      </c>
    </row>
    <row r="35" spans="1:30" s="6" customFormat="1" x14ac:dyDescent="0.25">
      <c r="A35" s="6" t="s">
        <v>49</v>
      </c>
      <c r="B35" s="9" t="s">
        <v>28</v>
      </c>
      <c r="C35" s="6">
        <f t="shared" ref="C35:AD35" si="39">+C11/C$8</f>
        <v>0.17537698822557324</v>
      </c>
      <c r="D35" s="6">
        <f t="shared" si="39"/>
        <v>0.15876072116226153</v>
      </c>
      <c r="E35" s="6">
        <f t="shared" si="39"/>
        <v>0.16033755274261602</v>
      </c>
      <c r="F35" s="6">
        <f t="shared" si="39"/>
        <v>0.17420191216982661</v>
      </c>
      <c r="G35" s="6">
        <f t="shared" si="39"/>
        <v>0.18572292800967935</v>
      </c>
      <c r="H35" s="6">
        <f t="shared" si="39"/>
        <v>0.19517102615694165</v>
      </c>
      <c r="I35" s="6">
        <f t="shared" si="39"/>
        <v>0.19943527605680136</v>
      </c>
      <c r="J35" s="6">
        <f t="shared" si="39"/>
        <v>0.22063308123932668</v>
      </c>
      <c r="M35" s="6">
        <f t="shared" si="39"/>
        <v>0.21403422582494064</v>
      </c>
      <c r="N35" s="6">
        <f t="shared" si="39"/>
        <v>0.18908494050061553</v>
      </c>
      <c r="O35" s="6">
        <f t="shared" si="39"/>
        <v>0.19085213924681424</v>
      </c>
      <c r="P35" s="6">
        <f t="shared" si="39"/>
        <v>0.19651117090425371</v>
      </c>
      <c r="Q35" s="6">
        <f t="shared" si="39"/>
        <v>0.19035092628868866</v>
      </c>
      <c r="R35" s="6">
        <f t="shared" si="39"/>
        <v>0.16417910447761191</v>
      </c>
      <c r="S35" s="6">
        <f t="shared" si="39"/>
        <v>0.16686328483418536</v>
      </c>
      <c r="T35" s="6">
        <f t="shared" si="39"/>
        <v>0.20002865226890154</v>
      </c>
      <c r="U35" s="6">
        <v>0.20499999999999999</v>
      </c>
      <c r="V35" s="6">
        <v>0.20499999999999999</v>
      </c>
      <c r="W35" s="6">
        <v>0.20499999999999999</v>
      </c>
      <c r="X35" s="6">
        <v>0.20499999999999999</v>
      </c>
      <c r="Y35" s="6">
        <v>0.20499999999999999</v>
      </c>
      <c r="Z35" s="6">
        <v>0.20499999999999999</v>
      </c>
      <c r="AA35" s="6">
        <v>0.20499999999999999</v>
      </c>
      <c r="AB35" s="6">
        <v>0.20499999999999999</v>
      </c>
      <c r="AC35" s="6">
        <v>0.20499999999999999</v>
      </c>
      <c r="AD35" s="6">
        <v>0.20499999999999999</v>
      </c>
    </row>
    <row r="36" spans="1:30" s="6" customFormat="1" x14ac:dyDescent="0.25">
      <c r="A36" s="6" t="s">
        <v>49</v>
      </c>
      <c r="B36" s="9" t="s">
        <v>29</v>
      </c>
      <c r="C36" s="6">
        <f t="shared" ref="C36:T36" si="40">+C12/C$8</f>
        <v>2.9539351373683125E-2</v>
      </c>
      <c r="D36" s="6">
        <f t="shared" si="40"/>
        <v>2.5555750043759849E-2</v>
      </c>
      <c r="E36" s="6">
        <f t="shared" si="40"/>
        <v>2.3693605972086983E-2</v>
      </c>
      <c r="F36" s="6">
        <f t="shared" si="40"/>
        <v>2.5279533300923682E-2</v>
      </c>
      <c r="G36" s="6">
        <f t="shared" si="40"/>
        <v>2.5105868118572294E-2</v>
      </c>
      <c r="H36" s="6">
        <f t="shared" si="40"/>
        <v>2.1462105969148222E-2</v>
      </c>
      <c r="I36" s="6">
        <f t="shared" si="40"/>
        <v>2.234223367509184E-2</v>
      </c>
      <c r="J36" s="6">
        <f t="shared" si="40"/>
        <v>2.2718955842888511E-2</v>
      </c>
      <c r="M36" s="6">
        <f t="shared" si="40"/>
        <v>3.0295586669941865E-2</v>
      </c>
      <c r="N36" s="6">
        <f t="shared" si="40"/>
        <v>3.2827246614690192E-2</v>
      </c>
      <c r="O36" s="6">
        <f t="shared" si="40"/>
        <v>3.0846444080586601E-2</v>
      </c>
      <c r="P36" s="6">
        <f t="shared" si="40"/>
        <v>3.0292952807086496E-2</v>
      </c>
      <c r="Q36" s="6">
        <f t="shared" si="40"/>
        <v>3.0447193149381539E-2</v>
      </c>
      <c r="R36" s="6">
        <f t="shared" si="40"/>
        <v>3.0893327480245827E-2</v>
      </c>
      <c r="S36" s="6">
        <f t="shared" si="40"/>
        <v>2.582251933411981E-2</v>
      </c>
      <c r="T36" s="6">
        <f t="shared" si="40"/>
        <v>2.2850184448981053E-2</v>
      </c>
      <c r="U36" s="6">
        <v>2.5999999999999999E-2</v>
      </c>
      <c r="V36" s="6">
        <v>2.9000000000000001E-2</v>
      </c>
      <c r="W36" s="6">
        <v>0.03</v>
      </c>
      <c r="X36" s="6">
        <v>0.03</v>
      </c>
      <c r="Y36" s="6">
        <v>0.03</v>
      </c>
      <c r="Z36" s="6">
        <v>0.03</v>
      </c>
      <c r="AA36" s="6">
        <v>0.03</v>
      </c>
      <c r="AB36" s="6">
        <v>0.03</v>
      </c>
      <c r="AC36" s="6">
        <v>0.03</v>
      </c>
      <c r="AD36" s="6">
        <v>0.03</v>
      </c>
    </row>
    <row r="37" spans="1:30" s="6" customFormat="1" x14ac:dyDescent="0.25">
      <c r="A37" s="6" t="s">
        <v>49</v>
      </c>
      <c r="B37" s="9" t="s">
        <v>30</v>
      </c>
      <c r="C37" s="6">
        <f t="shared" ref="C37:T37" si="41">+C13/C$8</f>
        <v>2.375542243338153E-2</v>
      </c>
      <c r="D37" s="6">
        <f t="shared" si="41"/>
        <v>3.0281813408016809E-2</v>
      </c>
      <c r="E37" s="6">
        <f t="shared" si="41"/>
        <v>2.5154170723790975E-2</v>
      </c>
      <c r="F37" s="6">
        <f t="shared" si="41"/>
        <v>2.7548209366391189E-2</v>
      </c>
      <c r="G37" s="6">
        <f t="shared" si="41"/>
        <v>1.6182698124621898E-2</v>
      </c>
      <c r="H37" s="6">
        <f t="shared" si="41"/>
        <v>1.9047619047619046E-2</v>
      </c>
      <c r="I37" s="6">
        <f t="shared" si="41"/>
        <v>2.1931026920335547E-2</v>
      </c>
      <c r="J37" s="6">
        <f t="shared" si="41"/>
        <v>2.3938765552573807E-2</v>
      </c>
      <c r="M37" s="6">
        <f t="shared" si="41"/>
        <v>3.0131826741996232E-2</v>
      </c>
      <c r="N37" s="6">
        <f t="shared" si="41"/>
        <v>3.2498974148543289E-2</v>
      </c>
      <c r="O37" s="6">
        <f t="shared" si="41"/>
        <v>2.6482522958638857E-2</v>
      </c>
      <c r="P37" s="6">
        <f t="shared" si="41"/>
        <v>2.3218550654533363E-2</v>
      </c>
      <c r="Q37" s="6">
        <f t="shared" si="41"/>
        <v>2.4122684278278392E-2</v>
      </c>
      <c r="R37" s="6">
        <f t="shared" si="41"/>
        <v>2.7326602282704122E-2</v>
      </c>
      <c r="S37" s="6">
        <f t="shared" si="41"/>
        <v>2.678376370865557E-2</v>
      </c>
      <c r="T37" s="6">
        <f t="shared" si="41"/>
        <v>2.0271480247842127E-2</v>
      </c>
      <c r="U37" s="6">
        <v>2.8000000000000001E-2</v>
      </c>
      <c r="V37" s="6">
        <v>2.8000000000000001E-2</v>
      </c>
      <c r="W37" s="6">
        <v>2.8000000000000001E-2</v>
      </c>
      <c r="X37" s="6">
        <v>2.8000000000000001E-2</v>
      </c>
      <c r="Y37" s="6">
        <v>2.8000000000000001E-2</v>
      </c>
      <c r="Z37" s="6">
        <v>2.8000000000000001E-2</v>
      </c>
      <c r="AA37" s="6">
        <v>2.8000000000000001E-2</v>
      </c>
      <c r="AB37" s="6">
        <v>2.8000000000000001E-2</v>
      </c>
      <c r="AC37" s="6">
        <v>2.8000000000000001E-2</v>
      </c>
      <c r="AD37" s="6">
        <v>2.8000000000000001E-2</v>
      </c>
    </row>
    <row r="38" spans="1:30" s="6" customFormat="1" x14ac:dyDescent="0.25">
      <c r="A38" s="6" t="s">
        <v>49</v>
      </c>
      <c r="B38" s="9" t="s">
        <v>31</v>
      </c>
      <c r="C38" s="6">
        <f t="shared" ref="C38:T38" si="42">+C14/C$8</f>
        <v>7.3125387316670107E-2</v>
      </c>
      <c r="D38" s="6">
        <f t="shared" si="42"/>
        <v>6.0738666199894986E-2</v>
      </c>
      <c r="E38" s="6">
        <f t="shared" si="42"/>
        <v>5.7935735150925025E-2</v>
      </c>
      <c r="F38" s="6">
        <f t="shared" si="42"/>
        <v>5.8175336250202554E-2</v>
      </c>
      <c r="G38" s="6">
        <f t="shared" si="42"/>
        <v>6.0496067755595885E-2</v>
      </c>
      <c r="H38" s="6">
        <f t="shared" si="42"/>
        <v>4.9496981891348088E-2</v>
      </c>
      <c r="I38" s="6">
        <f t="shared" si="42"/>
        <v>5.5787049728603551E-2</v>
      </c>
      <c r="J38" s="6">
        <f t="shared" si="42"/>
        <v>6.0380580629421809E-2</v>
      </c>
      <c r="M38" s="6">
        <f t="shared" si="42"/>
        <v>5.3221976582330306E-2</v>
      </c>
      <c r="N38" s="6">
        <f t="shared" si="42"/>
        <v>6.2535904800984823E-2</v>
      </c>
      <c r="O38" s="6">
        <f t="shared" si="42"/>
        <v>6.2006122303694733E-2</v>
      </c>
      <c r="P38" s="6">
        <f t="shared" si="42"/>
        <v>6.1764972639598521E-2</v>
      </c>
      <c r="Q38" s="6">
        <f t="shared" si="42"/>
        <v>6.6659204119326132E-2</v>
      </c>
      <c r="R38" s="6">
        <f t="shared" si="42"/>
        <v>7.3913520632133439E-2</v>
      </c>
      <c r="S38" s="6">
        <f t="shared" si="42"/>
        <v>6.1912876305326166E-2</v>
      </c>
      <c r="T38" s="6">
        <f t="shared" si="42"/>
        <v>5.6301708391533249E-2</v>
      </c>
      <c r="U38" s="6">
        <v>0.06</v>
      </c>
      <c r="V38" s="6">
        <v>6.2E-2</v>
      </c>
      <c r="W38" s="6">
        <v>6.4000000000000001E-2</v>
      </c>
      <c r="X38" s="6">
        <v>6.5000000000000002E-2</v>
      </c>
      <c r="Y38" s="6">
        <v>6.5000000000000002E-2</v>
      </c>
      <c r="Z38" s="6">
        <v>6.5000000000000002E-2</v>
      </c>
      <c r="AA38" s="6">
        <v>6.5000000000000002E-2</v>
      </c>
      <c r="AB38" s="6">
        <v>6.5000000000000002E-2</v>
      </c>
      <c r="AC38" s="6">
        <v>6.5000000000000002E-2</v>
      </c>
      <c r="AD38" s="6">
        <v>6.5000000000000002E-2</v>
      </c>
    </row>
    <row r="39" spans="1:30" s="6" customFormat="1" x14ac:dyDescent="0.25">
      <c r="A39" s="6" t="s">
        <v>49</v>
      </c>
      <c r="B39" s="9" t="s">
        <v>32</v>
      </c>
      <c r="C39" s="6">
        <f t="shared" ref="C39:T39" si="43">+C15/C$8</f>
        <v>-4.131377814501136E-4</v>
      </c>
      <c r="D39" s="6">
        <f t="shared" si="43"/>
        <v>-1.7503938386136884E-4</v>
      </c>
      <c r="E39" s="6">
        <f t="shared" si="43"/>
        <v>-6.2479714378448556E-3</v>
      </c>
      <c r="F39" s="6">
        <f t="shared" si="43"/>
        <v>4.0512072597634146E-4</v>
      </c>
      <c r="G39" s="6">
        <f t="shared" si="43"/>
        <v>0</v>
      </c>
      <c r="H39" s="6">
        <f t="shared" si="43"/>
        <v>2.8169014084507043E-5</v>
      </c>
      <c r="I39" s="6">
        <f t="shared" si="43"/>
        <v>1.3706891825209717E-4</v>
      </c>
      <c r="J39" s="6">
        <f t="shared" si="43"/>
        <v>-1.0825811173456944E-4</v>
      </c>
      <c r="M39" s="6">
        <f t="shared" si="43"/>
        <v>2.5382788831572917E-4</v>
      </c>
      <c r="N39" s="6">
        <f t="shared" si="43"/>
        <v>5.744768157570783E-4</v>
      </c>
      <c r="O39" s="6">
        <f t="shared" si="43"/>
        <v>-1.4237915569160676E-4</v>
      </c>
      <c r="P39" s="6">
        <f t="shared" si="43"/>
        <v>2.4185990265138921E-4</v>
      </c>
      <c r="Q39" s="6">
        <f t="shared" si="43"/>
        <v>-2.2387642021604075E-4</v>
      </c>
      <c r="R39" s="6">
        <f t="shared" si="43"/>
        <v>-1.3718173836698858E-3</v>
      </c>
      <c r="S39" s="6">
        <f t="shared" si="43"/>
        <v>-1.7040241184952158E-3</v>
      </c>
      <c r="T39" s="6">
        <f t="shared" si="43"/>
        <v>1.7907668063464778E-5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</row>
    <row r="41" spans="1:30" x14ac:dyDescent="0.25">
      <c r="A41" s="6" t="s">
        <v>49</v>
      </c>
      <c r="B41" s="9" t="s">
        <v>45</v>
      </c>
      <c r="G41" s="6">
        <f>+G8/C8-1</f>
        <v>0.36583350547407556</v>
      </c>
      <c r="H41" s="6">
        <f t="shared" ref="H41:J41" si="44">+H8/D8-1</f>
        <v>0.30491860668650461</v>
      </c>
      <c r="I41" s="6">
        <f t="shared" si="44"/>
        <v>0.18396624472573819</v>
      </c>
      <c r="J41" s="6">
        <f t="shared" si="44"/>
        <v>6.2777507697294066E-2</v>
      </c>
      <c r="N41" s="6">
        <f>+N8/M8-1</f>
        <v>-2.2926389912387712E-3</v>
      </c>
      <c r="O41" s="6">
        <f t="shared" ref="O41:T41" si="45">+O8/N8-1</f>
        <v>0.15281083299138287</v>
      </c>
      <c r="P41" s="6">
        <f t="shared" si="45"/>
        <v>0.17736883320281893</v>
      </c>
      <c r="Q41" s="6">
        <f t="shared" si="45"/>
        <v>8.0327720168092753E-2</v>
      </c>
      <c r="R41" s="6">
        <f t="shared" si="45"/>
        <v>1.9980970504281714E-2</v>
      </c>
      <c r="S41" s="6">
        <f t="shared" si="45"/>
        <v>0.25587137840210694</v>
      </c>
      <c r="T41" s="6">
        <f t="shared" si="45"/>
        <v>0.21995019006422867</v>
      </c>
      <c r="U41" s="6">
        <v>0.18</v>
      </c>
      <c r="V41" s="6">
        <v>0.14000000000000001</v>
      </c>
      <c r="W41" s="6">
        <v>0.1</v>
      </c>
      <c r="X41" s="6">
        <v>0.1</v>
      </c>
      <c r="Y41" s="6">
        <v>0.1</v>
      </c>
      <c r="Z41" s="6">
        <v>8.5000000000000006E-2</v>
      </c>
      <c r="AA41" s="6">
        <v>8.5000000000000006E-2</v>
      </c>
      <c r="AB41" s="6">
        <v>8.5000000000000006E-2</v>
      </c>
      <c r="AC41" s="6">
        <v>8.5000000000000006E-2</v>
      </c>
      <c r="AD41" s="6">
        <v>8.5000000000000006E-2</v>
      </c>
    </row>
    <row r="43" spans="1:30" s="6" customFormat="1" x14ac:dyDescent="0.25">
      <c r="A43" s="6" t="s">
        <v>49</v>
      </c>
      <c r="B43" s="9" t="s">
        <v>46</v>
      </c>
      <c r="C43" s="6">
        <f>+C20/C19</f>
        <v>0.22291666666666632</v>
      </c>
      <c r="D43" s="6">
        <f>+D20/D19</f>
        <v>0.24271844660194186</v>
      </c>
      <c r="E43" s="6">
        <f>+E20/E19</f>
        <v>0.24314012091990247</v>
      </c>
      <c r="F43" s="6">
        <f>+F20/F19</f>
        <v>0.23889902206283981</v>
      </c>
      <c r="G43" s="6">
        <f>+G20/G19</f>
        <v>0.22536585365853667</v>
      </c>
      <c r="H43" s="6">
        <f>+H20/H19</f>
        <v>0.24415717358675867</v>
      </c>
      <c r="I43" s="6">
        <f>+I20/I19</f>
        <v>0.23378969654199025</v>
      </c>
      <c r="J43" s="6">
        <f>+J20/J19</f>
        <v>0.23930468992206622</v>
      </c>
      <c r="M43" s="6">
        <f>+M20/M19</f>
        <v>0.4071297027098133</v>
      </c>
      <c r="N43" s="6">
        <f>+N20/N19</f>
        <v>0.35818908122503351</v>
      </c>
      <c r="O43" s="6">
        <f>+O20/O19</f>
        <v>-1.5611061552185498E-2</v>
      </c>
      <c r="P43" s="6">
        <f>+P20/P19</f>
        <v>0.22706999337602152</v>
      </c>
      <c r="Q43" s="6">
        <f>+Q20/Q19</f>
        <v>0.22464529331514285</v>
      </c>
      <c r="R43" s="6">
        <f>+R20/R19</f>
        <v>0.21521862578080628</v>
      </c>
      <c r="S43" s="6">
        <f>+S20/S19</f>
        <v>0.23888221153846165</v>
      </c>
      <c r="T43" s="6">
        <f>+T20/T19</f>
        <v>0.23624906547046901</v>
      </c>
      <c r="U43" s="6">
        <v>0.22</v>
      </c>
      <c r="V43" s="6">
        <v>0.22</v>
      </c>
      <c r="W43" s="6">
        <v>0.22</v>
      </c>
      <c r="X43" s="6">
        <v>0.22</v>
      </c>
      <c r="Y43" s="6">
        <v>0.22</v>
      </c>
      <c r="Z43" s="6">
        <v>0.22</v>
      </c>
      <c r="AA43" s="6">
        <v>0.22</v>
      </c>
      <c r="AB43" s="6">
        <v>0.22</v>
      </c>
      <c r="AC43" s="6">
        <v>0.22</v>
      </c>
      <c r="AD43" s="6">
        <v>0.22</v>
      </c>
    </row>
    <row r="44" spans="1:30" s="6" customFormat="1" x14ac:dyDescent="0.25">
      <c r="A44" s="6" t="s">
        <v>49</v>
      </c>
      <c r="B44" s="6" t="s">
        <v>47</v>
      </c>
      <c r="N44" s="6">
        <f>+N17/M6</f>
        <v>-2.3603124195348036E-2</v>
      </c>
      <c r="O44" s="6">
        <f t="shared" ref="O44:T44" si="46">+O17/N6</f>
        <v>-2.7490297542043986E-2</v>
      </c>
      <c r="P44" s="6">
        <f t="shared" si="46"/>
        <v>-2.0681731137495211E-2</v>
      </c>
      <c r="Q44" s="6">
        <f t="shared" si="46"/>
        <v>-2.4134925037643279E-2</v>
      </c>
      <c r="R44" s="6">
        <f t="shared" si="46"/>
        <v>-1.7272763509294079E-2</v>
      </c>
      <c r="S44" s="6">
        <f t="shared" si="46"/>
        <v>-1.3858813339107842E-2</v>
      </c>
      <c r="T44" s="6">
        <f t="shared" si="46"/>
        <v>-1.507246376811594E-2</v>
      </c>
      <c r="U44" s="6">
        <v>-1.4999999999999999E-2</v>
      </c>
      <c r="V44" s="6">
        <v>-4.4999999999999998E-2</v>
      </c>
      <c r="W44" s="6">
        <v>-4.4999999999999998E-2</v>
      </c>
      <c r="X44" s="6">
        <v>-4.4999999999999998E-2</v>
      </c>
      <c r="Y44" s="6">
        <v>-4.2000000000000003E-2</v>
      </c>
      <c r="Z44" s="6">
        <v>-3.925E-2</v>
      </c>
      <c r="AA44" s="6">
        <v>-3.925E-2</v>
      </c>
      <c r="AB44" s="6">
        <v>-3.925E-2</v>
      </c>
      <c r="AC44" s="6">
        <v>-3.925E-2</v>
      </c>
      <c r="AD44" s="6">
        <v>-3.925E-2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C5" sqref="C5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7">
        <v>-0.01</v>
      </c>
    </row>
    <row r="3" spans="2:3" x14ac:dyDescent="0.25">
      <c r="B3" t="s">
        <v>19</v>
      </c>
      <c r="C3" s="7">
        <v>0.08</v>
      </c>
    </row>
    <row r="4" spans="2:3" x14ac:dyDescent="0.25">
      <c r="B4" t="s">
        <v>8</v>
      </c>
      <c r="C4" s="3">
        <f>+NPV(C3,Model!U21:DQ21)</f>
        <v>7684.7281871497207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2023-03-07T19:31:43Z</dcterms:modified>
</cp:coreProperties>
</file>