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Desktop\Fiduciary\investingModels\DCF Models\"/>
    </mc:Choice>
  </mc:AlternateContent>
  <xr:revisionPtr revIDLastSave="0" documentId="13_ncr:1_{9FC05395-C132-408D-8DE9-F7509651394B}" xr6:coauthVersionLast="47" xr6:coauthVersionMax="47" xr10:uidLastSave="{00000000-0000-0000-0000-000000000000}"/>
  <bookViews>
    <workbookView xWindow="42555" yWindow="6720" windowWidth="44730" windowHeight="18825" activeTab="1" xr2:uid="{2EC0F4CB-CC56-4207-8108-7C832533A8D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2" l="1"/>
  <c r="W5" i="2" s="1"/>
  <c r="V28" i="2"/>
  <c r="T31" i="2"/>
  <c r="S31" i="2"/>
  <c r="R31" i="2"/>
  <c r="U31" i="2"/>
  <c r="V26" i="2"/>
  <c r="V24" i="2"/>
  <c r="W6" i="2"/>
  <c r="V6" i="2"/>
  <c r="V5" i="2"/>
  <c r="V3" i="2"/>
  <c r="W12" i="2"/>
  <c r="V12" i="2"/>
  <c r="W26" i="2"/>
  <c r="M26" i="2"/>
  <c r="U5" i="2"/>
  <c r="J26" i="2"/>
  <c r="M24" i="2"/>
  <c r="L23" i="2"/>
  <c r="L28" i="2"/>
  <c r="L26" i="2"/>
  <c r="L25" i="2"/>
  <c r="L24" i="2"/>
  <c r="L11" i="2"/>
  <c r="L8" i="2"/>
  <c r="L9" i="2" s="1"/>
  <c r="L5" i="2"/>
  <c r="M23" i="2"/>
  <c r="M29" i="2"/>
  <c r="M28" i="2"/>
  <c r="M25" i="2"/>
  <c r="M11" i="2"/>
  <c r="M8" i="2"/>
  <c r="M9" i="2" s="1"/>
  <c r="M5" i="2"/>
  <c r="K28" i="2"/>
  <c r="Q21" i="2"/>
  <c r="R21" i="2"/>
  <c r="Q19" i="2"/>
  <c r="R19" i="2"/>
  <c r="Q18" i="2"/>
  <c r="R18" i="2"/>
  <c r="R28" i="2"/>
  <c r="V11" i="2"/>
  <c r="S21" i="2"/>
  <c r="S19" i="2"/>
  <c r="S18" i="2"/>
  <c r="T21" i="2"/>
  <c r="T19" i="2"/>
  <c r="U19" i="2"/>
  <c r="V19" i="2" s="1"/>
  <c r="T18" i="2"/>
  <c r="U18" i="2"/>
  <c r="AG6" i="2"/>
  <c r="AF6" i="2"/>
  <c r="AE6" i="2"/>
  <c r="AD6" i="2"/>
  <c r="AC6" i="2"/>
  <c r="AB6" i="2"/>
  <c r="AA6" i="2"/>
  <c r="Z6" i="2"/>
  <c r="Y6" i="2"/>
  <c r="X6" i="2"/>
  <c r="K21" i="2"/>
  <c r="K19" i="2"/>
  <c r="L13" i="2" l="1"/>
  <c r="L15" i="2" s="1"/>
  <c r="M13" i="2"/>
  <c r="M15" i="2" s="1"/>
  <c r="U21" i="2"/>
  <c r="S28" i="2"/>
  <c r="Q26" i="2"/>
  <c r="S26" i="2"/>
  <c r="R26" i="2"/>
  <c r="S25" i="2"/>
  <c r="R25" i="2"/>
  <c r="Q25" i="2"/>
  <c r="S5" i="2"/>
  <c r="S9" i="2" s="1"/>
  <c r="S24" i="2" s="1"/>
  <c r="R5" i="2"/>
  <c r="R23" i="2" s="1"/>
  <c r="Q5" i="2"/>
  <c r="Q9" i="2" s="1"/>
  <c r="Q24" i="2" s="1"/>
  <c r="F25" i="2"/>
  <c r="E25" i="2"/>
  <c r="D25" i="2"/>
  <c r="C25" i="2"/>
  <c r="U4" i="2"/>
  <c r="U6" i="2"/>
  <c r="U7" i="2"/>
  <c r="U12" i="2"/>
  <c r="U3" i="2"/>
  <c r="T12" i="2"/>
  <c r="T6" i="2"/>
  <c r="T4" i="2"/>
  <c r="T3" i="2"/>
  <c r="G28" i="2"/>
  <c r="C7" i="2"/>
  <c r="C8" i="2" s="1"/>
  <c r="C9" i="2" s="1"/>
  <c r="C26" i="2"/>
  <c r="C5" i="2"/>
  <c r="C23" i="2" s="1"/>
  <c r="T25" i="2" l="1"/>
  <c r="U28" i="2"/>
  <c r="U25" i="2"/>
  <c r="Q23" i="2"/>
  <c r="S23" i="2"/>
  <c r="T26" i="2"/>
  <c r="U26" i="2"/>
  <c r="T28" i="2"/>
  <c r="V9" i="2"/>
  <c r="R9" i="2"/>
  <c r="R24" i="2" s="1"/>
  <c r="V13" i="2"/>
  <c r="C24" i="2"/>
  <c r="C13" i="2"/>
  <c r="W9" i="2" l="1"/>
  <c r="W24" i="2" s="1"/>
  <c r="V15" i="2"/>
  <c r="W19" i="2"/>
  <c r="C15" i="2"/>
  <c r="W11" i="2" l="1"/>
  <c r="W13" i="2" l="1"/>
  <c r="X19" i="2" l="1"/>
  <c r="W29" i="2"/>
  <c r="X11" i="2"/>
  <c r="D26" i="2" l="1"/>
  <c r="E26" i="2"/>
  <c r="F26" i="2"/>
  <c r="G26" i="2"/>
  <c r="H26" i="2"/>
  <c r="I26" i="2"/>
  <c r="K26" i="2"/>
  <c r="J28" i="2"/>
  <c r="I28" i="2"/>
  <c r="H28" i="2"/>
  <c r="K25" i="2"/>
  <c r="J25" i="2"/>
  <c r="I25" i="2"/>
  <c r="H25" i="2"/>
  <c r="G25" i="2"/>
  <c r="D8" i="2"/>
  <c r="D5" i="2"/>
  <c r="H11" i="2"/>
  <c r="H10" i="2"/>
  <c r="H8" i="2"/>
  <c r="H9" i="2" s="1"/>
  <c r="H24" i="2" s="1"/>
  <c r="H5" i="2"/>
  <c r="H23" i="2" s="1"/>
  <c r="E8" i="2"/>
  <c r="E9" i="2" s="1"/>
  <c r="E13" i="2" s="1"/>
  <c r="E15" i="2" s="1"/>
  <c r="E5" i="2"/>
  <c r="E23" i="2" s="1"/>
  <c r="I11" i="2"/>
  <c r="I8" i="2"/>
  <c r="I9" i="2" s="1"/>
  <c r="I24" i="2" s="1"/>
  <c r="I5" i="2"/>
  <c r="I23" i="2" s="1"/>
  <c r="K8" i="2"/>
  <c r="K9" i="2" s="1"/>
  <c r="K24" i="2" s="1"/>
  <c r="J8" i="2"/>
  <c r="J9" i="2" s="1"/>
  <c r="J24" i="2" s="1"/>
  <c r="G8" i="2"/>
  <c r="F11" i="2"/>
  <c r="T11" i="2" s="1"/>
  <c r="F10" i="2"/>
  <c r="T10" i="2" s="1"/>
  <c r="F7" i="2"/>
  <c r="F5" i="2"/>
  <c r="F23" i="2" s="1"/>
  <c r="J11" i="2"/>
  <c r="J5" i="2"/>
  <c r="J23" i="2" s="1"/>
  <c r="G11" i="2"/>
  <c r="G10" i="2"/>
  <c r="U10" i="2" s="1"/>
  <c r="G5" i="2"/>
  <c r="K11" i="2"/>
  <c r="K5" i="2"/>
  <c r="K23" i="2" s="1"/>
  <c r="N8" i="1"/>
  <c r="N7" i="1"/>
  <c r="N5" i="1"/>
  <c r="G23" i="2" l="1"/>
  <c r="U23" i="2"/>
  <c r="U11" i="2"/>
  <c r="D23" i="2"/>
  <c r="T5" i="2"/>
  <c r="T23" i="2" s="1"/>
  <c r="D9" i="2"/>
  <c r="G9" i="2"/>
  <c r="U8" i="2"/>
  <c r="F8" i="2"/>
  <c r="F9" i="2" s="1"/>
  <c r="F24" i="2" s="1"/>
  <c r="T7" i="2"/>
  <c r="D24" i="2"/>
  <c r="E24" i="2"/>
  <c r="J13" i="2"/>
  <c r="J15" i="2" s="1"/>
  <c r="K13" i="2"/>
  <c r="K15" i="2" s="1"/>
  <c r="H13" i="2"/>
  <c r="H15" i="2" s="1"/>
  <c r="I13" i="2"/>
  <c r="I15" i="2" s="1"/>
  <c r="T8" i="2" l="1"/>
  <c r="G24" i="2"/>
  <c r="U9" i="2"/>
  <c r="U24" i="2" s="1"/>
  <c r="G13" i="2"/>
  <c r="D13" i="2"/>
  <c r="T9" i="2"/>
  <c r="T24" i="2" s="1"/>
  <c r="F13" i="2"/>
  <c r="F15" i="2" s="1"/>
  <c r="G15" i="2" l="1"/>
  <c r="U13" i="2"/>
  <c r="U15" i="2" s="1"/>
  <c r="D15" i="2"/>
  <c r="T13" i="2"/>
  <c r="T15" i="2" s="1"/>
  <c r="X3" i="2" l="1"/>
  <c r="X12" i="2" s="1"/>
  <c r="Y3" i="2" l="1"/>
  <c r="X5" i="2"/>
  <c r="X9" i="2" s="1"/>
  <c r="X26" i="2"/>
  <c r="X13" i="2" l="1"/>
  <c r="X24" i="2"/>
  <c r="Y12" i="2"/>
  <c r="Z3" i="2"/>
  <c r="Y26" i="2"/>
  <c r="Y5" i="2"/>
  <c r="Y9" i="2" s="1"/>
  <c r="Y24" i="2" l="1"/>
  <c r="Z26" i="2"/>
  <c r="Z12" i="2"/>
  <c r="Z5" i="2"/>
  <c r="Z9" i="2" s="1"/>
  <c r="X29" i="2"/>
  <c r="Y19" i="2"/>
  <c r="Z24" i="2" l="1"/>
  <c r="Y11" i="2"/>
  <c r="Y13" i="2" s="1"/>
  <c r="Z19" i="2" s="1"/>
  <c r="Z11" i="2" l="1"/>
  <c r="Z13" i="2" s="1"/>
  <c r="Z29" i="2" s="1"/>
  <c r="Y29" i="2"/>
  <c r="AA19" i="2" l="1"/>
  <c r="AA11" i="2"/>
  <c r="AA3" i="2"/>
  <c r="AA12" i="2" s="1"/>
  <c r="AA5" i="2" l="1"/>
  <c r="AA9" i="2" s="1"/>
  <c r="AA26" i="2"/>
  <c r="AA13" i="2" l="1"/>
  <c r="AA24" i="2"/>
  <c r="AA29" i="2" l="1"/>
  <c r="AB19" i="2"/>
  <c r="AB11" i="2" l="1"/>
  <c r="AB3" i="2"/>
  <c r="AB12" i="2" s="1"/>
  <c r="AB5" i="2" l="1"/>
  <c r="AB9" i="2" s="1"/>
  <c r="AB24" i="2" s="1"/>
  <c r="AB26" i="2"/>
  <c r="AB13" i="2" l="1"/>
  <c r="AC3" i="2"/>
  <c r="AC26" i="2" s="1"/>
  <c r="AB29" i="2" l="1"/>
  <c r="AC19" i="2"/>
  <c r="AC11" i="2" s="1"/>
  <c r="AC5" i="2"/>
  <c r="AC9" i="2" s="1"/>
  <c r="AC12" i="2"/>
  <c r="AC13" i="2" l="1"/>
  <c r="AC24" i="2"/>
  <c r="AD19" i="2" l="1"/>
  <c r="AC29" i="2"/>
  <c r="AD11" i="2" l="1"/>
  <c r="AD3" i="2"/>
  <c r="AD26" i="2" s="1"/>
  <c r="AD5" i="2" l="1"/>
  <c r="AD9" i="2" s="1"/>
  <c r="AD12" i="2"/>
  <c r="AD13" i="2" l="1"/>
  <c r="AD24" i="2"/>
  <c r="AE19" i="2" l="1"/>
  <c r="AD29" i="2"/>
  <c r="AE11" i="2" l="1"/>
  <c r="AE3" i="2"/>
  <c r="AE26" i="2" s="1"/>
  <c r="AE12" i="2" l="1"/>
  <c r="AE5" i="2"/>
  <c r="AE9" i="2" s="1"/>
  <c r="AE24" i="2" l="1"/>
  <c r="AE13" i="2"/>
  <c r="AF19" i="2" l="1"/>
  <c r="AE29" i="2"/>
  <c r="AF11" i="2" l="1"/>
  <c r="AF3" i="2"/>
  <c r="AF26" i="2" s="1"/>
  <c r="AF5" i="2" l="1"/>
  <c r="AF9" i="2" s="1"/>
  <c r="AF12" i="2"/>
  <c r="AF13" i="2" s="1"/>
  <c r="AF24" i="2"/>
  <c r="AF29" i="2" l="1"/>
  <c r="AG19" i="2"/>
  <c r="AG11" i="2" s="1"/>
  <c r="AG3" i="2"/>
  <c r="AG12" i="2" s="1"/>
  <c r="AG5" i="2" l="1"/>
  <c r="AG9" i="2" s="1"/>
  <c r="AG26" i="2"/>
  <c r="AG24" i="2" l="1"/>
  <c r="AG13" i="2"/>
  <c r="AG29" i="2" l="1"/>
  <c r="AH13" i="2"/>
  <c r="AI13" i="2" s="1"/>
  <c r="AJ13" i="2" s="1"/>
  <c r="AK13" i="2" s="1"/>
  <c r="AL13" i="2" s="1"/>
  <c r="AM13" i="2" s="1"/>
  <c r="AN13" i="2" s="1"/>
  <c r="AO13" i="2" s="1"/>
  <c r="AP13" i="2" s="1"/>
  <c r="AQ13" i="2" s="1"/>
  <c r="AR13" i="2" s="1"/>
  <c r="AS13" i="2" s="1"/>
  <c r="AT13" i="2" s="1"/>
  <c r="AU13" i="2" s="1"/>
  <c r="AV13" i="2" s="1"/>
  <c r="AW13" i="2" s="1"/>
  <c r="AX13" i="2" s="1"/>
  <c r="AY13" i="2" s="1"/>
  <c r="AZ13" i="2" s="1"/>
  <c r="BA13" i="2" s="1"/>
  <c r="BB13" i="2" s="1"/>
  <c r="BC13" i="2" s="1"/>
  <c r="BD13" i="2" s="1"/>
  <c r="BE13" i="2" s="1"/>
  <c r="BF13" i="2" s="1"/>
  <c r="BG13" i="2" s="1"/>
  <c r="BH13" i="2" s="1"/>
  <c r="BI13" i="2" s="1"/>
  <c r="BJ13" i="2" s="1"/>
  <c r="BK13" i="2" s="1"/>
  <c r="BL13" i="2" s="1"/>
  <c r="BM13" i="2" s="1"/>
  <c r="BN13" i="2" s="1"/>
  <c r="BO13" i="2" s="1"/>
  <c r="BP13" i="2" s="1"/>
  <c r="BQ13" i="2" s="1"/>
  <c r="BR13" i="2" s="1"/>
  <c r="BS13" i="2" s="1"/>
  <c r="BT13" i="2" s="1"/>
  <c r="BU13" i="2" s="1"/>
  <c r="BV13" i="2" s="1"/>
  <c r="BW13" i="2" s="1"/>
  <c r="BX13" i="2" s="1"/>
  <c r="BY13" i="2" s="1"/>
  <c r="BZ13" i="2" s="1"/>
  <c r="CA13" i="2" s="1"/>
  <c r="CB13" i="2" s="1"/>
  <c r="CC13" i="2" s="1"/>
  <c r="CD13" i="2" s="1"/>
  <c r="CE13" i="2" s="1"/>
  <c r="CF13" i="2" s="1"/>
  <c r="CG13" i="2" s="1"/>
  <c r="CH13" i="2" s="1"/>
  <c r="CI13" i="2" s="1"/>
  <c r="CJ13" i="2" s="1"/>
  <c r="CK13" i="2" s="1"/>
  <c r="CL13" i="2" s="1"/>
  <c r="CM13" i="2" s="1"/>
  <c r="CN13" i="2" s="1"/>
  <c r="CO13" i="2" s="1"/>
  <c r="CP13" i="2" s="1"/>
  <c r="CQ13" i="2" s="1"/>
  <c r="CR13" i="2" s="1"/>
  <c r="CS13" i="2" s="1"/>
  <c r="CT13" i="2" s="1"/>
  <c r="CU13" i="2" s="1"/>
  <c r="CV13" i="2" s="1"/>
  <c r="CW13" i="2" s="1"/>
  <c r="CX13" i="2" s="1"/>
  <c r="CY13" i="2" s="1"/>
  <c r="CZ13" i="2" s="1"/>
  <c r="DA13" i="2" s="1"/>
  <c r="DB13" i="2" s="1"/>
  <c r="DC13" i="2" s="1"/>
  <c r="DD13" i="2" s="1"/>
  <c r="DE13" i="2" s="1"/>
  <c r="DF13" i="2" s="1"/>
  <c r="DG13" i="2" s="1"/>
  <c r="DH13" i="2" s="1"/>
  <c r="DI13" i="2" s="1"/>
  <c r="DJ13" i="2" s="1"/>
  <c r="DK13" i="2" s="1"/>
  <c r="DL13" i="2" s="1"/>
  <c r="DM13" i="2" s="1"/>
  <c r="DN13" i="2" s="1"/>
  <c r="DO13" i="2" s="1"/>
  <c r="DP13" i="2" s="1"/>
  <c r="DQ13" i="2" s="1"/>
  <c r="DR13" i="2" s="1"/>
  <c r="DS13" i="2" s="1"/>
  <c r="DT13" i="2" s="1"/>
  <c r="DU13" i="2" s="1"/>
  <c r="DV13" i="2" s="1"/>
  <c r="DW13" i="2" s="1"/>
  <c r="DX13" i="2" s="1"/>
  <c r="DY13" i="2" s="1"/>
  <c r="DZ13" i="2" s="1"/>
  <c r="EA13" i="2" s="1"/>
  <c r="EB13" i="2" s="1"/>
  <c r="EC13" i="2" s="1"/>
  <c r="ED13" i="2" s="1"/>
  <c r="EE13" i="2" s="1"/>
  <c r="EF13" i="2" s="1"/>
  <c r="EG13" i="2" s="1"/>
  <c r="EH13" i="2" s="1"/>
  <c r="EI13" i="2" s="1"/>
  <c r="EJ13" i="2" s="1"/>
  <c r="EK13" i="2" s="1"/>
  <c r="EL13" i="2" s="1"/>
  <c r="EM13" i="2" s="1"/>
  <c r="EN13" i="2" s="1"/>
  <c r="EO13" i="2" s="1"/>
  <c r="EP13" i="2" s="1"/>
  <c r="EQ13" i="2" s="1"/>
  <c r="ER13" i="2" s="1"/>
  <c r="ES13" i="2" s="1"/>
  <c r="ET13" i="2" s="1"/>
  <c r="EU13" i="2" s="1"/>
  <c r="EV13" i="2" s="1"/>
  <c r="EW13" i="2" s="1"/>
  <c r="EX13" i="2" s="1"/>
  <c r="EY13" i="2" s="1"/>
  <c r="EZ13" i="2" s="1"/>
  <c r="FA13" i="2" s="1"/>
  <c r="FB13" i="2" s="1"/>
  <c r="FC13" i="2" s="1"/>
  <c r="FD13" i="2" s="1"/>
  <c r="FE13" i="2" s="1"/>
  <c r="FF13" i="2" s="1"/>
  <c r="FG13" i="2" s="1"/>
  <c r="FH13" i="2" s="1"/>
  <c r="FI13" i="2" s="1"/>
  <c r="FJ13" i="2" s="1"/>
  <c r="FK13" i="2" s="1"/>
  <c r="FL13" i="2" s="1"/>
  <c r="FM13" i="2" s="1"/>
  <c r="FN13" i="2" s="1"/>
  <c r="FO13" i="2" s="1"/>
  <c r="FP13" i="2" s="1"/>
  <c r="FQ13" i="2" s="1"/>
  <c r="FR13" i="2" s="1"/>
  <c r="FS13" i="2" s="1"/>
  <c r="FT13" i="2" s="1"/>
  <c r="FU13" i="2" s="1"/>
  <c r="FV13" i="2" s="1"/>
  <c r="FW13" i="2" s="1"/>
  <c r="FX13" i="2" s="1"/>
  <c r="FY13" i="2" s="1"/>
  <c r="FZ13" i="2" s="1"/>
  <c r="GA13" i="2" s="1"/>
  <c r="GB13" i="2" s="1"/>
  <c r="GC13" i="2" s="1"/>
  <c r="GD13" i="2" s="1"/>
  <c r="GE13" i="2" s="1"/>
  <c r="GF13" i="2" s="1"/>
  <c r="GG13" i="2" s="1"/>
  <c r="GH13" i="2" s="1"/>
  <c r="GI13" i="2" s="1"/>
  <c r="GJ13" i="2" s="1"/>
  <c r="GK13" i="2" s="1"/>
  <c r="GL13" i="2" s="1"/>
  <c r="GM13" i="2" s="1"/>
  <c r="GN13" i="2" s="1"/>
  <c r="GO13" i="2" s="1"/>
  <c r="GP13" i="2" s="1"/>
  <c r="GQ13" i="2" s="1"/>
  <c r="GR13" i="2" s="1"/>
  <c r="GS13" i="2" s="1"/>
  <c r="GT13" i="2" s="1"/>
  <c r="GU13" i="2" s="1"/>
  <c r="GV13" i="2" s="1"/>
  <c r="GW13" i="2" s="1"/>
  <c r="GX13" i="2" s="1"/>
  <c r="GY13" i="2" s="1"/>
  <c r="GZ13" i="2" s="1"/>
  <c r="HA13" i="2" s="1"/>
  <c r="HB13" i="2" s="1"/>
  <c r="HC13" i="2" s="1"/>
  <c r="HD13" i="2" s="1"/>
  <c r="HE13" i="2" s="1"/>
  <c r="HF13" i="2" s="1"/>
  <c r="HG13" i="2" s="1"/>
  <c r="HH13" i="2" s="1"/>
  <c r="AK23" i="2" l="1"/>
  <c r="AK24" i="2" s="1"/>
</calcChain>
</file>

<file path=xl/sharedStrings.xml><?xml version="1.0" encoding="utf-8"?>
<sst xmlns="http://schemas.openxmlformats.org/spreadsheetml/2006/main" count="55" uniqueCount="47">
  <si>
    <t>Price</t>
  </si>
  <si>
    <t>Shares</t>
  </si>
  <si>
    <t>MkCap</t>
  </si>
  <si>
    <t>Cash</t>
  </si>
  <si>
    <t>Debt</t>
  </si>
  <si>
    <t>EV</t>
  </si>
  <si>
    <t>22Q1</t>
  </si>
  <si>
    <t>21Q4</t>
  </si>
  <si>
    <t>21Q3</t>
  </si>
  <si>
    <t>21Q2</t>
  </si>
  <si>
    <t>22Q2</t>
  </si>
  <si>
    <t>21Q1</t>
  </si>
  <si>
    <t>20Q4</t>
  </si>
  <si>
    <t>20Q3</t>
  </si>
  <si>
    <t>20Q2</t>
  </si>
  <si>
    <t>Revenue</t>
  </si>
  <si>
    <t>COGS</t>
  </si>
  <si>
    <t>Gross Margin</t>
  </si>
  <si>
    <t>SG&amp;A</t>
  </si>
  <si>
    <t>Taxes</t>
  </si>
  <si>
    <t>Net income</t>
  </si>
  <si>
    <t>Total Operating Expenses</t>
  </si>
  <si>
    <t>Operating Income</t>
  </si>
  <si>
    <t>EPS</t>
  </si>
  <si>
    <t>Revenue y/y</t>
  </si>
  <si>
    <t>Gross margin</t>
  </si>
  <si>
    <t>22Q3</t>
  </si>
  <si>
    <t>22Q4</t>
  </si>
  <si>
    <t>Net income y/y</t>
  </si>
  <si>
    <t>Tax on revenue rate</t>
  </si>
  <si>
    <t>JILL</t>
  </si>
  <si>
    <t>J JILL</t>
  </si>
  <si>
    <t>Impairments</t>
  </si>
  <si>
    <t>Operating margin</t>
  </si>
  <si>
    <t>Revenue on SG&amp;A</t>
  </si>
  <si>
    <t>20Q1</t>
  </si>
  <si>
    <t>N/A</t>
  </si>
  <si>
    <t>Interest expense</t>
  </si>
  <si>
    <t>Other expense</t>
  </si>
  <si>
    <t>Net cash</t>
  </si>
  <si>
    <t>Interest expense on net cash</t>
  </si>
  <si>
    <t>NPV</t>
  </si>
  <si>
    <t>Discount Rate</t>
  </si>
  <si>
    <t>Terminal value</t>
  </si>
  <si>
    <t>Annual 10y Grow</t>
  </si>
  <si>
    <t>Target</t>
  </si>
  <si>
    <t>SG&amp;A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</si>
</sst>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3" fontId="0" fillId="0" borderId="0" xfId="0" applyNumberFormat="1"/>
    <xf numFmtId="44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0" fillId="0" borderId="0" xfId="0" applyNumberFormat="1" applyFont="1"/>
    <xf numFmtId="4" fontId="0" fillId="0" borderId="0" xfId="0" applyNumberFormat="1" applyFont="1"/>
    <xf numFmtId="4" fontId="0" fillId="0" borderId="0" xfId="0" applyNumberFormat="1"/>
    <xf numFmtId="14" fontId="0" fillId="0" borderId="0" xfId="0" applyNumberFormat="1" applyFont="1"/>
    <xf numFmtId="9" fontId="0" fillId="0" borderId="0" xfId="0" applyNumberFormat="1"/>
    <xf numFmtId="9" fontId="0" fillId="0" borderId="0" xfId="0" applyNumberFormat="1" applyFont="1"/>
    <xf numFmtId="0" fontId="0" fillId="2" borderId="0" xfId="0" applyFill="1"/>
    <xf numFmtId="0" fontId="1" fillId="2" borderId="0" xfId="0" applyFont="1" applyFill="1"/>
    <xf numFmtId="4" fontId="0" fillId="2" borderId="0" xfId="0" applyNumberFormat="1" applyFill="1"/>
    <xf numFmtId="9" fontId="0" fillId="2" borderId="0" xfId="0" applyNumberFormat="1" applyFill="1"/>
    <xf numFmtId="2" fontId="1" fillId="0" borderId="0" xfId="0" applyNumberFormat="1" applyFont="1"/>
    <xf numFmtId="2" fontId="0" fillId="0" borderId="0" xfId="0" applyNumberFormat="1" applyFont="1"/>
    <xf numFmtId="2" fontId="0" fillId="0" borderId="0" xfId="0" applyNumberFormat="1"/>
    <xf numFmtId="2" fontId="0" fillId="2" borderId="0" xfId="0" applyNumberFormat="1" applyFill="1"/>
    <xf numFmtId="14" fontId="0" fillId="0" borderId="0" xfId="0" applyNumberFormat="1"/>
    <xf numFmtId="9" fontId="0" fillId="2" borderId="0" xfId="0" applyNumberFormat="1" applyFont="1" applyFill="1"/>
    <xf numFmtId="10" fontId="0" fillId="0" borderId="0" xfId="0" applyNumberFormat="1" applyFont="1"/>
    <xf numFmtId="3" fontId="0" fillId="2" borderId="0" xfId="0" applyNumberFormat="1" applyFont="1" applyFill="1"/>
    <xf numFmtId="8" fontId="0" fillId="0" borderId="0" xfId="0" applyNumberFormat="1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608867</xdr:colOff>
      <xdr:row>0</xdr:row>
      <xdr:rowOff>0</xdr:rowOff>
    </xdr:from>
    <xdr:to>
      <xdr:col>12</xdr:col>
      <xdr:colOff>608867</xdr:colOff>
      <xdr:row>47</xdr:row>
      <xdr:rowOff>168519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B1B42924-0332-F737-74D4-5E53970249B3}"/>
            </a:ext>
          </a:extLst>
        </xdr:cNvPr>
        <xdr:cNvCxnSpPr/>
      </xdr:nvCxnSpPr>
      <xdr:spPr>
        <a:xfrm>
          <a:off x="8981342" y="0"/>
          <a:ext cx="0" cy="9122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29307</xdr:colOff>
      <xdr:row>0</xdr:row>
      <xdr:rowOff>0</xdr:rowOff>
    </xdr:from>
    <xdr:to>
      <xdr:col>19</xdr:col>
      <xdr:colOff>29307</xdr:colOff>
      <xdr:row>47</xdr:row>
      <xdr:rowOff>168519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E28C7F70-926A-4907-81FD-28FCD609166C}"/>
            </a:ext>
          </a:extLst>
        </xdr:cNvPr>
        <xdr:cNvCxnSpPr/>
      </xdr:nvCxnSpPr>
      <xdr:spPr>
        <a:xfrm>
          <a:off x="12331211" y="0"/>
          <a:ext cx="0" cy="7979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20515</xdr:colOff>
      <xdr:row>0</xdr:row>
      <xdr:rowOff>0</xdr:rowOff>
    </xdr:from>
    <xdr:to>
      <xdr:col>21</xdr:col>
      <xdr:colOff>20515</xdr:colOff>
      <xdr:row>47</xdr:row>
      <xdr:rowOff>168519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F07B4EC-0264-4490-8834-8D8A621AFD54}"/>
            </a:ext>
          </a:extLst>
        </xdr:cNvPr>
        <xdr:cNvCxnSpPr/>
      </xdr:nvCxnSpPr>
      <xdr:spPr>
        <a:xfrm>
          <a:off x="13538688" y="0"/>
          <a:ext cx="0" cy="7979019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DD50C-C6AD-42B7-B8F2-B9DA58381265}">
  <dimension ref="M1:O20"/>
  <sheetViews>
    <sheetView workbookViewId="0">
      <selection activeCell="U16" sqref="U16"/>
    </sheetView>
  </sheetViews>
  <sheetFormatPr defaultRowHeight="15" x14ac:dyDescent="0.25"/>
  <cols>
    <col min="13" max="13" width="9.7109375" bestFit="1" customWidth="1"/>
    <col min="14" max="15" width="10.140625" bestFit="1" customWidth="1"/>
  </cols>
  <sheetData>
    <row r="1" spans="13:15" x14ac:dyDescent="0.25">
      <c r="M1" t="s">
        <v>31</v>
      </c>
    </row>
    <row r="2" spans="13:15" x14ac:dyDescent="0.25">
      <c r="M2" t="s">
        <v>30</v>
      </c>
    </row>
    <row r="3" spans="13:15" x14ac:dyDescent="0.25">
      <c r="M3" t="s">
        <v>0</v>
      </c>
      <c r="N3" s="2">
        <v>16.510000000000002</v>
      </c>
    </row>
    <row r="4" spans="13:15" x14ac:dyDescent="0.25">
      <c r="M4" t="s">
        <v>1</v>
      </c>
      <c r="N4" s="1">
        <v>13.874000000000001</v>
      </c>
    </row>
    <row r="5" spans="13:15" x14ac:dyDescent="0.25">
      <c r="M5" t="s">
        <v>2</v>
      </c>
      <c r="N5" s="1">
        <f>+N4*N3</f>
        <v>229.05974000000003</v>
      </c>
    </row>
    <row r="6" spans="13:15" x14ac:dyDescent="0.25">
      <c r="M6" t="s">
        <v>3</v>
      </c>
      <c r="N6" s="1">
        <v>40.799999999999997</v>
      </c>
    </row>
    <row r="7" spans="13:15" x14ac:dyDescent="0.25">
      <c r="M7" t="s">
        <v>4</v>
      </c>
      <c r="N7" s="1">
        <f>7.67+196.25+6.4</f>
        <v>210.32</v>
      </c>
    </row>
    <row r="8" spans="13:15" x14ac:dyDescent="0.25">
      <c r="M8" t="s">
        <v>5</v>
      </c>
      <c r="N8" s="1">
        <f>N5-N6+N7</f>
        <v>398.57974000000002</v>
      </c>
    </row>
    <row r="11" spans="13:15" x14ac:dyDescent="0.25">
      <c r="M11" s="19">
        <v>44902</v>
      </c>
    </row>
    <row r="16" spans="13:15" x14ac:dyDescent="0.25">
      <c r="M16" t="s">
        <v>44</v>
      </c>
      <c r="N16" s="21">
        <v>7.0000000000000007E-2</v>
      </c>
      <c r="O16" s="21">
        <v>0.05</v>
      </c>
    </row>
    <row r="17" spans="13:15" x14ac:dyDescent="0.25">
      <c r="M17" t="s">
        <v>43</v>
      </c>
      <c r="N17" s="21">
        <v>-0.01</v>
      </c>
      <c r="O17" s="21">
        <v>-0.01</v>
      </c>
    </row>
    <row r="18" spans="13:15" x14ac:dyDescent="0.25">
      <c r="M18" t="s">
        <v>42</v>
      </c>
      <c r="N18" s="21">
        <v>0.08</v>
      </c>
      <c r="O18" s="21">
        <v>0.08</v>
      </c>
    </row>
    <row r="19" spans="13:15" x14ac:dyDescent="0.25">
      <c r="M19" t="s">
        <v>41</v>
      </c>
      <c r="N19" s="1">
        <v>884.42815622737601</v>
      </c>
      <c r="O19" s="1">
        <v>302.71921082685645</v>
      </c>
    </row>
    <row r="20" spans="13:15" x14ac:dyDescent="0.25">
      <c r="M20" s="19">
        <v>44771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0C4823-B1D5-4075-A061-9C811CDAD08D}">
  <dimension ref="B1:HH31"/>
  <sheetViews>
    <sheetView tabSelected="1" zoomScaleNormal="100" workbookViewId="0">
      <pane xSplit="2" ySplit="2" topLeftCell="S3" activePane="bottomRight" state="frozen"/>
      <selection pane="topRight" activeCell="C1" sqref="C1"/>
      <selection pane="bottomLeft" activeCell="A3" sqref="A3"/>
      <selection pane="bottomRight" activeCell="X35" sqref="X35"/>
    </sheetView>
  </sheetViews>
  <sheetFormatPr defaultRowHeight="15" x14ac:dyDescent="0.25"/>
  <cols>
    <col min="2" max="2" width="23.85546875" bestFit="1" customWidth="1"/>
    <col min="3" max="11" width="9.140625" style="5"/>
    <col min="12" max="12" width="10.28515625" style="5" bestFit="1" customWidth="1"/>
    <col min="13" max="13" width="9.140625" style="5"/>
    <col min="16" max="16" width="4.42578125" style="11" customWidth="1"/>
    <col min="35" max="35" width="10.42578125" bestFit="1" customWidth="1"/>
    <col min="37" max="37" width="10" customWidth="1"/>
  </cols>
  <sheetData>
    <row r="1" spans="2:216" x14ac:dyDescent="0.25">
      <c r="L1" s="8"/>
    </row>
    <row r="2" spans="2:216" x14ac:dyDescent="0.25">
      <c r="C2" s="5" t="s">
        <v>35</v>
      </c>
      <c r="D2" s="5" t="s">
        <v>14</v>
      </c>
      <c r="E2" s="5" t="s">
        <v>13</v>
      </c>
      <c r="F2" s="5" t="s">
        <v>12</v>
      </c>
      <c r="G2" s="5" t="s">
        <v>11</v>
      </c>
      <c r="H2" s="5" t="s">
        <v>9</v>
      </c>
      <c r="I2" s="5" t="s">
        <v>8</v>
      </c>
      <c r="J2" s="5" t="s">
        <v>7</v>
      </c>
      <c r="K2" s="5" t="s">
        <v>6</v>
      </c>
      <c r="L2" s="5" t="s">
        <v>10</v>
      </c>
      <c r="M2" s="5" t="s">
        <v>26</v>
      </c>
      <c r="N2" s="5" t="s">
        <v>27</v>
      </c>
      <c r="Q2" s="1">
        <v>17</v>
      </c>
      <c r="R2" s="1">
        <v>18</v>
      </c>
      <c r="S2" s="1">
        <v>19</v>
      </c>
      <c r="T2" s="1">
        <v>20</v>
      </c>
      <c r="U2" s="1">
        <v>21</v>
      </c>
      <c r="V2" s="1">
        <v>22</v>
      </c>
      <c r="W2" s="1">
        <v>23</v>
      </c>
      <c r="X2" s="1">
        <v>24</v>
      </c>
      <c r="Y2" s="1">
        <v>25</v>
      </c>
      <c r="Z2" s="1">
        <v>26</v>
      </c>
      <c r="AA2" s="1">
        <v>27</v>
      </c>
      <c r="AB2" s="1">
        <v>28</v>
      </c>
      <c r="AC2" s="1">
        <v>29</v>
      </c>
      <c r="AD2" s="1">
        <v>30</v>
      </c>
      <c r="AE2" s="1">
        <v>31</v>
      </c>
      <c r="AF2" s="1">
        <v>32</v>
      </c>
      <c r="AG2" s="1">
        <v>33</v>
      </c>
      <c r="AH2" s="1">
        <v>34</v>
      </c>
      <c r="AI2" s="1">
        <v>35</v>
      </c>
      <c r="AJ2" s="1">
        <v>36</v>
      </c>
    </row>
    <row r="3" spans="2:216" x14ac:dyDescent="0.25">
      <c r="B3" t="s">
        <v>15</v>
      </c>
      <c r="C3" s="5">
        <v>90.968999999999994</v>
      </c>
      <c r="D3" s="5">
        <v>92.635999999999996</v>
      </c>
      <c r="E3" s="5">
        <v>117.22</v>
      </c>
      <c r="F3" s="5">
        <v>125.9</v>
      </c>
      <c r="G3" s="5">
        <v>129.1</v>
      </c>
      <c r="H3" s="5">
        <v>159.22999999999999</v>
      </c>
      <c r="I3" s="5">
        <v>151.72999999999999</v>
      </c>
      <c r="J3" s="5">
        <v>145.15</v>
      </c>
      <c r="K3" s="5">
        <v>157.06899999999999</v>
      </c>
      <c r="L3" s="5">
        <v>160.34</v>
      </c>
      <c r="M3" s="5">
        <v>150.19999999999999</v>
      </c>
      <c r="N3" s="5"/>
      <c r="Q3" s="1">
        <v>698.1</v>
      </c>
      <c r="R3" s="1">
        <v>706.3</v>
      </c>
      <c r="S3" s="1">
        <v>691.3</v>
      </c>
      <c r="T3" s="1">
        <f>SUM(C3:F3)</f>
        <v>426.72500000000002</v>
      </c>
      <c r="U3" s="5">
        <f>SUM(G3:J3)</f>
        <v>585.20999999999992</v>
      </c>
      <c r="V3" s="5">
        <f>K3*4</f>
        <v>628.27599999999995</v>
      </c>
      <c r="W3" s="5">
        <f>V3*(1+W28)</f>
        <v>578.01391999999998</v>
      </c>
      <c r="X3" s="5">
        <f>W3*(1+X28)</f>
        <v>635.81531200000006</v>
      </c>
      <c r="Y3" s="5">
        <f t="shared" ref="Y3:AG3" si="0">X3*(1+Y28)</f>
        <v>667.60607760000005</v>
      </c>
      <c r="Z3" s="5">
        <f t="shared" si="0"/>
        <v>714.33850303200006</v>
      </c>
      <c r="AA3" s="5">
        <f t="shared" si="0"/>
        <v>764.34219824424008</v>
      </c>
      <c r="AB3" s="5">
        <f t="shared" si="0"/>
        <v>802.55930815645206</v>
      </c>
      <c r="AC3" s="5">
        <f t="shared" si="0"/>
        <v>842.68727356427473</v>
      </c>
      <c r="AD3" s="5">
        <f t="shared" si="0"/>
        <v>867.96789177120297</v>
      </c>
      <c r="AE3" s="5">
        <f t="shared" si="0"/>
        <v>894.00692852433906</v>
      </c>
      <c r="AF3" s="5">
        <f t="shared" si="0"/>
        <v>920.82713638006931</v>
      </c>
      <c r="AG3" s="5">
        <f t="shared" si="0"/>
        <v>930.03540774387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</row>
    <row r="4" spans="2:216" x14ac:dyDescent="0.25">
      <c r="B4" t="s">
        <v>16</v>
      </c>
      <c r="C4" s="5">
        <v>40.799999999999997</v>
      </c>
      <c r="D4" s="5">
        <v>37.616</v>
      </c>
      <c r="E4" s="5">
        <v>48.22</v>
      </c>
      <c r="F4" s="5">
        <v>54.5</v>
      </c>
      <c r="G4" s="5">
        <v>41.26</v>
      </c>
      <c r="H4" s="5">
        <v>49.88</v>
      </c>
      <c r="I4" s="5">
        <v>47.2</v>
      </c>
      <c r="J4" s="5">
        <v>52.43</v>
      </c>
      <c r="K4" s="5">
        <v>47.6</v>
      </c>
      <c r="L4" s="5">
        <v>47.87</v>
      </c>
      <c r="M4" s="5">
        <v>45.18</v>
      </c>
      <c r="N4" s="5"/>
      <c r="Q4" s="1">
        <v>198.5</v>
      </c>
      <c r="R4" s="1">
        <v>208.8</v>
      </c>
      <c r="S4" s="1">
        <v>262.76</v>
      </c>
      <c r="T4" s="1">
        <f t="shared" ref="T4:T13" si="1">SUM(C4:F4)</f>
        <v>181.136</v>
      </c>
      <c r="U4" s="5">
        <f t="shared" ref="U4:U13" si="2">SUM(G4:J4)</f>
        <v>190.77</v>
      </c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</row>
    <row r="5" spans="2:216" s="3" customFormat="1" x14ac:dyDescent="0.25">
      <c r="B5" s="3" t="s">
        <v>17</v>
      </c>
      <c r="C5" s="4">
        <f t="shared" ref="C5" si="3">C3-C4</f>
        <v>50.168999999999997</v>
      </c>
      <c r="D5" s="4">
        <f t="shared" ref="D5:K5" si="4">D3-D4</f>
        <v>55.019999999999996</v>
      </c>
      <c r="E5" s="4">
        <f t="shared" si="4"/>
        <v>69</v>
      </c>
      <c r="F5" s="4">
        <f t="shared" si="4"/>
        <v>71.400000000000006</v>
      </c>
      <c r="G5" s="4">
        <f t="shared" si="4"/>
        <v>87.84</v>
      </c>
      <c r="H5" s="4">
        <f t="shared" si="4"/>
        <v>109.35</v>
      </c>
      <c r="I5" s="4">
        <f t="shared" si="4"/>
        <v>104.52999999999999</v>
      </c>
      <c r="J5" s="4">
        <f t="shared" si="4"/>
        <v>92.72</v>
      </c>
      <c r="K5" s="4">
        <f t="shared" si="4"/>
        <v>109.46899999999999</v>
      </c>
      <c r="L5" s="4">
        <f t="shared" ref="L5:M5" si="5">L3-L4</f>
        <v>112.47</v>
      </c>
      <c r="M5" s="4">
        <f t="shared" si="5"/>
        <v>105.01999999999998</v>
      </c>
      <c r="N5" s="4"/>
      <c r="P5" s="12"/>
      <c r="Q5" s="4">
        <f>Q3-Q4</f>
        <v>499.6</v>
      </c>
      <c r="R5" s="4">
        <f>R3-R4</f>
        <v>497.49999999999994</v>
      </c>
      <c r="S5" s="4">
        <f>S3-S4</f>
        <v>428.53999999999996</v>
      </c>
      <c r="T5" s="4">
        <f t="shared" si="1"/>
        <v>245.589</v>
      </c>
      <c r="U5" s="4">
        <f>SUM(G5:J5)</f>
        <v>394.43999999999994</v>
      </c>
      <c r="V5" s="4">
        <f>V3*V23</f>
        <v>439.79319999999996</v>
      </c>
      <c r="W5" s="4">
        <f>W3*W23</f>
        <v>404.60974399999998</v>
      </c>
      <c r="X5" s="4">
        <f t="shared" ref="X5:AG5" si="6">X3*X23</f>
        <v>445.07071840000003</v>
      </c>
      <c r="Y5" s="4">
        <f t="shared" si="6"/>
        <v>467.32425432000002</v>
      </c>
      <c r="Z5" s="4">
        <f t="shared" si="6"/>
        <v>500.03695212240001</v>
      </c>
      <c r="AA5" s="4">
        <f t="shared" si="6"/>
        <v>535.03953877096808</v>
      </c>
      <c r="AB5" s="4">
        <f t="shared" si="6"/>
        <v>561.79151570951637</v>
      </c>
      <c r="AC5" s="4">
        <f t="shared" si="6"/>
        <v>589.88109149499223</v>
      </c>
      <c r="AD5" s="4">
        <f t="shared" si="6"/>
        <v>607.57752423984209</v>
      </c>
      <c r="AE5" s="4">
        <f t="shared" si="6"/>
        <v>625.80484996703728</v>
      </c>
      <c r="AF5" s="4">
        <f t="shared" si="6"/>
        <v>644.57899546604847</v>
      </c>
      <c r="AG5" s="4">
        <f t="shared" si="6"/>
        <v>651.02478542070901</v>
      </c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</row>
    <row r="6" spans="2:216" x14ac:dyDescent="0.25">
      <c r="B6" t="s">
        <v>18</v>
      </c>
      <c r="C6" s="5">
        <v>87.9</v>
      </c>
      <c r="D6" s="5">
        <v>77.7</v>
      </c>
      <c r="E6" s="5">
        <v>92</v>
      </c>
      <c r="F6" s="5">
        <v>85.6</v>
      </c>
      <c r="G6" s="5">
        <v>79.099999999999994</v>
      </c>
      <c r="H6" s="5">
        <v>85.85</v>
      </c>
      <c r="I6" s="5">
        <v>85.53</v>
      </c>
      <c r="J6" s="5">
        <v>85.2</v>
      </c>
      <c r="K6" s="5">
        <v>85.6</v>
      </c>
      <c r="L6" s="5">
        <v>84.281000000000006</v>
      </c>
      <c r="M6" s="5">
        <v>84.87</v>
      </c>
      <c r="N6" s="5"/>
      <c r="Q6" s="1">
        <v>402</v>
      </c>
      <c r="R6" s="1">
        <v>410</v>
      </c>
      <c r="S6" s="1">
        <v>380</v>
      </c>
      <c r="T6" s="1">
        <f t="shared" si="1"/>
        <v>343.20000000000005</v>
      </c>
      <c r="U6" s="5">
        <f t="shared" si="2"/>
        <v>335.68</v>
      </c>
      <c r="V6" s="5">
        <f>U6*1.05</f>
        <v>352.464</v>
      </c>
      <c r="W6" s="5">
        <f>V6*1.05</f>
        <v>370.0872</v>
      </c>
      <c r="X6" s="5">
        <f t="shared" ref="X6:AG6" si="7">W6*1.05</f>
        <v>388.59156000000002</v>
      </c>
      <c r="Y6" s="5">
        <f t="shared" si="7"/>
        <v>408.02113800000001</v>
      </c>
      <c r="Z6" s="5">
        <f t="shared" si="7"/>
        <v>428.42219490000002</v>
      </c>
      <c r="AA6" s="5">
        <f t="shared" si="7"/>
        <v>449.84330464500005</v>
      </c>
      <c r="AB6" s="5">
        <f t="shared" si="7"/>
        <v>472.33546987725009</v>
      </c>
      <c r="AC6" s="5">
        <f t="shared" si="7"/>
        <v>495.95224337111262</v>
      </c>
      <c r="AD6" s="5">
        <f t="shared" si="7"/>
        <v>520.74985553966826</v>
      </c>
      <c r="AE6" s="5">
        <f t="shared" si="7"/>
        <v>546.78734831665167</v>
      </c>
      <c r="AF6" s="5">
        <f t="shared" si="7"/>
        <v>574.12671573248429</v>
      </c>
      <c r="AG6" s="5">
        <f t="shared" si="7"/>
        <v>602.83305151910849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</row>
    <row r="7" spans="2:216" x14ac:dyDescent="0.25">
      <c r="B7" t="s">
        <v>32</v>
      </c>
      <c r="C7" s="5">
        <f>27.48+17.9+6.62</f>
        <v>51.999999999999993</v>
      </c>
      <c r="D7" s="5">
        <v>-0.89300000000000002</v>
      </c>
      <c r="E7" s="5">
        <v>0.90600000000000003</v>
      </c>
      <c r="F7" s="5">
        <f>6.284+8</f>
        <v>14.283999999999999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1.3</v>
      </c>
      <c r="N7" s="5"/>
      <c r="Q7" s="1"/>
      <c r="R7" s="1"/>
      <c r="S7" s="1"/>
      <c r="T7" s="1">
        <f t="shared" si="1"/>
        <v>66.296999999999997</v>
      </c>
      <c r="U7" s="5">
        <f t="shared" si="2"/>
        <v>0</v>
      </c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2:216" x14ac:dyDescent="0.25">
      <c r="B8" t="s">
        <v>21</v>
      </c>
      <c r="C8" s="5">
        <f t="shared" ref="C8" si="8">+C6+C4+C7</f>
        <v>180.7</v>
      </c>
      <c r="D8" s="5">
        <f t="shared" ref="D8:K8" si="9">+D6+D4+D7</f>
        <v>114.423</v>
      </c>
      <c r="E8" s="5">
        <f t="shared" si="9"/>
        <v>141.126</v>
      </c>
      <c r="F8" s="5">
        <f t="shared" si="9"/>
        <v>154.38399999999999</v>
      </c>
      <c r="G8" s="5">
        <f t="shared" si="9"/>
        <v>120.35999999999999</v>
      </c>
      <c r="H8" s="5">
        <f t="shared" si="9"/>
        <v>135.72999999999999</v>
      </c>
      <c r="I8" s="5">
        <f t="shared" si="9"/>
        <v>132.73000000000002</v>
      </c>
      <c r="J8" s="5">
        <f t="shared" si="9"/>
        <v>137.63</v>
      </c>
      <c r="K8" s="5">
        <f t="shared" si="9"/>
        <v>133.19999999999999</v>
      </c>
      <c r="L8" s="5">
        <f t="shared" ref="L8:M8" si="10">+L6+L4+L7</f>
        <v>132.15100000000001</v>
      </c>
      <c r="M8" s="5">
        <f t="shared" si="10"/>
        <v>131.35000000000002</v>
      </c>
      <c r="N8" s="5"/>
      <c r="Q8" s="1"/>
      <c r="R8" s="1"/>
      <c r="S8" s="1"/>
      <c r="T8" s="1">
        <f t="shared" si="1"/>
        <v>590.63300000000004</v>
      </c>
      <c r="U8" s="5">
        <f t="shared" si="2"/>
        <v>526.45000000000005</v>
      </c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</row>
    <row r="9" spans="2:216" s="3" customFormat="1" x14ac:dyDescent="0.25">
      <c r="B9" s="3" t="s">
        <v>22</v>
      </c>
      <c r="C9" s="4">
        <f t="shared" ref="C9" si="11">+C3-C8</f>
        <v>-89.730999999999995</v>
      </c>
      <c r="D9" s="4">
        <f t="shared" ref="D9:K9" si="12">+D3-D8</f>
        <v>-21.787000000000006</v>
      </c>
      <c r="E9" s="4">
        <f t="shared" si="12"/>
        <v>-23.906000000000006</v>
      </c>
      <c r="F9" s="4">
        <f t="shared" si="12"/>
        <v>-28.48399999999998</v>
      </c>
      <c r="G9" s="4">
        <f t="shared" si="12"/>
        <v>8.7400000000000091</v>
      </c>
      <c r="H9" s="4">
        <f t="shared" si="12"/>
        <v>23.5</v>
      </c>
      <c r="I9" s="4">
        <f t="shared" si="12"/>
        <v>18.999999999999972</v>
      </c>
      <c r="J9" s="4">
        <f t="shared" si="12"/>
        <v>7.5200000000000102</v>
      </c>
      <c r="K9" s="4">
        <f t="shared" si="12"/>
        <v>23.869</v>
      </c>
      <c r="L9" s="4">
        <f t="shared" ref="L9:M9" si="13">+L3-L8</f>
        <v>28.188999999999993</v>
      </c>
      <c r="M9" s="4">
        <f t="shared" si="13"/>
        <v>18.849999999999966</v>
      </c>
      <c r="N9" s="4"/>
      <c r="P9" s="12"/>
      <c r="Q9" s="4">
        <f>Q5-Q6</f>
        <v>97.600000000000023</v>
      </c>
      <c r="R9" s="4">
        <f>R5-R6</f>
        <v>87.499999999999943</v>
      </c>
      <c r="S9" s="4">
        <f>S5-S6</f>
        <v>48.539999999999964</v>
      </c>
      <c r="T9" s="4">
        <f t="shared" si="1"/>
        <v>-163.90799999999999</v>
      </c>
      <c r="U9" s="4">
        <f t="shared" si="2"/>
        <v>58.759999999999991</v>
      </c>
      <c r="V9" s="4">
        <f t="shared" ref="V9:AG9" si="14">V5-V6</f>
        <v>87.329199999999958</v>
      </c>
      <c r="W9" s="4">
        <f t="shared" si="14"/>
        <v>34.522543999999982</v>
      </c>
      <c r="X9" s="4">
        <f t="shared" si="14"/>
        <v>56.479158400000017</v>
      </c>
      <c r="Y9" s="4">
        <f t="shared" si="14"/>
        <v>59.303116320000015</v>
      </c>
      <c r="Z9" s="4">
        <f t="shared" si="14"/>
        <v>71.614757222399987</v>
      </c>
      <c r="AA9" s="4">
        <f t="shared" si="14"/>
        <v>85.196234125968033</v>
      </c>
      <c r="AB9" s="4">
        <f t="shared" si="14"/>
        <v>89.456045832266284</v>
      </c>
      <c r="AC9" s="4">
        <f t="shared" si="14"/>
        <v>93.928848123879618</v>
      </c>
      <c r="AD9" s="4">
        <f t="shared" si="14"/>
        <v>86.827668700173831</v>
      </c>
      <c r="AE9" s="4">
        <f t="shared" si="14"/>
        <v>79.017501650385611</v>
      </c>
      <c r="AF9" s="4">
        <f t="shared" si="14"/>
        <v>70.452279733564183</v>
      </c>
      <c r="AG9" s="4">
        <f t="shared" si="14"/>
        <v>48.191733901600514</v>
      </c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</row>
    <row r="10" spans="2:216" x14ac:dyDescent="0.25">
      <c r="B10" t="s">
        <v>38</v>
      </c>
      <c r="C10" s="5">
        <v>0</v>
      </c>
      <c r="D10" s="5">
        <v>0</v>
      </c>
      <c r="E10" s="5">
        <v>1.6</v>
      </c>
      <c r="F10" s="5">
        <f>0.72+2.87</f>
        <v>3.59</v>
      </c>
      <c r="G10" s="5">
        <f>2.15+18.65</f>
        <v>20.799999999999997</v>
      </c>
      <c r="H10" s="5">
        <f>0.625+38.33</f>
        <v>38.954999999999998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/>
      <c r="Q10" s="1"/>
      <c r="R10" s="1"/>
      <c r="S10" s="1"/>
      <c r="T10" s="1">
        <f t="shared" si="1"/>
        <v>5.1899999999999995</v>
      </c>
      <c r="U10" s="5">
        <f t="shared" si="2"/>
        <v>59.754999999999995</v>
      </c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</row>
    <row r="11" spans="2:216" s="3" customFormat="1" x14ac:dyDescent="0.25">
      <c r="B11" t="s">
        <v>37</v>
      </c>
      <c r="C11" s="5">
        <v>4.6399999999999997</v>
      </c>
      <c r="D11" s="5">
        <v>4.2439999999999998</v>
      </c>
      <c r="E11" s="5">
        <v>4.7530000000000001</v>
      </c>
      <c r="F11" s="5">
        <f>4.188+0.4</f>
        <v>4.5880000000000001</v>
      </c>
      <c r="G11" s="5">
        <f>4.346+0.461</f>
        <v>4.8070000000000004</v>
      </c>
      <c r="H11" s="5">
        <f>4.217+0.529</f>
        <v>4.7459999999999996</v>
      </c>
      <c r="I11" s="5">
        <f>4.567+0.6</f>
        <v>5.1669999999999998</v>
      </c>
      <c r="J11" s="5">
        <f>3.927+0.432</f>
        <v>4.359</v>
      </c>
      <c r="K11" s="5">
        <f>3.65+0.8</f>
        <v>4.45</v>
      </c>
      <c r="L11" s="5">
        <f>3.547+0.929</f>
        <v>4.476</v>
      </c>
      <c r="M11" s="5">
        <f>4.348+1.092</f>
        <v>5.4399999999999995</v>
      </c>
      <c r="N11" s="4"/>
      <c r="P11" s="12"/>
      <c r="Q11" s="5">
        <v>19.399999999999999</v>
      </c>
      <c r="R11" s="5">
        <v>19</v>
      </c>
      <c r="S11" s="5">
        <v>19.600000000000001</v>
      </c>
      <c r="T11" s="1">
        <f t="shared" si="1"/>
        <v>18.225000000000001</v>
      </c>
      <c r="U11" s="5">
        <f t="shared" si="2"/>
        <v>19.079000000000001</v>
      </c>
      <c r="V11" s="5">
        <f>V19*-0.105</f>
        <v>21.198239999999998</v>
      </c>
      <c r="W11" s="5">
        <f>W19*-0.105</f>
        <v>16.431465540000001</v>
      </c>
      <c r="X11" s="5">
        <f>X19*-0.105</f>
        <v>16.595411996100005</v>
      </c>
      <c r="Y11" s="5">
        <f>Y19*-0.105</f>
        <v>14.744239895290505</v>
      </c>
      <c r="Z11" s="5">
        <f>Z19*-0.015</f>
        <v>1.7884300294108582</v>
      </c>
      <c r="AA11" s="5">
        <f>AA19*-0.015</f>
        <v>1.1160628356078215</v>
      </c>
      <c r="AB11" s="5">
        <f>AB19*-0.015</f>
        <v>0.25613992033064442</v>
      </c>
      <c r="AC11" s="5">
        <f>AC19*-0.01</f>
        <v>-0.44034335437750188</v>
      </c>
      <c r="AD11" s="5">
        <f t="shared" ref="AD11:AG11" si="15">AD19*-0.01</f>
        <v>-1.089094723412577</v>
      </c>
      <c r="AE11" s="5">
        <f t="shared" si="15"/>
        <v>-1.6644735955285199</v>
      </c>
      <c r="AF11" s="5">
        <f t="shared" si="15"/>
        <v>-2.1583909230041427</v>
      </c>
      <c r="AG11" s="5">
        <f t="shared" si="15"/>
        <v>-2.5622081318368015</v>
      </c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</row>
    <row r="12" spans="2:216" s="3" customFormat="1" x14ac:dyDescent="0.25">
      <c r="B12" t="s">
        <v>19</v>
      </c>
      <c r="C12" s="5">
        <v>-24.1</v>
      </c>
      <c r="D12" s="5">
        <v>-7</v>
      </c>
      <c r="E12" s="5">
        <v>-7.3129999999999997</v>
      </c>
      <c r="F12" s="5">
        <v>-9.6989999999999998</v>
      </c>
      <c r="G12" s="5">
        <v>1.3919999999999999</v>
      </c>
      <c r="H12" s="5">
        <v>4.444</v>
      </c>
      <c r="I12" s="5">
        <v>2.59</v>
      </c>
      <c r="J12" s="5">
        <v>-0.41199999999999998</v>
      </c>
      <c r="K12" s="5">
        <v>5.01</v>
      </c>
      <c r="L12" s="5">
        <v>5.9119999999999999</v>
      </c>
      <c r="M12" s="5">
        <v>4.49</v>
      </c>
      <c r="N12" s="4"/>
      <c r="P12" s="12"/>
      <c r="Q12" s="5">
        <v>-5.4</v>
      </c>
      <c r="R12" s="5">
        <v>11.6</v>
      </c>
      <c r="S12" s="5">
        <v>-3</v>
      </c>
      <c r="T12" s="1">
        <f t="shared" si="1"/>
        <v>-48.112000000000002</v>
      </c>
      <c r="U12" s="5">
        <f t="shared" si="2"/>
        <v>8.0139999999999993</v>
      </c>
      <c r="V12" s="5">
        <f>V3*V25</f>
        <v>20.733107999999998</v>
      </c>
      <c r="W12" s="5">
        <f t="shared" ref="W12:AG12" si="16">W3*W25</f>
        <v>19.652473280000002</v>
      </c>
      <c r="X12" s="5">
        <f t="shared" si="16"/>
        <v>22.253535920000004</v>
      </c>
      <c r="Y12" s="5">
        <f t="shared" si="16"/>
        <v>23.366212716000003</v>
      </c>
      <c r="Z12" s="5">
        <f t="shared" si="16"/>
        <v>25.001847606120005</v>
      </c>
      <c r="AA12" s="5">
        <f t="shared" si="16"/>
        <v>26.751976938548406</v>
      </c>
      <c r="AB12" s="5">
        <f t="shared" si="16"/>
        <v>28.089575785475827</v>
      </c>
      <c r="AC12" s="5">
        <f t="shared" si="16"/>
        <v>29.494054574749619</v>
      </c>
      <c r="AD12" s="5">
        <f t="shared" si="16"/>
        <v>30.378876211992107</v>
      </c>
      <c r="AE12" s="5">
        <f t="shared" si="16"/>
        <v>31.290242498351869</v>
      </c>
      <c r="AF12" s="5">
        <f t="shared" si="16"/>
        <v>32.228949773302432</v>
      </c>
      <c r="AG12" s="5">
        <f t="shared" si="16"/>
        <v>32.551239271035456</v>
      </c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</row>
    <row r="13" spans="2:216" s="3" customFormat="1" x14ac:dyDescent="0.25">
      <c r="B13" s="3" t="s">
        <v>20</v>
      </c>
      <c r="C13" s="4">
        <f t="shared" ref="C13" si="17">+C9-C12-C11-C10</f>
        <v>-70.271000000000001</v>
      </c>
      <c r="D13" s="4">
        <f t="shared" ref="D13:K13" si="18">+D9-D12-D11-D10</f>
        <v>-19.031000000000006</v>
      </c>
      <c r="E13" s="4">
        <f t="shared" si="18"/>
        <v>-22.946000000000009</v>
      </c>
      <c r="F13" s="4">
        <f t="shared" si="18"/>
        <v>-26.962999999999983</v>
      </c>
      <c r="G13" s="4">
        <f t="shared" si="18"/>
        <v>-18.258999999999986</v>
      </c>
      <c r="H13" s="4">
        <f t="shared" si="18"/>
        <v>-24.644999999999996</v>
      </c>
      <c r="I13" s="4">
        <f t="shared" si="18"/>
        <v>11.242999999999972</v>
      </c>
      <c r="J13" s="4">
        <f t="shared" si="18"/>
        <v>3.5730000000000102</v>
      </c>
      <c r="K13" s="4">
        <f t="shared" si="18"/>
        <v>14.409000000000002</v>
      </c>
      <c r="L13" s="4">
        <f t="shared" ref="L13:M13" si="19">+L9-L12-L11-L10</f>
        <v>17.800999999999995</v>
      </c>
      <c r="M13" s="4">
        <f t="shared" si="19"/>
        <v>8.9199999999999662</v>
      </c>
      <c r="N13" s="4"/>
      <c r="P13" s="12"/>
      <c r="Q13" s="4">
        <v>55.4</v>
      </c>
      <c r="R13" s="4">
        <v>30.5</v>
      </c>
      <c r="S13" s="4">
        <v>-128.6</v>
      </c>
      <c r="T13" s="4">
        <f t="shared" si="1"/>
        <v>-139.21100000000001</v>
      </c>
      <c r="U13" s="4">
        <f t="shared" si="2"/>
        <v>-28.087999999999997</v>
      </c>
      <c r="V13" s="4">
        <f t="shared" ref="V13:AG13" si="20">V9-V11-V12</f>
        <v>45.397851999999958</v>
      </c>
      <c r="W13" s="4">
        <f t="shared" si="20"/>
        <v>-1.5613948200000216</v>
      </c>
      <c r="X13" s="4">
        <f t="shared" si="20"/>
        <v>17.630210483900008</v>
      </c>
      <c r="Y13" s="4">
        <f t="shared" si="20"/>
        <v>21.192663708709507</v>
      </c>
      <c r="Z13" s="4">
        <f t="shared" si="20"/>
        <v>44.824479586869117</v>
      </c>
      <c r="AA13" s="4">
        <f t="shared" si="20"/>
        <v>57.328194351811803</v>
      </c>
      <c r="AB13" s="4">
        <f t="shared" si="20"/>
        <v>61.110330126459814</v>
      </c>
      <c r="AC13" s="4">
        <f t="shared" si="20"/>
        <v>64.875136903507496</v>
      </c>
      <c r="AD13" s="4">
        <f t="shared" si="20"/>
        <v>57.537887211594295</v>
      </c>
      <c r="AE13" s="4">
        <f t="shared" si="20"/>
        <v>49.391732747562259</v>
      </c>
      <c r="AF13" s="4">
        <f t="shared" si="20"/>
        <v>40.381720883265899</v>
      </c>
      <c r="AG13" s="4">
        <f t="shared" si="20"/>
        <v>18.202702762401863</v>
      </c>
      <c r="AH13" s="4">
        <f t="shared" ref="AH13:BM13" si="21">AG13*(1+$AK21)</f>
        <v>18.020675734777843</v>
      </c>
      <c r="AI13" s="4">
        <f t="shared" si="21"/>
        <v>17.840468977430064</v>
      </c>
      <c r="AJ13" s="4">
        <f t="shared" si="21"/>
        <v>17.662064287655763</v>
      </c>
      <c r="AK13" s="4">
        <f t="shared" si="21"/>
        <v>17.485443644779206</v>
      </c>
      <c r="AL13" s="4">
        <f t="shared" si="21"/>
        <v>17.310589208331415</v>
      </c>
      <c r="AM13" s="4">
        <f t="shared" si="21"/>
        <v>17.137483316248101</v>
      </c>
      <c r="AN13" s="4">
        <f t="shared" si="21"/>
        <v>16.96610848308562</v>
      </c>
      <c r="AO13" s="4">
        <f t="shared" si="21"/>
        <v>16.796447398254763</v>
      </c>
      <c r="AP13" s="4">
        <f t="shared" si="21"/>
        <v>16.628482924272216</v>
      </c>
      <c r="AQ13" s="4">
        <f t="shared" si="21"/>
        <v>16.462198095029493</v>
      </c>
      <c r="AR13" s="4">
        <f t="shared" si="21"/>
        <v>16.297576114079199</v>
      </c>
      <c r="AS13" s="4">
        <f t="shared" si="21"/>
        <v>16.134600352938406</v>
      </c>
      <c r="AT13" s="4">
        <f t="shared" si="21"/>
        <v>15.973254349409022</v>
      </c>
      <c r="AU13" s="4">
        <f t="shared" si="21"/>
        <v>15.813521805914931</v>
      </c>
      <c r="AV13" s="4">
        <f t="shared" si="21"/>
        <v>15.655386587855782</v>
      </c>
      <c r="AW13" s="4">
        <f t="shared" si="21"/>
        <v>15.498832721977223</v>
      </c>
      <c r="AX13" s="4">
        <f t="shared" si="21"/>
        <v>15.343844394757451</v>
      </c>
      <c r="AY13" s="4">
        <f t="shared" si="21"/>
        <v>15.190405950809875</v>
      </c>
      <c r="AZ13" s="4">
        <f t="shared" si="21"/>
        <v>15.038501891301777</v>
      </c>
      <c r="BA13" s="4">
        <f t="shared" si="21"/>
        <v>14.888116872388759</v>
      </c>
      <c r="BB13" s="4">
        <f t="shared" si="21"/>
        <v>14.739235703664871</v>
      </c>
      <c r="BC13" s="4">
        <f t="shared" si="21"/>
        <v>14.591843346628222</v>
      </c>
      <c r="BD13" s="4">
        <f t="shared" si="21"/>
        <v>14.44592491316194</v>
      </c>
      <c r="BE13" s="4">
        <f t="shared" si="21"/>
        <v>14.301465664030321</v>
      </c>
      <c r="BF13" s="4">
        <f t="shared" si="21"/>
        <v>14.158451007390017</v>
      </c>
      <c r="BG13" s="4">
        <f t="shared" si="21"/>
        <v>14.016866497316117</v>
      </c>
      <c r="BH13" s="4">
        <f t="shared" si="21"/>
        <v>13.876697832342956</v>
      </c>
      <c r="BI13" s="4">
        <f t="shared" si="21"/>
        <v>13.737930854019526</v>
      </c>
      <c r="BJ13" s="4">
        <f t="shared" si="21"/>
        <v>13.60055154547933</v>
      </c>
      <c r="BK13" s="4">
        <f t="shared" si="21"/>
        <v>13.464546030024538</v>
      </c>
      <c r="BL13" s="4">
        <f t="shared" si="21"/>
        <v>13.329900569724293</v>
      </c>
      <c r="BM13" s="4">
        <f t="shared" si="21"/>
        <v>13.19660156402705</v>
      </c>
      <c r="BN13" s="4">
        <f t="shared" ref="BN13:CS13" si="22">BM13*(1+$AK21)</f>
        <v>13.06463554838678</v>
      </c>
      <c r="BO13" s="4">
        <f t="shared" si="22"/>
        <v>12.933989192902912</v>
      </c>
      <c r="BP13" s="4">
        <f t="shared" si="22"/>
        <v>12.804649300973882</v>
      </c>
      <c r="BQ13" s="4">
        <f t="shared" si="22"/>
        <v>12.676602807964143</v>
      </c>
      <c r="BR13" s="4">
        <f t="shared" si="22"/>
        <v>12.549836779884501</v>
      </c>
      <c r="BS13" s="4">
        <f t="shared" si="22"/>
        <v>12.424338412085655</v>
      </c>
      <c r="BT13" s="4">
        <f t="shared" si="22"/>
        <v>12.300095027964799</v>
      </c>
      <c r="BU13" s="4">
        <f t="shared" si="22"/>
        <v>12.177094077685151</v>
      </c>
      <c r="BV13" s="4">
        <f t="shared" si="22"/>
        <v>12.055323136908299</v>
      </c>
      <c r="BW13" s="4">
        <f t="shared" si="22"/>
        <v>11.934769905539216</v>
      </c>
      <c r="BX13" s="4">
        <f t="shared" si="22"/>
        <v>11.815422206483824</v>
      </c>
      <c r="BY13" s="4">
        <f t="shared" si="22"/>
        <v>11.697267984418986</v>
      </c>
      <c r="BZ13" s="4">
        <f t="shared" si="22"/>
        <v>11.580295304574795</v>
      </c>
      <c r="CA13" s="4">
        <f t="shared" si="22"/>
        <v>11.464492351529048</v>
      </c>
      <c r="CB13" s="4">
        <f t="shared" si="22"/>
        <v>11.349847428013756</v>
      </c>
      <c r="CC13" s="4">
        <f t="shared" si="22"/>
        <v>11.23634895373362</v>
      </c>
      <c r="CD13" s="4">
        <f t="shared" si="22"/>
        <v>11.123985464196283</v>
      </c>
      <c r="CE13" s="4">
        <f t="shared" si="22"/>
        <v>11.012745609554319</v>
      </c>
      <c r="CF13" s="4">
        <f t="shared" si="22"/>
        <v>10.902618153458775</v>
      </c>
      <c r="CG13" s="4">
        <f t="shared" si="22"/>
        <v>10.793591971924187</v>
      </c>
      <c r="CH13" s="4">
        <f t="shared" si="22"/>
        <v>10.685656052204944</v>
      </c>
      <c r="CI13" s="4">
        <f t="shared" si="22"/>
        <v>10.578799491682895</v>
      </c>
      <c r="CJ13" s="4">
        <f t="shared" si="22"/>
        <v>10.473011496766066</v>
      </c>
      <c r="CK13" s="4">
        <f t="shared" si="22"/>
        <v>10.368281381798406</v>
      </c>
      <c r="CL13" s="4">
        <f t="shared" si="22"/>
        <v>10.264598567980421</v>
      </c>
      <c r="CM13" s="4">
        <f t="shared" si="22"/>
        <v>10.161952582300618</v>
      </c>
      <c r="CN13" s="4">
        <f t="shared" si="22"/>
        <v>10.060333056477612</v>
      </c>
      <c r="CO13" s="4">
        <f t="shared" si="22"/>
        <v>9.959729725912835</v>
      </c>
      <c r="CP13" s="4">
        <f t="shared" si="22"/>
        <v>9.8601324286537064</v>
      </c>
      <c r="CQ13" s="4">
        <f t="shared" si="22"/>
        <v>9.7615311043671689</v>
      </c>
      <c r="CR13" s="4">
        <f t="shared" si="22"/>
        <v>9.6639157933234969</v>
      </c>
      <c r="CS13" s="4">
        <f t="shared" si="22"/>
        <v>9.5672766353902627</v>
      </c>
      <c r="CT13" s="4">
        <f t="shared" ref="CT13:DY13" si="23">CS13*(1+$AK21)</f>
        <v>9.4716038690363593</v>
      </c>
      <c r="CU13" s="4">
        <f t="shared" si="23"/>
        <v>9.3768878303459964</v>
      </c>
      <c r="CV13" s="4">
        <f t="shared" si="23"/>
        <v>9.2831189520425355</v>
      </c>
      <c r="CW13" s="4">
        <f t="shared" si="23"/>
        <v>9.1902877625221109</v>
      </c>
      <c r="CX13" s="4">
        <f t="shared" si="23"/>
        <v>9.0983848848968893</v>
      </c>
      <c r="CY13" s="4">
        <f t="shared" si="23"/>
        <v>9.00740103604792</v>
      </c>
      <c r="CZ13" s="4">
        <f t="shared" si="23"/>
        <v>8.91732702568744</v>
      </c>
      <c r="DA13" s="4">
        <f t="shared" si="23"/>
        <v>8.8281537554305647</v>
      </c>
      <c r="DB13" s="4">
        <f t="shared" si="23"/>
        <v>8.7398722178762593</v>
      </c>
      <c r="DC13" s="4">
        <f t="shared" si="23"/>
        <v>8.652473495697496</v>
      </c>
      <c r="DD13" s="4">
        <f t="shared" si="23"/>
        <v>8.5659487607405218</v>
      </c>
      <c r="DE13" s="4">
        <f t="shared" si="23"/>
        <v>8.480289273133117</v>
      </c>
      <c r="DF13" s="4">
        <f t="shared" si="23"/>
        <v>8.3954863804017865</v>
      </c>
      <c r="DG13" s="4">
        <f t="shared" si="23"/>
        <v>8.3115315165977695</v>
      </c>
      <c r="DH13" s="4">
        <f t="shared" si="23"/>
        <v>8.2284162014317914</v>
      </c>
      <c r="DI13" s="4">
        <f t="shared" si="23"/>
        <v>8.1461320394174734</v>
      </c>
      <c r="DJ13" s="4">
        <f t="shared" si="23"/>
        <v>8.0646707190232991</v>
      </c>
      <c r="DK13" s="4">
        <f t="shared" si="23"/>
        <v>7.9840240118330659</v>
      </c>
      <c r="DL13" s="4">
        <f t="shared" si="23"/>
        <v>7.9041837717147354</v>
      </c>
      <c r="DM13" s="4">
        <f t="shared" si="23"/>
        <v>7.8251419339975881</v>
      </c>
      <c r="DN13" s="4">
        <f t="shared" si="23"/>
        <v>7.7468905146576121</v>
      </c>
      <c r="DO13" s="4">
        <f t="shared" si="23"/>
        <v>7.6694216095110361</v>
      </c>
      <c r="DP13" s="4">
        <f t="shared" si="23"/>
        <v>7.5927273934159256</v>
      </c>
      <c r="DQ13" s="4">
        <f t="shared" si="23"/>
        <v>7.5168001194817666</v>
      </c>
      <c r="DR13" s="4">
        <f t="shared" si="23"/>
        <v>7.4416321182869485</v>
      </c>
      <c r="DS13" s="4">
        <f t="shared" si="23"/>
        <v>7.3672157971040786</v>
      </c>
      <c r="DT13" s="4">
        <f t="shared" si="23"/>
        <v>7.2935436391330377</v>
      </c>
      <c r="DU13" s="4">
        <f t="shared" si="23"/>
        <v>7.2206082027417073</v>
      </c>
      <c r="DV13" s="4">
        <f t="shared" si="23"/>
        <v>7.14840212071429</v>
      </c>
      <c r="DW13" s="4">
        <f t="shared" si="23"/>
        <v>7.0769180995071475</v>
      </c>
      <c r="DX13" s="4">
        <f t="shared" si="23"/>
        <v>7.0061489185120758</v>
      </c>
      <c r="DY13" s="4">
        <f t="shared" si="23"/>
        <v>6.936087429326955</v>
      </c>
      <c r="DZ13" s="4">
        <f t="shared" ref="DZ13:FE13" si="24">DY13*(1+$AK21)</f>
        <v>6.8667265550336856</v>
      </c>
      <c r="EA13" s="4">
        <f t="shared" si="24"/>
        <v>6.7980592894833487</v>
      </c>
      <c r="EB13" s="4">
        <f t="shared" si="24"/>
        <v>6.7300786965885155</v>
      </c>
      <c r="EC13" s="4">
        <f t="shared" si="24"/>
        <v>6.6627779096226307</v>
      </c>
      <c r="ED13" s="4">
        <f t="shared" si="24"/>
        <v>6.5961501305264045</v>
      </c>
      <c r="EE13" s="4">
        <f t="shared" si="24"/>
        <v>6.5301886292211409</v>
      </c>
      <c r="EF13" s="4">
        <f t="shared" si="24"/>
        <v>6.464886742928929</v>
      </c>
      <c r="EG13" s="4">
        <f t="shared" si="24"/>
        <v>6.4002378754996396</v>
      </c>
      <c r="EH13" s="4">
        <f t="shared" si="24"/>
        <v>6.336235496744643</v>
      </c>
      <c r="EI13" s="4">
        <f t="shared" si="24"/>
        <v>6.2728731417771968</v>
      </c>
      <c r="EJ13" s="4">
        <f t="shared" si="24"/>
        <v>6.2101444103594243</v>
      </c>
      <c r="EK13" s="4">
        <f t="shared" si="24"/>
        <v>6.1480429662558302</v>
      </c>
      <c r="EL13" s="4">
        <f t="shared" si="24"/>
        <v>6.0865625365932718</v>
      </c>
      <c r="EM13" s="4">
        <f t="shared" si="24"/>
        <v>6.0256969112273389</v>
      </c>
      <c r="EN13" s="4">
        <f t="shared" si="24"/>
        <v>5.965439942115065</v>
      </c>
      <c r="EO13" s="4">
        <f t="shared" si="24"/>
        <v>5.9057855426939145</v>
      </c>
      <c r="EP13" s="4">
        <f t="shared" si="24"/>
        <v>5.8467276872669753</v>
      </c>
      <c r="EQ13" s="4">
        <f t="shared" si="24"/>
        <v>5.7882604103943054</v>
      </c>
      <c r="ER13" s="4">
        <f t="shared" si="24"/>
        <v>5.7303778062903623</v>
      </c>
      <c r="ES13" s="4">
        <f t="shared" si="24"/>
        <v>5.6730740282274583</v>
      </c>
      <c r="ET13" s="4">
        <f t="shared" si="24"/>
        <v>5.6163432879451838</v>
      </c>
      <c r="EU13" s="4">
        <f t="shared" si="24"/>
        <v>5.5601798550657318</v>
      </c>
      <c r="EV13" s="4">
        <f t="shared" si="24"/>
        <v>5.5045780565150748</v>
      </c>
      <c r="EW13" s="4">
        <f t="shared" si="24"/>
        <v>5.4495322759499238</v>
      </c>
      <c r="EX13" s="4">
        <f t="shared" si="24"/>
        <v>5.3950369531904245</v>
      </c>
      <c r="EY13" s="4">
        <f t="shared" si="24"/>
        <v>5.3410865836585204</v>
      </c>
      <c r="EZ13" s="4">
        <f t="shared" si="24"/>
        <v>5.2876757178219354</v>
      </c>
      <c r="FA13" s="4">
        <f t="shared" si="24"/>
        <v>5.2347989606437162</v>
      </c>
      <c r="FB13" s="4">
        <f t="shared" si="24"/>
        <v>5.1824509710372793</v>
      </c>
      <c r="FC13" s="4">
        <f t="shared" si="24"/>
        <v>5.1306264613269068</v>
      </c>
      <c r="FD13" s="4">
        <f t="shared" si="24"/>
        <v>5.0793201967136374</v>
      </c>
      <c r="FE13" s="4">
        <f t="shared" si="24"/>
        <v>5.0285269947465014</v>
      </c>
      <c r="FF13" s="4">
        <f t="shared" ref="FF13:GK13" si="25">FE13*(1+$AK21)</f>
        <v>4.9782417247990365</v>
      </c>
      <c r="FG13" s="4">
        <f t="shared" si="25"/>
        <v>4.9284593075510461</v>
      </c>
      <c r="FH13" s="4">
        <f t="shared" si="25"/>
        <v>4.8791747144755355</v>
      </c>
      <c r="FI13" s="4">
        <f t="shared" si="25"/>
        <v>4.8303829673307801</v>
      </c>
      <c r="FJ13" s="4">
        <f t="shared" si="25"/>
        <v>4.7820791376574725</v>
      </c>
      <c r="FK13" s="4">
        <f t="shared" si="25"/>
        <v>4.7342583462808978</v>
      </c>
      <c r="FL13" s="4">
        <f t="shared" si="25"/>
        <v>4.6869157628180886</v>
      </c>
      <c r="FM13" s="4">
        <f t="shared" si="25"/>
        <v>4.6400466051899079</v>
      </c>
      <c r="FN13" s="4">
        <f t="shared" si="25"/>
        <v>4.5936461391380083</v>
      </c>
      <c r="FO13" s="4">
        <f t="shared" si="25"/>
        <v>4.5477096777466279</v>
      </c>
      <c r="FP13" s="4">
        <f t="shared" si="25"/>
        <v>4.5022325809691619</v>
      </c>
      <c r="FQ13" s="4">
        <f t="shared" si="25"/>
        <v>4.4572102551594703</v>
      </c>
      <c r="FR13" s="4">
        <f t="shared" si="25"/>
        <v>4.412638152607876</v>
      </c>
      <c r="FS13" s="4">
        <f t="shared" si="25"/>
        <v>4.3685117710817973</v>
      </c>
      <c r="FT13" s="4">
        <f t="shared" si="25"/>
        <v>4.3248266533709794</v>
      </c>
      <c r="FU13" s="4">
        <f t="shared" si="25"/>
        <v>4.2815783868372694</v>
      </c>
      <c r="FV13" s="4">
        <f t="shared" si="25"/>
        <v>4.2387626029688965</v>
      </c>
      <c r="FW13" s="4">
        <f t="shared" si="25"/>
        <v>4.1963749769392074</v>
      </c>
      <c r="FX13" s="4">
        <f t="shared" si="25"/>
        <v>4.154411227169815</v>
      </c>
      <c r="FY13" s="4">
        <f t="shared" si="25"/>
        <v>4.1128671148981164</v>
      </c>
      <c r="FZ13" s="4">
        <f t="shared" si="25"/>
        <v>4.0717384437491351</v>
      </c>
      <c r="GA13" s="4">
        <f t="shared" si="25"/>
        <v>4.0310210593116436</v>
      </c>
      <c r="GB13" s="4">
        <f t="shared" si="25"/>
        <v>3.990710848718527</v>
      </c>
      <c r="GC13" s="4">
        <f t="shared" si="25"/>
        <v>3.9508037402313416</v>
      </c>
      <c r="GD13" s="4">
        <f t="shared" si="25"/>
        <v>3.9112957028290283</v>
      </c>
      <c r="GE13" s="4">
        <f t="shared" si="25"/>
        <v>3.8721827458007381</v>
      </c>
      <c r="GF13" s="4">
        <f t="shared" si="25"/>
        <v>3.8334609183427308</v>
      </c>
      <c r="GG13" s="4">
        <f t="shared" si="25"/>
        <v>3.7951263091593037</v>
      </c>
      <c r="GH13" s="4">
        <f t="shared" si="25"/>
        <v>3.7571750460677107</v>
      </c>
      <c r="GI13" s="4">
        <f t="shared" si="25"/>
        <v>3.7196032956070337</v>
      </c>
      <c r="GJ13" s="4">
        <f t="shared" si="25"/>
        <v>3.6824072626509632</v>
      </c>
      <c r="GK13" s="4">
        <f t="shared" si="25"/>
        <v>3.6455831900244533</v>
      </c>
      <c r="GL13" s="4">
        <f t="shared" ref="GL13:HH13" si="26">GK13*(1+$AK21)</f>
        <v>3.6091273581242089</v>
      </c>
      <c r="GM13" s="4">
        <f t="shared" si="26"/>
        <v>3.573036084542967</v>
      </c>
      <c r="GN13" s="4">
        <f t="shared" si="26"/>
        <v>3.5373057236975374</v>
      </c>
      <c r="GO13" s="4">
        <f t="shared" si="26"/>
        <v>3.5019326664605619</v>
      </c>
      <c r="GP13" s="4">
        <f t="shared" si="26"/>
        <v>3.4669133397959562</v>
      </c>
      <c r="GQ13" s="4">
        <f t="shared" si="26"/>
        <v>3.4322442063979968</v>
      </c>
      <c r="GR13" s="4">
        <f t="shared" si="26"/>
        <v>3.3979217643340167</v>
      </c>
      <c r="GS13" s="4">
        <f t="shared" si="26"/>
        <v>3.3639425466906765</v>
      </c>
      <c r="GT13" s="4">
        <f t="shared" si="26"/>
        <v>3.3303031212237695</v>
      </c>
      <c r="GU13" s="4">
        <f t="shared" si="26"/>
        <v>3.2970000900115317</v>
      </c>
      <c r="GV13" s="4">
        <f t="shared" si="26"/>
        <v>3.2640300891114165</v>
      </c>
      <c r="GW13" s="4">
        <f t="shared" si="26"/>
        <v>3.2313897882203024</v>
      </c>
      <c r="GX13" s="4">
        <f t="shared" si="26"/>
        <v>3.1990758903380994</v>
      </c>
      <c r="GY13" s="4">
        <f t="shared" si="26"/>
        <v>3.1670851314347184</v>
      </c>
      <c r="GZ13" s="4">
        <f t="shared" si="26"/>
        <v>3.1354142801203713</v>
      </c>
      <c r="HA13" s="4">
        <f t="shared" si="26"/>
        <v>3.1040601373191676</v>
      </c>
      <c r="HB13" s="4">
        <f t="shared" si="26"/>
        <v>3.073019535945976</v>
      </c>
      <c r="HC13" s="4">
        <f t="shared" si="26"/>
        <v>3.0422893405865161</v>
      </c>
      <c r="HD13" s="4">
        <f t="shared" si="26"/>
        <v>3.0118664471806511</v>
      </c>
      <c r="HE13" s="4">
        <f t="shared" si="26"/>
        <v>2.9817477827088448</v>
      </c>
      <c r="HF13" s="4">
        <f t="shared" si="26"/>
        <v>2.9519303048817562</v>
      </c>
      <c r="HG13" s="4">
        <f t="shared" si="26"/>
        <v>2.9224110018329386</v>
      </c>
      <c r="HH13" s="4">
        <f t="shared" si="26"/>
        <v>2.8931868918146093</v>
      </c>
    </row>
    <row r="14" spans="2:216" s="3" customFormat="1" x14ac:dyDescent="0.25">
      <c r="B14" t="s">
        <v>1</v>
      </c>
      <c r="C14" s="5">
        <v>44.4</v>
      </c>
      <c r="D14" s="5">
        <v>8.9529999999999994</v>
      </c>
      <c r="E14" s="5">
        <v>9.1773500000000006</v>
      </c>
      <c r="F14" s="5">
        <v>9.6257800000000007</v>
      </c>
      <c r="G14" s="5">
        <v>9.66</v>
      </c>
      <c r="H14" s="5">
        <v>12.45</v>
      </c>
      <c r="I14" s="5">
        <v>13.805999999999999</v>
      </c>
      <c r="J14" s="5">
        <v>13.805999999999999</v>
      </c>
      <c r="K14" s="5">
        <v>13.874000000000001</v>
      </c>
      <c r="L14" s="5">
        <v>13.93</v>
      </c>
      <c r="M14" s="5">
        <v>13.962</v>
      </c>
      <c r="N14" s="4"/>
      <c r="P14" s="12"/>
      <c r="Q14" s="4"/>
      <c r="R14" s="4"/>
      <c r="S14" s="4"/>
      <c r="T14" s="5">
        <v>9.6257800000000007</v>
      </c>
      <c r="U14" s="5">
        <v>13.805999999999999</v>
      </c>
      <c r="V14" s="5">
        <v>13.805999999999999</v>
      </c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</row>
    <row r="15" spans="2:216" s="17" customFormat="1" x14ac:dyDescent="0.25">
      <c r="B15" s="15" t="s">
        <v>23</v>
      </c>
      <c r="C15" s="16">
        <f t="shared" ref="C15" si="27">C13/C14</f>
        <v>-1.5826801801801802</v>
      </c>
      <c r="D15" s="16">
        <f t="shared" ref="D15:K15" si="28">D13/D14</f>
        <v>-2.1256562046241489</v>
      </c>
      <c r="E15" s="16">
        <f t="shared" si="28"/>
        <v>-2.5002860302810732</v>
      </c>
      <c r="F15" s="16">
        <f t="shared" si="28"/>
        <v>-2.8011236492003744</v>
      </c>
      <c r="G15" s="16">
        <f t="shared" si="28"/>
        <v>-1.8901656314699777</v>
      </c>
      <c r="H15" s="16">
        <f t="shared" si="28"/>
        <v>-1.9795180722891563</v>
      </c>
      <c r="I15" s="16">
        <f t="shared" si="28"/>
        <v>0.81435607706793944</v>
      </c>
      <c r="J15" s="16">
        <f t="shared" si="28"/>
        <v>0.25880052151238669</v>
      </c>
      <c r="K15" s="16">
        <f t="shared" si="28"/>
        <v>1.0385613377540726</v>
      </c>
      <c r="L15" s="16">
        <f t="shared" ref="L15:M15" si="29">L13/L14</f>
        <v>1.2778894472361806</v>
      </c>
      <c r="M15" s="16">
        <f t="shared" si="29"/>
        <v>0.63887695172611136</v>
      </c>
      <c r="N15" s="16"/>
      <c r="P15" s="18"/>
      <c r="Q15" s="16"/>
      <c r="T15" s="16">
        <f t="shared" ref="T15:V15" si="30">T13/T14</f>
        <v>-14.462308509024723</v>
      </c>
      <c r="U15" s="16">
        <f t="shared" si="30"/>
        <v>-2.0344777632913225</v>
      </c>
      <c r="V15" s="16">
        <f t="shared" si="30"/>
        <v>3.2882697377951589</v>
      </c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</row>
    <row r="16" spans="2:216" s="7" customFormat="1" x14ac:dyDescent="0.25">
      <c r="B1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P16" s="13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</row>
    <row r="17" spans="2:79" s="5" customFormat="1" x14ac:dyDescent="0.25">
      <c r="B17" s="5" t="s">
        <v>3</v>
      </c>
      <c r="K17" s="5">
        <v>41</v>
      </c>
      <c r="P17" s="22"/>
      <c r="Q17" s="5">
        <v>25.99</v>
      </c>
      <c r="R17" s="5">
        <v>66.2</v>
      </c>
      <c r="S17" s="5">
        <v>21.5</v>
      </c>
      <c r="T17" s="5">
        <v>4.4000000000000004</v>
      </c>
      <c r="U17" s="5">
        <v>36</v>
      </c>
    </row>
    <row r="18" spans="2:79" s="5" customFormat="1" x14ac:dyDescent="0.25">
      <c r="B18" s="5" t="s">
        <v>4</v>
      </c>
      <c r="K18" s="5">
        <v>210</v>
      </c>
      <c r="P18" s="22"/>
      <c r="Q18" s="5">
        <f>2.8+238.9</f>
        <v>241.70000000000002</v>
      </c>
      <c r="R18" s="5">
        <f>2.8+237.46</f>
        <v>240.26000000000002</v>
      </c>
      <c r="S18" s="5">
        <f>2.8+231.2</f>
        <v>234</v>
      </c>
      <c r="T18" s="5">
        <f>2.799+225.4+3.311</f>
        <v>231.51000000000002</v>
      </c>
      <c r="U18" s="5">
        <f>7.7+196.5+5.6</f>
        <v>209.79999999999998</v>
      </c>
    </row>
    <row r="19" spans="2:79" s="5" customFormat="1" x14ac:dyDescent="0.25">
      <c r="B19" s="5" t="s">
        <v>39</v>
      </c>
      <c r="K19" s="5">
        <f>K17-K18</f>
        <v>-169</v>
      </c>
      <c r="P19" s="22"/>
      <c r="Q19" s="5">
        <f>Q17-Q18</f>
        <v>-215.71</v>
      </c>
      <c r="R19" s="5">
        <f>R17-R18</f>
        <v>-174.06</v>
      </c>
      <c r="S19" s="5">
        <f>S17-S18</f>
        <v>-212.5</v>
      </c>
      <c r="T19" s="5">
        <f>T17-T18</f>
        <v>-227.11</v>
      </c>
      <c r="U19" s="5">
        <f>U17-U18</f>
        <v>-173.79999999999998</v>
      </c>
      <c r="V19" s="5">
        <f t="shared" ref="V19:AG19" si="31">U19+U13</f>
        <v>-201.88799999999998</v>
      </c>
      <c r="W19" s="5">
        <f t="shared" si="31"/>
        <v>-156.49014800000003</v>
      </c>
      <c r="X19" s="5">
        <f t="shared" si="31"/>
        <v>-158.05154282000007</v>
      </c>
      <c r="Y19" s="5">
        <f t="shared" si="31"/>
        <v>-140.42133233610005</v>
      </c>
      <c r="Z19" s="5">
        <f t="shared" si="31"/>
        <v>-119.22866862739055</v>
      </c>
      <c r="AA19" s="5">
        <f t="shared" si="31"/>
        <v>-74.40418904052143</v>
      </c>
      <c r="AB19" s="5">
        <f t="shared" si="31"/>
        <v>-17.075994688709628</v>
      </c>
      <c r="AC19" s="5">
        <f t="shared" si="31"/>
        <v>44.034335437750187</v>
      </c>
      <c r="AD19" s="5">
        <f t="shared" si="31"/>
        <v>108.90947234125768</v>
      </c>
      <c r="AE19" s="5">
        <f t="shared" si="31"/>
        <v>166.44735955285199</v>
      </c>
      <c r="AF19" s="5">
        <f t="shared" si="31"/>
        <v>215.83909230041425</v>
      </c>
      <c r="AG19" s="5">
        <f t="shared" si="31"/>
        <v>256.22081318368015</v>
      </c>
    </row>
    <row r="20" spans="2:79" s="7" customFormat="1" x14ac:dyDescent="0.25">
      <c r="B20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P20" s="13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1"/>
      <c r="AI20" s="1"/>
      <c r="AJ20" s="1" t="s">
        <v>44</v>
      </c>
      <c r="AK20" s="9">
        <v>7.0000000000000007E-2</v>
      </c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</row>
    <row r="21" spans="2:79" s="7" customFormat="1" x14ac:dyDescent="0.25">
      <c r="B21" s="5" t="s">
        <v>40</v>
      </c>
      <c r="C21" s="6"/>
      <c r="D21" s="6"/>
      <c r="E21" s="6"/>
      <c r="F21" s="6"/>
      <c r="G21" s="6"/>
      <c r="H21" s="6"/>
      <c r="I21" s="6"/>
      <c r="J21" s="6"/>
      <c r="K21" s="21">
        <f>K11/K19</f>
        <v>-2.6331360946745562E-2</v>
      </c>
      <c r="L21" s="6"/>
      <c r="M21" s="6"/>
      <c r="N21" s="6"/>
      <c r="P21" s="13"/>
      <c r="Q21" s="21">
        <f t="shared" ref="Q21:U21" si="32">Q11/Q19</f>
        <v>-8.9935561633674832E-2</v>
      </c>
      <c r="R21" s="21">
        <f t="shared" si="32"/>
        <v>-0.10915776169137079</v>
      </c>
      <c r="S21" s="21">
        <f t="shared" si="32"/>
        <v>-9.2235294117647068E-2</v>
      </c>
      <c r="T21" s="21">
        <f t="shared" si="32"/>
        <v>-8.0247457179340412E-2</v>
      </c>
      <c r="U21" s="21">
        <f t="shared" si="32"/>
        <v>-0.10977560414269276</v>
      </c>
      <c r="V21" s="21">
        <v>-0.10500000000000001</v>
      </c>
      <c r="W21" s="21">
        <v>-0.10500000000000001</v>
      </c>
      <c r="X21" s="21">
        <v>-0.105</v>
      </c>
      <c r="Y21" s="21">
        <v>-0.105</v>
      </c>
      <c r="Z21" s="21">
        <v>-1.5000000000000001E-2</v>
      </c>
      <c r="AA21" s="21">
        <v>-1.5000000000000001E-2</v>
      </c>
      <c r="AB21" s="21">
        <v>-1.4999999999999999E-2</v>
      </c>
      <c r="AC21" s="21">
        <v>-0.01</v>
      </c>
      <c r="AD21" s="21">
        <v>-0.01</v>
      </c>
      <c r="AE21" s="21">
        <v>-0.01</v>
      </c>
      <c r="AF21" s="21">
        <v>-0.01</v>
      </c>
      <c r="AG21" s="21">
        <v>-0.01</v>
      </c>
      <c r="AH21" s="1"/>
      <c r="AI21" s="1"/>
      <c r="AJ21" s="9" t="s">
        <v>43</v>
      </c>
      <c r="AK21" s="9">
        <v>-0.01</v>
      </c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</row>
    <row r="22" spans="2:79" s="7" customFormat="1" x14ac:dyDescent="0.25">
      <c r="B2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P22" s="13"/>
      <c r="Q22" s="6"/>
      <c r="R22" s="6"/>
      <c r="S22" s="6"/>
      <c r="T22" s="6"/>
      <c r="U22" s="6"/>
      <c r="V22" s="6"/>
      <c r="W22" s="6"/>
      <c r="X22" s="6"/>
      <c r="Y22" s="6"/>
      <c r="Z22" s="6"/>
      <c r="AA22" s="1"/>
      <c r="AB22" s="1"/>
      <c r="AC22" s="1"/>
      <c r="AD22" s="1"/>
      <c r="AE22" s="1"/>
      <c r="AF22" s="1"/>
      <c r="AG22" s="1"/>
      <c r="AH22" s="1"/>
      <c r="AI22" s="1"/>
      <c r="AJ22" s="9" t="s">
        <v>42</v>
      </c>
      <c r="AK22" s="9">
        <v>7.0000000000000007E-2</v>
      </c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</row>
    <row r="23" spans="2:79" s="9" customFormat="1" x14ac:dyDescent="0.25">
      <c r="B23" s="9" t="s">
        <v>25</v>
      </c>
      <c r="C23" s="10">
        <f>C5/C3</f>
        <v>0.55149556442304526</v>
      </c>
      <c r="D23" s="10">
        <f>D5/D3</f>
        <v>0.59393756207090109</v>
      </c>
      <c r="E23" s="10">
        <f t="shared" ref="E23:K23" si="33">E5/E3</f>
        <v>0.58863675140760963</v>
      </c>
      <c r="F23" s="10">
        <f t="shared" si="33"/>
        <v>0.56711675933280381</v>
      </c>
      <c r="G23" s="10">
        <f t="shared" si="33"/>
        <v>0.68040278853601865</v>
      </c>
      <c r="H23" s="10">
        <f t="shared" si="33"/>
        <v>0.68674244803114992</v>
      </c>
      <c r="I23" s="10">
        <f t="shared" si="33"/>
        <v>0.68892110986620969</v>
      </c>
      <c r="J23" s="10">
        <f t="shared" si="33"/>
        <v>0.63878746124698582</v>
      </c>
      <c r="K23" s="10">
        <f t="shared" si="33"/>
        <v>0.69694847487409994</v>
      </c>
      <c r="L23" s="10">
        <f>L5/L3</f>
        <v>0.70144692528377195</v>
      </c>
      <c r="M23" s="10">
        <f>M5/M3</f>
        <v>0.69920106524633818</v>
      </c>
      <c r="N23" s="10"/>
      <c r="P23" s="14"/>
      <c r="Q23" s="10">
        <f t="shared" ref="Q23" si="34">Q5/Q3</f>
        <v>0.71565678269588884</v>
      </c>
      <c r="R23" s="10">
        <f t="shared" ref="R23:T23" si="35">R5/R3</f>
        <v>0.70437491151068943</v>
      </c>
      <c r="S23" s="10">
        <f t="shared" si="35"/>
        <v>0.61990452770143212</v>
      </c>
      <c r="T23" s="10">
        <f t="shared" si="35"/>
        <v>0.57552053430195083</v>
      </c>
      <c r="U23" s="10">
        <f t="shared" ref="U23" si="36">U5/U3</f>
        <v>0.67401445634900292</v>
      </c>
      <c r="V23" s="10">
        <v>0.7</v>
      </c>
      <c r="W23" s="10">
        <v>0.7</v>
      </c>
      <c r="X23" s="10">
        <v>0.7</v>
      </c>
      <c r="Y23" s="10">
        <v>0.7</v>
      </c>
      <c r="Z23" s="10">
        <v>0.7</v>
      </c>
      <c r="AA23" s="10">
        <v>0.7</v>
      </c>
      <c r="AB23" s="10">
        <v>0.7</v>
      </c>
      <c r="AC23" s="10">
        <v>0.7</v>
      </c>
      <c r="AD23" s="10">
        <v>0.7</v>
      </c>
      <c r="AE23" s="10">
        <v>0.7</v>
      </c>
      <c r="AF23" s="10">
        <v>0.7</v>
      </c>
      <c r="AG23" s="10">
        <v>0.7</v>
      </c>
      <c r="AJ23" s="9" t="s">
        <v>41</v>
      </c>
      <c r="AK23" s="23">
        <f>NPV(AK22,W13:HH13)</f>
        <v>383.97913711009818</v>
      </c>
    </row>
    <row r="24" spans="2:79" s="9" customFormat="1" x14ac:dyDescent="0.25">
      <c r="B24" s="9" t="s">
        <v>33</v>
      </c>
      <c r="C24" s="10">
        <f t="shared" ref="C24" si="37">C9/C3</f>
        <v>-0.98639096835185613</v>
      </c>
      <c r="D24" s="10">
        <f t="shared" ref="D24:K24" si="38">D9/D3</f>
        <v>-0.23518934323589108</v>
      </c>
      <c r="E24" s="10">
        <f t="shared" si="38"/>
        <v>-0.20394130694420753</v>
      </c>
      <c r="F24" s="10">
        <f t="shared" si="38"/>
        <v>-0.2262430500397139</v>
      </c>
      <c r="G24" s="10">
        <f t="shared" si="38"/>
        <v>6.7699457784663131E-2</v>
      </c>
      <c r="H24" s="10">
        <f t="shared" si="38"/>
        <v>0.14758525403504366</v>
      </c>
      <c r="I24" s="10">
        <f t="shared" si="38"/>
        <v>0.12522243458775439</v>
      </c>
      <c r="J24" s="10">
        <f t="shared" si="38"/>
        <v>5.1808473992421701E-2</v>
      </c>
      <c r="K24" s="10">
        <f t="shared" si="38"/>
        <v>0.15196505994180903</v>
      </c>
      <c r="L24" s="10">
        <f t="shared" ref="L24" si="39">L9/L3</f>
        <v>0.17580765872520887</v>
      </c>
      <c r="M24" s="10">
        <f>M9/M3</f>
        <v>0.1254993342210384</v>
      </c>
      <c r="N24" s="10"/>
      <c r="P24" s="14"/>
      <c r="Q24" s="10">
        <f t="shared" ref="Q24:T24" si="40">Q9/Q3</f>
        <v>0.1398080504225756</v>
      </c>
      <c r="R24" s="10">
        <f t="shared" si="40"/>
        <v>0.12388503468780963</v>
      </c>
      <c r="S24" s="10">
        <f t="shared" si="40"/>
        <v>7.021553594676691E-2</v>
      </c>
      <c r="T24" s="10">
        <f t="shared" si="40"/>
        <v>-0.38410686039018099</v>
      </c>
      <c r="U24" s="10">
        <f t="shared" ref="U24:AG24" si="41">U9/U3</f>
        <v>0.10040840040327403</v>
      </c>
      <c r="V24" s="10">
        <f t="shared" si="41"/>
        <v>0.13899814731105431</v>
      </c>
      <c r="W24" s="10">
        <f t="shared" si="41"/>
        <v>5.9726146387616377E-2</v>
      </c>
      <c r="X24" s="10">
        <f t="shared" si="41"/>
        <v>8.8829503369997495E-2</v>
      </c>
      <c r="Y24" s="10">
        <f t="shared" si="41"/>
        <v>8.8829503369997495E-2</v>
      </c>
      <c r="Z24" s="10">
        <f t="shared" si="41"/>
        <v>0.10025325097055825</v>
      </c>
      <c r="AA24" s="10">
        <f t="shared" si="41"/>
        <v>0.11146347057858526</v>
      </c>
      <c r="AB24" s="10">
        <f t="shared" si="41"/>
        <v>0.11146347057858508</v>
      </c>
      <c r="AC24" s="10">
        <f t="shared" si="41"/>
        <v>0.11146347057858509</v>
      </c>
      <c r="AD24" s="10">
        <f t="shared" si="41"/>
        <v>0.10003557680341207</v>
      </c>
      <c r="AE24" s="10">
        <f t="shared" si="41"/>
        <v>8.8385782178235534E-2</v>
      </c>
      <c r="AF24" s="10">
        <f t="shared" si="41"/>
        <v>7.6509777948686741E-2</v>
      </c>
      <c r="AG24" s="10">
        <f t="shared" si="41"/>
        <v>5.1817095887248657E-2</v>
      </c>
      <c r="AJ24" s="9" t="s">
        <v>45</v>
      </c>
      <c r="AK24" s="23">
        <f>AK23/M14</f>
        <v>27.501728771672983</v>
      </c>
    </row>
    <row r="25" spans="2:79" s="9" customFormat="1" x14ac:dyDescent="0.25">
      <c r="B25" s="24" t="s">
        <v>29</v>
      </c>
      <c r="C25" s="24">
        <f t="shared" ref="C25:F25" si="42">C12/C3</f>
        <v>-0.26492541415207382</v>
      </c>
      <c r="D25" s="24">
        <f t="shared" si="42"/>
        <v>-7.5564575327086672E-2</v>
      </c>
      <c r="E25" s="24">
        <f t="shared" si="42"/>
        <v>-6.2386964681794915E-2</v>
      </c>
      <c r="F25" s="24">
        <f t="shared" si="42"/>
        <v>-7.7037331215250193E-2</v>
      </c>
      <c r="G25" s="24">
        <f t="shared" ref="G25:M25" si="43">G12/G3</f>
        <v>1.0782339271882262E-2</v>
      </c>
      <c r="H25" s="24">
        <f t="shared" si="43"/>
        <v>2.7909313571563149E-2</v>
      </c>
      <c r="I25" s="24">
        <f t="shared" si="43"/>
        <v>1.7069795030646543E-2</v>
      </c>
      <c r="J25" s="24">
        <f t="shared" si="43"/>
        <v>-2.8384429900103337E-3</v>
      </c>
      <c r="K25" s="24">
        <f t="shared" si="43"/>
        <v>3.1896809682368896E-2</v>
      </c>
      <c r="L25" s="24">
        <f t="shared" si="43"/>
        <v>3.687164774853436E-2</v>
      </c>
      <c r="M25" s="24">
        <f t="shared" si="43"/>
        <v>2.9893475366178434E-2</v>
      </c>
      <c r="N25" s="10"/>
      <c r="P25" s="14"/>
      <c r="Q25" s="21">
        <f t="shared" ref="Q25:S25" si="44">Q12/Q3</f>
        <v>-7.7352814782982379E-3</v>
      </c>
      <c r="R25" s="21">
        <f t="shared" si="44"/>
        <v>1.6423616027183917E-2</v>
      </c>
      <c r="S25" s="21">
        <f t="shared" si="44"/>
        <v>-4.3396499349052514E-3</v>
      </c>
      <c r="T25" s="21">
        <f>T12/T3</f>
        <v>-0.11274708535942352</v>
      </c>
      <c r="U25" s="21">
        <f>U12/U3</f>
        <v>1.3694229421916919E-2</v>
      </c>
      <c r="V25" s="21">
        <v>3.3000000000000002E-2</v>
      </c>
      <c r="W25" s="21">
        <v>3.4000000000000002E-2</v>
      </c>
      <c r="X25" s="21">
        <v>3.5000000000000003E-2</v>
      </c>
      <c r="Y25" s="21">
        <v>3.5000000000000003E-2</v>
      </c>
      <c r="Z25" s="21">
        <v>3.5000000000000003E-2</v>
      </c>
      <c r="AA25" s="21">
        <v>3.5000000000000003E-2</v>
      </c>
      <c r="AB25" s="21">
        <v>3.5000000000000003E-2</v>
      </c>
      <c r="AC25" s="21">
        <v>3.5000000000000003E-2</v>
      </c>
      <c r="AD25" s="21">
        <v>3.5000000000000003E-2</v>
      </c>
      <c r="AE25" s="21">
        <v>3.5000000000000003E-2</v>
      </c>
      <c r="AF25" s="21">
        <v>3.5000000000000003E-2</v>
      </c>
      <c r="AG25" s="21">
        <v>3.5000000000000003E-2</v>
      </c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</row>
    <row r="26" spans="2:79" s="10" customFormat="1" x14ac:dyDescent="0.25">
      <c r="B26" s="9" t="s">
        <v>34</v>
      </c>
      <c r="C26" s="10">
        <f t="shared" ref="C26" si="45">C3/C6</f>
        <v>1.034914675767918</v>
      </c>
      <c r="D26" s="10">
        <f t="shared" ref="D26:I26" si="46">D3/D6</f>
        <v>1.1922265122265121</v>
      </c>
      <c r="E26" s="10">
        <f t="shared" si="46"/>
        <v>1.2741304347826088</v>
      </c>
      <c r="F26" s="10">
        <f t="shared" si="46"/>
        <v>1.4707943925233646</v>
      </c>
      <c r="G26" s="10">
        <f t="shared" si="46"/>
        <v>1.6321112515802783</v>
      </c>
      <c r="H26" s="10">
        <f t="shared" si="46"/>
        <v>1.8547466511357018</v>
      </c>
      <c r="I26" s="10">
        <f t="shared" si="46"/>
        <v>1.7739974278031099</v>
      </c>
      <c r="J26" s="10">
        <f>J3/J6</f>
        <v>1.7036384976525822</v>
      </c>
      <c r="K26" s="10">
        <f>K3/K6</f>
        <v>1.8349182242990654</v>
      </c>
      <c r="L26" s="10">
        <f>L3/L6</f>
        <v>1.9024453910133956</v>
      </c>
      <c r="M26" s="10">
        <f>M3/M6</f>
        <v>1.7697655237421936</v>
      </c>
      <c r="P26" s="20"/>
      <c r="Q26" s="10">
        <f>Q3/Q6</f>
        <v>1.7365671641791045</v>
      </c>
      <c r="R26" s="10">
        <f t="shared" ref="R26:S26" si="47">R3/R6</f>
        <v>1.7226829268292683</v>
      </c>
      <c r="S26" s="10">
        <f t="shared" si="47"/>
        <v>1.8192105263157894</v>
      </c>
      <c r="T26" s="10">
        <f>T3/T6</f>
        <v>1.2433712121212119</v>
      </c>
      <c r="U26" s="10">
        <f>U3/U6</f>
        <v>1.74335676835081</v>
      </c>
      <c r="V26" s="10">
        <f>V3/V6</f>
        <v>1.7825253075491396</v>
      </c>
      <c r="W26" s="10">
        <f t="shared" ref="W26:AG26" si="48">W3/W6</f>
        <v>1.5618316980430558</v>
      </c>
      <c r="X26" s="10">
        <f t="shared" si="48"/>
        <v>1.6362046360451061</v>
      </c>
      <c r="Y26" s="10">
        <f t="shared" si="48"/>
        <v>1.6362046360451061</v>
      </c>
      <c r="Z26" s="10">
        <f t="shared" si="48"/>
        <v>1.6673704386364414</v>
      </c>
      <c r="AA26" s="10">
        <f t="shared" si="48"/>
        <v>1.6991298755628499</v>
      </c>
      <c r="AB26" s="10">
        <f t="shared" si="48"/>
        <v>1.6991298755628497</v>
      </c>
      <c r="AC26" s="10">
        <f t="shared" si="48"/>
        <v>1.6991298755628497</v>
      </c>
      <c r="AD26" s="10">
        <f t="shared" si="48"/>
        <v>1.6667654969807002</v>
      </c>
      <c r="AE26" s="10">
        <f t="shared" si="48"/>
        <v>1.6350175827524964</v>
      </c>
      <c r="AF26" s="10">
        <f t="shared" si="48"/>
        <v>1.6038743907000679</v>
      </c>
      <c r="AG26" s="10">
        <f t="shared" si="48"/>
        <v>1.5427744139114938</v>
      </c>
    </row>
    <row r="27" spans="2:79" x14ac:dyDescent="0.25">
      <c r="B27" s="9"/>
      <c r="N27" s="5"/>
      <c r="U27" s="5"/>
    </row>
    <row r="28" spans="2:79" s="9" customFormat="1" x14ac:dyDescent="0.25">
      <c r="B28" s="9" t="s">
        <v>24</v>
      </c>
      <c r="C28" s="10"/>
      <c r="D28" s="10"/>
      <c r="E28" s="10"/>
      <c r="F28" s="10"/>
      <c r="G28" s="10">
        <f t="shared" ref="G28:J28" si="49">G3/C3-1</f>
        <v>0.41916477041629574</v>
      </c>
      <c r="H28" s="10">
        <f t="shared" si="49"/>
        <v>0.71887818990457264</v>
      </c>
      <c r="I28" s="10">
        <f t="shared" si="49"/>
        <v>0.29440368537792172</v>
      </c>
      <c r="J28" s="10">
        <f t="shared" si="49"/>
        <v>0.1528991262907069</v>
      </c>
      <c r="K28" s="10">
        <f>K3/G3-1</f>
        <v>0.21664601084430668</v>
      </c>
      <c r="L28" s="10">
        <f>L3/H3-1</f>
        <v>6.9710481693148196E-3</v>
      </c>
      <c r="M28" s="10">
        <f>M3/I3-1</f>
        <v>-1.0083701311540239E-2</v>
      </c>
      <c r="N28" s="10"/>
      <c r="P28" s="14"/>
      <c r="R28" s="10">
        <f>R3/Q3-1</f>
        <v>1.1746168170749138E-2</v>
      </c>
      <c r="S28" s="10">
        <f t="shared" ref="S28:T28" si="50">S3/R3-1</f>
        <v>-2.123743451791027E-2</v>
      </c>
      <c r="T28" s="10">
        <f t="shared" si="50"/>
        <v>-0.38272096050918547</v>
      </c>
      <c r="U28" s="10">
        <f>U3/T3-1</f>
        <v>0.37139844161930968</v>
      </c>
      <c r="V28" s="10">
        <f>V3/U3-1</f>
        <v>7.3590676851045034E-2</v>
      </c>
      <c r="W28" s="10">
        <v>-0.08</v>
      </c>
      <c r="X28" s="10">
        <v>0.1</v>
      </c>
      <c r="Y28" s="10">
        <v>0.05</v>
      </c>
      <c r="Z28" s="10">
        <v>7.0000000000000007E-2</v>
      </c>
      <c r="AA28" s="10">
        <v>7.0000000000000007E-2</v>
      </c>
      <c r="AB28" s="10">
        <v>0.05</v>
      </c>
      <c r="AC28" s="10">
        <v>0.05</v>
      </c>
      <c r="AD28" s="10">
        <v>0.03</v>
      </c>
      <c r="AE28" s="10">
        <v>0.03</v>
      </c>
      <c r="AF28" s="10">
        <v>0.03</v>
      </c>
      <c r="AG28" s="10">
        <v>0.01</v>
      </c>
    </row>
    <row r="29" spans="2:79" s="9" customFormat="1" x14ac:dyDescent="0.25">
      <c r="B29" s="9" t="s">
        <v>28</v>
      </c>
      <c r="C29" s="10"/>
      <c r="D29" s="10"/>
      <c r="E29" s="10"/>
      <c r="F29" s="10"/>
      <c r="G29" s="10"/>
      <c r="H29" s="10"/>
      <c r="I29" s="10"/>
      <c r="J29" s="10"/>
      <c r="K29" s="10" t="s">
        <v>36</v>
      </c>
      <c r="L29" s="10" t="s">
        <v>36</v>
      </c>
      <c r="M29" s="10">
        <f>M13/I13-1</f>
        <v>-0.20661745085831285</v>
      </c>
      <c r="N29" s="10"/>
      <c r="P29" s="14"/>
      <c r="W29" s="9">
        <f>W13/V13-1</f>
        <v>-1.0343935836435614</v>
      </c>
      <c r="X29" s="9">
        <f t="shared" ref="X29:AG29" si="51">X13/W13-1</f>
        <v>-12.291321232831914</v>
      </c>
      <c r="Y29" s="9">
        <f t="shared" si="51"/>
        <v>0.20206526904841815</v>
      </c>
      <c r="Z29" s="9">
        <f t="shared" si="51"/>
        <v>1.1150941761250941</v>
      </c>
      <c r="AA29" s="9">
        <f t="shared" si="51"/>
        <v>0.27894835322539979</v>
      </c>
      <c r="AB29" s="9">
        <f t="shared" si="51"/>
        <v>6.597339786140477E-2</v>
      </c>
      <c r="AC29" s="9">
        <f t="shared" si="51"/>
        <v>6.1606716397324401E-2</v>
      </c>
      <c r="AD29" s="9">
        <f t="shared" si="51"/>
        <v>-0.11309802248011147</v>
      </c>
      <c r="AE29" s="9">
        <f t="shared" si="51"/>
        <v>-0.14157896403242498</v>
      </c>
      <c r="AF29" s="9">
        <f t="shared" si="51"/>
        <v>-0.18241943262743809</v>
      </c>
      <c r="AG29" s="9">
        <f t="shared" si="51"/>
        <v>-0.54923409987846694</v>
      </c>
    </row>
    <row r="30" spans="2:79" s="9" customFormat="1" x14ac:dyDescent="0.25"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P30" s="14"/>
    </row>
    <row r="31" spans="2:79" s="9" customFormat="1" x14ac:dyDescent="0.25">
      <c r="B31" s="9" t="s">
        <v>46</v>
      </c>
      <c r="C31" s="10"/>
      <c r="D31" s="10"/>
      <c r="E31" s="10"/>
      <c r="F31" s="10"/>
      <c r="G31" s="10"/>
      <c r="H31" s="10"/>
      <c r="P31" s="14"/>
      <c r="R31" s="9">
        <f t="shared" ref="R31:T31" si="52">R6/Q6-1</f>
        <v>1.990049751243772E-2</v>
      </c>
      <c r="S31" s="9">
        <f t="shared" si="52"/>
        <v>-7.3170731707317027E-2</v>
      </c>
      <c r="T31" s="9">
        <f t="shared" si="52"/>
        <v>-9.6842105263157729E-2</v>
      </c>
      <c r="U31" s="9">
        <f>U6/T6-1</f>
        <v>-2.1911421911422035E-2</v>
      </c>
    </row>
  </sheetData>
  <phoneticPr fontId="2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cp:lastPrinted>2022-07-29T18:44:26Z</cp:lastPrinted>
  <dcterms:created xsi:type="dcterms:W3CDTF">2022-07-24T17:54:11Z</dcterms:created>
  <dcterms:modified xsi:type="dcterms:W3CDTF">2022-12-07T19:39:27Z</dcterms:modified>
</cp:coreProperties>
</file>