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C\Desktop\Fiduciary\investingModels\DCF Models\"/>
    </mc:Choice>
  </mc:AlternateContent>
  <xr:revisionPtr revIDLastSave="0" documentId="13_ncr:1_{16491CF7-6C4C-4BFE-9C52-F7CB50AD8A04}" xr6:coauthVersionLast="47" xr6:coauthVersionMax="47" xr10:uidLastSave="{00000000-0000-0000-0000-000000000000}"/>
  <bookViews>
    <workbookView xWindow="960" yWindow="5730" windowWidth="26730" windowHeight="15045" xr2:uid="{3056AFBF-C33C-44A0-B793-E31A92920761}"/>
  </bookViews>
  <sheets>
    <sheet name="Main" sheetId="1" r:id="rId1"/>
    <sheet name="Model" sheetId="2" r:id="rId2"/>
    <sheet name="Dash"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 i="2" l="1"/>
  <c r="Z3" i="2"/>
  <c r="AA3" i="2" s="1"/>
  <c r="X3" i="2"/>
  <c r="W3" i="2"/>
  <c r="R29" i="2" l="1"/>
  <c r="W29" i="2"/>
  <c r="V29" i="2"/>
  <c r="U29" i="2"/>
  <c r="T29" i="2"/>
  <c r="S29" i="2"/>
  <c r="Q29" i="2"/>
  <c r="P29" i="2"/>
  <c r="O29" i="2"/>
  <c r="P28" i="2"/>
  <c r="W12" i="2"/>
  <c r="V12" i="2"/>
  <c r="U12" i="2"/>
  <c r="T12" i="2"/>
  <c r="S12" i="2"/>
  <c r="R12" i="2"/>
  <c r="Q12" i="2"/>
  <c r="P12" i="2"/>
  <c r="O12" i="2"/>
  <c r="J12" i="2"/>
  <c r="I12" i="2"/>
  <c r="H12" i="2"/>
  <c r="G12" i="2"/>
  <c r="F12" i="2"/>
  <c r="E12" i="2"/>
  <c r="D12" i="2"/>
  <c r="C12" i="2"/>
  <c r="V26" i="2"/>
  <c r="U26" i="2"/>
  <c r="T26" i="2"/>
  <c r="S26" i="2"/>
  <c r="R26" i="2"/>
  <c r="Q26" i="2"/>
  <c r="P26" i="2"/>
  <c r="X4" i="2"/>
  <c r="Y4" i="2" s="1"/>
  <c r="Z4" i="2" s="1"/>
  <c r="AA4" i="2" s="1"/>
  <c r="AB4" i="2" s="1"/>
  <c r="AC4" i="2" s="1"/>
  <c r="AD4" i="2" s="1"/>
  <c r="AE4" i="2" s="1"/>
  <c r="AF4" i="2" s="1"/>
  <c r="AG4" i="2" s="1"/>
  <c r="V35" i="2"/>
  <c r="U35" i="2"/>
  <c r="T35" i="2"/>
  <c r="S35" i="2"/>
  <c r="R35" i="2"/>
  <c r="Q35" i="2"/>
  <c r="P35" i="2"/>
  <c r="O35" i="2"/>
  <c r="V34" i="2"/>
  <c r="U34" i="2"/>
  <c r="T34" i="2"/>
  <c r="S34" i="2"/>
  <c r="R34" i="2"/>
  <c r="Q34" i="2"/>
  <c r="P34" i="2"/>
  <c r="O34" i="2"/>
  <c r="I35" i="2"/>
  <c r="I34" i="2"/>
  <c r="J37" i="2"/>
  <c r="W13" i="2"/>
  <c r="W10" i="2"/>
  <c r="W7" i="2"/>
  <c r="W34" i="2" s="1"/>
  <c r="W4" i="2"/>
  <c r="W26" i="2"/>
  <c r="F13" i="2"/>
  <c r="F10" i="2"/>
  <c r="F7" i="2"/>
  <c r="F4" i="2"/>
  <c r="F3" i="2"/>
  <c r="C6" i="2"/>
  <c r="C37" i="2" s="1"/>
  <c r="G11" i="2"/>
  <c r="G6" i="2"/>
  <c r="D6" i="2"/>
  <c r="D37" i="2" s="1"/>
  <c r="H11" i="2"/>
  <c r="H6" i="2"/>
  <c r="H37" i="2" s="1"/>
  <c r="E11" i="2"/>
  <c r="E6" i="2"/>
  <c r="E37" i="2" s="1"/>
  <c r="I11" i="2"/>
  <c r="I6" i="2"/>
  <c r="I37" i="2" s="1"/>
  <c r="I19" i="2"/>
  <c r="I18" i="2"/>
  <c r="O19" i="2"/>
  <c r="O18" i="2"/>
  <c r="O11" i="2"/>
  <c r="O6" i="2"/>
  <c r="O37" i="2" s="1"/>
  <c r="O5" i="2"/>
  <c r="O31" i="2" s="1"/>
  <c r="P24" i="2"/>
  <c r="P11" i="2"/>
  <c r="P6" i="2"/>
  <c r="P37" i="2" s="1"/>
  <c r="P19" i="2"/>
  <c r="P18" i="2"/>
  <c r="P5" i="2"/>
  <c r="P31" i="2" s="1"/>
  <c r="Q19" i="2"/>
  <c r="Q18" i="2"/>
  <c r="R19" i="2"/>
  <c r="R18" i="2"/>
  <c r="S19" i="2"/>
  <c r="S18" i="2"/>
  <c r="Q24" i="2"/>
  <c r="R24" i="2"/>
  <c r="S24" i="2"/>
  <c r="Q11" i="2"/>
  <c r="Q6" i="2"/>
  <c r="Q37" i="2" s="1"/>
  <c r="Q5" i="2"/>
  <c r="Q31" i="2" s="1"/>
  <c r="R11" i="2"/>
  <c r="R6" i="2"/>
  <c r="R37" i="2" s="1"/>
  <c r="S11" i="2"/>
  <c r="S6" i="2"/>
  <c r="S37" i="2" s="1"/>
  <c r="T19" i="2"/>
  <c r="T18" i="2"/>
  <c r="T24" i="2"/>
  <c r="U24" i="2"/>
  <c r="V24" i="2"/>
  <c r="T11" i="2"/>
  <c r="T10" i="2"/>
  <c r="T6" i="2"/>
  <c r="T37" i="2" s="1"/>
  <c r="J5" i="2"/>
  <c r="J9" i="2" s="1"/>
  <c r="J14" i="2" s="1"/>
  <c r="J16" i="2" s="1"/>
  <c r="I5" i="2"/>
  <c r="H5" i="2"/>
  <c r="H31" i="2" s="1"/>
  <c r="G5" i="2"/>
  <c r="G31" i="2" s="1"/>
  <c r="E5" i="2"/>
  <c r="E31" i="2" s="1"/>
  <c r="D5" i="2"/>
  <c r="C5" i="2"/>
  <c r="C31" i="2" s="1"/>
  <c r="R5" i="2"/>
  <c r="R31" i="2" s="1"/>
  <c r="S5" i="2"/>
  <c r="S31" i="2" s="1"/>
  <c r="T5" i="2"/>
  <c r="T31" i="2" s="1"/>
  <c r="U11" i="2"/>
  <c r="U6" i="2"/>
  <c r="U37" i="2" s="1"/>
  <c r="U5" i="2"/>
  <c r="U31" i="2" s="1"/>
  <c r="V11" i="2"/>
  <c r="V6" i="2"/>
  <c r="V37" i="2" s="1"/>
  <c r="V5" i="2"/>
  <c r="V31" i="2" s="1"/>
  <c r="W35" i="2" l="1"/>
  <c r="I21" i="2"/>
  <c r="F5" i="2"/>
  <c r="F31" i="2" s="1"/>
  <c r="X6" i="2"/>
  <c r="O21" i="2"/>
  <c r="D9" i="2"/>
  <c r="D14" i="2" s="1"/>
  <c r="D16" i="2" s="1"/>
  <c r="D31" i="2"/>
  <c r="W11" i="2"/>
  <c r="F11" i="2"/>
  <c r="W6" i="2"/>
  <c r="W37" i="2" s="1"/>
  <c r="I9" i="2"/>
  <c r="I14" i="2" s="1"/>
  <c r="I16" i="2" s="1"/>
  <c r="W5" i="2"/>
  <c r="W9" i="2"/>
  <c r="W31" i="2"/>
  <c r="I31" i="2"/>
  <c r="G37" i="2"/>
  <c r="C9" i="2"/>
  <c r="P21" i="2"/>
  <c r="Q28" i="2" s="1"/>
  <c r="J32" i="2"/>
  <c r="J31" i="2"/>
  <c r="G9" i="2"/>
  <c r="F6" i="2"/>
  <c r="F37" i="2" s="1"/>
  <c r="H9" i="2"/>
  <c r="S21" i="2"/>
  <c r="T28" i="2" s="1"/>
  <c r="T21" i="2"/>
  <c r="U28" i="2" s="1"/>
  <c r="Q21" i="2"/>
  <c r="R28" i="2" s="1"/>
  <c r="E9" i="2"/>
  <c r="S9" i="2"/>
  <c r="R9" i="2"/>
  <c r="V9" i="2"/>
  <c r="O9" i="2"/>
  <c r="P9" i="2"/>
  <c r="R21" i="2"/>
  <c r="S28" i="2" s="1"/>
  <c r="Q9" i="2"/>
  <c r="T9" i="2"/>
  <c r="U9" i="2"/>
  <c r="X7" i="2" l="1"/>
  <c r="X34" i="2" s="1"/>
  <c r="I32" i="2"/>
  <c r="X5" i="2"/>
  <c r="D32" i="2"/>
  <c r="F9" i="2"/>
  <c r="F32" i="2" s="1"/>
  <c r="H14" i="2"/>
  <c r="H16" i="2" s="1"/>
  <c r="H32" i="2"/>
  <c r="U14" i="2"/>
  <c r="U16" i="2" s="1"/>
  <c r="U32" i="2"/>
  <c r="P14" i="2"/>
  <c r="P16" i="2" s="1"/>
  <c r="P32" i="2"/>
  <c r="O14" i="2"/>
  <c r="O16" i="2" s="1"/>
  <c r="O32" i="2"/>
  <c r="V14" i="2"/>
  <c r="V16" i="2" s="1"/>
  <c r="V32" i="2"/>
  <c r="C14" i="2"/>
  <c r="C16" i="2" s="1"/>
  <c r="C32" i="2"/>
  <c r="T14" i="2"/>
  <c r="T16" i="2" s="1"/>
  <c r="T32" i="2"/>
  <c r="G14" i="2"/>
  <c r="G16" i="2" s="1"/>
  <c r="G32" i="2"/>
  <c r="Q14" i="2"/>
  <c r="Q16" i="2" s="1"/>
  <c r="Q32" i="2"/>
  <c r="R14" i="2"/>
  <c r="R16" i="2" s="1"/>
  <c r="R32" i="2"/>
  <c r="S14" i="2"/>
  <c r="S16" i="2" s="1"/>
  <c r="S32" i="2"/>
  <c r="E14" i="2"/>
  <c r="E16" i="2" s="1"/>
  <c r="E32" i="2"/>
  <c r="W14" i="2"/>
  <c r="W16" i="2" s="1"/>
  <c r="W32" i="2"/>
  <c r="X31" i="2" l="1"/>
  <c r="X9" i="2"/>
  <c r="Y6" i="2"/>
  <c r="Y5" i="2"/>
  <c r="Y7" i="2"/>
  <c r="Y34" i="2" s="1"/>
  <c r="F14" i="2"/>
  <c r="F16" i="2" s="1"/>
  <c r="X32" i="2" l="1"/>
  <c r="X12" i="2"/>
  <c r="X13" i="2" s="1"/>
  <c r="Z6" i="2"/>
  <c r="Z7" i="2"/>
  <c r="Z34" i="2" s="1"/>
  <c r="Z5" i="2"/>
  <c r="Y31" i="2"/>
  <c r="Y9" i="2"/>
  <c r="Y32" i="2" s="1"/>
  <c r="AA6" i="2" l="1"/>
  <c r="AB3" i="2"/>
  <c r="AA5" i="2"/>
  <c r="AA7" i="2"/>
  <c r="AA34" i="2" s="1"/>
  <c r="Z31" i="2"/>
  <c r="Z9" i="2"/>
  <c r="Z32" i="2" s="1"/>
  <c r="AA9" i="2" l="1"/>
  <c r="AA32" i="2" s="1"/>
  <c r="AA31" i="2"/>
  <c r="AC3" i="2"/>
  <c r="AB6" i="2"/>
  <c r="AB7" i="2"/>
  <c r="AB34" i="2" s="1"/>
  <c r="AB5" i="2"/>
  <c r="AB9" i="2" l="1"/>
  <c r="AB32" i="2" s="1"/>
  <c r="AB31" i="2"/>
  <c r="AC6" i="2"/>
  <c r="AC5" i="2"/>
  <c r="AC7" i="2"/>
  <c r="AC34" i="2" s="1"/>
  <c r="AD3" i="2"/>
  <c r="AD5" i="2" l="1"/>
  <c r="AD6" i="2"/>
  <c r="AE3" i="2"/>
  <c r="AD7" i="2"/>
  <c r="AD34" i="2" s="1"/>
  <c r="AC9" i="2"/>
  <c r="AC32" i="2" s="1"/>
  <c r="AC31" i="2"/>
  <c r="AE6" i="2" l="1"/>
  <c r="AE7" i="2"/>
  <c r="AE34" i="2" s="1"/>
  <c r="AE5" i="2"/>
  <c r="AF3" i="2"/>
  <c r="AD31" i="2"/>
  <c r="AD9" i="2"/>
  <c r="AD32" i="2" s="1"/>
  <c r="AE31" i="2" l="1"/>
  <c r="AE9" i="2"/>
  <c r="AE32" i="2" s="1"/>
  <c r="AF6" i="2"/>
  <c r="AF5" i="2"/>
  <c r="AF7" i="2"/>
  <c r="AF34" i="2" s="1"/>
  <c r="AG3" i="2"/>
  <c r="AG5" i="2" l="1"/>
  <c r="AG6" i="2"/>
  <c r="AG7" i="2"/>
  <c r="AG34" i="2" s="1"/>
  <c r="AF9" i="2"/>
  <c r="AF32" i="2" s="1"/>
  <c r="AF31" i="2"/>
  <c r="AG31" i="2" l="1"/>
  <c r="AG9" i="2"/>
  <c r="AG32" i="2" s="1"/>
  <c r="U19" i="2" l="1"/>
  <c r="U18" i="2"/>
  <c r="U21" i="2" s="1"/>
  <c r="V28" i="2" s="1"/>
  <c r="V19" i="2"/>
  <c r="V18" i="2"/>
  <c r="V21" i="2" l="1"/>
  <c r="W28" i="2" s="1"/>
  <c r="X10" i="2" s="1"/>
  <c r="X14" i="2" s="1"/>
  <c r="N6" i="1"/>
  <c r="N9" i="1" s="1"/>
  <c r="X21" i="2" l="1"/>
  <c r="X16" i="2"/>
  <c r="Y10" i="2"/>
  <c r="Y12" i="2" l="1"/>
  <c r="Y13" i="2" s="1"/>
  <c r="Y14" i="2" s="1"/>
  <c r="Y21" i="2" l="1"/>
  <c r="Z10" i="2" s="1"/>
  <c r="Y16" i="2"/>
  <c r="Z12" i="2"/>
  <c r="Z13" i="2" s="1"/>
  <c r="Z14" i="2" s="1"/>
  <c r="Z21" i="2" l="1"/>
  <c r="AA10" i="2" s="1"/>
  <c r="Z16" i="2"/>
  <c r="AA12" i="2"/>
  <c r="AA13" i="2" s="1"/>
  <c r="AA14" i="2" s="1"/>
  <c r="AA16" i="2" s="1"/>
  <c r="AA21" i="2" l="1"/>
  <c r="AB10" i="2" s="1"/>
  <c r="AB12" i="2" s="1"/>
  <c r="AB13" i="2" s="1"/>
  <c r="AB14" i="2" s="1"/>
  <c r="AB21" i="2" l="1"/>
  <c r="AC10" i="2" s="1"/>
  <c r="AB16" i="2"/>
  <c r="AC12" i="2"/>
  <c r="AC13" i="2" s="1"/>
  <c r="AC14" i="2" s="1"/>
  <c r="AC16" i="2" s="1"/>
  <c r="AC21" i="2" l="1"/>
  <c r="AD10" i="2" s="1"/>
  <c r="AD12" i="2" s="1"/>
  <c r="AD13" i="2" s="1"/>
  <c r="AD14" i="2" s="1"/>
  <c r="AD21" i="2" l="1"/>
  <c r="AE10" i="2" s="1"/>
  <c r="AE12" i="2" s="1"/>
  <c r="AE13" i="2" s="1"/>
  <c r="AE14" i="2" s="1"/>
  <c r="AD16" i="2"/>
  <c r="AE21" i="2" l="1"/>
  <c r="AF10" i="2" s="1"/>
  <c r="AF12" i="2" s="1"/>
  <c r="AF13" i="2" s="1"/>
  <c r="AF14" i="2" s="1"/>
  <c r="AE16" i="2"/>
  <c r="AF21" i="2" l="1"/>
  <c r="AG10" i="2" s="1"/>
  <c r="AG12" i="2" s="1"/>
  <c r="AG13" i="2" s="1"/>
  <c r="AG14" i="2" s="1"/>
  <c r="AG16" i="2" s="1"/>
  <c r="AF16" i="2"/>
  <c r="AG21" i="2" l="1"/>
  <c r="AH14" i="2"/>
  <c r="AI14" i="2" s="1"/>
  <c r="AJ14" i="2" s="1"/>
  <c r="AK14" i="2" s="1"/>
  <c r="AL14" i="2" s="1"/>
  <c r="AM14" i="2" s="1"/>
  <c r="AN14" i="2" s="1"/>
  <c r="AO14" i="2" s="1"/>
  <c r="AP14" i="2" s="1"/>
  <c r="AQ14" i="2" s="1"/>
  <c r="AR14" i="2" s="1"/>
  <c r="AS14" i="2" s="1"/>
  <c r="AT14" i="2" s="1"/>
  <c r="AU14" i="2" s="1"/>
  <c r="AV14" i="2" s="1"/>
  <c r="AW14" i="2" s="1"/>
  <c r="AX14" i="2" s="1"/>
  <c r="AY14" i="2" s="1"/>
  <c r="AZ14" i="2" s="1"/>
  <c r="BA14" i="2" s="1"/>
  <c r="BB14" i="2" s="1"/>
  <c r="BC14" i="2" s="1"/>
  <c r="BD14" i="2" s="1"/>
  <c r="BE14" i="2" s="1"/>
  <c r="BF14" i="2" s="1"/>
  <c r="BG14" i="2" s="1"/>
  <c r="BH14" i="2" s="1"/>
  <c r="BI14" i="2" s="1"/>
  <c r="BJ14" i="2" s="1"/>
  <c r="BK14" i="2" s="1"/>
  <c r="BL14" i="2" s="1"/>
  <c r="BM14" i="2" s="1"/>
  <c r="BN14" i="2" s="1"/>
  <c r="BO14" i="2" s="1"/>
  <c r="BP14" i="2" s="1"/>
  <c r="BQ14" i="2" s="1"/>
  <c r="BR14" i="2" s="1"/>
  <c r="BS14" i="2" s="1"/>
  <c r="BT14" i="2" s="1"/>
  <c r="BU14" i="2" s="1"/>
  <c r="BV14" i="2" s="1"/>
  <c r="BW14" i="2" s="1"/>
  <c r="BX14" i="2" s="1"/>
  <c r="BY14" i="2" s="1"/>
  <c r="BZ14" i="2" s="1"/>
  <c r="CA14" i="2" s="1"/>
  <c r="CB14" i="2" s="1"/>
  <c r="CC14" i="2" s="1"/>
  <c r="CD14" i="2" s="1"/>
  <c r="CE14" i="2" s="1"/>
  <c r="CF14" i="2" s="1"/>
  <c r="CG14" i="2" s="1"/>
  <c r="CH14" i="2" s="1"/>
  <c r="CI14" i="2" s="1"/>
  <c r="CJ14" i="2" s="1"/>
  <c r="CK14" i="2" s="1"/>
  <c r="CL14" i="2" s="1"/>
  <c r="CM14" i="2" s="1"/>
  <c r="CN14" i="2" s="1"/>
  <c r="CO14" i="2" s="1"/>
  <c r="CP14" i="2" s="1"/>
  <c r="CQ14" i="2" s="1"/>
  <c r="CR14" i="2" s="1"/>
  <c r="CS14" i="2" s="1"/>
  <c r="CT14" i="2" s="1"/>
  <c r="CU14" i="2" s="1"/>
  <c r="CV14" i="2" s="1"/>
  <c r="CW14" i="2" s="1"/>
  <c r="CX14" i="2" s="1"/>
  <c r="CY14" i="2" s="1"/>
  <c r="CZ14" i="2" s="1"/>
  <c r="DA14" i="2" s="1"/>
  <c r="DB14" i="2" s="1"/>
  <c r="DC14" i="2" s="1"/>
  <c r="DD14" i="2" s="1"/>
  <c r="DE14" i="2" s="1"/>
  <c r="DF14" i="2" s="1"/>
  <c r="DG14" i="2" s="1"/>
  <c r="DH14" i="2" s="1"/>
  <c r="DI14" i="2" s="1"/>
  <c r="DJ14" i="2" s="1"/>
  <c r="DK14" i="2" s="1"/>
  <c r="DL14" i="2" s="1"/>
  <c r="DM14" i="2" s="1"/>
  <c r="DN14" i="2" s="1"/>
  <c r="DO14" i="2" s="1"/>
  <c r="DP14" i="2" s="1"/>
  <c r="DQ14" i="2" s="1"/>
  <c r="DR14" i="2" s="1"/>
  <c r="DS14" i="2" s="1"/>
  <c r="DT14" i="2" s="1"/>
  <c r="C4" i="3" s="1"/>
  <c r="N12" i="1" s="1"/>
  <c r="N13" i="1" s="1"/>
</calcChain>
</file>

<file path=xl/sharedStrings.xml><?xml version="1.0" encoding="utf-8"?>
<sst xmlns="http://schemas.openxmlformats.org/spreadsheetml/2006/main" count="106" uniqueCount="59">
  <si>
    <t>Price</t>
  </si>
  <si>
    <t>Shares</t>
  </si>
  <si>
    <t>MkCap</t>
  </si>
  <si>
    <t>Cash</t>
  </si>
  <si>
    <t>Debt</t>
  </si>
  <si>
    <t>Run rate</t>
  </si>
  <si>
    <t>EV</t>
  </si>
  <si>
    <t>Update</t>
  </si>
  <si>
    <t>NPV</t>
  </si>
  <si>
    <t>2022Q4</t>
  </si>
  <si>
    <t>2022Q3</t>
  </si>
  <si>
    <t>2022Q2</t>
  </si>
  <si>
    <t>2022Q1</t>
  </si>
  <si>
    <t>2021Q4</t>
  </si>
  <si>
    <t>2021Q3</t>
  </si>
  <si>
    <t>2021Q2</t>
  </si>
  <si>
    <t>2021Q1</t>
  </si>
  <si>
    <t>Revenue y/y</t>
  </si>
  <si>
    <t>NPV/Sh</t>
  </si>
  <si>
    <t>Maturity decay</t>
  </si>
  <si>
    <t>Discount</t>
  </si>
  <si>
    <t>PPE</t>
  </si>
  <si>
    <t>Revenue</t>
  </si>
  <si>
    <t>SG&amp;A</t>
  </si>
  <si>
    <t>COGS</t>
  </si>
  <si>
    <t>Gross income</t>
  </si>
  <si>
    <t>D&amp;Amort</t>
  </si>
  <si>
    <t>Operating income</t>
  </si>
  <si>
    <t>Interest income</t>
  </si>
  <si>
    <t>Other income</t>
  </si>
  <si>
    <t>Tax expense</t>
  </si>
  <si>
    <t>Net income</t>
  </si>
  <si>
    <t>EPS</t>
  </si>
  <si>
    <t>Debt repayment</t>
  </si>
  <si>
    <t>NetCash</t>
  </si>
  <si>
    <t>Other op. expense</t>
  </si>
  <si>
    <t>Gross margin</t>
  </si>
  <si>
    <t>Op margin</t>
  </si>
  <si>
    <t>SG&amp;A %rev</t>
  </si>
  <si>
    <t>D&amp;A %PPE</t>
  </si>
  <si>
    <t>D&amp;A %rev</t>
  </si>
  <si>
    <t>COGS $CCL y/y</t>
  </si>
  <si>
    <t>u</t>
  </si>
  <si>
    <t>Tax rate</t>
  </si>
  <si>
    <t>EBT</t>
  </si>
  <si>
    <t>Interest rate (ROIC)</t>
  </si>
  <si>
    <t>x</t>
  </si>
  <si>
    <t>Debt schedule</t>
  </si>
  <si>
    <t>Year</t>
  </si>
  <si>
    <t>Amount</t>
  </si>
  <si>
    <t>(In thousands)</t>
  </si>
  <si>
    <t>$</t>
  </si>
  <si>
    <t>Thereafter</t>
  </si>
  <si>
    <t xml:space="preserve">We operate a fleet of ten owned expedition vessels, along with five seasonal chartered ships, to provide our signature marine-based adventures to over 40 destinations on all seven continents, offering itineraries that last from four to 30 days. </t>
  </si>
  <si>
    <t>The small size of our vessels allows them to reach places inaccessible to larger ships.</t>
  </si>
  <si>
    <t>as of January 31, 2022, had nine of our ten available vessels providing expeditions to guests.</t>
  </si>
  <si>
    <t>10K stuff</t>
  </si>
  <si>
    <t>Our ability to access additional funding as and when needed, including for new ship builds, our ability to timely refinance and/or replace our outstanding debt and credit facilities on acceptable terms or at all will depend upon numerous factors, many of which are beyond our control. Our inability to access sufficient liquidity on favorable terms when needed would have a negative impact on our ability to expand our fleet, our results of operations and our financial condition.</t>
  </si>
  <si>
    <t xml:space="preserve">Although we believe we can access sufficient liquidity to fund our maintenance, investments, including new ship construction and vessel modification, and obligations as expected, there can be no assurances to that effect.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</si>
</sst>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5" x14ac:knownFonts="1">
    <font>
      <sz val="11"/>
      <color theme="1"/>
      <name val="Calibri"/>
      <family val="2"/>
      <scheme val="minor"/>
    </font>
    <font>
      <b/>
      <sz val="11"/>
      <color theme="1"/>
      <name val="Calibri"/>
      <family val="2"/>
      <scheme val="minor"/>
    </font>
    <font>
      <sz val="10"/>
      <color theme="1"/>
      <name val="Times New Roman"/>
      <family val="1"/>
    </font>
    <font>
      <b/>
      <sz val="10"/>
      <color theme="1"/>
      <name val="Times New Roman"/>
      <family val="1"/>
    </font>
    <font>
      <b/>
      <i/>
      <sz val="10"/>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rgb="FFCCEEFF"/>
        <bgColor indexed="64"/>
      </patternFill>
    </fill>
  </fills>
  <borders count="4">
    <border>
      <left/>
      <right/>
      <top/>
      <bottom/>
      <diagonal/>
    </border>
    <border>
      <left/>
      <right/>
      <top/>
      <bottom style="medium">
        <color rgb="FF000000"/>
      </bottom>
      <diagonal/>
    </border>
    <border>
      <left/>
      <right/>
      <top/>
      <bottom style="double">
        <color rgb="FF000000"/>
      </bottom>
      <diagonal/>
    </border>
    <border>
      <left/>
      <right/>
      <top style="medium">
        <color rgb="FF000000"/>
      </top>
      <bottom/>
      <diagonal/>
    </border>
  </borders>
  <cellStyleXfs count="1">
    <xf numFmtId="0" fontId="0" fillId="0" borderId="0"/>
  </cellStyleXfs>
  <cellXfs count="23">
    <xf numFmtId="0" fontId="0" fillId="0" borderId="0" xfId="0"/>
    <xf numFmtId="14" fontId="0" fillId="0" borderId="0" xfId="0" applyNumberFormat="1"/>
    <xf numFmtId="3" fontId="0" fillId="0" borderId="0" xfId="0" applyNumberFormat="1"/>
    <xf numFmtId="3" fontId="1" fillId="0" borderId="0" xfId="0" applyNumberFormat="1" applyFont="1"/>
    <xf numFmtId="8" fontId="1" fillId="0" borderId="0" xfId="0" applyNumberFormat="1" applyFont="1"/>
    <xf numFmtId="4" fontId="0" fillId="0" borderId="0" xfId="0" applyNumberFormat="1"/>
    <xf numFmtId="9" fontId="0" fillId="0" borderId="0" xfId="0" applyNumberFormat="1"/>
    <xf numFmtId="9" fontId="1" fillId="0" borderId="0" xfId="0" applyNumberFormat="1" applyFont="1"/>
    <xf numFmtId="164" fontId="1" fillId="0" borderId="0" xfId="0" applyNumberFormat="1" applyFont="1"/>
    <xf numFmtId="10" fontId="0" fillId="0" borderId="0" xfId="0" applyNumberFormat="1"/>
    <xf numFmtId="38" fontId="0" fillId="0" borderId="0" xfId="0" applyNumberFormat="1"/>
    <xf numFmtId="8" fontId="0" fillId="0" borderId="0" xfId="0" applyNumberFormat="1"/>
    <xf numFmtId="0" fontId="3" fillId="3" borderId="0" xfId="0" applyFont="1" applyFill="1" applyAlignment="1">
      <alignment vertical="center" wrapText="1"/>
    </xf>
    <xf numFmtId="0" fontId="2" fillId="3" borderId="0" xfId="0" applyFont="1" applyFill="1" applyAlignment="1">
      <alignment vertical="center" wrapText="1"/>
    </xf>
    <xf numFmtId="0" fontId="2" fillId="2" borderId="0" xfId="0" applyFont="1" applyFill="1" applyAlignment="1">
      <alignment vertical="center" wrapText="1"/>
    </xf>
    <xf numFmtId="3" fontId="2" fillId="3" borderId="0" xfId="0" applyNumberFormat="1" applyFont="1" applyFill="1" applyAlignment="1">
      <alignment horizontal="right" vertical="center" wrapText="1"/>
    </xf>
    <xf numFmtId="3" fontId="2" fillId="2" borderId="0" xfId="0" applyNumberFormat="1" applyFont="1" applyFill="1" applyAlignment="1">
      <alignment horizontal="right" vertical="center" wrapText="1"/>
    </xf>
    <xf numFmtId="0" fontId="2" fillId="2" borderId="1" xfId="0" applyFont="1" applyFill="1" applyBorder="1" applyAlignment="1">
      <alignment vertical="center" wrapText="1"/>
    </xf>
    <xf numFmtId="3" fontId="2" fillId="2" borderId="1" xfId="0" applyNumberFormat="1" applyFont="1" applyFill="1" applyBorder="1" applyAlignment="1">
      <alignment horizontal="right" vertical="center" wrapText="1"/>
    </xf>
    <xf numFmtId="0" fontId="2" fillId="3" borderId="2" xfId="0" applyFont="1" applyFill="1" applyBorder="1" applyAlignment="1">
      <alignment vertical="center" wrapText="1"/>
    </xf>
    <xf numFmtId="3" fontId="2" fillId="3" borderId="2" xfId="0" applyNumberFormat="1" applyFont="1" applyFill="1" applyBorder="1" applyAlignment="1">
      <alignment horizontal="right" vertical="center" wrapText="1"/>
    </xf>
    <xf numFmtId="0" fontId="4" fillId="3" borderId="1"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22</xdr:col>
      <xdr:colOff>17808</xdr:colOff>
      <xdr:row>0</xdr:row>
      <xdr:rowOff>0</xdr:rowOff>
    </xdr:from>
    <xdr:to>
      <xdr:col>22</xdr:col>
      <xdr:colOff>17808</xdr:colOff>
      <xdr:row>40</xdr:row>
      <xdr:rowOff>171450</xdr:rowOff>
    </xdr:to>
    <xdr:cxnSp macro="">
      <xdr:nvCxnSpPr>
        <xdr:cNvPr id="3" name="Straight Connector 2">
          <a:extLst>
            <a:ext uri="{FF2B5EF4-FFF2-40B4-BE49-F238E27FC236}">
              <a16:creationId xmlns:a16="http://schemas.microsoft.com/office/drawing/2014/main" id="{1F41FF2C-7A02-A688-44AC-9A20A2BC341C}"/>
            </a:ext>
          </a:extLst>
        </xdr:cNvPr>
        <xdr:cNvCxnSpPr/>
      </xdr:nvCxnSpPr>
      <xdr:spPr>
        <a:xfrm>
          <a:off x="13990569" y="0"/>
          <a:ext cx="0" cy="6457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19050</xdr:colOff>
      <xdr:row>0</xdr:row>
      <xdr:rowOff>0</xdr:rowOff>
    </xdr:from>
    <xdr:to>
      <xdr:col>33</xdr:col>
      <xdr:colOff>19050</xdr:colOff>
      <xdr:row>40</xdr:row>
      <xdr:rowOff>171450</xdr:rowOff>
    </xdr:to>
    <xdr:cxnSp macro="">
      <xdr:nvCxnSpPr>
        <xdr:cNvPr id="4" name="Straight Connector 3">
          <a:extLst>
            <a:ext uri="{FF2B5EF4-FFF2-40B4-BE49-F238E27FC236}">
              <a16:creationId xmlns:a16="http://schemas.microsoft.com/office/drawing/2014/main" id="{DB0F37C3-A497-43EB-8B50-23417BD53A4C}"/>
            </a:ext>
          </a:extLst>
        </xdr:cNvPr>
        <xdr:cNvCxnSpPr/>
      </xdr:nvCxnSpPr>
      <xdr:spPr>
        <a:xfrm>
          <a:off x="20774025" y="0"/>
          <a:ext cx="0" cy="7791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3E6B5-2ED0-4ACF-895E-E286D10A7127}">
  <dimension ref="B2:N33"/>
  <sheetViews>
    <sheetView tabSelected="1" workbookViewId="0">
      <selection activeCell="P8" sqref="P8"/>
    </sheetView>
  </sheetViews>
  <sheetFormatPr defaultRowHeight="15" x14ac:dyDescent="0.25"/>
  <cols>
    <col min="14" max="14" width="9.7109375" bestFit="1" customWidth="1"/>
  </cols>
  <sheetData>
    <row r="2" spans="2:14" x14ac:dyDescent="0.25">
      <c r="M2" t="s">
        <v>7</v>
      </c>
      <c r="N2" s="1">
        <v>44972</v>
      </c>
    </row>
    <row r="4" spans="2:14" x14ac:dyDescent="0.25">
      <c r="M4" t="s">
        <v>0</v>
      </c>
      <c r="N4" s="11">
        <v>11.68</v>
      </c>
    </row>
    <row r="5" spans="2:14" x14ac:dyDescent="0.25">
      <c r="M5" t="s">
        <v>1</v>
      </c>
      <c r="N5" s="2">
        <v>53.045000000000002</v>
      </c>
    </row>
    <row r="6" spans="2:14" x14ac:dyDescent="0.25">
      <c r="M6" t="s">
        <v>2</v>
      </c>
      <c r="N6" s="2">
        <f>N4*N5</f>
        <v>619.56560000000002</v>
      </c>
    </row>
    <row r="7" spans="2:14" x14ac:dyDescent="0.25">
      <c r="M7" t="s">
        <v>3</v>
      </c>
      <c r="N7" s="2">
        <v>145.97</v>
      </c>
    </row>
    <row r="8" spans="2:14" x14ac:dyDescent="0.25">
      <c r="M8" t="s">
        <v>4</v>
      </c>
      <c r="N8" s="2">
        <v>615.52700000000004</v>
      </c>
    </row>
    <row r="9" spans="2:14" x14ac:dyDescent="0.25">
      <c r="M9" t="s">
        <v>6</v>
      </c>
      <c r="N9" s="2">
        <f>+N6-N7+N8</f>
        <v>1089.1226000000001</v>
      </c>
    </row>
    <row r="10" spans="2:14" x14ac:dyDescent="0.25">
      <c r="M10" t="s">
        <v>5</v>
      </c>
      <c r="N10" s="2">
        <v>10</v>
      </c>
    </row>
    <row r="12" spans="2:14" x14ac:dyDescent="0.25">
      <c r="M12" t="s">
        <v>8</v>
      </c>
      <c r="N12" s="10">
        <f>Dash!C4</f>
        <v>473.84250172820322</v>
      </c>
    </row>
    <row r="13" spans="2:14" x14ac:dyDescent="0.25">
      <c r="M13" t="s">
        <v>18</v>
      </c>
      <c r="N13" s="11">
        <f>N12/N5</f>
        <v>8.932840074054166</v>
      </c>
    </row>
    <row r="16" spans="2:14" x14ac:dyDescent="0.25">
      <c r="B16" t="s">
        <v>56</v>
      </c>
    </row>
    <row r="17" spans="2:6" x14ac:dyDescent="0.25">
      <c r="B17" t="s">
        <v>47</v>
      </c>
    </row>
    <row r="18" spans="2:6" ht="15.75" thickBot="1" x14ac:dyDescent="0.3">
      <c r="B18" s="12" t="s">
        <v>48</v>
      </c>
      <c r="C18" s="13"/>
      <c r="D18" s="21" t="s">
        <v>49</v>
      </c>
      <c r="E18" s="21"/>
      <c r="F18" s="13"/>
    </row>
    <row r="19" spans="2:6" x14ac:dyDescent="0.25">
      <c r="B19" s="14"/>
      <c r="C19" s="14"/>
      <c r="D19" s="22" t="s">
        <v>50</v>
      </c>
      <c r="E19" s="22"/>
      <c r="F19" s="14"/>
    </row>
    <row r="20" spans="2:6" x14ac:dyDescent="0.25">
      <c r="B20" s="13">
        <v>2022</v>
      </c>
      <c r="C20" s="13"/>
      <c r="D20" s="13" t="s">
        <v>51</v>
      </c>
      <c r="E20" s="15">
        <v>26061</v>
      </c>
      <c r="F20" s="13"/>
    </row>
    <row r="21" spans="2:6" x14ac:dyDescent="0.25">
      <c r="B21" s="14">
        <v>2023</v>
      </c>
      <c r="C21" s="14"/>
      <c r="D21" s="14"/>
      <c r="E21" s="16">
        <v>82973</v>
      </c>
      <c r="F21" s="14"/>
    </row>
    <row r="22" spans="2:6" x14ac:dyDescent="0.25">
      <c r="B22" s="13">
        <v>2024</v>
      </c>
      <c r="C22" s="13"/>
      <c r="D22" s="13"/>
      <c r="E22" s="15">
        <v>38461</v>
      </c>
      <c r="F22" s="13"/>
    </row>
    <row r="23" spans="2:6" x14ac:dyDescent="0.25">
      <c r="B23" s="14">
        <v>2025</v>
      </c>
      <c r="C23" s="14"/>
      <c r="D23" s="14"/>
      <c r="E23" s="16">
        <v>292426</v>
      </c>
      <c r="F23" s="14"/>
    </row>
    <row r="24" spans="2:6" x14ac:dyDescent="0.25">
      <c r="B24" s="13">
        <v>2026</v>
      </c>
      <c r="C24" s="13"/>
      <c r="D24" s="13"/>
      <c r="E24" s="15">
        <v>37248</v>
      </c>
      <c r="F24" s="13"/>
    </row>
    <row r="25" spans="2:6" ht="15.75" thickBot="1" x14ac:dyDescent="0.3">
      <c r="B25" s="14" t="s">
        <v>52</v>
      </c>
      <c r="C25" s="14"/>
      <c r="D25" s="17"/>
      <c r="E25" s="18">
        <v>81353</v>
      </c>
      <c r="F25" s="14"/>
    </row>
    <row r="26" spans="2:6" ht="15.75" thickBot="1" x14ac:dyDescent="0.3">
      <c r="B26" s="13"/>
      <c r="C26" s="13"/>
      <c r="D26" s="19" t="s">
        <v>51</v>
      </c>
      <c r="E26" s="20">
        <v>558522</v>
      </c>
      <c r="F26" s="13"/>
    </row>
    <row r="27" spans="2:6" ht="15.75" thickTop="1" x14ac:dyDescent="0.25"/>
    <row r="29" spans="2:6" x14ac:dyDescent="0.25">
      <c r="B29" t="s">
        <v>53</v>
      </c>
    </row>
    <row r="30" spans="2:6" x14ac:dyDescent="0.25">
      <c r="B30" t="s">
        <v>54</v>
      </c>
    </row>
    <row r="31" spans="2:6" x14ac:dyDescent="0.25">
      <c r="B31" t="s">
        <v>55</v>
      </c>
    </row>
    <row r="32" spans="2:6" x14ac:dyDescent="0.25">
      <c r="B32" t="s">
        <v>58</v>
      </c>
    </row>
    <row r="33" spans="2:2" x14ac:dyDescent="0.25">
      <c r="B33" t="s">
        <v>57</v>
      </c>
    </row>
  </sheetData>
  <mergeCells count="2">
    <mergeCell ref="D18:E18"/>
    <mergeCell ref="D19:E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2598-A76D-432E-8D6B-EF22B15EDFE4}">
  <dimension ref="A2:DU39"/>
  <sheetViews>
    <sheetView zoomScaleNormal="100" workbookViewId="0">
      <pane xSplit="2" ySplit="2" topLeftCell="L3" activePane="bottomRight" state="frozen"/>
      <selection pane="topRight" activeCell="C1" sqref="C1"/>
      <selection pane="bottomLeft" activeCell="A3" sqref="A3"/>
      <selection pane="bottomRight" activeCell="X7" sqref="X7"/>
    </sheetView>
  </sheetViews>
  <sheetFormatPr defaultRowHeight="15" x14ac:dyDescent="0.25"/>
  <cols>
    <col min="2" max="2" width="18.7109375" bestFit="1" customWidth="1"/>
  </cols>
  <sheetData>
    <row r="2" spans="2:125" x14ac:dyDescent="0.25">
      <c r="C2" t="s">
        <v>16</v>
      </c>
      <c r="D2" t="s">
        <v>15</v>
      </c>
      <c r="E2" t="s">
        <v>14</v>
      </c>
      <c r="F2" t="s">
        <v>13</v>
      </c>
      <c r="G2" t="s">
        <v>12</v>
      </c>
      <c r="H2" t="s">
        <v>11</v>
      </c>
      <c r="I2" t="s">
        <v>10</v>
      </c>
      <c r="J2" t="s">
        <v>9</v>
      </c>
      <c r="O2">
        <v>2014</v>
      </c>
      <c r="P2">
        <v>2015</v>
      </c>
      <c r="Q2">
        <v>2016</v>
      </c>
      <c r="R2">
        <v>2017</v>
      </c>
      <c r="S2">
        <v>2018</v>
      </c>
      <c r="T2">
        <v>2019</v>
      </c>
      <c r="U2">
        <v>2020</v>
      </c>
      <c r="V2">
        <v>2021</v>
      </c>
      <c r="W2">
        <v>2022</v>
      </c>
      <c r="X2">
        <v>2023</v>
      </c>
      <c r="Y2">
        <v>2024</v>
      </c>
      <c r="Z2">
        <v>2025</v>
      </c>
      <c r="AA2">
        <v>2026</v>
      </c>
      <c r="AB2">
        <v>2027</v>
      </c>
      <c r="AC2">
        <v>2028</v>
      </c>
      <c r="AD2">
        <v>2029</v>
      </c>
      <c r="AE2">
        <v>2030</v>
      </c>
      <c r="AF2">
        <v>2031</v>
      </c>
      <c r="AG2">
        <v>2032</v>
      </c>
      <c r="AH2">
        <v>2033</v>
      </c>
      <c r="AI2">
        <v>2034</v>
      </c>
      <c r="AJ2">
        <v>2035</v>
      </c>
      <c r="AK2">
        <v>2036</v>
      </c>
      <c r="AL2">
        <v>2037</v>
      </c>
      <c r="AM2">
        <v>2038</v>
      </c>
      <c r="AN2">
        <v>2039</v>
      </c>
      <c r="AO2">
        <v>2040</v>
      </c>
      <c r="AP2">
        <v>2041</v>
      </c>
      <c r="AQ2">
        <v>2042</v>
      </c>
      <c r="AR2">
        <v>2043</v>
      </c>
      <c r="AS2">
        <v>2044</v>
      </c>
      <c r="AT2">
        <v>2045</v>
      </c>
      <c r="AU2">
        <v>2046</v>
      </c>
      <c r="AV2">
        <v>2047</v>
      </c>
      <c r="AW2">
        <v>2048</v>
      </c>
      <c r="AX2">
        <v>2049</v>
      </c>
      <c r="AY2">
        <v>2050</v>
      </c>
      <c r="AZ2">
        <v>2051</v>
      </c>
      <c r="BA2">
        <v>2052</v>
      </c>
      <c r="BB2">
        <v>2053</v>
      </c>
      <c r="BC2">
        <v>2054</v>
      </c>
      <c r="BD2">
        <v>2055</v>
      </c>
      <c r="BE2">
        <v>2056</v>
      </c>
      <c r="BF2">
        <v>2057</v>
      </c>
      <c r="BG2">
        <v>2058</v>
      </c>
      <c r="BH2">
        <v>2059</v>
      </c>
      <c r="BI2">
        <v>2060</v>
      </c>
      <c r="BJ2">
        <v>2061</v>
      </c>
      <c r="BK2">
        <v>2062</v>
      </c>
      <c r="BL2">
        <v>2063</v>
      </c>
      <c r="BM2">
        <v>2064</v>
      </c>
      <c r="BN2">
        <v>2065</v>
      </c>
      <c r="BO2">
        <v>2066</v>
      </c>
      <c r="BP2">
        <v>2067</v>
      </c>
      <c r="BQ2">
        <v>2068</v>
      </c>
      <c r="BR2">
        <v>2069</v>
      </c>
      <c r="BS2">
        <v>2070</v>
      </c>
      <c r="BT2">
        <v>2071</v>
      </c>
      <c r="BU2">
        <v>2072</v>
      </c>
      <c r="BV2">
        <v>2073</v>
      </c>
      <c r="BW2">
        <v>2074</v>
      </c>
      <c r="BX2">
        <v>2075</v>
      </c>
      <c r="BY2">
        <v>2076</v>
      </c>
      <c r="BZ2">
        <v>2077</v>
      </c>
      <c r="CA2">
        <v>2078</v>
      </c>
      <c r="CB2">
        <v>2079</v>
      </c>
      <c r="CC2">
        <v>2080</v>
      </c>
      <c r="CD2">
        <v>2081</v>
      </c>
      <c r="CE2">
        <v>2082</v>
      </c>
      <c r="CF2">
        <v>2083</v>
      </c>
      <c r="CG2">
        <v>2084</v>
      </c>
      <c r="CH2">
        <v>2085</v>
      </c>
      <c r="CI2">
        <v>2086</v>
      </c>
      <c r="CJ2">
        <v>2087</v>
      </c>
      <c r="CK2">
        <v>2088</v>
      </c>
      <c r="CL2">
        <v>2089</v>
      </c>
      <c r="CM2">
        <v>2090</v>
      </c>
      <c r="CN2">
        <v>2091</v>
      </c>
      <c r="CO2">
        <v>2092</v>
      </c>
      <c r="CP2">
        <v>2093</v>
      </c>
      <c r="CQ2">
        <v>2094</v>
      </c>
      <c r="CR2">
        <v>2095</v>
      </c>
      <c r="CS2">
        <v>2096</v>
      </c>
      <c r="CT2">
        <v>2097</v>
      </c>
      <c r="CU2">
        <v>2098</v>
      </c>
      <c r="CV2">
        <v>2099</v>
      </c>
      <c r="CW2">
        <v>2100</v>
      </c>
      <c r="CX2">
        <v>2101</v>
      </c>
      <c r="CY2">
        <v>2102</v>
      </c>
      <c r="CZ2">
        <v>2103</v>
      </c>
      <c r="DA2">
        <v>2104</v>
      </c>
      <c r="DB2">
        <v>2105</v>
      </c>
      <c r="DC2">
        <v>2106</v>
      </c>
      <c r="DD2">
        <v>2107</v>
      </c>
      <c r="DE2">
        <v>2108</v>
      </c>
      <c r="DF2">
        <v>2109</v>
      </c>
      <c r="DG2">
        <v>2110</v>
      </c>
      <c r="DH2">
        <v>2111</v>
      </c>
      <c r="DI2">
        <v>2112</v>
      </c>
      <c r="DJ2">
        <v>2113</v>
      </c>
      <c r="DK2">
        <v>2114</v>
      </c>
      <c r="DL2">
        <v>2115</v>
      </c>
      <c r="DM2">
        <v>2116</v>
      </c>
      <c r="DN2">
        <v>2117</v>
      </c>
      <c r="DO2">
        <v>2118</v>
      </c>
      <c r="DP2">
        <v>2119</v>
      </c>
      <c r="DQ2">
        <v>2120</v>
      </c>
      <c r="DR2">
        <v>2121</v>
      </c>
      <c r="DS2">
        <v>2122</v>
      </c>
      <c r="DT2">
        <v>2123</v>
      </c>
      <c r="DU2" t="s">
        <v>46</v>
      </c>
    </row>
    <row r="3" spans="2:125" s="3" customFormat="1" x14ac:dyDescent="0.25">
      <c r="B3" s="3" t="s">
        <v>22</v>
      </c>
      <c r="C3" s="3">
        <v>1.78</v>
      </c>
      <c r="D3" s="3">
        <v>15.266</v>
      </c>
      <c r="E3" s="3">
        <v>64.507000000000005</v>
      </c>
      <c r="F3" s="3">
        <f>V3-E3-D3-C3</f>
        <v>65.553999999999988</v>
      </c>
      <c r="G3" s="3">
        <v>67.849999999999994</v>
      </c>
      <c r="H3" s="3">
        <v>90.91</v>
      </c>
      <c r="I3" s="3">
        <v>144.78299999999999</v>
      </c>
      <c r="O3" s="3">
        <v>198.459</v>
      </c>
      <c r="P3" s="3">
        <v>209.98500000000001</v>
      </c>
      <c r="Q3" s="3">
        <v>242.346</v>
      </c>
      <c r="R3" s="3">
        <v>266.50400000000002</v>
      </c>
      <c r="S3" s="3">
        <v>309.73399999999998</v>
      </c>
      <c r="T3" s="3">
        <v>343.09</v>
      </c>
      <c r="U3" s="3">
        <v>82.355999999999995</v>
      </c>
      <c r="V3" s="3">
        <v>147.107</v>
      </c>
      <c r="W3" s="3">
        <f>+G3+H3+I3+I3</f>
        <v>448.32600000000002</v>
      </c>
      <c r="X3" s="3">
        <f>W3*(1+X26)</f>
        <v>627.65639999999996</v>
      </c>
      <c r="Y3" s="3">
        <f>X3*(1+Y26)</f>
        <v>784.57049999999992</v>
      </c>
      <c r="Z3" s="3">
        <f>Y3*(1+Z26)</f>
        <v>878.71896000000004</v>
      </c>
      <c r="AA3" s="3">
        <f>Z3*(1+AA26)</f>
        <v>984.1652352000001</v>
      </c>
      <c r="AB3" s="3">
        <f t="shared" ref="Y3:AG3" si="0">AA3*(1+AB26)</f>
        <v>1062.8984540160002</v>
      </c>
      <c r="AC3" s="3">
        <f t="shared" si="0"/>
        <v>1116.0433767168001</v>
      </c>
      <c r="AD3" s="3">
        <f t="shared" si="0"/>
        <v>1171.8455455526403</v>
      </c>
      <c r="AE3" s="3">
        <f t="shared" si="0"/>
        <v>1230.4378228302724</v>
      </c>
      <c r="AF3" s="3">
        <f t="shared" si="0"/>
        <v>1291.959713971786</v>
      </c>
      <c r="AG3" s="3">
        <f t="shared" si="0"/>
        <v>1356.5576996703753</v>
      </c>
      <c r="DU3" s="3" t="s">
        <v>46</v>
      </c>
    </row>
    <row r="4" spans="2:125" s="2" customFormat="1" x14ac:dyDescent="0.25">
      <c r="B4" s="2" t="s">
        <v>24</v>
      </c>
      <c r="C4" s="2">
        <v>8.2789999999999999</v>
      </c>
      <c r="D4" s="2">
        <v>19.39</v>
      </c>
      <c r="E4" s="2">
        <v>45.6</v>
      </c>
      <c r="F4" s="2">
        <f>V4-E4-D4-C4</f>
        <v>51.214999999999989</v>
      </c>
      <c r="G4" s="2">
        <v>57.95</v>
      </c>
      <c r="H4" s="2">
        <v>62.5</v>
      </c>
      <c r="I4" s="2">
        <v>87.575999999999993</v>
      </c>
      <c r="O4" s="2">
        <v>90</v>
      </c>
      <c r="P4" s="2">
        <v>95.417000000000002</v>
      </c>
      <c r="Q4" s="2">
        <v>118.977</v>
      </c>
      <c r="R4" s="2">
        <v>135.52600000000001</v>
      </c>
      <c r="S4" s="2">
        <v>153.74299999999999</v>
      </c>
      <c r="T4" s="2">
        <v>166.6</v>
      </c>
      <c r="U4" s="2">
        <v>72.930999999999997</v>
      </c>
      <c r="V4" s="2">
        <v>124.48399999999999</v>
      </c>
      <c r="W4" s="2">
        <f>+G4+H4+I4+I4</f>
        <v>295.60199999999998</v>
      </c>
      <c r="X4" s="2">
        <f t="shared" ref="X4:AG4" si="1">W4*(1+X39)</f>
        <v>399.74051216851814</v>
      </c>
      <c r="Y4" s="2">
        <f t="shared" si="1"/>
        <v>493.00018777138371</v>
      </c>
      <c r="Z4" s="2">
        <f t="shared" si="1"/>
        <v>505.1398921965382</v>
      </c>
      <c r="AA4" s="2">
        <f t="shared" si="1"/>
        <v>519.61678090969758</v>
      </c>
      <c r="AB4" s="2">
        <f t="shared" si="1"/>
        <v>534.80020790753247</v>
      </c>
      <c r="AC4" s="2">
        <f t="shared" si="1"/>
        <v>550.80288175924909</v>
      </c>
      <c r="AD4" s="2">
        <f t="shared" si="1"/>
        <v>567.2855513510176</v>
      </c>
      <c r="AE4" s="2">
        <f t="shared" si="1"/>
        <v>585.3000783723345</v>
      </c>
      <c r="AF4" s="2">
        <f t="shared" si="1"/>
        <v>603.89182579599628</v>
      </c>
      <c r="AG4" s="2">
        <f t="shared" si="1"/>
        <v>623.07946352527586</v>
      </c>
      <c r="DU4" s="2" t="s">
        <v>46</v>
      </c>
    </row>
    <row r="5" spans="2:125" s="3" customFormat="1" x14ac:dyDescent="0.25">
      <c r="B5" s="3" t="s">
        <v>25</v>
      </c>
      <c r="C5" s="3">
        <f t="shared" ref="C5:J5" si="2">+C3-C4</f>
        <v>-6.4989999999999997</v>
      </c>
      <c r="D5" s="3">
        <f t="shared" si="2"/>
        <v>-4.1240000000000006</v>
      </c>
      <c r="E5" s="3">
        <f t="shared" si="2"/>
        <v>18.907000000000004</v>
      </c>
      <c r="F5" s="3">
        <f t="shared" si="2"/>
        <v>14.338999999999999</v>
      </c>
      <c r="G5" s="3">
        <f t="shared" si="2"/>
        <v>9.8999999999999915</v>
      </c>
      <c r="H5" s="3">
        <f t="shared" si="2"/>
        <v>28.409999999999997</v>
      </c>
      <c r="I5" s="3">
        <f t="shared" si="2"/>
        <v>57.206999999999994</v>
      </c>
      <c r="J5" s="3">
        <f t="shared" si="2"/>
        <v>0</v>
      </c>
      <c r="O5" s="3">
        <f t="shared" ref="O5:W5" si="3">+O3-O4</f>
        <v>108.459</v>
      </c>
      <c r="P5" s="3">
        <f t="shared" si="3"/>
        <v>114.56800000000001</v>
      </c>
      <c r="Q5" s="3">
        <f t="shared" si="3"/>
        <v>123.369</v>
      </c>
      <c r="R5" s="3">
        <f t="shared" si="3"/>
        <v>130.97800000000001</v>
      </c>
      <c r="S5" s="3">
        <f t="shared" si="3"/>
        <v>155.99099999999999</v>
      </c>
      <c r="T5" s="3">
        <f t="shared" si="3"/>
        <v>176.48999999999998</v>
      </c>
      <c r="U5" s="3">
        <f t="shared" si="3"/>
        <v>9.4249999999999972</v>
      </c>
      <c r="V5" s="3">
        <f t="shared" si="3"/>
        <v>22.623000000000005</v>
      </c>
      <c r="W5" s="3">
        <f t="shared" si="3"/>
        <v>152.72400000000005</v>
      </c>
      <c r="X5" s="3">
        <f t="shared" ref="X5:AG5" si="4">+X3-X4</f>
        <v>227.91588783148183</v>
      </c>
      <c r="Y5" s="3">
        <f t="shared" si="4"/>
        <v>291.57031222861622</v>
      </c>
      <c r="Z5" s="3">
        <f t="shared" si="4"/>
        <v>373.57906780346184</v>
      </c>
      <c r="AA5" s="3">
        <f t="shared" si="4"/>
        <v>464.54845429030252</v>
      </c>
      <c r="AB5" s="3">
        <f t="shared" si="4"/>
        <v>528.09824610846772</v>
      </c>
      <c r="AC5" s="3">
        <f t="shared" si="4"/>
        <v>565.24049495755105</v>
      </c>
      <c r="AD5" s="3">
        <f t="shared" si="4"/>
        <v>604.55999420162266</v>
      </c>
      <c r="AE5" s="3">
        <f t="shared" si="4"/>
        <v>645.13774445793786</v>
      </c>
      <c r="AF5" s="3">
        <f t="shared" si="4"/>
        <v>688.06788817578968</v>
      </c>
      <c r="AG5" s="3">
        <f t="shared" si="4"/>
        <v>733.47823614509946</v>
      </c>
      <c r="DU5" s="3" t="s">
        <v>46</v>
      </c>
    </row>
    <row r="6" spans="2:125" s="2" customFormat="1" x14ac:dyDescent="0.25">
      <c r="B6" s="2" t="s">
        <v>23</v>
      </c>
      <c r="C6" s="2">
        <f>13.812+2.506</f>
        <v>16.317999999999998</v>
      </c>
      <c r="D6" s="2">
        <f>15.288+4.962</f>
        <v>20.25</v>
      </c>
      <c r="E6" s="2">
        <f>17.02+10.2</f>
        <v>27.22</v>
      </c>
      <c r="F6" s="2">
        <f>V6-E6-D6-C6</f>
        <v>30.141000000000005</v>
      </c>
      <c r="G6" s="2">
        <f>20.637+12.329</f>
        <v>32.966000000000001</v>
      </c>
      <c r="H6" s="2">
        <f>23.7+12.839</f>
        <v>36.539000000000001</v>
      </c>
      <c r="I6" s="2">
        <f>24.535+16.025</f>
        <v>40.56</v>
      </c>
      <c r="O6" s="2">
        <f>36.05+30.718</f>
        <v>66.768000000000001</v>
      </c>
      <c r="P6" s="2">
        <f>38.994+35.083</f>
        <v>74.076999999999998</v>
      </c>
      <c r="Q6" s="2">
        <f>51.896+39.072</f>
        <v>90.968000000000004</v>
      </c>
      <c r="R6" s="2">
        <f>60.529+42.354</f>
        <v>102.88300000000001</v>
      </c>
      <c r="S6" s="2">
        <f>62.9+46.987</f>
        <v>109.887</v>
      </c>
      <c r="T6" s="2">
        <f>62.74+54.77</f>
        <v>117.51</v>
      </c>
      <c r="U6" s="2">
        <f>45.508+20.231</f>
        <v>65.739000000000004</v>
      </c>
      <c r="V6" s="2">
        <f>65.445+28.484</f>
        <v>93.929000000000002</v>
      </c>
      <c r="W6" s="2">
        <f>+G6+H6+I6+I6</f>
        <v>150.625</v>
      </c>
      <c r="X6" s="2">
        <f t="shared" ref="X6:AG6" si="5">X3*X37</f>
        <v>200.85004799999999</v>
      </c>
      <c r="Y6" s="2">
        <f t="shared" si="5"/>
        <v>235.37114999999997</v>
      </c>
      <c r="Z6" s="2">
        <f t="shared" si="5"/>
        <v>263.61568799999998</v>
      </c>
      <c r="AA6" s="2">
        <f t="shared" si="5"/>
        <v>275.56626585600003</v>
      </c>
      <c r="AB6" s="2">
        <f t="shared" si="5"/>
        <v>276.35359804416004</v>
      </c>
      <c r="AC6" s="2">
        <f t="shared" si="5"/>
        <v>267.85041041203203</v>
      </c>
      <c r="AD6" s="2">
        <f t="shared" si="5"/>
        <v>257.80602002158088</v>
      </c>
      <c r="AE6" s="2">
        <f t="shared" si="5"/>
        <v>270.6963210226599</v>
      </c>
      <c r="AF6" s="2">
        <f t="shared" si="5"/>
        <v>284.23113707379292</v>
      </c>
      <c r="AG6" s="2">
        <f t="shared" si="5"/>
        <v>298.44269392748259</v>
      </c>
      <c r="DU6" s="2" t="s">
        <v>46</v>
      </c>
    </row>
    <row r="7" spans="2:125" s="2" customFormat="1" x14ac:dyDescent="0.25">
      <c r="B7" s="2" t="s">
        <v>26</v>
      </c>
      <c r="C7" s="2">
        <v>8.25</v>
      </c>
      <c r="D7" s="2">
        <v>8.2129999999999992</v>
      </c>
      <c r="E7" s="2">
        <v>9.3230000000000004</v>
      </c>
      <c r="F7" s="2">
        <f>V7-E7-D7-C7</f>
        <v>13.738999999999997</v>
      </c>
      <c r="G7" s="2">
        <v>11.178000000000001</v>
      </c>
      <c r="H7" s="2">
        <v>11.176</v>
      </c>
      <c r="I7" s="2">
        <v>10.84</v>
      </c>
      <c r="O7" s="2">
        <v>11.266</v>
      </c>
      <c r="P7" s="2">
        <v>11.645</v>
      </c>
      <c r="Q7" s="2">
        <v>18.420000000000002</v>
      </c>
      <c r="R7" s="2">
        <v>17.350999999999999</v>
      </c>
      <c r="S7" s="2">
        <v>20.768000000000001</v>
      </c>
      <c r="T7" s="2">
        <v>25.768999999999998</v>
      </c>
      <c r="U7" s="2">
        <v>32.084000000000003</v>
      </c>
      <c r="V7" s="2">
        <v>39.524999999999999</v>
      </c>
      <c r="W7" s="2">
        <f>+G7+H7+I7+I7</f>
        <v>44.034000000000006</v>
      </c>
      <c r="X7" s="2">
        <f t="shared" ref="X7:AG7" si="6">X3*X35</f>
        <v>56.489075999999997</v>
      </c>
      <c r="Y7" s="2">
        <f t="shared" si="6"/>
        <v>62.765639999999998</v>
      </c>
      <c r="Z7" s="2">
        <f t="shared" si="6"/>
        <v>70.297516800000011</v>
      </c>
      <c r="AA7" s="2">
        <f t="shared" si="6"/>
        <v>78.733218816000004</v>
      </c>
      <c r="AB7" s="2">
        <f t="shared" si="6"/>
        <v>85.031876321280023</v>
      </c>
      <c r="AC7" s="2">
        <f t="shared" si="6"/>
        <v>89.283470137344011</v>
      </c>
      <c r="AD7" s="2">
        <f t="shared" si="6"/>
        <v>93.747643644211223</v>
      </c>
      <c r="AE7" s="2">
        <f t="shared" si="6"/>
        <v>98.435025826421793</v>
      </c>
      <c r="AF7" s="2">
        <f t="shared" si="6"/>
        <v>103.35677711774288</v>
      </c>
      <c r="AG7" s="2">
        <f t="shared" si="6"/>
        <v>108.52461597363003</v>
      </c>
      <c r="DU7" s="2" t="s">
        <v>46</v>
      </c>
    </row>
    <row r="8" spans="2:125" s="2" customFormat="1" x14ac:dyDescent="0.25">
      <c r="B8" s="2" t="s">
        <v>35</v>
      </c>
      <c r="P8" s="2">
        <v>13.343999999999999</v>
      </c>
      <c r="Y8" s="5"/>
      <c r="DU8" s="2" t="s">
        <v>46</v>
      </c>
    </row>
    <row r="9" spans="2:125" s="3" customFormat="1" x14ac:dyDescent="0.25">
      <c r="B9" s="3" t="s">
        <v>27</v>
      </c>
      <c r="C9" s="3">
        <f t="shared" ref="C9:J9" si="7">+C5-C6-C7</f>
        <v>-31.066999999999997</v>
      </c>
      <c r="D9" s="3">
        <f t="shared" si="7"/>
        <v>-32.587000000000003</v>
      </c>
      <c r="E9" s="3">
        <f t="shared" si="7"/>
        <v>-17.635999999999996</v>
      </c>
      <c r="F9" s="3">
        <f t="shared" si="7"/>
        <v>-29.541000000000004</v>
      </c>
      <c r="G9" s="3">
        <f t="shared" si="7"/>
        <v>-34.244000000000014</v>
      </c>
      <c r="H9" s="3">
        <f t="shared" si="7"/>
        <v>-19.305000000000007</v>
      </c>
      <c r="I9" s="3">
        <f t="shared" si="7"/>
        <v>5.8069999999999915</v>
      </c>
      <c r="J9" s="3">
        <f t="shared" si="7"/>
        <v>0</v>
      </c>
      <c r="O9" s="3">
        <f>+O5-O6-O7-O8</f>
        <v>30.425000000000004</v>
      </c>
      <c r="P9" s="3">
        <f>+P5-P6-P7-P8</f>
        <v>15.502000000000015</v>
      </c>
      <c r="Q9" s="3">
        <f t="shared" ref="Q9:W9" si="8">+Q5-Q6-Q7</f>
        <v>13.980999999999995</v>
      </c>
      <c r="R9" s="3">
        <f t="shared" si="8"/>
        <v>10.744</v>
      </c>
      <c r="S9" s="3">
        <f t="shared" si="8"/>
        <v>25.335999999999984</v>
      </c>
      <c r="T9" s="3">
        <f t="shared" si="8"/>
        <v>33.210999999999977</v>
      </c>
      <c r="U9" s="3">
        <f t="shared" si="8"/>
        <v>-88.39800000000001</v>
      </c>
      <c r="V9" s="3">
        <f t="shared" si="8"/>
        <v>-110.83099999999999</v>
      </c>
      <c r="W9" s="3">
        <f t="shared" si="8"/>
        <v>-41.93499999999996</v>
      </c>
      <c r="X9" s="3">
        <f t="shared" ref="X9:AG9" si="9">+X5-X6-X7</f>
        <v>-29.423236168518159</v>
      </c>
      <c r="Y9" s="3">
        <f t="shared" si="9"/>
        <v>-6.5664777713837523</v>
      </c>
      <c r="Z9" s="3">
        <f t="shared" si="9"/>
        <v>39.665863003461851</v>
      </c>
      <c r="AA9" s="3">
        <f t="shared" si="9"/>
        <v>110.24896961830248</v>
      </c>
      <c r="AB9" s="3">
        <f t="shared" si="9"/>
        <v>166.71277174302764</v>
      </c>
      <c r="AC9" s="3">
        <f t="shared" si="9"/>
        <v>208.10661440817501</v>
      </c>
      <c r="AD9" s="3">
        <f t="shared" si="9"/>
        <v>253.00633053583056</v>
      </c>
      <c r="AE9" s="3">
        <f t="shared" si="9"/>
        <v>276.00639760885616</v>
      </c>
      <c r="AF9" s="3">
        <f t="shared" si="9"/>
        <v>300.47997398425389</v>
      </c>
      <c r="AG9" s="3">
        <f t="shared" si="9"/>
        <v>326.51092624398683</v>
      </c>
      <c r="DU9" s="3" t="s">
        <v>46</v>
      </c>
    </row>
    <row r="10" spans="2:125" s="2" customFormat="1" x14ac:dyDescent="0.25">
      <c r="B10" s="2" t="s">
        <v>28</v>
      </c>
      <c r="C10" s="2">
        <v>-5.6689999999999996</v>
      </c>
      <c r="D10" s="2">
        <v>-5.7050000000000001</v>
      </c>
      <c r="E10" s="2">
        <v>-6.06</v>
      </c>
      <c r="F10" s="2">
        <f>V10-E10-D10-C10</f>
        <v>-7.144000000000001</v>
      </c>
      <c r="G10" s="2">
        <v>-8.7149999999999999</v>
      </c>
      <c r="H10" s="2">
        <v>-9.4160000000000004</v>
      </c>
      <c r="I10" s="2">
        <v>-8.3689999999999998</v>
      </c>
      <c r="O10" s="2">
        <v>-5.2930000000000001</v>
      </c>
      <c r="P10" s="2">
        <v>-10.9</v>
      </c>
      <c r="Q10" s="2">
        <v>-10.145</v>
      </c>
      <c r="R10" s="2">
        <v>-9.7360000000000007</v>
      </c>
      <c r="S10" s="2">
        <v>-10.83</v>
      </c>
      <c r="T10" s="2">
        <f>-12.288</f>
        <v>-12.288</v>
      </c>
      <c r="U10" s="2">
        <v>-16.690000000000001</v>
      </c>
      <c r="V10" s="2">
        <v>-24.577999999999999</v>
      </c>
      <c r="W10" s="2">
        <f>+G10+H10+I10+I10</f>
        <v>-34.869</v>
      </c>
      <c r="X10" s="2">
        <f>W21*W28</f>
        <v>-40.142956838784563</v>
      </c>
      <c r="Y10" s="2">
        <f t="shared" ref="Y10:AG10" si="10">X21*X28</f>
        <v>-47.019863877508321</v>
      </c>
      <c r="Z10" s="2">
        <f t="shared" si="10"/>
        <v>-51.483606136861027</v>
      </c>
      <c r="AA10" s="2">
        <f t="shared" si="10"/>
        <v>-52.457979058209794</v>
      </c>
      <c r="AB10" s="2">
        <f t="shared" si="10"/>
        <v>-47.693111886530147</v>
      </c>
      <c r="AC10" s="2">
        <f t="shared" si="10"/>
        <v>-37.910290944625338</v>
      </c>
      <c r="AD10" s="2">
        <f t="shared" si="10"/>
        <v>-24.022270949999687</v>
      </c>
      <c r="AE10" s="2">
        <f t="shared" si="10"/>
        <v>-5.3371716877958848</v>
      </c>
      <c r="AF10" s="2">
        <f t="shared" si="10"/>
        <v>16.749437147362638</v>
      </c>
      <c r="AG10" s="2">
        <f t="shared" si="10"/>
        <v>42.635357095702545</v>
      </c>
      <c r="DU10" s="2" t="s">
        <v>46</v>
      </c>
    </row>
    <row r="11" spans="2:125" s="2" customFormat="1" x14ac:dyDescent="0.25">
      <c r="B11" s="2" t="s">
        <v>29</v>
      </c>
      <c r="C11" s="2">
        <v>7.0999999999999994E-2</v>
      </c>
      <c r="D11" s="2">
        <v>0.2</v>
      </c>
      <c r="E11" s="2">
        <f>-1.434+4.357</f>
        <v>2.923</v>
      </c>
      <c r="F11" s="2">
        <f>V11-E11-D11-C11</f>
        <v>11.028</v>
      </c>
      <c r="G11" s="2">
        <f>-0.13-0.533</f>
        <v>-0.66300000000000003</v>
      </c>
      <c r="H11" s="2">
        <f>-0.676-0.116</f>
        <v>-0.79200000000000004</v>
      </c>
      <c r="I11" s="2">
        <f>-0.872-0.333</f>
        <v>-1.2050000000000001</v>
      </c>
      <c r="O11" s="2">
        <f>0.057-0.149+0.01</f>
        <v>-8.2000000000000003E-2</v>
      </c>
      <c r="P11" s="2">
        <f>5.03+7.502+-0.04</f>
        <v>12.492000000000001</v>
      </c>
      <c r="Q11" s="2">
        <f>-0.72-1.17-0.083</f>
        <v>-1.9729999999999999</v>
      </c>
      <c r="R11" s="2">
        <f>1.144-0.133+0.454</f>
        <v>1.4649999999999999</v>
      </c>
      <c r="S11" s="2">
        <f>+-2.175-0.165</f>
        <v>-2.34</v>
      </c>
      <c r="T11" s="2">
        <f>0.09-0.066</f>
        <v>2.3999999999999994E-2</v>
      </c>
      <c r="U11" s="2">
        <f>-4.77-0.08</f>
        <v>-4.8499999999999996</v>
      </c>
      <c r="V11" s="2">
        <f>-1.265+15.487</f>
        <v>14.222</v>
      </c>
      <c r="W11" s="2">
        <f>+G11+H11+I11+I11</f>
        <v>-3.8650000000000002</v>
      </c>
      <c r="DU11" s="2" t="s">
        <v>46</v>
      </c>
    </row>
    <row r="12" spans="2:125" s="2" customFormat="1" x14ac:dyDescent="0.25">
      <c r="B12" s="2" t="s">
        <v>44</v>
      </c>
      <c r="C12" s="2">
        <f>+C9+C10+C11</f>
        <v>-36.664999999999999</v>
      </c>
      <c r="D12" s="2">
        <f t="shared" ref="D12:J12" si="11">+D9+D10+D11</f>
        <v>-38.091999999999999</v>
      </c>
      <c r="E12" s="2">
        <f t="shared" si="11"/>
        <v>-20.772999999999996</v>
      </c>
      <c r="F12" s="2">
        <f t="shared" si="11"/>
        <v>-25.657000000000004</v>
      </c>
      <c r="G12" s="2">
        <f t="shared" si="11"/>
        <v>-43.622000000000014</v>
      </c>
      <c r="H12" s="2">
        <f t="shared" si="11"/>
        <v>-29.513000000000009</v>
      </c>
      <c r="I12" s="2">
        <f t="shared" si="11"/>
        <v>-3.7670000000000083</v>
      </c>
      <c r="J12" s="2">
        <f t="shared" si="11"/>
        <v>0</v>
      </c>
      <c r="O12" s="2">
        <f t="shared" ref="O12:AG12" si="12">+O9+O10+O11</f>
        <v>25.050000000000004</v>
      </c>
      <c r="P12" s="2">
        <f t="shared" si="12"/>
        <v>17.094000000000015</v>
      </c>
      <c r="Q12" s="2">
        <f t="shared" si="12"/>
        <v>1.8629999999999951</v>
      </c>
      <c r="R12" s="2">
        <f t="shared" si="12"/>
        <v>2.472999999999999</v>
      </c>
      <c r="S12" s="2">
        <f t="shared" si="12"/>
        <v>12.165999999999984</v>
      </c>
      <c r="T12" s="2">
        <f t="shared" si="12"/>
        <v>20.946999999999978</v>
      </c>
      <c r="U12" s="2">
        <f t="shared" si="12"/>
        <v>-109.938</v>
      </c>
      <c r="V12" s="2">
        <f t="shared" si="12"/>
        <v>-121.187</v>
      </c>
      <c r="W12" s="2">
        <f t="shared" si="12"/>
        <v>-80.668999999999954</v>
      </c>
      <c r="X12" s="2">
        <f t="shared" si="12"/>
        <v>-69.566193007302729</v>
      </c>
      <c r="Y12" s="2">
        <f t="shared" si="12"/>
        <v>-53.586341648892073</v>
      </c>
      <c r="Z12" s="2">
        <f t="shared" si="12"/>
        <v>-11.817743133399176</v>
      </c>
      <c r="AA12" s="2">
        <f t="shared" si="12"/>
        <v>57.790990560092688</v>
      </c>
      <c r="AB12" s="2">
        <f t="shared" si="12"/>
        <v>119.0196598564975</v>
      </c>
      <c r="AC12" s="2">
        <f t="shared" si="12"/>
        <v>170.19632346354967</v>
      </c>
      <c r="AD12" s="2">
        <f t="shared" si="12"/>
        <v>228.98405958583086</v>
      </c>
      <c r="AE12" s="2">
        <f t="shared" si="12"/>
        <v>270.66922592106027</v>
      </c>
      <c r="AF12" s="2">
        <f t="shared" si="12"/>
        <v>317.22941113161653</v>
      </c>
      <c r="AG12" s="2">
        <f t="shared" si="12"/>
        <v>369.14628333968938</v>
      </c>
      <c r="DU12" s="2" t="s">
        <v>46</v>
      </c>
    </row>
    <row r="13" spans="2:125" s="2" customFormat="1" x14ac:dyDescent="0.25">
      <c r="B13" s="2" t="s">
        <v>30</v>
      </c>
      <c r="C13" s="2">
        <v>-2.8010000000000002</v>
      </c>
      <c r="D13" s="2">
        <v>-2.3570000000000002</v>
      </c>
      <c r="E13" s="2">
        <v>2.5070000000000001</v>
      </c>
      <c r="F13" s="2">
        <f>V13-E13-D13-C13</f>
        <v>0.63200000000000056</v>
      </c>
      <c r="G13" s="2">
        <v>-0.14899999999999999</v>
      </c>
      <c r="H13" s="2">
        <v>-0.96399999999999997</v>
      </c>
      <c r="I13" s="2">
        <v>1.732</v>
      </c>
      <c r="O13" s="2">
        <v>2.8</v>
      </c>
      <c r="P13" s="2">
        <v>-2.649</v>
      </c>
      <c r="Q13" s="2">
        <v>-3.2</v>
      </c>
      <c r="R13" s="2">
        <v>10.002000000000001</v>
      </c>
      <c r="S13" s="2">
        <v>0.61599999999999999</v>
      </c>
      <c r="T13" s="2">
        <v>2.19</v>
      </c>
      <c r="U13" s="2">
        <v>-9.8000000000000007</v>
      </c>
      <c r="V13" s="2">
        <v>-2.0190000000000001</v>
      </c>
      <c r="W13" s="2">
        <f>+G13+H13+I13+I13</f>
        <v>2.351</v>
      </c>
      <c r="X13" s="2">
        <f>X12*X29</f>
        <v>-1.3913238601460547</v>
      </c>
      <c r="Y13" s="2">
        <f t="shared" ref="Y13:AG13" si="13">Y12*Y29</f>
        <v>-1.0717268329778415</v>
      </c>
      <c r="Z13" s="2">
        <f t="shared" si="13"/>
        <v>-0.35453229400197528</v>
      </c>
      <c r="AA13" s="2">
        <f t="shared" si="13"/>
        <v>1.7337297168027805</v>
      </c>
      <c r="AB13" s="2">
        <f t="shared" si="13"/>
        <v>3.9276487752644176</v>
      </c>
      <c r="AC13" s="2">
        <f t="shared" si="13"/>
        <v>6.8078529385419868</v>
      </c>
      <c r="AD13" s="2">
        <f t="shared" si="13"/>
        <v>9.1593623834332352</v>
      </c>
      <c r="AE13" s="2">
        <f t="shared" si="13"/>
        <v>10.826769036842411</v>
      </c>
      <c r="AF13" s="2">
        <f t="shared" si="13"/>
        <v>12.689176445264662</v>
      </c>
      <c r="AG13" s="2">
        <f t="shared" si="13"/>
        <v>14.765851333587575</v>
      </c>
      <c r="DU13" s="2" t="s">
        <v>46</v>
      </c>
    </row>
    <row r="14" spans="2:125" s="3" customFormat="1" x14ac:dyDescent="0.25">
      <c r="B14" s="3" t="s">
        <v>31</v>
      </c>
      <c r="C14" s="3">
        <f t="shared" ref="C14:J14" si="14">+C9+C10+C11-C13</f>
        <v>-33.863999999999997</v>
      </c>
      <c r="D14" s="3">
        <f t="shared" si="14"/>
        <v>-35.734999999999999</v>
      </c>
      <c r="E14" s="3">
        <f t="shared" si="14"/>
        <v>-23.279999999999998</v>
      </c>
      <c r="F14" s="3">
        <f t="shared" si="14"/>
        <v>-26.289000000000005</v>
      </c>
      <c r="G14" s="3">
        <f t="shared" si="14"/>
        <v>-43.473000000000013</v>
      </c>
      <c r="H14" s="3">
        <f t="shared" si="14"/>
        <v>-28.54900000000001</v>
      </c>
      <c r="I14" s="3">
        <f t="shared" si="14"/>
        <v>-5.4990000000000085</v>
      </c>
      <c r="J14" s="3">
        <f t="shared" si="14"/>
        <v>0</v>
      </c>
      <c r="O14" s="3">
        <f t="shared" ref="O14:W14" si="15">+O9+O10+O11-O13</f>
        <v>22.250000000000004</v>
      </c>
      <c r="P14" s="3">
        <f t="shared" si="15"/>
        <v>19.743000000000016</v>
      </c>
      <c r="Q14" s="3">
        <f t="shared" si="15"/>
        <v>5.0629999999999953</v>
      </c>
      <c r="R14" s="3">
        <f t="shared" si="15"/>
        <v>-7.5290000000000017</v>
      </c>
      <c r="S14" s="3">
        <f t="shared" si="15"/>
        <v>11.549999999999985</v>
      </c>
      <c r="T14" s="3">
        <f t="shared" si="15"/>
        <v>18.756999999999977</v>
      </c>
      <c r="U14" s="3">
        <f t="shared" si="15"/>
        <v>-100.13800000000001</v>
      </c>
      <c r="V14" s="3">
        <f t="shared" si="15"/>
        <v>-119.16799999999999</v>
      </c>
      <c r="W14" s="3">
        <f t="shared" si="15"/>
        <v>-83.019999999999953</v>
      </c>
      <c r="X14" s="3">
        <f t="shared" ref="X14:AG14" si="16">+X9+X10+X11-X13</f>
        <v>-68.17486914715667</v>
      </c>
      <c r="Y14" s="3">
        <f t="shared" si="16"/>
        <v>-52.514614815914229</v>
      </c>
      <c r="Z14" s="3">
        <f t="shared" si="16"/>
        <v>-11.463210839397201</v>
      </c>
      <c r="AA14" s="3">
        <f t="shared" si="16"/>
        <v>56.05726084328991</v>
      </c>
      <c r="AB14" s="3">
        <f t="shared" si="16"/>
        <v>115.09201108123308</v>
      </c>
      <c r="AC14" s="3">
        <f t="shared" si="16"/>
        <v>163.38847052500768</v>
      </c>
      <c r="AD14" s="3">
        <f t="shared" si="16"/>
        <v>219.82469720239763</v>
      </c>
      <c r="AE14" s="3">
        <f t="shared" si="16"/>
        <v>259.84245688421788</v>
      </c>
      <c r="AF14" s="3">
        <f t="shared" si="16"/>
        <v>304.54023468635188</v>
      </c>
      <c r="AG14" s="3">
        <f t="shared" si="16"/>
        <v>354.38043200610178</v>
      </c>
      <c r="AH14" s="3">
        <f>AG14*(1+Dash!$C$2)</f>
        <v>350.83662768604074</v>
      </c>
      <c r="AI14" s="3">
        <f>AH14*(1+Dash!$C$2)</f>
        <v>347.32826140918036</v>
      </c>
      <c r="AJ14" s="3">
        <f>AI14*(1+Dash!$C$2)</f>
        <v>343.85497879508853</v>
      </c>
      <c r="AK14" s="3">
        <f>AJ14*(1+Dash!$C$2)</f>
        <v>340.41642900713765</v>
      </c>
      <c r="AL14" s="3">
        <f>AK14*(1+Dash!$C$2)</f>
        <v>337.01226471706627</v>
      </c>
      <c r="AM14" s="3">
        <f>AL14*(1+Dash!$C$2)</f>
        <v>333.64214206989561</v>
      </c>
      <c r="AN14" s="3">
        <f>AM14*(1+Dash!$C$2)</f>
        <v>330.30572064919664</v>
      </c>
      <c r="AO14" s="3">
        <f>AN14*(1+Dash!$C$2)</f>
        <v>327.00266344270466</v>
      </c>
      <c r="AP14" s="3">
        <f>AO14*(1+Dash!$C$2)</f>
        <v>323.73263680827762</v>
      </c>
      <c r="AQ14" s="3">
        <f>AP14*(1+Dash!$C$2)</f>
        <v>320.49531044019483</v>
      </c>
      <c r="AR14" s="3">
        <f>AQ14*(1+Dash!$C$2)</f>
        <v>317.29035733579286</v>
      </c>
      <c r="AS14" s="3">
        <f>AR14*(1+Dash!$C$2)</f>
        <v>314.11745376243493</v>
      </c>
      <c r="AT14" s="3">
        <f>AS14*(1+Dash!$C$2)</f>
        <v>310.97627922481058</v>
      </c>
      <c r="AU14" s="3">
        <f>AT14*(1+Dash!$C$2)</f>
        <v>307.86651643256249</v>
      </c>
      <c r="AV14" s="3">
        <f>AU14*(1+Dash!$C$2)</f>
        <v>304.78785126823686</v>
      </c>
      <c r="AW14" s="3">
        <f>AV14*(1+Dash!$C$2)</f>
        <v>301.7399727555545</v>
      </c>
      <c r="AX14" s="3">
        <f>AW14*(1+Dash!$C$2)</f>
        <v>298.72257302799898</v>
      </c>
      <c r="AY14" s="3">
        <f>AX14*(1+Dash!$C$2)</f>
        <v>295.73534729771899</v>
      </c>
      <c r="AZ14" s="3">
        <f>AY14*(1+Dash!$C$2)</f>
        <v>292.77799382474177</v>
      </c>
      <c r="BA14" s="3">
        <f>AZ14*(1+Dash!$C$2)</f>
        <v>289.85021388649437</v>
      </c>
      <c r="BB14" s="3">
        <f>BA14*(1+Dash!$C$2)</f>
        <v>286.95171174762942</v>
      </c>
      <c r="BC14" s="3">
        <f>BB14*(1+Dash!$C$2)</f>
        <v>284.08219463015314</v>
      </c>
      <c r="BD14" s="3">
        <f>BC14*(1+Dash!$C$2)</f>
        <v>281.24137268385158</v>
      </c>
      <c r="BE14" s="3">
        <f>BD14*(1+Dash!$C$2)</f>
        <v>278.42895895701304</v>
      </c>
      <c r="BF14" s="3">
        <f>BE14*(1+Dash!$C$2)</f>
        <v>275.64466936744293</v>
      </c>
      <c r="BG14" s="3">
        <f>BF14*(1+Dash!$C$2)</f>
        <v>272.8882226737685</v>
      </c>
      <c r="BH14" s="3">
        <f>BG14*(1+Dash!$C$2)</f>
        <v>270.15934044703079</v>
      </c>
      <c r="BI14" s="3">
        <f>BH14*(1+Dash!$C$2)</f>
        <v>267.45774704256047</v>
      </c>
      <c r="BJ14" s="3">
        <f>BI14*(1+Dash!$C$2)</f>
        <v>264.78316957213485</v>
      </c>
      <c r="BK14" s="3">
        <f>BJ14*(1+Dash!$C$2)</f>
        <v>262.13533787641347</v>
      </c>
      <c r="BL14" s="3">
        <f>BK14*(1+Dash!$C$2)</f>
        <v>259.51398449764935</v>
      </c>
      <c r="BM14" s="3">
        <f>BL14*(1+Dash!$C$2)</f>
        <v>256.91884465267287</v>
      </c>
      <c r="BN14" s="3">
        <f>BM14*(1+Dash!$C$2)</f>
        <v>254.34965620614614</v>
      </c>
      <c r="BO14" s="3">
        <f>BN14*(1+Dash!$C$2)</f>
        <v>251.80615964408466</v>
      </c>
      <c r="BP14" s="3">
        <f>BO14*(1+Dash!$C$2)</f>
        <v>249.28809804764381</v>
      </c>
      <c r="BQ14" s="3">
        <f>BP14*(1+Dash!$C$2)</f>
        <v>246.79521706716739</v>
      </c>
      <c r="BR14" s="3">
        <f>BQ14*(1+Dash!$C$2)</f>
        <v>244.32726489649571</v>
      </c>
      <c r="BS14" s="3">
        <f>BR14*(1+Dash!$C$2)</f>
        <v>241.88399224753076</v>
      </c>
      <c r="BT14" s="3">
        <f>BS14*(1+Dash!$C$2)</f>
        <v>239.46515232505544</v>
      </c>
      <c r="BU14" s="3">
        <f>BT14*(1+Dash!$C$2)</f>
        <v>237.07050080180488</v>
      </c>
      <c r="BV14" s="3">
        <f>BU14*(1+Dash!$C$2)</f>
        <v>234.69979579378682</v>
      </c>
      <c r="BW14" s="3">
        <f>BV14*(1+Dash!$C$2)</f>
        <v>232.35279783584895</v>
      </c>
      <c r="BX14" s="3">
        <f>BW14*(1+Dash!$C$2)</f>
        <v>230.02926985749045</v>
      </c>
      <c r="BY14" s="3">
        <f>BX14*(1+Dash!$C$2)</f>
        <v>227.72897715891554</v>
      </c>
      <c r="BZ14" s="3">
        <f>BY14*(1+Dash!$C$2)</f>
        <v>225.45168738732639</v>
      </c>
      <c r="CA14" s="3">
        <f>BZ14*(1+Dash!$C$2)</f>
        <v>223.19717051345313</v>
      </c>
      <c r="CB14" s="3">
        <f>CA14*(1+Dash!$C$2)</f>
        <v>220.9651988083186</v>
      </c>
      <c r="CC14" s="3">
        <f>CB14*(1+Dash!$C$2)</f>
        <v>218.75554682023542</v>
      </c>
      <c r="CD14" s="3">
        <f>CC14*(1+Dash!$C$2)</f>
        <v>216.56799135203306</v>
      </c>
      <c r="CE14" s="3">
        <f>CD14*(1+Dash!$C$2)</f>
        <v>214.40231143851273</v>
      </c>
      <c r="CF14" s="3">
        <f>CE14*(1+Dash!$C$2)</f>
        <v>212.25828832412759</v>
      </c>
      <c r="CG14" s="3">
        <f>CF14*(1+Dash!$C$2)</f>
        <v>210.13570544088631</v>
      </c>
      <c r="CH14" s="3">
        <f>CG14*(1+Dash!$C$2)</f>
        <v>208.03434838647746</v>
      </c>
      <c r="CI14" s="3">
        <f>CH14*(1+Dash!$C$2)</f>
        <v>205.9540049026127</v>
      </c>
      <c r="CJ14" s="3">
        <f>CI14*(1+Dash!$C$2)</f>
        <v>203.89446485358656</v>
      </c>
      <c r="CK14" s="3">
        <f>CJ14*(1+Dash!$C$2)</f>
        <v>201.85552020505068</v>
      </c>
      <c r="CL14" s="3">
        <f>CK14*(1+Dash!$C$2)</f>
        <v>199.83696500300016</v>
      </c>
      <c r="CM14" s="3">
        <f>CL14*(1+Dash!$C$2)</f>
        <v>197.83859535297015</v>
      </c>
      <c r="CN14" s="3">
        <f>CM14*(1+Dash!$C$2)</f>
        <v>195.86020939944044</v>
      </c>
      <c r="CO14" s="3">
        <f>CN14*(1+Dash!$C$2)</f>
        <v>193.90160730544602</v>
      </c>
      <c r="CP14" s="3">
        <f>CO14*(1+Dash!$C$2)</f>
        <v>191.96259123239156</v>
      </c>
      <c r="CQ14" s="3">
        <f>CP14*(1+Dash!$C$2)</f>
        <v>190.04296532006765</v>
      </c>
      <c r="CR14" s="3">
        <f>CQ14*(1+Dash!$C$2)</f>
        <v>188.14253566686696</v>
      </c>
      <c r="CS14" s="3">
        <f>CR14*(1+Dash!$C$2)</f>
        <v>186.26111031019829</v>
      </c>
      <c r="CT14" s="3">
        <f>CS14*(1+Dash!$C$2)</f>
        <v>184.39849920709631</v>
      </c>
      <c r="CU14" s="3">
        <f>CT14*(1+Dash!$C$2)</f>
        <v>182.55451421502534</v>
      </c>
      <c r="CV14" s="3">
        <f>CU14*(1+Dash!$C$2)</f>
        <v>180.72896907287509</v>
      </c>
      <c r="CW14" s="3">
        <f>CV14*(1+Dash!$C$2)</f>
        <v>178.92167938214632</v>
      </c>
      <c r="CX14" s="3">
        <f>CW14*(1+Dash!$C$2)</f>
        <v>177.13246258832487</v>
      </c>
      <c r="CY14" s="3">
        <f>CX14*(1+Dash!$C$2)</f>
        <v>175.36113796244163</v>
      </c>
      <c r="CZ14" s="3">
        <f>CY14*(1+Dash!$C$2)</f>
        <v>173.6075265828172</v>
      </c>
      <c r="DA14" s="3">
        <f>CZ14*(1+Dash!$C$2)</f>
        <v>171.87145131698904</v>
      </c>
      <c r="DB14" s="3">
        <f>DA14*(1+Dash!$C$2)</f>
        <v>170.15273680381915</v>
      </c>
      <c r="DC14" s="3">
        <f>DB14*(1+Dash!$C$2)</f>
        <v>168.45120943578095</v>
      </c>
      <c r="DD14" s="3">
        <f>DC14*(1+Dash!$C$2)</f>
        <v>166.76669734142314</v>
      </c>
      <c r="DE14" s="3">
        <f>DD14*(1+Dash!$C$2)</f>
        <v>165.0990303680089</v>
      </c>
      <c r="DF14" s="3">
        <f>DE14*(1+Dash!$C$2)</f>
        <v>163.44804006432881</v>
      </c>
      <c r="DG14" s="3">
        <f>DF14*(1+Dash!$C$2)</f>
        <v>161.81355966368551</v>
      </c>
      <c r="DH14" s="3">
        <f>DG14*(1+Dash!$C$2)</f>
        <v>160.19542406704866</v>
      </c>
      <c r="DI14" s="3">
        <f>DH14*(1+Dash!$C$2)</f>
        <v>158.59346982637817</v>
      </c>
      <c r="DJ14" s="3">
        <f>DI14*(1+Dash!$C$2)</f>
        <v>157.0075351281144</v>
      </c>
      <c r="DK14" s="3">
        <f>DJ14*(1+Dash!$C$2)</f>
        <v>155.43745977683326</v>
      </c>
      <c r="DL14" s="3">
        <f>DK14*(1+Dash!$C$2)</f>
        <v>153.88308517906492</v>
      </c>
      <c r="DM14" s="3">
        <f>DL14*(1+Dash!$C$2)</f>
        <v>152.34425432727426</v>
      </c>
      <c r="DN14" s="3">
        <f>DM14*(1+Dash!$C$2)</f>
        <v>150.82081178400151</v>
      </c>
      <c r="DO14" s="3">
        <f>DN14*(1+Dash!$C$2)</f>
        <v>149.31260366616149</v>
      </c>
      <c r="DP14" s="3">
        <f>DO14*(1+Dash!$C$2)</f>
        <v>147.81947762949989</v>
      </c>
      <c r="DQ14" s="3">
        <f>DP14*(1+Dash!$C$2)</f>
        <v>146.34128285320489</v>
      </c>
      <c r="DR14" s="3">
        <f>DQ14*(1+Dash!$C$2)</f>
        <v>144.87787002467283</v>
      </c>
      <c r="DS14" s="3">
        <f>DR14*(1+Dash!$C$2)</f>
        <v>143.42909132442611</v>
      </c>
      <c r="DT14" s="3">
        <f>DS14*(1+Dash!$C$2)</f>
        <v>141.99480041118184</v>
      </c>
      <c r="DU14" s="3" t="s">
        <v>46</v>
      </c>
    </row>
    <row r="15" spans="2:125" s="2" customFormat="1" x14ac:dyDescent="0.25">
      <c r="B15" s="2" t="s">
        <v>1</v>
      </c>
      <c r="C15" s="2">
        <v>49.865000000000002</v>
      </c>
      <c r="D15" s="2">
        <v>50.064</v>
      </c>
      <c r="E15" s="2">
        <v>50.11</v>
      </c>
      <c r="F15" s="2">
        <v>50.109400000000001</v>
      </c>
      <c r="G15" s="2">
        <v>50.756999999999998</v>
      </c>
      <c r="H15" s="2">
        <v>51.195</v>
      </c>
      <c r="I15" s="2">
        <v>53.045000000000002</v>
      </c>
      <c r="O15" s="2">
        <v>44.716999999999999</v>
      </c>
      <c r="P15" s="2">
        <v>44.917000000000002</v>
      </c>
      <c r="Q15" s="2">
        <v>45.649970000000003</v>
      </c>
      <c r="R15" s="2">
        <v>44.576900000000002</v>
      </c>
      <c r="S15" s="2">
        <v>45.378</v>
      </c>
      <c r="T15" s="2">
        <v>47.44</v>
      </c>
      <c r="U15" s="2">
        <v>49.737000000000002</v>
      </c>
      <c r="V15" s="2">
        <v>50.109400000000001</v>
      </c>
      <c r="W15" s="2">
        <v>53.045000000000002</v>
      </c>
      <c r="X15" s="2">
        <v>53.045000000000002</v>
      </c>
      <c r="Y15" s="2">
        <v>53.045000000000002</v>
      </c>
      <c r="Z15" s="2">
        <v>53.045000000000002</v>
      </c>
      <c r="AA15" s="2">
        <v>53.045000000000002</v>
      </c>
      <c r="AB15" s="2">
        <v>53.045000000000002</v>
      </c>
      <c r="AC15" s="2">
        <v>53.045000000000002</v>
      </c>
      <c r="AD15" s="2">
        <v>53.045000000000002</v>
      </c>
      <c r="AE15" s="2">
        <v>53.045000000000002</v>
      </c>
      <c r="AF15" s="2">
        <v>53.045000000000002</v>
      </c>
      <c r="AG15" s="2">
        <v>53.045000000000002</v>
      </c>
      <c r="DU15" s="2" t="s">
        <v>46</v>
      </c>
    </row>
    <row r="16" spans="2:125" s="4" customFormat="1" x14ac:dyDescent="0.25">
      <c r="B16" s="4" t="s">
        <v>32</v>
      </c>
      <c r="C16" s="4">
        <f t="shared" ref="C16:J16" si="17">+C14/C15</f>
        <v>-0.67911360673819299</v>
      </c>
      <c r="D16" s="4">
        <f t="shared" si="17"/>
        <v>-0.71378635346756147</v>
      </c>
      <c r="E16" s="4">
        <f t="shared" si="17"/>
        <v>-0.46457792855717417</v>
      </c>
      <c r="F16" s="4">
        <f t="shared" si="17"/>
        <v>-0.52463210495435997</v>
      </c>
      <c r="G16" s="4">
        <f t="shared" si="17"/>
        <v>-0.85649270051421511</v>
      </c>
      <c r="H16" s="4">
        <f t="shared" si="17"/>
        <v>-0.55765211446430329</v>
      </c>
      <c r="I16" s="4">
        <f t="shared" si="17"/>
        <v>-0.10366669808653046</v>
      </c>
      <c r="J16" s="4" t="e">
        <f t="shared" si="17"/>
        <v>#DIV/0!</v>
      </c>
      <c r="O16" s="4">
        <f t="shared" ref="O16:W16" si="18">+O14/O15</f>
        <v>0.49757362971576813</v>
      </c>
      <c r="P16" s="4">
        <f t="shared" si="18"/>
        <v>0.43954404791059098</v>
      </c>
      <c r="Q16" s="4">
        <f t="shared" si="18"/>
        <v>0.11090916379572636</v>
      </c>
      <c r="R16" s="4">
        <f t="shared" si="18"/>
        <v>-0.16889913834295345</v>
      </c>
      <c r="S16" s="4">
        <f t="shared" si="18"/>
        <v>0.25452862620653144</v>
      </c>
      <c r="T16" s="4">
        <f t="shared" si="18"/>
        <v>0.39538364249578367</v>
      </c>
      <c r="U16" s="4">
        <f t="shared" si="18"/>
        <v>-2.013350222168607</v>
      </c>
      <c r="V16" s="4">
        <f t="shared" si="18"/>
        <v>-2.3781565933736983</v>
      </c>
      <c r="W16" s="4">
        <f t="shared" si="18"/>
        <v>-1.5650862475256848</v>
      </c>
      <c r="X16" s="4">
        <f t="shared" ref="X16" si="19">+X14/X15</f>
        <v>-1.2852270552767775</v>
      </c>
      <c r="Y16" s="4">
        <f t="shared" ref="Y16" si="20">+Y14/Y15</f>
        <v>-0.99000122190431195</v>
      </c>
      <c r="Z16" s="4">
        <f t="shared" ref="Z16" si="21">+Z14/Z15</f>
        <v>-0.21610351285507023</v>
      </c>
      <c r="AA16" s="4">
        <f t="shared" ref="AA16" si="22">+AA14/AA15</f>
        <v>1.0567868949625772</v>
      </c>
      <c r="AB16" s="4">
        <f t="shared" ref="AB16" si="23">+AB14/AB15</f>
        <v>2.1697051763829407</v>
      </c>
      <c r="AC16" s="4">
        <f t="shared" ref="AC16" si="24">+AC14/AC15</f>
        <v>3.0801860783298647</v>
      </c>
      <c r="AD16" s="4">
        <f t="shared" ref="AD16" si="25">+AD14/AD15</f>
        <v>4.1441172061909253</v>
      </c>
      <c r="AE16" s="4">
        <f t="shared" ref="AE16" si="26">+AE14/AE15</f>
        <v>4.8985287375665543</v>
      </c>
      <c r="AF16" s="4">
        <f t="shared" ref="AF16" si="27">+AF14/AF15</f>
        <v>5.741167587639775</v>
      </c>
      <c r="AG16" s="4">
        <f t="shared" ref="AG16" si="28">+AG14/AG15</f>
        <v>6.6807509097200821</v>
      </c>
      <c r="DU16" s="4" t="s">
        <v>46</v>
      </c>
    </row>
    <row r="17" spans="1:125" x14ac:dyDescent="0.25">
      <c r="DU17" s="2" t="s">
        <v>46</v>
      </c>
    </row>
    <row r="18" spans="1:125" s="2" customFormat="1" x14ac:dyDescent="0.25">
      <c r="B18" s="2" t="s">
        <v>3</v>
      </c>
      <c r="I18" s="2">
        <f>116.446+29.524</f>
        <v>145.97</v>
      </c>
      <c r="O18" s="2">
        <f>39.679+8.335+47.788</f>
        <v>95.801999999999992</v>
      </c>
      <c r="P18" s="2">
        <f>206.9+8.46</f>
        <v>215.36</v>
      </c>
      <c r="Q18" s="2">
        <f>135.416+9.015</f>
        <v>144.43099999999998</v>
      </c>
      <c r="R18" s="2">
        <f>96.44+7.057</f>
        <v>103.497</v>
      </c>
      <c r="S18" s="2">
        <f>113.4+8.75</f>
        <v>122.15</v>
      </c>
      <c r="T18" s="2">
        <f>101.579+7.679</f>
        <v>109.258</v>
      </c>
      <c r="U18" s="2">
        <f>187.53+16.984</f>
        <v>204.51400000000001</v>
      </c>
      <c r="V18" s="2">
        <f>150.75+21.94</f>
        <v>172.69</v>
      </c>
      <c r="DU18" s="2" t="s">
        <v>46</v>
      </c>
    </row>
    <row r="19" spans="1:125" s="2" customFormat="1" x14ac:dyDescent="0.25">
      <c r="B19" s="2" t="s">
        <v>4</v>
      </c>
      <c r="I19" s="2">
        <f>56.77+24.08+534.677</f>
        <v>615.52700000000004</v>
      </c>
      <c r="O19" s="2">
        <f>20.02+4.934+51.756</f>
        <v>76.710000000000008</v>
      </c>
      <c r="P19" s="2">
        <f>25.968+1.75+162.693</f>
        <v>190.411</v>
      </c>
      <c r="Q19" s="2">
        <f>30.662+1.75+164.128</f>
        <v>196.54</v>
      </c>
      <c r="R19" s="2">
        <f>30.422+1.75+164.186</f>
        <v>196.358</v>
      </c>
      <c r="S19" s="2">
        <f>33.944+2+188.089</f>
        <v>224.03300000000002</v>
      </c>
      <c r="T19" s="2">
        <f>38.231+4.525+213.543</f>
        <v>256.29899999999998</v>
      </c>
      <c r="U19" s="2">
        <f>22.34+11.25+471.359</f>
        <v>504.94899999999996</v>
      </c>
      <c r="V19" s="2">
        <f>49.252+26.061+518.658</f>
        <v>593.971</v>
      </c>
      <c r="DU19" s="2" t="s">
        <v>46</v>
      </c>
    </row>
    <row r="20" spans="1:125" s="2" customFormat="1" x14ac:dyDescent="0.25">
      <c r="B20" s="2" t="s">
        <v>21</v>
      </c>
      <c r="I20" s="2">
        <v>540.38499999999999</v>
      </c>
      <c r="O20" s="2">
        <v>121.873</v>
      </c>
      <c r="P20" s="2">
        <v>125.47</v>
      </c>
      <c r="Q20" s="2">
        <v>186.23599999999999</v>
      </c>
      <c r="R20" s="2">
        <v>250.95</v>
      </c>
      <c r="S20" s="2">
        <v>285.97899999999998</v>
      </c>
      <c r="T20" s="2">
        <v>357.79</v>
      </c>
      <c r="U20" s="2">
        <v>482.67</v>
      </c>
      <c r="V20" s="2">
        <v>542.41800000000001</v>
      </c>
      <c r="DU20" s="2" t="s">
        <v>46</v>
      </c>
    </row>
    <row r="21" spans="1:125" s="3" customFormat="1" x14ac:dyDescent="0.25">
      <c r="B21" s="3" t="s">
        <v>34</v>
      </c>
      <c r="I21" s="3">
        <f>+I18-I19</f>
        <v>-469.55700000000002</v>
      </c>
      <c r="O21" s="3">
        <f>+O18-O19</f>
        <v>19.091999999999985</v>
      </c>
      <c r="P21" s="3">
        <f>+P18-P19</f>
        <v>24.949000000000012</v>
      </c>
      <c r="Q21" s="3">
        <f>+Q18-Q19</f>
        <v>-52.109000000000009</v>
      </c>
      <c r="R21" s="3">
        <f>+R18-R19</f>
        <v>-92.861000000000004</v>
      </c>
      <c r="S21" s="3">
        <f t="shared" ref="S21:V21" si="29">+S18-S19</f>
        <v>-101.88300000000001</v>
      </c>
      <c r="T21" s="3">
        <f t="shared" si="29"/>
        <v>-147.041</v>
      </c>
      <c r="U21" s="3">
        <f t="shared" si="29"/>
        <v>-300.43499999999995</v>
      </c>
      <c r="V21" s="3">
        <f t="shared" si="29"/>
        <v>-421.28100000000001</v>
      </c>
      <c r="W21" s="3">
        <v>-485</v>
      </c>
      <c r="X21" s="3">
        <f>W21+X14</f>
        <v>-553.17486914715664</v>
      </c>
      <c r="Y21" s="3">
        <f t="shared" ref="Y21:AG21" si="30">X21+Y14</f>
        <v>-605.68948396307087</v>
      </c>
      <c r="Z21" s="3">
        <f t="shared" si="30"/>
        <v>-617.15269480246809</v>
      </c>
      <c r="AA21" s="3">
        <f t="shared" si="30"/>
        <v>-561.09543395917819</v>
      </c>
      <c r="AB21" s="3">
        <f t="shared" si="30"/>
        <v>-446.00342287794513</v>
      </c>
      <c r="AC21" s="3">
        <f t="shared" si="30"/>
        <v>-282.61495235293745</v>
      </c>
      <c r="AD21" s="3">
        <f t="shared" si="30"/>
        <v>-62.790255150539821</v>
      </c>
      <c r="AE21" s="3">
        <f t="shared" si="30"/>
        <v>197.05220173367806</v>
      </c>
      <c r="AF21" s="3">
        <f t="shared" si="30"/>
        <v>501.59243642002991</v>
      </c>
      <c r="AG21" s="3">
        <f t="shared" si="30"/>
        <v>855.97286842613175</v>
      </c>
      <c r="DU21" s="3" t="s">
        <v>46</v>
      </c>
    </row>
    <row r="22" spans="1:125" s="2" customFormat="1" x14ac:dyDescent="0.25">
      <c r="DU22" s="2" t="s">
        <v>46</v>
      </c>
    </row>
    <row r="23" spans="1:125" x14ac:dyDescent="0.25">
      <c r="DU23" s="2" t="s">
        <v>46</v>
      </c>
    </row>
    <row r="24" spans="1:125" s="2" customFormat="1" x14ac:dyDescent="0.25">
      <c r="B24" s="2" t="s">
        <v>33</v>
      </c>
      <c r="O24" s="2">
        <v>3.9889999999999999</v>
      </c>
      <c r="P24" s="2">
        <f>11.045+41.879</f>
        <v>52.923999999999999</v>
      </c>
      <c r="Q24" s="2">
        <f>1.75+1.565</f>
        <v>3.3149999999999999</v>
      </c>
      <c r="R24" s="2">
        <f>1.75+0.418</f>
        <v>2.1680000000000001</v>
      </c>
      <c r="S24" s="2">
        <f>171.625+6.49</f>
        <v>178.11500000000001</v>
      </c>
      <c r="T24" s="2">
        <f>2+2.372</f>
        <v>4.3719999999999999</v>
      </c>
      <c r="U24" s="2">
        <f>2.842+6.97</f>
        <v>9.8119999999999994</v>
      </c>
      <c r="V24" s="2">
        <f>5.957+3.135</f>
        <v>9.0919999999999987</v>
      </c>
      <c r="DU24" s="2" t="s">
        <v>46</v>
      </c>
    </row>
    <row r="25" spans="1:125" x14ac:dyDescent="0.25">
      <c r="DU25" s="2" t="s">
        <v>46</v>
      </c>
    </row>
    <row r="26" spans="1:125" s="7" customFormat="1" x14ac:dyDescent="0.25">
      <c r="A26" s="7" t="s">
        <v>42</v>
      </c>
      <c r="B26" s="7" t="s">
        <v>17</v>
      </c>
      <c r="P26" s="7">
        <f t="shared" ref="P26:W26" si="31">P3/O3-1</f>
        <v>5.8077487037625053E-2</v>
      </c>
      <c r="Q26" s="7">
        <f t="shared" si="31"/>
        <v>0.15411100792913768</v>
      </c>
      <c r="R26" s="7">
        <f t="shared" si="31"/>
        <v>9.9683922986143925E-2</v>
      </c>
      <c r="S26" s="7">
        <f t="shared" si="31"/>
        <v>0.16221144898387996</v>
      </c>
      <c r="T26" s="7">
        <f t="shared" si="31"/>
        <v>0.10769240703313154</v>
      </c>
      <c r="U26" s="7">
        <f t="shared" si="31"/>
        <v>-0.75995802850563998</v>
      </c>
      <c r="V26" s="7">
        <f t="shared" si="31"/>
        <v>0.7862329399193746</v>
      </c>
      <c r="W26" s="7">
        <f t="shared" si="31"/>
        <v>2.0476184002120905</v>
      </c>
      <c r="X26" s="7">
        <v>0.4</v>
      </c>
      <c r="Y26" s="7">
        <v>0.25</v>
      </c>
      <c r="Z26" s="7">
        <v>0.12</v>
      </c>
      <c r="AA26" s="7">
        <v>0.12</v>
      </c>
      <c r="AB26" s="7">
        <v>0.08</v>
      </c>
      <c r="AC26" s="7">
        <v>0.05</v>
      </c>
      <c r="AD26" s="7">
        <v>0.05</v>
      </c>
      <c r="AE26" s="7">
        <v>0.05</v>
      </c>
      <c r="AF26" s="7">
        <v>0.05</v>
      </c>
      <c r="AG26" s="7">
        <v>0.05</v>
      </c>
      <c r="DU26" s="7" t="s">
        <v>46</v>
      </c>
    </row>
    <row r="27" spans="1:125" x14ac:dyDescent="0.25">
      <c r="DU27" s="2" t="s">
        <v>46</v>
      </c>
    </row>
    <row r="28" spans="1:125" s="8" customFormat="1" x14ac:dyDescent="0.25">
      <c r="A28" s="8" t="s">
        <v>42</v>
      </c>
      <c r="B28" s="8" t="s">
        <v>45</v>
      </c>
      <c r="P28" s="8">
        <f>P10/O21</f>
        <v>-0.57091975696626907</v>
      </c>
      <c r="Q28" s="8">
        <f>Q10/P21</f>
        <v>-0.40662952422942783</v>
      </c>
      <c r="R28" s="8">
        <f t="shared" ref="R28:T28" si="32">R10/Q21</f>
        <v>0.18683912567886543</v>
      </c>
      <c r="S28" s="8">
        <f t="shared" si="32"/>
        <v>0.11662592476927881</v>
      </c>
      <c r="T28" s="8">
        <f t="shared" si="32"/>
        <v>0.12060893377697947</v>
      </c>
      <c r="U28" s="8">
        <f>U10/T21</f>
        <v>0.11350575689773601</v>
      </c>
      <c r="V28" s="8">
        <f>V10/U21</f>
        <v>8.1808045001414628E-2</v>
      </c>
      <c r="W28" s="8">
        <f>W10/V21</f>
        <v>8.2768983172751678E-2</v>
      </c>
      <c r="X28" s="8">
        <v>8.5000000000000006E-2</v>
      </c>
      <c r="Y28" s="8">
        <v>8.5000000000000006E-2</v>
      </c>
      <c r="Z28" s="8">
        <v>8.5000000000000006E-2</v>
      </c>
      <c r="AA28" s="8">
        <v>8.5000000000000006E-2</v>
      </c>
      <c r="AB28" s="8">
        <v>8.5000000000000006E-2</v>
      </c>
      <c r="AC28" s="8">
        <v>8.5000000000000006E-2</v>
      </c>
      <c r="AD28" s="8">
        <v>8.5000000000000006E-2</v>
      </c>
      <c r="AE28" s="8">
        <v>8.5000000000000006E-2</v>
      </c>
      <c r="AF28" s="8">
        <v>8.5000000000000006E-2</v>
      </c>
      <c r="AG28" s="8">
        <v>8.5000000000000006E-2</v>
      </c>
      <c r="DU28" s="8" t="s">
        <v>46</v>
      </c>
    </row>
    <row r="29" spans="1:125" s="8" customFormat="1" x14ac:dyDescent="0.25">
      <c r="A29" s="8" t="s">
        <v>42</v>
      </c>
      <c r="B29" s="8" t="s">
        <v>43</v>
      </c>
      <c r="O29" s="8">
        <f>O13/O12</f>
        <v>0.11177644710578839</v>
      </c>
      <c r="P29" s="8">
        <f t="shared" ref="P29:W29" si="33">P13/P12</f>
        <v>-0.15496665496665482</v>
      </c>
      <c r="Q29" s="8">
        <f t="shared" si="33"/>
        <v>-1.7176596886741859</v>
      </c>
      <c r="R29" s="8">
        <f>R13/R12</f>
        <v>4.0444803881924809</v>
      </c>
      <c r="S29" s="8">
        <f t="shared" si="33"/>
        <v>5.0632911392405125E-2</v>
      </c>
      <c r="T29" s="8">
        <f t="shared" si="33"/>
        <v>0.10454957750513211</v>
      </c>
      <c r="U29" s="8">
        <f t="shared" si="33"/>
        <v>8.9141152285833844E-2</v>
      </c>
      <c r="V29" s="8">
        <f t="shared" si="33"/>
        <v>1.6660202827035904E-2</v>
      </c>
      <c r="W29" s="8">
        <f t="shared" si="33"/>
        <v>-2.9143785097125306E-2</v>
      </c>
      <c r="X29" s="8">
        <v>0.02</v>
      </c>
      <c r="Y29" s="8">
        <v>0.02</v>
      </c>
      <c r="Z29" s="8">
        <v>0.03</v>
      </c>
      <c r="AA29" s="8">
        <v>0.03</v>
      </c>
      <c r="AB29" s="8">
        <v>3.3000000000000002E-2</v>
      </c>
      <c r="AC29" s="8">
        <v>0.04</v>
      </c>
      <c r="AD29" s="8">
        <v>0.04</v>
      </c>
      <c r="AE29" s="8">
        <v>0.04</v>
      </c>
      <c r="AF29" s="8">
        <v>0.04</v>
      </c>
      <c r="AG29" s="8">
        <v>0.04</v>
      </c>
      <c r="DU29" s="8" t="s">
        <v>46</v>
      </c>
    </row>
    <row r="30" spans="1:125" x14ac:dyDescent="0.25">
      <c r="DU30" t="s">
        <v>46</v>
      </c>
    </row>
    <row r="31" spans="1:125" s="6" customFormat="1" x14ac:dyDescent="0.25">
      <c r="B31" s="6" t="s">
        <v>36</v>
      </c>
      <c r="C31" s="6">
        <f t="shared" ref="C31:J31" si="34">C5/C3</f>
        <v>-3.6511235955056178</v>
      </c>
      <c r="D31" s="6">
        <f t="shared" si="34"/>
        <v>-0.27014280099567672</v>
      </c>
      <c r="E31" s="6">
        <f t="shared" si="34"/>
        <v>0.29309997364627099</v>
      </c>
      <c r="F31" s="6">
        <f t="shared" si="34"/>
        <v>0.21873569881319219</v>
      </c>
      <c r="G31" s="6">
        <f t="shared" si="34"/>
        <v>0.14591009579955774</v>
      </c>
      <c r="H31" s="6">
        <f t="shared" si="34"/>
        <v>0.31250687493125068</v>
      </c>
      <c r="I31" s="6">
        <f t="shared" si="34"/>
        <v>0.39512235552516523</v>
      </c>
      <c r="J31" s="6" t="e">
        <f t="shared" si="34"/>
        <v>#DIV/0!</v>
      </c>
      <c r="O31" s="6">
        <f t="shared" ref="O31:AG31" si="35">O5/O3</f>
        <v>0.54650582740011788</v>
      </c>
      <c r="P31" s="6">
        <f t="shared" si="35"/>
        <v>0.54560087625306575</v>
      </c>
      <c r="Q31" s="6">
        <f t="shared" si="35"/>
        <v>0.50906142457478154</v>
      </c>
      <c r="R31" s="6">
        <f t="shared" si="35"/>
        <v>0.49146729504998049</v>
      </c>
      <c r="S31" s="6">
        <f t="shared" si="35"/>
        <v>0.50362892029935358</v>
      </c>
      <c r="T31" s="6">
        <f t="shared" si="35"/>
        <v>0.51441312775073589</v>
      </c>
      <c r="U31" s="6">
        <f t="shared" si="35"/>
        <v>0.1144421778619651</v>
      </c>
      <c r="V31" s="6">
        <f t="shared" si="35"/>
        <v>0.15378601969994632</v>
      </c>
      <c r="W31" s="6">
        <f t="shared" si="35"/>
        <v>0.34065389917158506</v>
      </c>
      <c r="X31" s="6">
        <f t="shared" si="35"/>
        <v>0.36312206460649782</v>
      </c>
      <c r="Y31" s="6">
        <f t="shared" si="35"/>
        <v>0.37163048091741435</v>
      </c>
      <c r="Z31" s="6">
        <f t="shared" si="35"/>
        <v>0.42514055666155404</v>
      </c>
      <c r="AA31" s="6">
        <f t="shared" si="35"/>
        <v>0.47202282469965312</v>
      </c>
      <c r="AB31" s="6">
        <f t="shared" si="35"/>
        <v>0.49684731792875303</v>
      </c>
      <c r="AC31" s="6">
        <f t="shared" si="35"/>
        <v>0.50646821328789871</v>
      </c>
      <c r="AD31" s="6">
        <f t="shared" si="35"/>
        <v>0.51590416202547684</v>
      </c>
      <c r="AE31" s="6">
        <f t="shared" si="35"/>
        <v>0.52431559928317373</v>
      </c>
      <c r="AF31" s="6">
        <f t="shared" si="35"/>
        <v>0.53257689131846708</v>
      </c>
      <c r="AG31" s="6">
        <f t="shared" si="35"/>
        <v>0.54069077660561327</v>
      </c>
      <c r="DU31" s="6" t="s">
        <v>46</v>
      </c>
    </row>
    <row r="32" spans="1:125" s="6" customFormat="1" x14ac:dyDescent="0.25">
      <c r="B32" s="6" t="s">
        <v>37</v>
      </c>
      <c r="C32" s="6">
        <f t="shared" ref="C32:J32" si="36">C9/C3</f>
        <v>-17.453370786516853</v>
      </c>
      <c r="D32" s="6">
        <f t="shared" si="36"/>
        <v>-2.1346128651906198</v>
      </c>
      <c r="E32" s="6">
        <f t="shared" si="36"/>
        <v>-0.27339668563101671</v>
      </c>
      <c r="F32" s="6">
        <f t="shared" si="36"/>
        <v>-0.45063611678921212</v>
      </c>
      <c r="G32" s="6">
        <f t="shared" si="36"/>
        <v>-0.50470154753131935</v>
      </c>
      <c r="H32" s="6">
        <f t="shared" si="36"/>
        <v>-0.21235287647123538</v>
      </c>
      <c r="I32" s="6">
        <f t="shared" si="36"/>
        <v>4.0108300007597519E-2</v>
      </c>
      <c r="J32" s="6" t="e">
        <f t="shared" si="36"/>
        <v>#DIV/0!</v>
      </c>
      <c r="O32" s="6">
        <f t="shared" ref="O32:AG32" si="37">O9/O3</f>
        <v>0.15330622445946016</v>
      </c>
      <c r="P32" s="6">
        <f t="shared" si="37"/>
        <v>7.3824320784818029E-2</v>
      </c>
      <c r="Q32" s="6">
        <f t="shared" si="37"/>
        <v>5.7690244526420881E-2</v>
      </c>
      <c r="R32" s="6">
        <f t="shared" si="37"/>
        <v>4.031459190105964E-2</v>
      </c>
      <c r="S32" s="6">
        <f t="shared" si="37"/>
        <v>8.1799221267280911E-2</v>
      </c>
      <c r="T32" s="6">
        <f t="shared" si="37"/>
        <v>9.6799673555043805E-2</v>
      </c>
      <c r="U32" s="6">
        <f t="shared" si="37"/>
        <v>-1.0733644178930499</v>
      </c>
      <c r="V32" s="6">
        <f t="shared" si="37"/>
        <v>-0.75340398485456161</v>
      </c>
      <c r="W32" s="6">
        <f t="shared" si="37"/>
        <v>-9.3536845955844536E-2</v>
      </c>
      <c r="X32" s="6">
        <f t="shared" si="37"/>
        <v>-4.6877935393502178E-2</v>
      </c>
      <c r="Y32" s="6">
        <f t="shared" si="37"/>
        <v>-8.3695190825856351E-3</v>
      </c>
      <c r="Z32" s="6">
        <f t="shared" si="37"/>
        <v>4.5140556661554053E-2</v>
      </c>
      <c r="AA32" s="6">
        <f t="shared" si="37"/>
        <v>0.11202282469965311</v>
      </c>
      <c r="AB32" s="6">
        <f t="shared" si="37"/>
        <v>0.15684731792875301</v>
      </c>
      <c r="AC32" s="6">
        <f t="shared" si="37"/>
        <v>0.18646821328789873</v>
      </c>
      <c r="AD32" s="6">
        <f t="shared" si="37"/>
        <v>0.21590416202547685</v>
      </c>
      <c r="AE32" s="6">
        <f t="shared" si="37"/>
        <v>0.22431559928317379</v>
      </c>
      <c r="AF32" s="6">
        <f t="shared" si="37"/>
        <v>0.23257689131846709</v>
      </c>
      <c r="AG32" s="6">
        <f t="shared" si="37"/>
        <v>0.24069077660561319</v>
      </c>
      <c r="DU32" s="6" t="s">
        <v>46</v>
      </c>
    </row>
    <row r="33" spans="1:125" s="6" customFormat="1" x14ac:dyDescent="0.25">
      <c r="DU33" s="6" t="s">
        <v>46</v>
      </c>
    </row>
    <row r="34" spans="1:125" s="6" customFormat="1" x14ac:dyDescent="0.25">
      <c r="B34" s="6" t="s">
        <v>39</v>
      </c>
      <c r="I34" s="6">
        <f>I7/I20</f>
        <v>2.005977219945039E-2</v>
      </c>
      <c r="O34" s="6">
        <f t="shared" ref="O34:AG34" si="38">O7/O20</f>
        <v>9.2440491331139796E-2</v>
      </c>
      <c r="P34" s="6">
        <f t="shared" si="38"/>
        <v>9.2811030525225158E-2</v>
      </c>
      <c r="Q34" s="6">
        <f t="shared" si="38"/>
        <v>9.8906763461414568E-2</v>
      </c>
      <c r="R34" s="6">
        <f t="shared" si="38"/>
        <v>6.9141263199840611E-2</v>
      </c>
      <c r="S34" s="6">
        <f t="shared" si="38"/>
        <v>7.2620716905786795E-2</v>
      </c>
      <c r="T34" s="6">
        <f t="shared" si="38"/>
        <v>7.2022694876883078E-2</v>
      </c>
      <c r="U34" s="6">
        <f t="shared" si="38"/>
        <v>6.6471916630410022E-2</v>
      </c>
      <c r="V34" s="6">
        <f t="shared" si="38"/>
        <v>7.286815703018705E-2</v>
      </c>
      <c r="W34" s="6" t="e">
        <f t="shared" si="38"/>
        <v>#DIV/0!</v>
      </c>
      <c r="X34" s="6" t="e">
        <f t="shared" si="38"/>
        <v>#DIV/0!</v>
      </c>
      <c r="Y34" s="6" t="e">
        <f t="shared" si="38"/>
        <v>#DIV/0!</v>
      </c>
      <c r="Z34" s="6" t="e">
        <f t="shared" si="38"/>
        <v>#DIV/0!</v>
      </c>
      <c r="AA34" s="6" t="e">
        <f t="shared" si="38"/>
        <v>#DIV/0!</v>
      </c>
      <c r="AB34" s="6" t="e">
        <f t="shared" si="38"/>
        <v>#DIV/0!</v>
      </c>
      <c r="AC34" s="6" t="e">
        <f t="shared" si="38"/>
        <v>#DIV/0!</v>
      </c>
      <c r="AD34" s="6" t="e">
        <f t="shared" si="38"/>
        <v>#DIV/0!</v>
      </c>
      <c r="AE34" s="6" t="e">
        <f t="shared" si="38"/>
        <v>#DIV/0!</v>
      </c>
      <c r="AF34" s="6" t="e">
        <f t="shared" si="38"/>
        <v>#DIV/0!</v>
      </c>
      <c r="AG34" s="6" t="e">
        <f t="shared" si="38"/>
        <v>#DIV/0!</v>
      </c>
      <c r="DU34" s="6" t="s">
        <v>46</v>
      </c>
    </row>
    <row r="35" spans="1:125" s="7" customFormat="1" x14ac:dyDescent="0.25">
      <c r="A35" s="7" t="s">
        <v>42</v>
      </c>
      <c r="B35" s="7" t="s">
        <v>40</v>
      </c>
      <c r="I35" s="7">
        <f>I7/I3</f>
        <v>7.4870668517712721E-2</v>
      </c>
      <c r="O35" s="7">
        <f t="shared" ref="O35:W35" si="39">O7/O3</f>
        <v>5.6767392761225242E-2</v>
      </c>
      <c r="P35" s="7">
        <f t="shared" si="39"/>
        <v>5.5456342119675206E-2</v>
      </c>
      <c r="Q35" s="7">
        <f t="shared" si="39"/>
        <v>7.600703126934219E-2</v>
      </c>
      <c r="R35" s="7">
        <f t="shared" si="39"/>
        <v>6.5105964638429437E-2</v>
      </c>
      <c r="S35" s="7">
        <f t="shared" si="39"/>
        <v>6.7051082541793927E-2</v>
      </c>
      <c r="T35" s="7">
        <f t="shared" si="39"/>
        <v>7.5108572094785622E-2</v>
      </c>
      <c r="U35" s="7">
        <f t="shared" si="39"/>
        <v>0.38957695857011032</v>
      </c>
      <c r="V35" s="7">
        <f t="shared" si="39"/>
        <v>0.26868197978342295</v>
      </c>
      <c r="W35" s="7">
        <f t="shared" si="39"/>
        <v>9.8218706923087221E-2</v>
      </c>
      <c r="X35" s="7">
        <v>0.09</v>
      </c>
      <c r="Y35" s="7">
        <v>0.08</v>
      </c>
      <c r="Z35" s="7">
        <v>0.08</v>
      </c>
      <c r="AA35" s="7">
        <v>0.08</v>
      </c>
      <c r="AB35" s="7">
        <v>0.08</v>
      </c>
      <c r="AC35" s="7">
        <v>0.08</v>
      </c>
      <c r="AD35" s="7">
        <v>0.08</v>
      </c>
      <c r="AE35" s="7">
        <v>0.08</v>
      </c>
      <c r="AF35" s="7">
        <v>0.08</v>
      </c>
      <c r="AG35" s="7">
        <v>0.08</v>
      </c>
      <c r="DU35" s="7" t="s">
        <v>46</v>
      </c>
    </row>
    <row r="36" spans="1:125" x14ac:dyDescent="0.25">
      <c r="DU36" s="7" t="s">
        <v>46</v>
      </c>
    </row>
    <row r="37" spans="1:125" s="7" customFormat="1" x14ac:dyDescent="0.25">
      <c r="A37" s="7" t="s">
        <v>42</v>
      </c>
      <c r="B37" s="7" t="s">
        <v>38</v>
      </c>
      <c r="C37" s="7">
        <f t="shared" ref="C37:J37" si="40">C6/C3</f>
        <v>9.167415730337078</v>
      </c>
      <c r="D37" s="7">
        <f t="shared" si="40"/>
        <v>1.326477138739683</v>
      </c>
      <c r="E37" s="7">
        <f t="shared" si="40"/>
        <v>0.42196970871378298</v>
      </c>
      <c r="F37" s="7">
        <f t="shared" si="40"/>
        <v>0.45978887634621857</v>
      </c>
      <c r="G37" s="7">
        <f t="shared" si="40"/>
        <v>0.48586588061901259</v>
      </c>
      <c r="H37" s="7">
        <f t="shared" si="40"/>
        <v>0.40192498075019251</v>
      </c>
      <c r="I37" s="7">
        <f t="shared" si="40"/>
        <v>0.28014338699985497</v>
      </c>
      <c r="J37" s="7" t="e">
        <f t="shared" si="40"/>
        <v>#DIV/0!</v>
      </c>
      <c r="O37" s="7">
        <f t="shared" ref="O37:W37" si="41">O6/O3</f>
        <v>0.33643221017943253</v>
      </c>
      <c r="P37" s="7">
        <f t="shared" si="41"/>
        <v>0.35277281710598374</v>
      </c>
      <c r="Q37" s="7">
        <f t="shared" si="41"/>
        <v>0.37536414877901841</v>
      </c>
      <c r="R37" s="7">
        <f t="shared" si="41"/>
        <v>0.38604673851049143</v>
      </c>
      <c r="S37" s="7">
        <f t="shared" si="41"/>
        <v>0.35477861649027875</v>
      </c>
      <c r="T37" s="7">
        <f t="shared" si="41"/>
        <v>0.34250488210090652</v>
      </c>
      <c r="U37" s="7">
        <f t="shared" si="41"/>
        <v>0.79822963718490469</v>
      </c>
      <c r="V37" s="7">
        <f t="shared" si="41"/>
        <v>0.63850802477108504</v>
      </c>
      <c r="W37" s="7">
        <f t="shared" si="41"/>
        <v>0.33597203820434235</v>
      </c>
      <c r="X37" s="7">
        <v>0.32</v>
      </c>
      <c r="Y37" s="7">
        <v>0.3</v>
      </c>
      <c r="Z37" s="7">
        <v>0.3</v>
      </c>
      <c r="AA37" s="7">
        <v>0.28000000000000003</v>
      </c>
      <c r="AB37" s="7">
        <v>0.26</v>
      </c>
      <c r="AC37" s="7">
        <v>0.24</v>
      </c>
      <c r="AD37" s="7">
        <v>0.22</v>
      </c>
      <c r="AE37" s="7">
        <v>0.22</v>
      </c>
      <c r="AF37" s="7">
        <v>0.22</v>
      </c>
      <c r="AG37" s="7">
        <v>0.22</v>
      </c>
      <c r="DU37" s="7" t="s">
        <v>46</v>
      </c>
    </row>
    <row r="38" spans="1:125" x14ac:dyDescent="0.25">
      <c r="DU38" s="7" t="s">
        <v>46</v>
      </c>
    </row>
    <row r="39" spans="1:125" s="8" customFormat="1" x14ac:dyDescent="0.25">
      <c r="A39" s="8" t="s">
        <v>42</v>
      </c>
      <c r="B39" s="8" t="s">
        <v>41</v>
      </c>
      <c r="P39" s="8">
        <v>-9.4435240229997053E-2</v>
      </c>
      <c r="Q39" s="8">
        <v>-6.5647869134739523E-3</v>
      </c>
      <c r="R39" s="8">
        <v>0.11992200194995117</v>
      </c>
      <c r="S39" s="8">
        <v>5.532985103501642E-2</v>
      </c>
      <c r="T39" s="8">
        <v>0.15857011915673702</v>
      </c>
      <c r="U39" s="8">
        <v>-0.4678006329113924</v>
      </c>
      <c r="V39" s="8">
        <v>-0.50825033447301915</v>
      </c>
      <c r="W39" s="8">
        <v>1.6599153567110037</v>
      </c>
      <c r="X39" s="8">
        <v>0.35229298911549378</v>
      </c>
      <c r="Y39" s="8">
        <v>0.23330053563235098</v>
      </c>
      <c r="Z39" s="8">
        <v>2.4624137528288292E-2</v>
      </c>
      <c r="AA39" s="8">
        <v>2.8659167364922356E-2</v>
      </c>
      <c r="AB39" s="8">
        <v>2.9220432356424464E-2</v>
      </c>
      <c r="AC39" s="8">
        <v>2.9922714342855095E-2</v>
      </c>
      <c r="AD39" s="8">
        <v>2.992480638286299E-2</v>
      </c>
      <c r="AE39" s="8">
        <v>3.175565987607909E-2</v>
      </c>
      <c r="AF39" s="8">
        <v>3.1764471098933988E-2</v>
      </c>
      <c r="AG39" s="8">
        <v>3.1773302617547738E-2</v>
      </c>
      <c r="DU39" s="8" t="s">
        <v>46</v>
      </c>
    </row>
  </sheetData>
  <pageMargins left="0.7" right="0.7" top="0.75" bottom="0.75" header="0.3" footer="0.3"/>
  <pageSetup orientation="portrait" verticalDpi="597"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8063-0DF5-4A99-9A0D-AA815BF05A21}">
  <dimension ref="B2:C4"/>
  <sheetViews>
    <sheetView workbookViewId="0">
      <selection activeCell="C3" sqref="C3"/>
    </sheetView>
  </sheetViews>
  <sheetFormatPr defaultRowHeight="15" x14ac:dyDescent="0.25"/>
  <cols>
    <col min="2" max="2" width="18.85546875" bestFit="1" customWidth="1"/>
    <col min="3" max="7" width="10" customWidth="1"/>
  </cols>
  <sheetData>
    <row r="2" spans="2:3" s="9" customFormat="1" x14ac:dyDescent="0.25">
      <c r="B2" s="9" t="s">
        <v>19</v>
      </c>
      <c r="C2" s="9">
        <v>-0.01</v>
      </c>
    </row>
    <row r="3" spans="2:3" s="9" customFormat="1" x14ac:dyDescent="0.25">
      <c r="B3" s="9" t="s">
        <v>20</v>
      </c>
      <c r="C3" s="9">
        <v>0.115</v>
      </c>
    </row>
    <row r="4" spans="2:3" x14ac:dyDescent="0.25">
      <c r="B4" t="s">
        <v>8</v>
      </c>
      <c r="C4" s="10">
        <f>NPV(C3,Model!O14:DT14)</f>
        <v>473.84250172820322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2023-02-12T18:42:19Z</dcterms:created>
  <dcterms:modified xsi:type="dcterms:W3CDTF">2023-02-15T23:16:14Z</dcterms:modified>
</cp:coreProperties>
</file>