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23716492-6EA5-4E5E-9141-B7FFF247965B}" xr6:coauthVersionLast="47" xr6:coauthVersionMax="47" xr10:uidLastSave="{00000000-0000-0000-0000-000000000000}"/>
  <bookViews>
    <workbookView xWindow="15240" yWindow="5235" windowWidth="12570" windowHeight="15045" xr2:uid="{3E88963E-B2BB-4D5E-8FAE-1DA3A47B0DDA}"/>
  </bookViews>
  <sheets>
    <sheet name="WatchList" sheetId="1" r:id="rId1"/>
    <sheet name="Semiconductors" sheetId="3" r:id="rId2"/>
    <sheet name="Clothing" sheetId="2" r:id="rId3"/>
    <sheet name="Etc.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1" l="1"/>
  <c r="O25" i="1"/>
  <c r="N25" i="1"/>
  <c r="K25" i="1"/>
  <c r="M25" i="1" s="1"/>
  <c r="J25" i="1"/>
  <c r="I25" i="1"/>
  <c r="H25" i="1"/>
  <c r="G25" i="1"/>
  <c r="D25" i="1"/>
  <c r="C25" i="1"/>
  <c r="L25" i="1" l="1"/>
  <c r="O24" i="1" l="1"/>
  <c r="P24" i="1" s="1"/>
  <c r="N24" i="1"/>
  <c r="K24" i="1"/>
  <c r="J24" i="1"/>
  <c r="I24" i="1"/>
  <c r="H24" i="1"/>
  <c r="M24" i="1" s="1"/>
  <c r="G24" i="1"/>
  <c r="D24" i="1"/>
  <c r="C24" i="1"/>
  <c r="O23" i="1"/>
  <c r="N23" i="1"/>
  <c r="K23" i="1"/>
  <c r="I23" i="1"/>
  <c r="H23" i="1"/>
  <c r="G23" i="1"/>
  <c r="K16" i="1"/>
  <c r="L24" i="1" l="1"/>
  <c r="M23" i="1"/>
  <c r="P23" i="1"/>
  <c r="C16" i="1"/>
  <c r="K13" i="1" l="1"/>
  <c r="I13" i="1"/>
  <c r="N22" i="1" l="1"/>
  <c r="K22" i="1"/>
  <c r="I22" i="1"/>
  <c r="H22" i="1"/>
  <c r="M22" i="1" l="1"/>
  <c r="I14" i="1"/>
  <c r="I15" i="1" l="1"/>
  <c r="I16" i="1" l="1"/>
  <c r="I17" i="1" l="1"/>
  <c r="I18" i="1" l="1"/>
  <c r="I19" i="1"/>
  <c r="I20" i="1" l="1"/>
  <c r="I21" i="1" l="1"/>
  <c r="O21" i="1"/>
  <c r="N21" i="1"/>
  <c r="K21" i="1"/>
  <c r="J21" i="1"/>
  <c r="H21" i="1"/>
  <c r="M21" i="1" l="1"/>
  <c r="P21" i="1"/>
  <c r="L21" i="1"/>
  <c r="O20" i="1" l="1"/>
  <c r="N20" i="1"/>
  <c r="K20" i="1"/>
  <c r="J20" i="1"/>
  <c r="H20" i="1"/>
  <c r="P20" i="1" l="1"/>
  <c r="M20" i="1"/>
  <c r="L20" i="1"/>
  <c r="N19" i="1" l="1"/>
  <c r="K19" i="1" l="1"/>
  <c r="H19" i="1"/>
  <c r="M19" i="1" l="1"/>
  <c r="K15" i="1" l="1"/>
  <c r="K14" i="1"/>
  <c r="K18" i="1" l="1"/>
  <c r="H18" i="1"/>
  <c r="N18" i="1"/>
  <c r="M18" i="1" l="1"/>
  <c r="N17" i="1"/>
  <c r="N16" i="1"/>
  <c r="N15" i="1"/>
  <c r="N14" i="1"/>
  <c r="O17" i="1"/>
  <c r="O16" i="1"/>
  <c r="O15" i="1"/>
  <c r="O14" i="1"/>
  <c r="J17" i="1"/>
  <c r="J16" i="1"/>
  <c r="J15" i="1"/>
  <c r="L15" i="1" s="1"/>
  <c r="J14" i="1"/>
  <c r="H14" i="1"/>
  <c r="M14" i="1" s="1"/>
  <c r="H17" i="1"/>
  <c r="M17" i="1" s="1"/>
  <c r="H16" i="1"/>
  <c r="M16" i="1" s="1"/>
  <c r="H15" i="1"/>
  <c r="M15" i="1" s="1"/>
  <c r="L16" i="1" l="1"/>
  <c r="P16" i="1"/>
  <c r="L14" i="1"/>
  <c r="L17" i="1"/>
  <c r="P14" i="1"/>
  <c r="P15" i="1"/>
  <c r="P17" i="1"/>
  <c r="J4" i="4"/>
  <c r="J3" i="4"/>
  <c r="J2" i="4"/>
  <c r="I4" i="4"/>
  <c r="I3" i="4"/>
  <c r="I2" i="4"/>
  <c r="H4" i="4"/>
  <c r="H3" i="4"/>
  <c r="H2" i="4"/>
  <c r="G4" i="4"/>
  <c r="G3" i="4"/>
  <c r="G2" i="4"/>
  <c r="J6" i="2"/>
  <c r="I6" i="2"/>
  <c r="H6" i="2"/>
  <c r="G6" i="2"/>
  <c r="O12" i="1"/>
  <c r="O11" i="1"/>
  <c r="O10" i="1"/>
  <c r="O9" i="1"/>
  <c r="O8" i="1"/>
  <c r="O7" i="1"/>
  <c r="O6" i="1"/>
  <c r="O5" i="1"/>
  <c r="O4" i="1"/>
  <c r="O3" i="1"/>
  <c r="O2" i="1"/>
  <c r="N13" i="1"/>
  <c r="N12" i="1"/>
  <c r="N11" i="1"/>
  <c r="N10" i="1"/>
  <c r="N9" i="1"/>
  <c r="N8" i="1"/>
  <c r="N7" i="1"/>
  <c r="N6" i="1"/>
  <c r="N5" i="1"/>
  <c r="N4" i="1"/>
  <c r="N3" i="1"/>
  <c r="N2" i="1"/>
  <c r="J12" i="1"/>
  <c r="J11" i="1"/>
  <c r="J10" i="1"/>
  <c r="J9" i="1"/>
  <c r="J8" i="1"/>
  <c r="J7" i="1"/>
  <c r="J6" i="1"/>
  <c r="J5" i="1"/>
  <c r="J4" i="1"/>
  <c r="J3" i="1"/>
  <c r="J2" i="1"/>
  <c r="H13" i="1"/>
  <c r="M13" i="1" s="1"/>
  <c r="H12" i="1"/>
  <c r="H11" i="1"/>
  <c r="H10" i="1"/>
  <c r="H9" i="1"/>
  <c r="H8" i="1"/>
  <c r="H7" i="1"/>
  <c r="H6" i="1"/>
  <c r="H5" i="1"/>
  <c r="H4" i="1"/>
  <c r="H3" i="1"/>
  <c r="H2" i="1"/>
  <c r="G2" i="3"/>
  <c r="H2" i="3"/>
  <c r="I2" i="3"/>
  <c r="J2" i="3"/>
  <c r="K6" i="2" l="1"/>
  <c r="K3" i="4"/>
  <c r="K2" i="4" l="1"/>
  <c r="K2" i="3" l="1"/>
  <c r="O22" i="1" l="1"/>
  <c r="P22" i="1" s="1"/>
  <c r="J22" i="1"/>
  <c r="K4" i="4"/>
  <c r="L22" i="1" l="1"/>
  <c r="P4" i="1"/>
  <c r="P5" i="1"/>
  <c r="P6" i="1"/>
  <c r="P7" i="1"/>
  <c r="P8" i="1"/>
  <c r="P9" i="1"/>
  <c r="P11" i="1"/>
  <c r="P10" i="1"/>
  <c r="P12" i="1"/>
  <c r="P3" i="1" l="1"/>
  <c r="P2" i="1" l="1"/>
  <c r="O18" i="1" l="1"/>
  <c r="P18" i="1" s="1"/>
  <c r="J18" i="1"/>
  <c r="L18" i="1" l="1"/>
  <c r="O19" i="1"/>
  <c r="J19" i="1"/>
  <c r="L19" i="1" l="1"/>
  <c r="P19" i="1"/>
  <c r="O13" i="1" l="1"/>
  <c r="P13" i="1" s="1"/>
  <c r="J13" i="1"/>
  <c r="L13" i="1" l="1"/>
  <c r="J23" i="1" l="1"/>
  <c r="L23" i="1" s="1"/>
</calcChain>
</file>

<file path=xl/sharedStrings.xml><?xml version="1.0" encoding="utf-8"?>
<sst xmlns="http://schemas.openxmlformats.org/spreadsheetml/2006/main" count="244" uniqueCount="145">
  <si>
    <t>Ticker</t>
  </si>
  <si>
    <t>Company</t>
  </si>
  <si>
    <t>LULU</t>
  </si>
  <si>
    <t>Lulu Lemon</t>
  </si>
  <si>
    <t>MRQ</t>
  </si>
  <si>
    <t>22Q1</t>
  </si>
  <si>
    <t>ATZ.TO</t>
  </si>
  <si>
    <t>Aritzia</t>
  </si>
  <si>
    <t>Incomplete</t>
  </si>
  <si>
    <t>AEO</t>
  </si>
  <si>
    <t>GPS</t>
  </si>
  <si>
    <t>Gap</t>
  </si>
  <si>
    <t>American Eagle</t>
  </si>
  <si>
    <t>JILL</t>
  </si>
  <si>
    <t>TLYS</t>
  </si>
  <si>
    <t>J.Jill</t>
  </si>
  <si>
    <t>Tilly's</t>
  </si>
  <si>
    <t>ADI</t>
  </si>
  <si>
    <t>ON</t>
  </si>
  <si>
    <t>TXN</t>
  </si>
  <si>
    <t>Analog Devices</t>
  </si>
  <si>
    <t>Texas Instruments</t>
  </si>
  <si>
    <t>22Q2</t>
  </si>
  <si>
    <t>JWN</t>
  </si>
  <si>
    <t>Nordstrom</t>
  </si>
  <si>
    <t>Declining company looks like</t>
  </si>
  <si>
    <t>Growth</t>
  </si>
  <si>
    <t>Death</t>
  </si>
  <si>
    <t>Young</t>
  </si>
  <si>
    <t>Teen</t>
  </si>
  <si>
    <t>Mature</t>
  </si>
  <si>
    <t>Asset</t>
  </si>
  <si>
    <t>Dying company, assets have some value</t>
  </si>
  <si>
    <t>Adult</t>
  </si>
  <si>
    <t>ANF</t>
  </si>
  <si>
    <t>Abercrombie &amp; Fitch</t>
  </si>
  <si>
    <t>Notes</t>
  </si>
  <si>
    <t>At MC of 37b, they are too expensive. If they can truly sustain this level of growth and look like they can steady 1.5b net, they will be worth it</t>
  </si>
  <si>
    <t>Decent growth, need to get to a point where they sustain 250m net, they will be worth it</t>
  </si>
  <si>
    <t>Weird spike in revenue in 2021, but then fell off in 22Q1 - might be a lottery ticket, need to see Q2</t>
  </si>
  <si>
    <t>URBN</t>
  </si>
  <si>
    <t>Urban Outfitters</t>
  </si>
  <si>
    <t>Slow growth, poor margins</t>
  </si>
  <si>
    <t>Incredible margins, Best value proposition if they can overcome debt burden, could be a 90 bagger</t>
  </si>
  <si>
    <t>ATKR</t>
  </si>
  <si>
    <t>Atkore</t>
  </si>
  <si>
    <t>WIRE</t>
  </si>
  <si>
    <t>Encore Wire</t>
  </si>
  <si>
    <t>nVent Electric</t>
  </si>
  <si>
    <t>Good margins, good utilization of PP&amp;E, good growth</t>
  </si>
  <si>
    <t>Mega building infrastru</t>
  </si>
  <si>
    <t>Large building &amp; server</t>
  </si>
  <si>
    <t>Power cable</t>
  </si>
  <si>
    <t>Harnesses and Racks</t>
  </si>
  <si>
    <t>BDC</t>
  </si>
  <si>
    <t>Belden Inc.</t>
  </si>
  <si>
    <t>NVT</t>
  </si>
  <si>
    <t>Residential materials</t>
  </si>
  <si>
    <t>BXC</t>
  </si>
  <si>
    <t>BlueLinx Holdings</t>
  </si>
  <si>
    <t>Builders FirstSource, Inc</t>
  </si>
  <si>
    <t>BLDR</t>
  </si>
  <si>
    <t>LPX</t>
  </si>
  <si>
    <t>Louisiana-Pacific Corporation</t>
  </si>
  <si>
    <t>Rez + Vertical lumber</t>
  </si>
  <si>
    <t>BLD</t>
  </si>
  <si>
    <t>TopBuild Corp.</t>
  </si>
  <si>
    <t>Rez + Insulation</t>
  </si>
  <si>
    <t>NX</t>
  </si>
  <si>
    <t>Windows and cabinets</t>
  </si>
  <si>
    <t>Beacon Roofing Supply, Inc.</t>
  </si>
  <si>
    <t>BECN</t>
  </si>
  <si>
    <t>Rez roofing</t>
  </si>
  <si>
    <t>22Q3</t>
  </si>
  <si>
    <t>AZEK</t>
  </si>
  <si>
    <t xml:space="preserve">The AZEK Company Inc. </t>
  </si>
  <si>
    <t>Quanex Building Products Corp</t>
  </si>
  <si>
    <t>Est Earnings</t>
  </si>
  <si>
    <t>UpDate</t>
  </si>
  <si>
    <t>Decks + speciality mater</t>
  </si>
  <si>
    <t>Business Model</t>
  </si>
  <si>
    <t>NPV</t>
  </si>
  <si>
    <t>Price</t>
  </si>
  <si>
    <t>Target</t>
  </si>
  <si>
    <t>Ratio</t>
  </si>
  <si>
    <t>EV</t>
  </si>
  <si>
    <t>Poor business model, this is too narrow</t>
  </si>
  <si>
    <t>Great margins, and great utilization of PP&amp;E, low growth</t>
  </si>
  <si>
    <t>LFUS</t>
  </si>
  <si>
    <t>LittelFuse</t>
  </si>
  <si>
    <t>Vehicle components</t>
  </si>
  <si>
    <t>LQDT</t>
  </si>
  <si>
    <t>Liquidity Services</t>
  </si>
  <si>
    <t>Reverse supply chain</t>
  </si>
  <si>
    <t>Home builder + rentals</t>
  </si>
  <si>
    <t>DHI</t>
  </si>
  <si>
    <t>D R Horton Inc</t>
  </si>
  <si>
    <t>DHX</t>
  </si>
  <si>
    <t>DHI Group</t>
  </si>
  <si>
    <t>Job Posting and AI</t>
  </si>
  <si>
    <t>Quick NPV (3Y, 1Q) - poor brand value, will fall</t>
  </si>
  <si>
    <t>TEAM</t>
  </si>
  <si>
    <t>BBBY</t>
  </si>
  <si>
    <t>Bed Bath and Beyond</t>
  </si>
  <si>
    <t>Home décor and nursury</t>
  </si>
  <si>
    <t>TJX</t>
  </si>
  <si>
    <t>TJX Companies</t>
  </si>
  <si>
    <t>23Q1</t>
  </si>
  <si>
    <t>Sector</t>
  </si>
  <si>
    <t>Materials/Industrials</t>
  </si>
  <si>
    <t>Hotels/Restaurants/Leisure</t>
  </si>
  <si>
    <t>RCL</t>
  </si>
  <si>
    <t>CCL</t>
  </si>
  <si>
    <t>NCLH</t>
  </si>
  <si>
    <t>LIND</t>
  </si>
  <si>
    <t>Carnival Corporation &amp; plc</t>
  </si>
  <si>
    <t>Royal Caribbean Cruises Ltd.</t>
  </si>
  <si>
    <t>Norwegian Cruise Line Holdings Ltd.</t>
  </si>
  <si>
    <t>Lindblad Expeditions Holdings, Inc.</t>
  </si>
  <si>
    <t>22Q4</t>
  </si>
  <si>
    <t>Cruise liner, luxury</t>
  </si>
  <si>
    <t>Cruise liner, exploration</t>
  </si>
  <si>
    <t>Information Technology</t>
  </si>
  <si>
    <t>Semiconductors</t>
  </si>
  <si>
    <t>EBITDA</t>
  </si>
  <si>
    <t>EV/EBITDA</t>
  </si>
  <si>
    <t>EBITDA/Sh</t>
  </si>
  <si>
    <t>ON Semiconductor</t>
  </si>
  <si>
    <t>MRQ Release</t>
  </si>
  <si>
    <t>23Q3</t>
  </si>
  <si>
    <t>MCHP</t>
  </si>
  <si>
    <t>Microchip Technology</t>
  </si>
  <si>
    <t>MkCap</t>
  </si>
  <si>
    <t>SMTC</t>
  </si>
  <si>
    <t>Semtech Corp</t>
  </si>
  <si>
    <t>20% fab outsourced, looking to reduce</t>
  </si>
  <si>
    <t>60% fab outsourced, looking to reduce</t>
  </si>
  <si>
    <t>43% fab outsourced, looking to increase</t>
  </si>
  <si>
    <t>&gt;50% fab outsourced, looking to maintain/increase</t>
  </si>
  <si>
    <t>100% fab outsourced, is the 2023Q3 acquisition bullish?</t>
  </si>
  <si>
    <t>Industrials</t>
  </si>
  <si>
    <t>Trucking</t>
  </si>
  <si>
    <t>ODFL</t>
  </si>
  <si>
    <t>SAIA</t>
  </si>
  <si>
    <t>PTSI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</si>
</sst>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\x"/>
    <numFmt numFmtId="165" formatCode="#,##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16" fontId="0" fillId="0" borderId="0" xfId="0" applyNumberFormat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1" fillId="0" borderId="0" xfId="1" applyBorder="1"/>
    <xf numFmtId="0" fontId="0" fillId="0" borderId="5" xfId="0" applyBorder="1"/>
    <xf numFmtId="0" fontId="0" fillId="0" borderId="4" xfId="0" applyBorder="1"/>
    <xf numFmtId="3" fontId="0" fillId="0" borderId="1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14" fontId="0" fillId="0" borderId="0" xfId="0" applyNumberFormat="1" applyAlignment="1">
      <alignment horizontal="right"/>
    </xf>
    <xf numFmtId="8" fontId="0" fillId="0" borderId="0" xfId="0" applyNumberFormat="1" applyAlignment="1">
      <alignment horizontal="center"/>
    </xf>
    <xf numFmtId="8" fontId="0" fillId="0" borderId="0" xfId="0" applyNumberFormat="1"/>
    <xf numFmtId="44" fontId="0" fillId="0" borderId="0" xfId="0" applyNumberFormat="1"/>
    <xf numFmtId="0" fontId="1" fillId="0" borderId="0" xfId="1"/>
    <xf numFmtId="0" fontId="1" fillId="0" borderId="0" xfId="1" applyFill="1"/>
    <xf numFmtId="165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ATK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EC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AZEK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DHI.xlsx" TargetMode="External"/><Relationship Id="rId1" Type="http://schemas.openxmlformats.org/officeDocument/2006/relationships/externalLinkPath" Target="DCF%20Models/DHI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RCL.xlsx" TargetMode="External"/><Relationship Id="rId1" Type="http://schemas.openxmlformats.org/officeDocument/2006/relationships/externalLinkPath" Target="DCF%20Models/RCL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CCL.xlsx" TargetMode="External"/><Relationship Id="rId1" Type="http://schemas.openxmlformats.org/officeDocument/2006/relationships/externalLinkPath" Target="DCF%20Models/CCL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NCLH.xlsx" TargetMode="External"/><Relationship Id="rId1" Type="http://schemas.openxmlformats.org/officeDocument/2006/relationships/externalLinkPath" Target="DCF%20Models/NCLH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LIND.xlsx" TargetMode="External"/><Relationship Id="rId1" Type="http://schemas.openxmlformats.org/officeDocument/2006/relationships/externalLinkPath" Target="DCF%20Models/LIND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TXN.xlsx" TargetMode="External"/><Relationship Id="rId1" Type="http://schemas.openxmlformats.org/officeDocument/2006/relationships/externalLinkPath" Target="DCF%20Models/TXN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ADI.xlsx" TargetMode="External"/><Relationship Id="rId1" Type="http://schemas.openxmlformats.org/officeDocument/2006/relationships/externalLinkPath" Target="DCF%20Models/ADI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ON.xlsx" TargetMode="External"/><Relationship Id="rId1" Type="http://schemas.openxmlformats.org/officeDocument/2006/relationships/externalLinkPath" Target="DCF%20Models/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WIRE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MCHP.xlsx" TargetMode="External"/><Relationship Id="rId1" Type="http://schemas.openxmlformats.org/officeDocument/2006/relationships/externalLinkPath" Target="DCF%20Models/MCHP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SMTC.xlsx" TargetMode="External"/><Relationship Id="rId1" Type="http://schemas.openxmlformats.org/officeDocument/2006/relationships/externalLinkPath" Target="DCF%20Models/SMTC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ODFL.xlsx" TargetMode="External"/><Relationship Id="rId1" Type="http://schemas.openxmlformats.org/officeDocument/2006/relationships/externalLinkPath" Target="DCF%20Models/ODFL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SAIA.xlsx" TargetMode="External"/><Relationship Id="rId1" Type="http://schemas.openxmlformats.org/officeDocument/2006/relationships/externalLinkPath" Target="DCF%20Models/SAI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TJX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QDT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DHX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BBY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PTSI.xlsx" TargetMode="External"/><Relationship Id="rId1" Type="http://schemas.openxmlformats.org/officeDocument/2006/relationships/externalLinkPath" Target="DCF%20Models/PT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NV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D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XC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LD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PX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NX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F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107</v>
          </cell>
        </row>
        <row r="8">
          <cell r="N8">
            <v>5262.9334767642013</v>
          </cell>
        </row>
        <row r="19">
          <cell r="N19">
            <v>22198.677928000903</v>
          </cell>
        </row>
        <row r="20">
          <cell r="N20">
            <v>506.49669636225735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60.73</v>
          </cell>
        </row>
        <row r="8">
          <cell r="N8">
            <v>5961.5730000000003</v>
          </cell>
        </row>
        <row r="18">
          <cell r="N18">
            <v>6053.073284927159</v>
          </cell>
        </row>
        <row r="19">
          <cell r="N19">
            <v>86.349119613796859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20.86</v>
          </cell>
        </row>
        <row r="8">
          <cell r="N8">
            <v>3705.70046</v>
          </cell>
        </row>
        <row r="18">
          <cell r="N18">
            <v>2666.8844433216959</v>
          </cell>
        </row>
        <row r="19">
          <cell r="N19">
            <v>17.243419112262924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91.49</v>
          </cell>
        </row>
        <row r="7">
          <cell r="N7">
            <v>31490.857999999997</v>
          </cell>
        </row>
        <row r="10">
          <cell r="N10">
            <v>34568.657999999996</v>
          </cell>
        </row>
        <row r="13">
          <cell r="N13">
            <v>56115.999003056495</v>
          </cell>
        </row>
        <row r="14">
          <cell r="N14">
            <v>163.0331173825</v>
          </cell>
        </row>
      </sheetData>
      <sheetData sheetId="1">
        <row r="15">
          <cell r="L15">
            <v>1874.0000000000005</v>
          </cell>
          <cell r="M15">
            <v>2168.1</v>
          </cell>
          <cell r="N15">
            <v>2046.4999999999977</v>
          </cell>
          <cell r="O15">
            <v>1229.5</v>
          </cell>
        </row>
      </sheetData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75.75</v>
          </cell>
        </row>
        <row r="6">
          <cell r="N6">
            <v>19321.628250000002</v>
          </cell>
        </row>
        <row r="9">
          <cell r="N9">
            <v>41885.595249999998</v>
          </cell>
        </row>
        <row r="12">
          <cell r="N12">
            <v>17718.474111348907</v>
          </cell>
        </row>
        <row r="13">
          <cell r="N13">
            <v>69.464871001991241</v>
          </cell>
        </row>
      </sheetData>
      <sheetData sheetId="1">
        <row r="27">
          <cell r="AA27">
            <v>642.59899999999948</v>
          </cell>
        </row>
      </sheetData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12.19</v>
          </cell>
        </row>
        <row r="6">
          <cell r="N6">
            <v>14394.122093023256</v>
          </cell>
        </row>
        <row r="9">
          <cell r="N9">
            <v>43973.122093023252</v>
          </cell>
        </row>
        <row r="12">
          <cell r="N12">
            <v>18848.439289507303</v>
          </cell>
        </row>
        <row r="13">
          <cell r="N13">
            <v>15.962243022133215</v>
          </cell>
        </row>
      </sheetData>
      <sheetData sheetId="1">
        <row r="27">
          <cell r="Z27">
            <v>-2103</v>
          </cell>
        </row>
      </sheetData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2">
          <cell r="N2">
            <v>44985</v>
          </cell>
        </row>
        <row r="4">
          <cell r="N4">
            <v>14.56</v>
          </cell>
        </row>
        <row r="6">
          <cell r="N6">
            <v>5320.9374400000006</v>
          </cell>
        </row>
        <row r="9">
          <cell r="N9">
            <v>18224.220440000001</v>
          </cell>
        </row>
        <row r="12">
          <cell r="N12">
            <v>9564.1035156825055</v>
          </cell>
        </row>
        <row r="13">
          <cell r="N13">
            <v>26.170829625152908</v>
          </cell>
        </row>
      </sheetData>
      <sheetData sheetId="1">
        <row r="26">
          <cell r="G26">
            <v>-509.65600000000006</v>
          </cell>
          <cell r="H26">
            <v>-215.28849999999991</v>
          </cell>
          <cell r="I26">
            <v>1.2999999999998977</v>
          </cell>
          <cell r="J26">
            <v>-78.775500000000051</v>
          </cell>
        </row>
      </sheetData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11.68</v>
          </cell>
        </row>
        <row r="6">
          <cell r="N6">
            <v>619.56560000000002</v>
          </cell>
        </row>
        <row r="9">
          <cell r="N9">
            <v>1089.1226000000001</v>
          </cell>
        </row>
        <row r="12">
          <cell r="N12">
            <v>473.84250172820322</v>
          </cell>
        </row>
        <row r="13">
          <cell r="N13">
            <v>8.932840074054166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169.8</v>
          </cell>
        </row>
        <row r="7">
          <cell r="N7">
            <v>155536.80000000002</v>
          </cell>
        </row>
        <row r="10">
          <cell r="N10">
            <v>156055.80000000002</v>
          </cell>
        </row>
        <row r="12">
          <cell r="N12">
            <v>134489.60313830531</v>
          </cell>
        </row>
        <row r="13">
          <cell r="N13">
            <v>146.82271084967829</v>
          </cell>
        </row>
      </sheetData>
      <sheetData sheetId="1">
        <row r="28">
          <cell r="X28">
            <v>11119</v>
          </cell>
        </row>
      </sheetData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185.65</v>
          </cell>
        </row>
        <row r="7">
          <cell r="N7">
            <v>94146.828000000009</v>
          </cell>
        </row>
        <row r="10">
          <cell r="N10">
            <v>99554.828000000009</v>
          </cell>
        </row>
        <row r="13">
          <cell r="N13">
            <v>95545.612738294119</v>
          </cell>
        </row>
        <row r="14">
          <cell r="N14">
            <v>188.40829140695323</v>
          </cell>
        </row>
      </sheetData>
      <sheetData sheetId="1">
        <row r="29">
          <cell r="J29">
            <v>303.0739999999995</v>
          </cell>
          <cell r="K29">
            <v>268.88500000000033</v>
          </cell>
          <cell r="L29">
            <v>472.50999999999863</v>
          </cell>
          <cell r="M29">
            <v>486.34199999999987</v>
          </cell>
        </row>
      </sheetData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7">
          <cell r="N7">
            <v>76.28</v>
          </cell>
        </row>
        <row r="9">
          <cell r="N9">
            <v>33044.495999999999</v>
          </cell>
        </row>
        <row r="12">
          <cell r="N12">
            <v>34171.095999999998</v>
          </cell>
        </row>
        <row r="15">
          <cell r="N15">
            <v>35110.668973847663</v>
          </cell>
        </row>
        <row r="16">
          <cell r="N16">
            <v>81.049559034736063</v>
          </cell>
        </row>
      </sheetData>
      <sheetData sheetId="1">
        <row r="29">
          <cell r="X29">
            <v>2922.8000000000011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138.47</v>
          </cell>
        </row>
        <row r="8">
          <cell r="N8">
            <v>2219.4089300000001</v>
          </cell>
        </row>
        <row r="18">
          <cell r="N18">
            <v>11759.15586027935</v>
          </cell>
        </row>
        <row r="19">
          <cell r="N19">
            <v>605.54899120857669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6">
          <cell r="N6">
            <v>79.680000000000007</v>
          </cell>
        </row>
        <row r="8">
          <cell r="N8">
            <v>43760.256000000008</v>
          </cell>
        </row>
        <row r="11">
          <cell r="N11">
            <v>50060.056000000004</v>
          </cell>
        </row>
        <row r="14">
          <cell r="N14">
            <v>49396.022818172591</v>
          </cell>
        </row>
        <row r="15">
          <cell r="N15">
            <v>89.941774978464281</v>
          </cell>
        </row>
      </sheetData>
      <sheetData sheetId="1">
        <row r="28">
          <cell r="F28">
            <v>854.99999999999932</v>
          </cell>
          <cell r="G28">
            <v>964.69999999999982</v>
          </cell>
          <cell r="H28">
            <v>1011.1999999999999</v>
          </cell>
          <cell r="I28">
            <v>1059.7999999999997</v>
          </cell>
        </row>
      </sheetData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6">
          <cell r="N6">
            <v>30.52</v>
          </cell>
        </row>
        <row r="8">
          <cell r="N8">
            <v>1946.07728</v>
          </cell>
        </row>
        <row r="11">
          <cell r="N11">
            <v>1828.46028</v>
          </cell>
        </row>
        <row r="14">
          <cell r="N14">
            <v>2173.7463596759726</v>
          </cell>
        </row>
        <row r="15">
          <cell r="N15">
            <v>34.090495572360147</v>
          </cell>
        </row>
      </sheetData>
      <sheetData sheetId="1">
        <row r="28">
          <cell r="F28">
            <v>52.289999999999864</v>
          </cell>
          <cell r="G28">
            <v>55.844000000000015</v>
          </cell>
          <cell r="H28">
            <v>72.525999999999996</v>
          </cell>
          <cell r="I28">
            <v>45.867000000000004</v>
          </cell>
        </row>
      </sheetData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 t="str">
            <v>Old Dominion Freight Line</v>
          </cell>
        </row>
        <row r="6">
          <cell r="N6">
            <v>352.95</v>
          </cell>
        </row>
        <row r="8">
          <cell r="N8">
            <v>39650.402999999998</v>
          </cell>
        </row>
        <row r="11">
          <cell r="N11">
            <v>39621.008000000002</v>
          </cell>
        </row>
        <row r="14">
          <cell r="N14">
            <v>34330.520064169796</v>
          </cell>
        </row>
        <row r="15">
          <cell r="N15">
            <v>305.59480206667075</v>
          </cell>
        </row>
      </sheetData>
      <sheetData sheetId="1">
        <row r="32">
          <cell r="T32">
            <v>2116.6350000000002</v>
          </cell>
        </row>
      </sheetData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2">
          <cell r="N2">
            <v>44992</v>
          </cell>
        </row>
        <row r="4">
          <cell r="N4" t="str">
            <v>Saia</v>
          </cell>
        </row>
        <row r="6">
          <cell r="N6">
            <v>288.77</v>
          </cell>
        </row>
        <row r="8">
          <cell r="N8">
            <v>7658.1803999999993</v>
          </cell>
        </row>
        <row r="11">
          <cell r="N11">
            <v>7707.5203999999994</v>
          </cell>
        </row>
        <row r="14">
          <cell r="N14">
            <v>7684.7281871497207</v>
          </cell>
        </row>
        <row r="15">
          <cell r="N15">
            <v>289.77104778090956</v>
          </cell>
        </row>
      </sheetData>
      <sheetData sheetId="1">
        <row r="1">
          <cell r="J1">
            <v>44595</v>
          </cell>
        </row>
        <row r="28">
          <cell r="T28">
            <v>627.74999999999977</v>
          </cell>
        </row>
      </sheetData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67.2</v>
          </cell>
        </row>
        <row r="8">
          <cell r="J8">
            <v>87517.207200000004</v>
          </cell>
        </row>
        <row r="18">
          <cell r="J18">
            <v>74903.518611460153</v>
          </cell>
        </row>
        <row r="19">
          <cell r="J19">
            <v>63.631730278242067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18.149999999999999</v>
          </cell>
        </row>
        <row r="8">
          <cell r="O8">
            <v>506.71814999999992</v>
          </cell>
        </row>
        <row r="18">
          <cell r="O18">
            <v>541.46267091390234</v>
          </cell>
        </row>
        <row r="19">
          <cell r="O19">
            <v>16.629178185986376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4.43</v>
          </cell>
        </row>
        <row r="8">
          <cell r="N8">
            <v>217.09325999999999</v>
          </cell>
        </row>
        <row r="18">
          <cell r="N18">
            <v>42.225188935657137</v>
          </cell>
        </row>
        <row r="19">
          <cell r="N19">
            <v>0.9450156424434254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8.1999999999999993</v>
          </cell>
        </row>
        <row r="8">
          <cell r="J8">
            <v>3802.98</v>
          </cell>
        </row>
        <row r="18">
          <cell r="J18">
            <v>218.76521315251679</v>
          </cell>
        </row>
        <row r="19">
          <cell r="J19">
            <v>2.7483066978959396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2">
          <cell r="N2">
            <v>44992</v>
          </cell>
        </row>
        <row r="4">
          <cell r="N4" t="str">
            <v>P.A.M. Transportation Services</v>
          </cell>
        </row>
        <row r="6">
          <cell r="N6">
            <v>29.24</v>
          </cell>
        </row>
        <row r="8">
          <cell r="N8">
            <v>656.02864</v>
          </cell>
        </row>
        <row r="11">
          <cell r="N11">
            <v>853.44364000000007</v>
          </cell>
        </row>
        <row r="14">
          <cell r="N14">
            <v>970.90412687107221</v>
          </cell>
        </row>
        <row r="15">
          <cell r="N15">
            <v>43.274386114774124</v>
          </cell>
        </row>
      </sheetData>
      <sheetData sheetId="1">
        <row r="1">
          <cell r="J1">
            <v>44605</v>
          </cell>
        </row>
        <row r="31">
          <cell r="T31">
            <v>186.68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35.31</v>
          </cell>
        </row>
        <row r="8">
          <cell r="N8">
            <v>7062.3840000000009</v>
          </cell>
        </row>
        <row r="18">
          <cell r="N18">
            <v>8817.3705876180775</v>
          </cell>
        </row>
        <row r="19">
          <cell r="N19">
            <v>52.989005935204794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64.72</v>
          </cell>
        </row>
        <row r="8">
          <cell r="N8">
            <v>3670.81792</v>
          </cell>
        </row>
        <row r="19">
          <cell r="N19">
            <v>2996.7820265448186</v>
          </cell>
        </row>
        <row r="20">
          <cell r="N20">
            <v>66.876035494517382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87</v>
          </cell>
        </row>
        <row r="8">
          <cell r="N8">
            <v>1029.8218324607337</v>
          </cell>
        </row>
        <row r="18">
          <cell r="N18">
            <v>4076.5725319753483</v>
          </cell>
        </row>
        <row r="19">
          <cell r="N19">
            <v>436.69397285882815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73.459999999999994</v>
          </cell>
        </row>
        <row r="8">
          <cell r="N8">
            <v>15906.644</v>
          </cell>
        </row>
        <row r="18">
          <cell r="N18">
            <v>50207.036438406729</v>
          </cell>
        </row>
        <row r="19">
          <cell r="N19">
            <v>294.64223261975781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64.44</v>
          </cell>
        </row>
        <row r="8">
          <cell r="N8">
            <v>5265.84</v>
          </cell>
        </row>
        <row r="18">
          <cell r="N18">
            <v>12229.883434318077</v>
          </cell>
        </row>
        <row r="19">
          <cell r="N19">
            <v>142.2079469106753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25.18</v>
          </cell>
        </row>
        <row r="8">
          <cell r="N8">
            <v>877.07125999999994</v>
          </cell>
        </row>
        <row r="18">
          <cell r="N18">
            <v>1643.4101590621442</v>
          </cell>
        </row>
        <row r="19">
          <cell r="N19">
            <v>49.564500982059428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260.32</v>
          </cell>
        </row>
        <row r="8">
          <cell r="N8">
            <v>6531.1078800000005</v>
          </cell>
        </row>
        <row r="18">
          <cell r="N18">
            <v>8831.5667844635373</v>
          </cell>
        </row>
        <row r="19">
          <cell r="N19">
            <v>357.06180902658434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CF%20Models\NX.xlsx" TargetMode="External"/><Relationship Id="rId13" Type="http://schemas.openxmlformats.org/officeDocument/2006/relationships/hyperlink" Target="DCF%20Models\RCL.xlsx" TargetMode="External"/><Relationship Id="rId18" Type="http://schemas.openxmlformats.org/officeDocument/2006/relationships/hyperlink" Target="DCF%20Models\ADI.xlsx" TargetMode="External"/><Relationship Id="rId3" Type="http://schemas.openxmlformats.org/officeDocument/2006/relationships/hyperlink" Target="DCF%20Models\BDC.xlsx" TargetMode="External"/><Relationship Id="rId21" Type="http://schemas.openxmlformats.org/officeDocument/2006/relationships/hyperlink" Target="DCF%20Models\SMTC.xlsx" TargetMode="External"/><Relationship Id="rId7" Type="http://schemas.openxmlformats.org/officeDocument/2006/relationships/hyperlink" Target="DCF%20Models\LPX.xlsx" TargetMode="External"/><Relationship Id="rId12" Type="http://schemas.openxmlformats.org/officeDocument/2006/relationships/hyperlink" Target="DCF%20Models\DHI.xlsx" TargetMode="External"/><Relationship Id="rId17" Type="http://schemas.openxmlformats.org/officeDocument/2006/relationships/hyperlink" Target="DCF%20Models\TXN.xlsx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DCF%20Models\WIRE.xlsx" TargetMode="External"/><Relationship Id="rId16" Type="http://schemas.openxmlformats.org/officeDocument/2006/relationships/hyperlink" Target="DCF%20Models\LIND.xlsx" TargetMode="External"/><Relationship Id="rId20" Type="http://schemas.openxmlformats.org/officeDocument/2006/relationships/hyperlink" Target="DCF%20Models\MCHP.xlsx" TargetMode="External"/><Relationship Id="rId1" Type="http://schemas.openxmlformats.org/officeDocument/2006/relationships/hyperlink" Target="DCF%20Models\ATKR.xlsx" TargetMode="External"/><Relationship Id="rId6" Type="http://schemas.openxmlformats.org/officeDocument/2006/relationships/hyperlink" Target="DCF%20Models\BLDR.xlsx" TargetMode="External"/><Relationship Id="rId11" Type="http://schemas.openxmlformats.org/officeDocument/2006/relationships/hyperlink" Target="DCF%20Models\AZEK.xlsx" TargetMode="External"/><Relationship Id="rId24" Type="http://schemas.openxmlformats.org/officeDocument/2006/relationships/hyperlink" Target="DCF%20Models\PTSI.xlsx" TargetMode="External"/><Relationship Id="rId5" Type="http://schemas.openxmlformats.org/officeDocument/2006/relationships/hyperlink" Target="DCF%20Models\BXC.xlsx" TargetMode="External"/><Relationship Id="rId15" Type="http://schemas.openxmlformats.org/officeDocument/2006/relationships/hyperlink" Target="DCF%20Models\NCLH.xlsx" TargetMode="External"/><Relationship Id="rId23" Type="http://schemas.openxmlformats.org/officeDocument/2006/relationships/hyperlink" Target="DCF%20Models\SAIA.xlsx" TargetMode="External"/><Relationship Id="rId10" Type="http://schemas.openxmlformats.org/officeDocument/2006/relationships/hyperlink" Target="DCF%20Models\BLD.xlsx" TargetMode="External"/><Relationship Id="rId19" Type="http://schemas.openxmlformats.org/officeDocument/2006/relationships/hyperlink" Target="DCF%20Models\ON.xlsx" TargetMode="External"/><Relationship Id="rId4" Type="http://schemas.openxmlformats.org/officeDocument/2006/relationships/hyperlink" Target="DCF%20Models\NVT.xlsx" TargetMode="External"/><Relationship Id="rId9" Type="http://schemas.openxmlformats.org/officeDocument/2006/relationships/hyperlink" Target="DCF%20Models\BECN.xlsx" TargetMode="External"/><Relationship Id="rId14" Type="http://schemas.openxmlformats.org/officeDocument/2006/relationships/hyperlink" Target="DCF%20Models\CCL.xlsx" TargetMode="External"/><Relationship Id="rId22" Type="http://schemas.openxmlformats.org/officeDocument/2006/relationships/hyperlink" Target="DCF%20Models\ODFL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DCF%20Models\LFUS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DCF%20Models\ANF.xlsx" TargetMode="External"/><Relationship Id="rId3" Type="http://schemas.openxmlformats.org/officeDocument/2006/relationships/hyperlink" Target="DCF%20Models/AEO.xlsx" TargetMode="External"/><Relationship Id="rId7" Type="http://schemas.openxmlformats.org/officeDocument/2006/relationships/hyperlink" Target="DCF%20Models/JWN.xlsx" TargetMode="External"/><Relationship Id="rId2" Type="http://schemas.openxmlformats.org/officeDocument/2006/relationships/hyperlink" Target="DCF%20Models\ATZ.TO.xlsx" TargetMode="External"/><Relationship Id="rId1" Type="http://schemas.openxmlformats.org/officeDocument/2006/relationships/hyperlink" Target="DCF%20Models\LULU.xlsx" TargetMode="External"/><Relationship Id="rId6" Type="http://schemas.openxmlformats.org/officeDocument/2006/relationships/hyperlink" Target="DCF%20Models/TLYS.xlsx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DCF%20Models\JILL.xlsx" TargetMode="External"/><Relationship Id="rId10" Type="http://schemas.openxmlformats.org/officeDocument/2006/relationships/hyperlink" Target="DCF%20Models\TJX.xlsx" TargetMode="External"/><Relationship Id="rId4" Type="http://schemas.openxmlformats.org/officeDocument/2006/relationships/hyperlink" Target="DCF%20Models/GPS.xlsx" TargetMode="External"/><Relationship Id="rId9" Type="http://schemas.openxmlformats.org/officeDocument/2006/relationships/hyperlink" Target="DCF%20Models/URBN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DCF%20Models\BBBY.xlsx" TargetMode="External"/><Relationship Id="rId2" Type="http://schemas.openxmlformats.org/officeDocument/2006/relationships/hyperlink" Target="DCF%20Models\DHX.xlsx" TargetMode="External"/><Relationship Id="rId1" Type="http://schemas.openxmlformats.org/officeDocument/2006/relationships/hyperlink" Target="DCF%20Models\LQD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ADF2-2E0D-4D7A-9853-86DF7D017A5C}">
  <dimension ref="A1:S25"/>
  <sheetViews>
    <sheetView tabSelected="1" topLeftCell="F1" workbookViewId="0">
      <pane ySplit="1" topLeftCell="A2" activePane="bottomLeft" state="frozen"/>
      <selection pane="bottomLeft" activeCell="L25" sqref="L25"/>
    </sheetView>
  </sheetViews>
  <sheetFormatPr defaultRowHeight="15" outlineLevelRow="1" x14ac:dyDescent="0.25"/>
  <cols>
    <col min="1" max="1" width="25.85546875" bestFit="1" customWidth="1"/>
    <col min="2" max="2" width="22.5703125" style="6" bestFit="1" customWidth="1"/>
    <col min="3" max="3" width="9.7109375" style="7" bestFit="1" customWidth="1"/>
    <col min="4" max="4" width="12.7109375" bestFit="1" customWidth="1"/>
    <col min="5" max="5" width="5.42578125" bestFit="1" customWidth="1"/>
    <col min="6" max="6" width="6.28515625" bestFit="1" customWidth="1"/>
    <col min="7" max="7" width="33.42578125" bestFit="1" customWidth="1"/>
    <col min="8" max="8" width="7.5703125" style="12" bestFit="1" customWidth="1"/>
    <col min="9" max="9" width="7.5703125" style="13" customWidth="1"/>
    <col min="10" max="10" width="7.5703125" style="13" bestFit="1" customWidth="1"/>
    <col min="11" max="11" width="8.42578125" style="13" bestFit="1" customWidth="1"/>
    <col min="12" max="12" width="10.28515625" style="29" bestFit="1" customWidth="1"/>
    <col min="13" max="13" width="10.42578125" style="28" bestFit="1" customWidth="1"/>
    <col min="14" max="15" width="10.5703125" style="19" customWidth="1"/>
    <col min="16" max="16" width="5.5703125" style="16" bestFit="1" customWidth="1"/>
    <col min="20" max="20" width="13.5703125" bestFit="1" customWidth="1"/>
  </cols>
  <sheetData>
    <row r="1" spans="1:19" x14ac:dyDescent="0.25">
      <c r="A1" t="s">
        <v>108</v>
      </c>
      <c r="B1" s="3" t="s">
        <v>80</v>
      </c>
      <c r="C1" s="21" t="s">
        <v>78</v>
      </c>
      <c r="D1" s="10" t="s">
        <v>128</v>
      </c>
      <c r="E1" s="2" t="s">
        <v>4</v>
      </c>
      <c r="F1" s="2" t="s">
        <v>0</v>
      </c>
      <c r="G1" s="2" t="s">
        <v>1</v>
      </c>
      <c r="H1" s="8" t="s">
        <v>85</v>
      </c>
      <c r="I1" s="9" t="s">
        <v>132</v>
      </c>
      <c r="J1" s="9" t="s">
        <v>81</v>
      </c>
      <c r="K1" s="13" t="s">
        <v>124</v>
      </c>
      <c r="L1" s="29" t="s">
        <v>126</v>
      </c>
      <c r="M1" s="28" t="s">
        <v>125</v>
      </c>
      <c r="N1" s="19" t="s">
        <v>82</v>
      </c>
      <c r="O1" s="19" t="s">
        <v>83</v>
      </c>
      <c r="P1" s="11" t="s">
        <v>84</v>
      </c>
      <c r="Q1" t="s">
        <v>36</v>
      </c>
    </row>
    <row r="2" spans="1:19" x14ac:dyDescent="0.25">
      <c r="A2" t="s">
        <v>109</v>
      </c>
      <c r="B2" s="6" t="s">
        <v>50</v>
      </c>
      <c r="C2" s="4">
        <v>44775</v>
      </c>
      <c r="D2" s="30"/>
      <c r="E2" t="s">
        <v>73</v>
      </c>
      <c r="F2" s="5" t="s">
        <v>44</v>
      </c>
      <c r="G2" t="s">
        <v>45</v>
      </c>
      <c r="H2" s="12">
        <f>[1]Main!$N$8</f>
        <v>5262.9334767642013</v>
      </c>
      <c r="J2" s="13">
        <f>[1]Main!$N$19</f>
        <v>22198.677928000903</v>
      </c>
      <c r="N2" s="19">
        <f>[1]Main!$N$3</f>
        <v>107</v>
      </c>
      <c r="O2" s="19">
        <f>[1]Main!$N$20</f>
        <v>506.49669636225735</v>
      </c>
      <c r="P2" s="14">
        <f>O2/N2</f>
        <v>4.733613984693994</v>
      </c>
      <c r="Q2" t="s">
        <v>87</v>
      </c>
    </row>
    <row r="3" spans="1:19" outlineLevel="1" x14ac:dyDescent="0.25">
      <c r="A3" t="s">
        <v>109</v>
      </c>
      <c r="B3" s="6" t="s">
        <v>52</v>
      </c>
      <c r="C3" s="4">
        <v>44772</v>
      </c>
      <c r="D3" s="30"/>
      <c r="E3" t="s">
        <v>22</v>
      </c>
      <c r="F3" s="5" t="s">
        <v>46</v>
      </c>
      <c r="G3" t="s">
        <v>47</v>
      </c>
      <c r="H3" s="12">
        <f>[2]Main!$N$8</f>
        <v>2219.4089300000001</v>
      </c>
      <c r="J3" s="13">
        <f>[2]Main!$N$18</f>
        <v>11759.15586027935</v>
      </c>
      <c r="N3" s="19">
        <f>[2]Main!$N$3</f>
        <v>138.47</v>
      </c>
      <c r="O3" s="19">
        <f>[2]Main!$N$19</f>
        <v>605.54899120857669</v>
      </c>
      <c r="P3" s="14">
        <f>O3/N3</f>
        <v>4.3731421333760139</v>
      </c>
      <c r="Q3" t="s">
        <v>49</v>
      </c>
    </row>
    <row r="4" spans="1:19" outlineLevel="1" x14ac:dyDescent="0.25">
      <c r="A4" t="s">
        <v>109</v>
      </c>
      <c r="B4" s="6" t="s">
        <v>53</v>
      </c>
      <c r="C4" s="4">
        <v>44773</v>
      </c>
      <c r="D4" s="30"/>
      <c r="E4" t="s">
        <v>22</v>
      </c>
      <c r="F4" s="5" t="s">
        <v>56</v>
      </c>
      <c r="G4" t="s">
        <v>48</v>
      </c>
      <c r="H4" s="12">
        <f>[3]Main!$N$8</f>
        <v>7062.3840000000009</v>
      </c>
      <c r="J4" s="13">
        <f>[3]Main!$N$18</f>
        <v>8817.3705876180775</v>
      </c>
      <c r="N4" s="19">
        <f>[3]Main!$N$3</f>
        <v>35.31</v>
      </c>
      <c r="O4" s="19">
        <f>[3]Main!$N$19</f>
        <v>52.989005935204794</v>
      </c>
      <c r="P4" s="14">
        <f t="shared" ref="P4:P17" si="0">O4/N4</f>
        <v>1.5006798622261339</v>
      </c>
    </row>
    <row r="5" spans="1:19" outlineLevel="1" x14ac:dyDescent="0.25">
      <c r="A5" t="s">
        <v>109</v>
      </c>
      <c r="B5" s="6" t="s">
        <v>51</v>
      </c>
      <c r="C5" s="4">
        <v>44773</v>
      </c>
      <c r="D5" s="30"/>
      <c r="E5" t="s">
        <v>5</v>
      </c>
      <c r="F5" s="5" t="s">
        <v>54</v>
      </c>
      <c r="G5" t="s">
        <v>55</v>
      </c>
      <c r="H5" s="12">
        <f>[4]Main!$N$8</f>
        <v>3670.81792</v>
      </c>
      <c r="J5" s="13">
        <f>[4]Main!$N$19</f>
        <v>2996.7820265448186</v>
      </c>
      <c r="N5" s="19">
        <f>[4]Main!$N$3</f>
        <v>64.72</v>
      </c>
      <c r="O5" s="19">
        <f>[4]Main!$N$20</f>
        <v>66.876035494517382</v>
      </c>
      <c r="P5" s="14">
        <f t="shared" si="0"/>
        <v>1.0333132801995888</v>
      </c>
    </row>
    <row r="6" spans="1:19" outlineLevel="1" x14ac:dyDescent="0.25">
      <c r="A6" t="s">
        <v>109</v>
      </c>
      <c r="B6" s="6" t="s">
        <v>57</v>
      </c>
      <c r="C6" s="4">
        <v>44773</v>
      </c>
      <c r="D6" s="30"/>
      <c r="E6" t="s">
        <v>22</v>
      </c>
      <c r="F6" s="5" t="s">
        <v>58</v>
      </c>
      <c r="G6" t="s">
        <v>59</v>
      </c>
      <c r="H6" s="12">
        <f>[5]Main!$N$8</f>
        <v>1029.8218324607337</v>
      </c>
      <c r="J6" s="13">
        <f>[5]Main!$N$18</f>
        <v>4076.5725319753483</v>
      </c>
      <c r="N6" s="19">
        <f>[5]Main!$N$3</f>
        <v>87</v>
      </c>
      <c r="O6" s="19">
        <f>[5]Main!$N$19</f>
        <v>436.69397285882815</v>
      </c>
      <c r="P6" s="14">
        <f t="shared" si="0"/>
        <v>5.0194709524003231</v>
      </c>
    </row>
    <row r="7" spans="1:19" outlineLevel="1" x14ac:dyDescent="0.25">
      <c r="A7" t="s">
        <v>109</v>
      </c>
      <c r="B7" s="6" t="s">
        <v>57</v>
      </c>
      <c r="C7" s="4">
        <v>44774</v>
      </c>
      <c r="D7" s="30"/>
      <c r="E7" t="s">
        <v>22</v>
      </c>
      <c r="F7" s="5" t="s">
        <v>61</v>
      </c>
      <c r="G7" t="s">
        <v>60</v>
      </c>
      <c r="H7" s="12">
        <f>[6]Main!$N$8</f>
        <v>15906.644</v>
      </c>
      <c r="J7" s="13">
        <f>[6]Main!$N$18</f>
        <v>50207.036438406729</v>
      </c>
      <c r="N7" s="19">
        <f>[6]Main!$N$3</f>
        <v>73.459999999999994</v>
      </c>
      <c r="O7" s="19">
        <f>[6]Main!$N$19</f>
        <v>294.64223261975781</v>
      </c>
      <c r="P7" s="14">
        <f t="shared" si="0"/>
        <v>4.0109206727437767</v>
      </c>
    </row>
    <row r="8" spans="1:19" outlineLevel="1" x14ac:dyDescent="0.25">
      <c r="A8" t="s">
        <v>109</v>
      </c>
      <c r="B8" s="6" t="s">
        <v>64</v>
      </c>
      <c r="C8" s="4">
        <v>44774</v>
      </c>
      <c r="D8" s="30"/>
      <c r="E8" t="s">
        <v>5</v>
      </c>
      <c r="F8" s="5" t="s">
        <v>62</v>
      </c>
      <c r="G8" t="s">
        <v>63</v>
      </c>
      <c r="H8" s="12">
        <f>[7]Main!$N$8</f>
        <v>5265.84</v>
      </c>
      <c r="J8" s="13">
        <f>[7]Main!$N$18</f>
        <v>12229.883434318077</v>
      </c>
      <c r="N8" s="19">
        <f>[7]Main!$N$3</f>
        <v>64.44</v>
      </c>
      <c r="O8" s="19">
        <f>[7]Main!$N$19</f>
        <v>142.2079469106753</v>
      </c>
      <c r="P8" s="14">
        <f t="shared" si="0"/>
        <v>2.2068272332507033</v>
      </c>
    </row>
    <row r="9" spans="1:19" outlineLevel="1" x14ac:dyDescent="0.25">
      <c r="A9" t="s">
        <v>109</v>
      </c>
      <c r="B9" s="6" t="s">
        <v>69</v>
      </c>
      <c r="C9" s="4">
        <v>44774</v>
      </c>
      <c r="D9" s="30"/>
      <c r="E9" t="s">
        <v>22</v>
      </c>
      <c r="F9" s="5" t="s">
        <v>68</v>
      </c>
      <c r="G9" t="s">
        <v>76</v>
      </c>
      <c r="H9" s="12">
        <f>[8]Main!$N$8</f>
        <v>877.07125999999994</v>
      </c>
      <c r="J9" s="13">
        <f>[8]Main!$N$18</f>
        <v>1643.4101590621442</v>
      </c>
      <c r="N9" s="19">
        <f>[8]Main!$N$3</f>
        <v>25.18</v>
      </c>
      <c r="O9" s="19">
        <f>[8]Main!$N$19</f>
        <v>49.564500982059428</v>
      </c>
      <c r="P9" s="14">
        <f t="shared" si="0"/>
        <v>1.9684075052446159</v>
      </c>
    </row>
    <row r="10" spans="1:19" outlineLevel="1" x14ac:dyDescent="0.25">
      <c r="A10" t="s">
        <v>109</v>
      </c>
      <c r="B10" s="6" t="s">
        <v>67</v>
      </c>
      <c r="C10" s="4">
        <v>44775</v>
      </c>
      <c r="D10" s="30"/>
      <c r="E10" t="s">
        <v>22</v>
      </c>
      <c r="F10" s="5" t="s">
        <v>65</v>
      </c>
      <c r="G10" t="s">
        <v>66</v>
      </c>
      <c r="H10" s="12">
        <f>[9]Main!$N$8</f>
        <v>6531.1078800000005</v>
      </c>
      <c r="J10" s="13">
        <f>[9]Main!$N$18</f>
        <v>8831.5667844635373</v>
      </c>
      <c r="N10" s="19">
        <f>[9]Main!$N$3</f>
        <v>260.32</v>
      </c>
      <c r="O10" s="19">
        <f>[9]Main!$N$19</f>
        <v>357.06180902658434</v>
      </c>
      <c r="P10" s="14">
        <f t="shared" si="0"/>
        <v>1.3716264944168115</v>
      </c>
    </row>
    <row r="11" spans="1:19" outlineLevel="1" x14ac:dyDescent="0.25">
      <c r="A11" t="s">
        <v>109</v>
      </c>
      <c r="B11" s="6" t="s">
        <v>72</v>
      </c>
      <c r="C11" s="4">
        <v>44775</v>
      </c>
      <c r="D11" s="30"/>
      <c r="E11" t="s">
        <v>22</v>
      </c>
      <c r="F11" s="5" t="s">
        <v>71</v>
      </c>
      <c r="G11" t="s">
        <v>70</v>
      </c>
      <c r="H11" s="12">
        <f>[10]Main!$N$8</f>
        <v>5961.5730000000003</v>
      </c>
      <c r="J11" s="13">
        <f>[10]Main!$N$18</f>
        <v>6053.073284927159</v>
      </c>
      <c r="N11" s="19">
        <f>[10]Main!$N$3</f>
        <v>60.73</v>
      </c>
      <c r="O11" s="19">
        <f>[10]Main!$N$19</f>
        <v>86.349119613796859</v>
      </c>
      <c r="P11" s="14">
        <f>O11/N11</f>
        <v>1.4218527846829716</v>
      </c>
    </row>
    <row r="12" spans="1:19" outlineLevel="1" x14ac:dyDescent="0.25">
      <c r="A12" t="s">
        <v>109</v>
      </c>
      <c r="B12" s="6" t="s">
        <v>79</v>
      </c>
      <c r="C12" s="4">
        <v>44775</v>
      </c>
      <c r="D12" s="30"/>
      <c r="E12" t="s">
        <v>22</v>
      </c>
      <c r="F12" s="5" t="s">
        <v>74</v>
      </c>
      <c r="G12" t="s">
        <v>75</v>
      </c>
      <c r="H12" s="12">
        <f>[11]Main!$N$8</f>
        <v>3705.70046</v>
      </c>
      <c r="J12" s="13">
        <f>[11]Main!$N$18</f>
        <v>2666.8844433216959</v>
      </c>
      <c r="N12" s="19">
        <f>[11]Main!$N$3</f>
        <v>20.86</v>
      </c>
      <c r="O12" s="19">
        <f>[11]Main!$N$19</f>
        <v>17.243419112262924</v>
      </c>
      <c r="P12" s="14">
        <f t="shared" si="0"/>
        <v>0.82662603606246043</v>
      </c>
      <c r="Q12" t="s">
        <v>86</v>
      </c>
      <c r="S12" s="1"/>
    </row>
    <row r="13" spans="1:19" outlineLevel="1" x14ac:dyDescent="0.25">
      <c r="A13" t="s">
        <v>109</v>
      </c>
      <c r="B13" s="6" t="s">
        <v>94</v>
      </c>
      <c r="C13" s="4">
        <v>44984</v>
      </c>
      <c r="D13" s="30">
        <v>44951</v>
      </c>
      <c r="E13" t="s">
        <v>107</v>
      </c>
      <c r="F13" s="5" t="s">
        <v>95</v>
      </c>
      <c r="G13" t="s">
        <v>96</v>
      </c>
      <c r="H13" s="12">
        <f>[12]Main!$N$10</f>
        <v>34568.657999999996</v>
      </c>
      <c r="I13" s="13">
        <f>+[12]Main!$N$7</f>
        <v>31490.857999999997</v>
      </c>
      <c r="J13" s="13">
        <f>+[12]Main!$N$13</f>
        <v>56115.999003056495</v>
      </c>
      <c r="K13" s="13">
        <f>+SUM([12]Model!$L$15:$O$15)</f>
        <v>7318.0999999999985</v>
      </c>
      <c r="L13" s="29">
        <f t="shared" ref="L13:L25" si="1">K13/(J13/O13)</f>
        <v>21.261185357350374</v>
      </c>
      <c r="M13" s="28">
        <f t="shared" ref="M13:M25" si="2">H13/K13</f>
        <v>4.723720364575505</v>
      </c>
      <c r="N13" s="19">
        <f>[12]Main!$N$5</f>
        <v>91.49</v>
      </c>
      <c r="O13" s="19">
        <f>+[12]Main!$N$14</f>
        <v>163.0331173825</v>
      </c>
      <c r="P13" s="14">
        <f t="shared" si="0"/>
        <v>1.7819774552683354</v>
      </c>
    </row>
    <row r="14" spans="1:19" x14ac:dyDescent="0.25">
      <c r="A14" t="s">
        <v>110</v>
      </c>
      <c r="B14" s="6" t="s">
        <v>120</v>
      </c>
      <c r="C14" s="4">
        <v>44973</v>
      </c>
      <c r="D14" s="30">
        <v>44964</v>
      </c>
      <c r="E14" t="s">
        <v>119</v>
      </c>
      <c r="F14" s="26" t="s">
        <v>111</v>
      </c>
      <c r="G14" t="s">
        <v>116</v>
      </c>
      <c r="H14" s="12">
        <f>[13]Main!$N$9</f>
        <v>41885.595249999998</v>
      </c>
      <c r="I14" s="13">
        <f>+[13]Main!$N$6</f>
        <v>19321.628250000002</v>
      </c>
      <c r="J14" s="13">
        <f>[13]Main!$N$12</f>
        <v>17718.474111348907</v>
      </c>
      <c r="K14" s="13">
        <f>+[13]Model!$AA$27</f>
        <v>642.59899999999948</v>
      </c>
      <c r="L14" s="29">
        <f t="shared" si="1"/>
        <v>2.519294627770305</v>
      </c>
      <c r="M14" s="28">
        <f t="shared" si="2"/>
        <v>65.181544400162522</v>
      </c>
      <c r="N14" s="19">
        <f>[13]Main!$N$4</f>
        <v>75.75</v>
      </c>
      <c r="O14" s="19">
        <f>[13]Main!$N$13</f>
        <v>69.464871001991241</v>
      </c>
      <c r="P14" s="14">
        <f t="shared" si="0"/>
        <v>0.91702800002628704</v>
      </c>
    </row>
    <row r="15" spans="1:19" outlineLevel="1" x14ac:dyDescent="0.25">
      <c r="A15" t="s">
        <v>110</v>
      </c>
      <c r="B15" s="6" t="s">
        <v>120</v>
      </c>
      <c r="C15" s="4">
        <v>44972</v>
      </c>
      <c r="D15" s="30">
        <v>44916</v>
      </c>
      <c r="E15" t="s">
        <v>119</v>
      </c>
      <c r="F15" s="26" t="s">
        <v>112</v>
      </c>
      <c r="G15" t="s">
        <v>115</v>
      </c>
      <c r="H15" s="12">
        <f>[14]Main!$N$9</f>
        <v>43973.122093023252</v>
      </c>
      <c r="I15" s="13">
        <f>+[14]Main!$N$6</f>
        <v>14394.122093023256</v>
      </c>
      <c r="J15" s="13">
        <f>[14]Main!$N$12</f>
        <v>18848.439289507303</v>
      </c>
      <c r="K15" s="13">
        <f>+[14]Model!$Z$27</f>
        <v>-2103</v>
      </c>
      <c r="L15" s="29">
        <f t="shared" si="1"/>
        <v>-1.7809748892171344</v>
      </c>
      <c r="M15" s="28">
        <f t="shared" si="2"/>
        <v>-20.909710933439491</v>
      </c>
      <c r="N15" s="19">
        <f>[14]Main!$N$4</f>
        <v>12.19</v>
      </c>
      <c r="O15" s="19">
        <f>[14]Main!$N$13</f>
        <v>15.962243022133215</v>
      </c>
      <c r="P15" s="14">
        <f t="shared" si="0"/>
        <v>1.3094538984522737</v>
      </c>
    </row>
    <row r="16" spans="1:19" outlineLevel="1" x14ac:dyDescent="0.25">
      <c r="A16" t="s">
        <v>110</v>
      </c>
      <c r="B16" s="6" t="s">
        <v>120</v>
      </c>
      <c r="C16" s="4">
        <f>+[15]Main!$N$2</f>
        <v>44985</v>
      </c>
      <c r="D16" s="30">
        <v>44985</v>
      </c>
      <c r="E16" t="s">
        <v>119</v>
      </c>
      <c r="F16" s="26" t="s">
        <v>113</v>
      </c>
      <c r="G16" t="s">
        <v>117</v>
      </c>
      <c r="H16" s="12">
        <f>[15]Main!$N$9</f>
        <v>18224.220440000001</v>
      </c>
      <c r="I16" s="13">
        <f>+[15]Main!$N$6</f>
        <v>5320.9374400000006</v>
      </c>
      <c r="J16" s="13">
        <f>[15]Main!$N$12</f>
        <v>9564.1035156825055</v>
      </c>
      <c r="K16" s="13">
        <f>+SUM([15]Model!$G$26:$J$26)</f>
        <v>-802.42000000000019</v>
      </c>
      <c r="L16" s="29">
        <f t="shared" si="1"/>
        <v>-2.1957099349019975</v>
      </c>
      <c r="M16" s="28">
        <f t="shared" si="2"/>
        <v>-22.711573041549308</v>
      </c>
      <c r="N16" s="19">
        <f>[15]Main!$N$4</f>
        <v>14.56</v>
      </c>
      <c r="O16" s="19">
        <f>[15]Main!$N$13</f>
        <v>26.170829625152908</v>
      </c>
      <c r="P16" s="14">
        <f t="shared" si="0"/>
        <v>1.7974470896396229</v>
      </c>
    </row>
    <row r="17" spans="1:17" outlineLevel="1" x14ac:dyDescent="0.25">
      <c r="A17" t="s">
        <v>110</v>
      </c>
      <c r="B17" s="6" t="s">
        <v>121</v>
      </c>
      <c r="C17" s="4">
        <v>44972</v>
      </c>
      <c r="D17" s="30">
        <v>44867</v>
      </c>
      <c r="E17" t="s">
        <v>73</v>
      </c>
      <c r="F17" s="27" t="s">
        <v>114</v>
      </c>
      <c r="G17" t="s">
        <v>118</v>
      </c>
      <c r="H17" s="12">
        <f>[16]Main!$N$9</f>
        <v>1089.1226000000001</v>
      </c>
      <c r="I17" s="13">
        <f>+[16]Main!$N$6</f>
        <v>619.56560000000002</v>
      </c>
      <c r="J17" s="13">
        <f>[16]Main!$N$12</f>
        <v>473.84250172820322</v>
      </c>
      <c r="K17" s="13">
        <v>2</v>
      </c>
      <c r="L17" s="29">
        <f t="shared" si="1"/>
        <v>3.7703836365350178E-2</v>
      </c>
      <c r="M17" s="28">
        <f t="shared" si="2"/>
        <v>544.56130000000007</v>
      </c>
      <c r="N17" s="19">
        <f>[16]Main!$N$4</f>
        <v>11.68</v>
      </c>
      <c r="O17" s="19">
        <f>[16]Main!$N$13</f>
        <v>8.932840074054166</v>
      </c>
      <c r="P17" s="14">
        <f t="shared" si="0"/>
        <v>0.76479795154573338</v>
      </c>
    </row>
    <row r="18" spans="1:17" x14ac:dyDescent="0.25">
      <c r="A18" t="s">
        <v>122</v>
      </c>
      <c r="B18" s="6" t="s">
        <v>123</v>
      </c>
      <c r="C18" s="4">
        <v>44979</v>
      </c>
      <c r="D18" s="30">
        <v>44950</v>
      </c>
      <c r="E18" t="s">
        <v>119</v>
      </c>
      <c r="F18" s="5" t="s">
        <v>19</v>
      </c>
      <c r="G18" t="s">
        <v>21</v>
      </c>
      <c r="H18" s="12">
        <f>[17]Main!$N$10</f>
        <v>156055.80000000002</v>
      </c>
      <c r="I18" s="13">
        <f>+[17]Main!$N$7</f>
        <v>155536.80000000002</v>
      </c>
      <c r="J18" s="13">
        <f>[17]Main!$N$12</f>
        <v>134489.60313830531</v>
      </c>
      <c r="K18" s="13">
        <f>[17]Model!$X$28</f>
        <v>11119</v>
      </c>
      <c r="L18" s="29">
        <f t="shared" si="1"/>
        <v>12.138646288209607</v>
      </c>
      <c r="M18" s="28">
        <f t="shared" si="2"/>
        <v>14.035057109452291</v>
      </c>
      <c r="N18" s="19">
        <f>[17]Main!$N$5</f>
        <v>169.8</v>
      </c>
      <c r="O18" s="19">
        <f>[17]Main!$N$13</f>
        <v>146.82271084967829</v>
      </c>
      <c r="P18" s="14">
        <f t="shared" ref="P18:P25" si="3">O18/N18</f>
        <v>0.86468027591094387</v>
      </c>
      <c r="Q18" t="s">
        <v>135</v>
      </c>
    </row>
    <row r="19" spans="1:17" outlineLevel="1" x14ac:dyDescent="0.25">
      <c r="A19" t="s">
        <v>122</v>
      </c>
      <c r="B19" s="6" t="s">
        <v>123</v>
      </c>
      <c r="C19" s="4">
        <v>44980</v>
      </c>
      <c r="D19" s="30">
        <v>44972</v>
      </c>
      <c r="E19" t="s">
        <v>107</v>
      </c>
      <c r="F19" s="5" t="s">
        <v>17</v>
      </c>
      <c r="G19" t="s">
        <v>20</v>
      </c>
      <c r="H19" s="12">
        <f>[18]Main!$N$10</f>
        <v>99554.828000000009</v>
      </c>
      <c r="I19" s="13">
        <f>+[18]Main!$N$7</f>
        <v>94146.828000000009</v>
      </c>
      <c r="J19" s="13">
        <f>+[18]Main!$N$13</f>
        <v>95545.612738294119</v>
      </c>
      <c r="K19" s="13">
        <f>SUM([18]Model!$J$29:$M$29)</f>
        <v>1530.8109999999983</v>
      </c>
      <c r="L19" s="29">
        <f t="shared" si="1"/>
        <v>3.0186366146079791</v>
      </c>
      <c r="M19" s="28">
        <f t="shared" si="2"/>
        <v>65.034042739436885</v>
      </c>
      <c r="N19" s="19">
        <f>+[18]Main!$N$5</f>
        <v>185.65</v>
      </c>
      <c r="O19" s="19">
        <f>+[18]Main!$N$14</f>
        <v>188.40829140695323</v>
      </c>
      <c r="P19" s="14">
        <f t="shared" si="3"/>
        <v>1.0148574813194355</v>
      </c>
      <c r="Q19" t="s">
        <v>138</v>
      </c>
    </row>
    <row r="20" spans="1:17" outlineLevel="1" x14ac:dyDescent="0.25">
      <c r="A20" t="s">
        <v>122</v>
      </c>
      <c r="B20" s="6" t="s">
        <v>123</v>
      </c>
      <c r="C20" s="4">
        <v>44981</v>
      </c>
      <c r="D20" s="30">
        <v>44963</v>
      </c>
      <c r="E20" t="s">
        <v>119</v>
      </c>
      <c r="F20" s="5" t="s">
        <v>18</v>
      </c>
      <c r="G20" t="s">
        <v>127</v>
      </c>
      <c r="H20" s="12">
        <f>+[19]Main!$N$12</f>
        <v>34171.095999999998</v>
      </c>
      <c r="I20" s="13">
        <f>+[19]Main!$N$9</f>
        <v>33044.495999999999</v>
      </c>
      <c r="J20" s="13">
        <f>+[19]Main!$N$15</f>
        <v>35110.668973847663</v>
      </c>
      <c r="K20" s="13">
        <f>+[19]Model!$X$29</f>
        <v>2922.8000000000011</v>
      </c>
      <c r="L20" s="29">
        <f t="shared" si="1"/>
        <v>6.7469990766389687</v>
      </c>
      <c r="M20" s="28">
        <f t="shared" si="2"/>
        <v>11.691219378677975</v>
      </c>
      <c r="N20" s="19">
        <f>+[19]Main!$N$7</f>
        <v>76.28</v>
      </c>
      <c r="O20" s="19">
        <f>+[19]Main!$N$16</f>
        <v>81.049559034736063</v>
      </c>
      <c r="P20" s="14">
        <f t="shared" si="3"/>
        <v>1.0625269931140018</v>
      </c>
      <c r="Q20" t="s">
        <v>137</v>
      </c>
    </row>
    <row r="21" spans="1:17" outlineLevel="1" x14ac:dyDescent="0.25">
      <c r="A21" t="s">
        <v>122</v>
      </c>
      <c r="B21" s="6" t="s">
        <v>123</v>
      </c>
      <c r="C21" s="4">
        <v>44982</v>
      </c>
      <c r="D21" s="30">
        <v>44959</v>
      </c>
      <c r="E21" t="s">
        <v>129</v>
      </c>
      <c r="F21" s="26" t="s">
        <v>130</v>
      </c>
      <c r="G21" t="s">
        <v>131</v>
      </c>
      <c r="H21" s="12">
        <f>+[20]Main!$N$11</f>
        <v>50060.056000000004</v>
      </c>
      <c r="I21" s="13">
        <f>+[20]Main!$N$8</f>
        <v>43760.256000000008</v>
      </c>
      <c r="J21" s="13">
        <f>+[20]Main!$N$14</f>
        <v>49396.022818172591</v>
      </c>
      <c r="K21" s="13">
        <f>+SUM([20]Model!$F$28:$I$28)</f>
        <v>3890.6999999999989</v>
      </c>
      <c r="L21" s="29">
        <f t="shared" si="1"/>
        <v>7.0843044428259256</v>
      </c>
      <c r="M21" s="28">
        <f t="shared" si="2"/>
        <v>12.866593672089859</v>
      </c>
      <c r="N21" s="19">
        <f>+[20]Main!$N$6</f>
        <v>79.680000000000007</v>
      </c>
      <c r="O21" s="19">
        <f>+[20]Main!$N$15</f>
        <v>89.941774978464281</v>
      </c>
      <c r="P21" s="14">
        <f t="shared" si="3"/>
        <v>1.1287873365771119</v>
      </c>
      <c r="Q21" t="s">
        <v>136</v>
      </c>
    </row>
    <row r="22" spans="1:17" outlineLevel="1" x14ac:dyDescent="0.25">
      <c r="A22" t="s">
        <v>122</v>
      </c>
      <c r="B22" s="6" t="s">
        <v>123</v>
      </c>
      <c r="C22" s="4">
        <v>44983</v>
      </c>
      <c r="D22" s="30">
        <v>44895</v>
      </c>
      <c r="E22" t="s">
        <v>129</v>
      </c>
      <c r="F22" s="26" t="s">
        <v>133</v>
      </c>
      <c r="G22" t="s">
        <v>134</v>
      </c>
      <c r="H22" s="12">
        <f>+[21]Main!$N$11</f>
        <v>1828.46028</v>
      </c>
      <c r="I22" s="13">
        <f>+[21]Main!$N$8</f>
        <v>1946.07728</v>
      </c>
      <c r="J22" s="13">
        <f>+[21]Main!$N$14</f>
        <v>2173.7463596759726</v>
      </c>
      <c r="K22" s="13">
        <f>SUM([21]Model!$F$28:$I$28)</f>
        <v>226.52699999999987</v>
      </c>
      <c r="L22" s="29">
        <f t="shared" si="1"/>
        <v>3.5525845304560546</v>
      </c>
      <c r="M22" s="28">
        <f t="shared" si="2"/>
        <v>8.0717101272696024</v>
      </c>
      <c r="N22" s="19">
        <f>+[21]Main!$N$6</f>
        <v>30.52</v>
      </c>
      <c r="O22" s="19">
        <f>+[21]Main!$N$15</f>
        <v>34.090495572360147</v>
      </c>
      <c r="P22" s="14">
        <f t="shared" si="3"/>
        <v>1.1169887146906994</v>
      </c>
      <c r="Q22" t="s">
        <v>139</v>
      </c>
    </row>
    <row r="23" spans="1:17" x14ac:dyDescent="0.25">
      <c r="A23" t="s">
        <v>140</v>
      </c>
      <c r="B23" s="6" t="s">
        <v>141</v>
      </c>
      <c r="C23" s="4">
        <v>44991</v>
      </c>
      <c r="D23" s="30">
        <v>44958</v>
      </c>
      <c r="E23" t="s">
        <v>119</v>
      </c>
      <c r="F23" s="26" t="s">
        <v>142</v>
      </c>
      <c r="G23" t="str">
        <f>+[22]Main!$N$4</f>
        <v>Old Dominion Freight Line</v>
      </c>
      <c r="H23" s="12">
        <f>+[22]Main!$N$11</f>
        <v>39621.008000000002</v>
      </c>
      <c r="I23" s="13">
        <f>+[22]Main!$N$8</f>
        <v>39650.402999999998</v>
      </c>
      <c r="J23" s="13">
        <f>+[22]Main!$N$14</f>
        <v>34330.520064169796</v>
      </c>
      <c r="K23" s="13">
        <f>+[22]Model!$T$32</f>
        <v>2116.6350000000002</v>
      </c>
      <c r="L23" s="29">
        <f t="shared" si="1"/>
        <v>18.841329891401102</v>
      </c>
      <c r="M23" s="28">
        <f t="shared" si="2"/>
        <v>18.718866502727206</v>
      </c>
      <c r="N23" s="19">
        <f>+[22]Main!$N$6</f>
        <v>352.95</v>
      </c>
      <c r="O23" s="19">
        <f>+[22]Main!$N$15</f>
        <v>305.59480206667075</v>
      </c>
      <c r="P23" s="14">
        <f t="shared" si="3"/>
        <v>0.8658302934315647</v>
      </c>
    </row>
    <row r="24" spans="1:17" x14ac:dyDescent="0.25">
      <c r="A24" t="s">
        <v>140</v>
      </c>
      <c r="B24" s="6" t="s">
        <v>141</v>
      </c>
      <c r="C24" s="4">
        <f>+[23]Main!$N$2</f>
        <v>44992</v>
      </c>
      <c r="D24" s="30">
        <f>+[23]Model!$J$1</f>
        <v>44595</v>
      </c>
      <c r="E24" t="s">
        <v>119</v>
      </c>
      <c r="F24" s="26" t="s">
        <v>143</v>
      </c>
      <c r="G24" t="str">
        <f>+[23]Main!$N$4</f>
        <v>Saia</v>
      </c>
      <c r="H24" s="12">
        <f>+[23]Main!$N$11</f>
        <v>7707.5203999999994</v>
      </c>
      <c r="I24" s="13">
        <f>+[23]Main!$N$8</f>
        <v>7658.1803999999993</v>
      </c>
      <c r="J24" s="13">
        <f>+[23]Main!$N$14</f>
        <v>7684.7281871497207</v>
      </c>
      <c r="K24" s="13">
        <f>+[23]Model!$T$28</f>
        <v>627.74999999999977</v>
      </c>
      <c r="L24" s="29">
        <f t="shared" si="1"/>
        <v>23.670814479638004</v>
      </c>
      <c r="M24" s="28">
        <f t="shared" si="2"/>
        <v>12.278009398645962</v>
      </c>
      <c r="N24" s="19">
        <f>+[23]Main!$N$6</f>
        <v>288.77</v>
      </c>
      <c r="O24" s="19">
        <f>+[23]Main!$N$15</f>
        <v>289.77104778090956</v>
      </c>
      <c r="P24" s="14">
        <f t="shared" si="3"/>
        <v>1.0034665920314076</v>
      </c>
    </row>
    <row r="25" spans="1:17" x14ac:dyDescent="0.25">
      <c r="A25" t="s">
        <v>140</v>
      </c>
      <c r="B25" s="6" t="s">
        <v>141</v>
      </c>
      <c r="C25" s="4">
        <f>+[28]Main!$N$2</f>
        <v>44992</v>
      </c>
      <c r="D25" s="30">
        <f>+[28]Model!$J$1</f>
        <v>44605</v>
      </c>
      <c r="E25" t="s">
        <v>119</v>
      </c>
      <c r="F25" s="26" t="s">
        <v>144</v>
      </c>
      <c r="G25" t="str">
        <f>+[28]Main!$N$4</f>
        <v>P.A.M. Transportation Services</v>
      </c>
      <c r="H25" s="12">
        <f>+[28]Main!$N$11</f>
        <v>853.44364000000007</v>
      </c>
      <c r="I25" s="13">
        <f>+[28]Main!$N$8</f>
        <v>656.02864</v>
      </c>
      <c r="J25" s="13">
        <f>+[28]Main!$N$14</f>
        <v>970.90412687107221</v>
      </c>
      <c r="K25" s="13">
        <f>+[28]Model!$T$31</f>
        <v>186.68</v>
      </c>
      <c r="L25" s="29">
        <f t="shared" si="1"/>
        <v>8.320556248885719</v>
      </c>
      <c r="M25" s="28">
        <f t="shared" si="2"/>
        <v>4.571692950503536</v>
      </c>
      <c r="N25" s="19">
        <f>+[28]Main!$N$6</f>
        <v>29.24</v>
      </c>
      <c r="O25" s="19">
        <f>+[28]Main!$N$15</f>
        <v>43.274386114774124</v>
      </c>
      <c r="P25" s="14">
        <f t="shared" si="3"/>
        <v>1.4799721653479523</v>
      </c>
    </row>
  </sheetData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F2" r:id="rId1" xr:uid="{73328F8B-1F94-4A8A-9A78-403E164E8CF5}"/>
    <hyperlink ref="F3" r:id="rId2" xr:uid="{9DBC66B9-2FF1-4977-B2DF-8C41D4A7A6D1}"/>
    <hyperlink ref="F5" r:id="rId3" xr:uid="{13EDAF3C-5721-4D75-9703-2DB05A32F554}"/>
    <hyperlink ref="F4" r:id="rId4" xr:uid="{1F57513D-24D3-4658-8F68-AF40A09EFC74}"/>
    <hyperlink ref="F6" r:id="rId5" xr:uid="{7760A594-AEAF-4B58-817B-4761F7B99113}"/>
    <hyperlink ref="F7" r:id="rId6" xr:uid="{F26D788E-1A4C-438C-9388-1DE3F435DDD3}"/>
    <hyperlink ref="F8" r:id="rId7" xr:uid="{C5B7B287-A56A-4BF1-A85C-5D722595DDC9}"/>
    <hyperlink ref="F9" r:id="rId8" xr:uid="{608B7647-1B08-4C9F-9F67-8EE648DE91F4}"/>
    <hyperlink ref="F11" r:id="rId9" xr:uid="{EC971D85-AE4D-4BAC-8F79-E09E5BB1E48F}"/>
    <hyperlink ref="F10" r:id="rId10" xr:uid="{3F8536C2-23A7-4161-812E-20365E1D9978}"/>
    <hyperlink ref="F12" r:id="rId11" xr:uid="{EADEAE13-3EB5-4DD8-A227-962C1710AB1F}"/>
    <hyperlink ref="F13" r:id="rId12" xr:uid="{8891FA92-2D91-4B39-8F9A-15A7A99C6B0E}"/>
    <hyperlink ref="F14" r:id="rId13" xr:uid="{B17BAEAB-F391-4432-AAF4-5E33835BE8BD}"/>
    <hyperlink ref="F15" r:id="rId14" xr:uid="{C1F4114B-46BB-4059-A5BE-C706C0D64BF9}"/>
    <hyperlink ref="F16" r:id="rId15" xr:uid="{6B733B71-6254-4B4B-A709-845BAA354A79}"/>
    <hyperlink ref="F17" r:id="rId16" xr:uid="{8C7CEC3F-9A88-4BF1-8E7D-6185C3B6C9AF}"/>
    <hyperlink ref="F18" r:id="rId17" xr:uid="{0B716ECA-DE4E-45F0-86A2-02472C2F8EAB}"/>
    <hyperlink ref="F19" r:id="rId18" xr:uid="{9712A0F2-E276-4023-8E1C-20FFFF3D79AF}"/>
    <hyperlink ref="F20" r:id="rId19" xr:uid="{D51FB28B-25B5-4085-89BA-B30029424F9C}"/>
    <hyperlink ref="F21" r:id="rId20" xr:uid="{A5AEC059-A102-4726-A849-58E7EC9248D0}"/>
    <hyperlink ref="F22" r:id="rId21" xr:uid="{C57C69B0-2AD6-4678-BD43-7D4F057F81B0}"/>
    <hyperlink ref="F23" r:id="rId22" xr:uid="{7C4AE6AF-6F0A-4FAE-A5D5-4E5F41E85210}"/>
    <hyperlink ref="F24" r:id="rId23" xr:uid="{4633F666-AB4C-44FF-ACE3-52918E85357E}"/>
    <hyperlink ref="F25" r:id="rId24" xr:uid="{B7CF3F61-BFC6-41D5-8919-5EDA0850C31F}"/>
  </hyperlinks>
  <pageMargins left="0.7" right="0.7" top="0.75" bottom="0.75" header="0.3" footer="0.3"/>
  <pageSetup orientation="portrait" horizontalDpi="1200" verticalDpi="120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4D65-549C-45C8-8E56-0FDC50A5308E}">
  <dimension ref="A1:N9"/>
  <sheetViews>
    <sheetView workbookViewId="0">
      <selection activeCell="C13" sqref="C13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78</v>
      </c>
      <c r="B1" s="2" t="s">
        <v>0</v>
      </c>
      <c r="C1" s="2" t="s">
        <v>1</v>
      </c>
      <c r="D1" s="2" t="s">
        <v>4</v>
      </c>
      <c r="E1" s="10" t="s">
        <v>77</v>
      </c>
      <c r="F1" s="3" t="s">
        <v>80</v>
      </c>
      <c r="G1" s="8" t="s">
        <v>85</v>
      </c>
      <c r="H1" s="9" t="s">
        <v>81</v>
      </c>
      <c r="I1" s="17" t="s">
        <v>82</v>
      </c>
      <c r="J1" s="18" t="s">
        <v>83</v>
      </c>
      <c r="K1" s="11" t="s">
        <v>84</v>
      </c>
      <c r="L1" t="s">
        <v>36</v>
      </c>
    </row>
    <row r="2" spans="1:14" x14ac:dyDescent="0.25">
      <c r="A2" s="4">
        <v>44776</v>
      </c>
      <c r="B2" s="5" t="s">
        <v>88</v>
      </c>
      <c r="C2" t="s">
        <v>89</v>
      </c>
      <c r="D2" t="s">
        <v>22</v>
      </c>
      <c r="E2" s="22">
        <v>44858</v>
      </c>
      <c r="F2" s="6" t="s">
        <v>90</v>
      </c>
      <c r="G2" s="12">
        <f>[9]Main!$N$8</f>
        <v>6531.1078800000005</v>
      </c>
      <c r="H2" s="13">
        <f>[9]Main!$N$18</f>
        <v>8831.5667844635373</v>
      </c>
      <c r="I2" s="19">
        <f>[9]Main!$N$3</f>
        <v>260.32</v>
      </c>
      <c r="J2" s="19">
        <f>[9]Main!$N$19</f>
        <v>357.06180902658434</v>
      </c>
      <c r="K2" s="14">
        <f t="shared" ref="K2" si="0">J2/I2</f>
        <v>1.3716264944168115</v>
      </c>
    </row>
    <row r="3" spans="1:14" x14ac:dyDescent="0.25">
      <c r="A3" s="4"/>
      <c r="B3" s="5"/>
      <c r="E3" s="22"/>
      <c r="I3" s="19"/>
      <c r="K3" s="14"/>
    </row>
    <row r="4" spans="1:14" x14ac:dyDescent="0.25">
      <c r="A4" s="4"/>
      <c r="B4" s="5"/>
      <c r="E4" s="22"/>
      <c r="I4" s="19"/>
      <c r="K4" s="14"/>
    </row>
    <row r="5" spans="1:14" x14ac:dyDescent="0.25">
      <c r="A5" s="4"/>
      <c r="B5" s="5"/>
      <c r="E5" s="22"/>
      <c r="I5" s="19"/>
      <c r="K5" s="14"/>
    </row>
    <row r="6" spans="1:14" x14ac:dyDescent="0.25">
      <c r="A6" s="4"/>
      <c r="B6" s="5"/>
      <c r="E6" s="22"/>
      <c r="I6" s="19"/>
      <c r="K6" s="14"/>
    </row>
    <row r="7" spans="1:14" x14ac:dyDescent="0.25">
      <c r="A7" s="4"/>
      <c r="B7" s="5"/>
      <c r="E7" s="22"/>
      <c r="I7" s="19"/>
      <c r="K7" s="14"/>
    </row>
    <row r="8" spans="1:14" x14ac:dyDescent="0.25">
      <c r="A8" s="4"/>
      <c r="B8" s="5"/>
      <c r="E8" s="22"/>
      <c r="I8" s="19"/>
      <c r="K8" s="14"/>
    </row>
    <row r="9" spans="1:14" x14ac:dyDescent="0.25">
      <c r="A9" s="4"/>
      <c r="B9" s="5"/>
      <c r="E9" s="22"/>
      <c r="I9" s="19"/>
      <c r="K9" s="14"/>
      <c r="N9" s="1"/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48576 K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 xr:uid="{04E6DBBA-9A36-417F-9821-390225E2F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7099-1451-4043-B0D3-3FB9C121746E}">
  <dimension ref="A1:N12"/>
  <sheetViews>
    <sheetView workbookViewId="0">
      <selection activeCell="B2" sqref="B2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78</v>
      </c>
      <c r="B1" s="2" t="s">
        <v>0</v>
      </c>
      <c r="C1" s="2" t="s">
        <v>1</v>
      </c>
      <c r="D1" s="2" t="s">
        <v>4</v>
      </c>
      <c r="E1" s="10" t="s">
        <v>77</v>
      </c>
      <c r="F1" s="3" t="s">
        <v>80</v>
      </c>
      <c r="G1" s="8" t="s">
        <v>85</v>
      </c>
      <c r="H1" s="9" t="s">
        <v>81</v>
      </c>
      <c r="I1" s="17" t="s">
        <v>82</v>
      </c>
      <c r="J1" s="18" t="s">
        <v>83</v>
      </c>
      <c r="K1" s="11" t="s">
        <v>84</v>
      </c>
      <c r="L1" t="s">
        <v>36</v>
      </c>
    </row>
    <row r="2" spans="1:14" x14ac:dyDescent="0.25">
      <c r="A2" s="4">
        <v>44902</v>
      </c>
      <c r="B2" s="5" t="s">
        <v>13</v>
      </c>
      <c r="C2" t="s">
        <v>15</v>
      </c>
      <c r="D2" t="s">
        <v>73</v>
      </c>
      <c r="E2" s="22"/>
      <c r="F2" s="6" t="s">
        <v>28</v>
      </c>
      <c r="I2" s="23"/>
      <c r="J2" s="24"/>
      <c r="K2" s="14"/>
      <c r="L2" t="s">
        <v>43</v>
      </c>
    </row>
    <row r="3" spans="1:14" x14ac:dyDescent="0.25">
      <c r="A3" s="4"/>
      <c r="B3" s="5" t="s">
        <v>34</v>
      </c>
      <c r="C3" t="s">
        <v>35</v>
      </c>
      <c r="D3" t="s">
        <v>5</v>
      </c>
      <c r="E3" s="22"/>
      <c r="F3" s="6" t="s">
        <v>33</v>
      </c>
      <c r="I3" s="19"/>
      <c r="J3" s="25"/>
      <c r="K3" s="14"/>
      <c r="L3" t="s">
        <v>39</v>
      </c>
    </row>
    <row r="4" spans="1:14" x14ac:dyDescent="0.25">
      <c r="A4" s="4">
        <v>44902</v>
      </c>
      <c r="B4" s="5" t="s">
        <v>2</v>
      </c>
      <c r="C4" t="s">
        <v>3</v>
      </c>
      <c r="D4" t="s">
        <v>22</v>
      </c>
      <c r="E4" s="22" t="s">
        <v>26</v>
      </c>
      <c r="F4" s="6" t="s">
        <v>28</v>
      </c>
      <c r="I4" s="23"/>
      <c r="J4" s="25"/>
      <c r="K4" s="14"/>
      <c r="L4" t="s">
        <v>37</v>
      </c>
    </row>
    <row r="5" spans="1:14" x14ac:dyDescent="0.25">
      <c r="A5" s="4"/>
      <c r="B5" s="5" t="s">
        <v>6</v>
      </c>
      <c r="C5" t="s">
        <v>7</v>
      </c>
      <c r="D5" t="s">
        <v>5</v>
      </c>
      <c r="E5" s="22" t="s">
        <v>26</v>
      </c>
      <c r="F5" s="6" t="s">
        <v>29</v>
      </c>
      <c r="I5" s="19"/>
      <c r="K5" s="14"/>
      <c r="L5" t="s">
        <v>38</v>
      </c>
    </row>
    <row r="6" spans="1:14" x14ac:dyDescent="0.25">
      <c r="A6" s="4">
        <v>44789</v>
      </c>
      <c r="B6" s="5" t="s">
        <v>105</v>
      </c>
      <c r="C6" t="s">
        <v>106</v>
      </c>
      <c r="D6" t="s">
        <v>107</v>
      </c>
      <c r="E6" s="22"/>
      <c r="F6" s="6" t="s">
        <v>30</v>
      </c>
      <c r="G6" s="12">
        <f>+[24]Main!$J$8</f>
        <v>87517.207200000004</v>
      </c>
      <c r="H6" s="13">
        <f>+[24]Main!$J$18</f>
        <v>74903.518611460153</v>
      </c>
      <c r="I6" s="23">
        <f>+[24]Main!$J$3</f>
        <v>67.2</v>
      </c>
      <c r="J6" s="23">
        <f>+[24]Main!$J$19</f>
        <v>63.631730278242067</v>
      </c>
      <c r="K6" s="14">
        <f t="shared" ref="K6" si="0">J6/I6</f>
        <v>0.94690074818812597</v>
      </c>
    </row>
    <row r="7" spans="1:14" x14ac:dyDescent="0.25">
      <c r="A7" s="4"/>
      <c r="B7" s="5" t="s">
        <v>14</v>
      </c>
      <c r="C7" t="s">
        <v>16</v>
      </c>
      <c r="D7" t="s">
        <v>5</v>
      </c>
      <c r="E7" s="22"/>
      <c r="I7" s="19"/>
      <c r="K7" s="14"/>
    </row>
    <row r="8" spans="1:14" x14ac:dyDescent="0.25">
      <c r="A8" s="4"/>
      <c r="B8" s="5" t="s">
        <v>40</v>
      </c>
      <c r="C8" t="s">
        <v>41</v>
      </c>
      <c r="D8" t="s">
        <v>5</v>
      </c>
      <c r="E8" s="22"/>
      <c r="F8" s="6" t="s">
        <v>30</v>
      </c>
      <c r="I8" s="19"/>
      <c r="K8" s="14"/>
      <c r="L8" t="s">
        <v>42</v>
      </c>
    </row>
    <row r="9" spans="1:14" x14ac:dyDescent="0.25">
      <c r="A9" s="4"/>
      <c r="B9" s="5" t="s">
        <v>23</v>
      </c>
      <c r="C9" t="s">
        <v>24</v>
      </c>
      <c r="D9" t="s">
        <v>5</v>
      </c>
      <c r="E9" s="22"/>
      <c r="F9" s="6" t="s">
        <v>30</v>
      </c>
      <c r="I9" s="19"/>
      <c r="K9" s="14"/>
      <c r="L9" t="s">
        <v>25</v>
      </c>
    </row>
    <row r="10" spans="1:14" x14ac:dyDescent="0.25">
      <c r="A10" s="4"/>
      <c r="B10" s="5" t="s">
        <v>10</v>
      </c>
      <c r="C10" t="s">
        <v>11</v>
      </c>
      <c r="D10" t="s">
        <v>5</v>
      </c>
      <c r="E10" s="22" t="s">
        <v>31</v>
      </c>
      <c r="F10" s="6" t="s">
        <v>27</v>
      </c>
      <c r="I10" s="19"/>
      <c r="K10" s="14"/>
      <c r="L10" t="s">
        <v>32</v>
      </c>
    </row>
    <row r="11" spans="1:14" x14ac:dyDescent="0.25">
      <c r="A11" s="4"/>
      <c r="B11" s="5" t="s">
        <v>9</v>
      </c>
      <c r="C11" t="s">
        <v>12</v>
      </c>
      <c r="E11" s="22"/>
      <c r="I11" s="19"/>
      <c r="K11" s="14"/>
      <c r="L11" t="s">
        <v>8</v>
      </c>
    </row>
    <row r="12" spans="1:14" x14ac:dyDescent="0.25">
      <c r="A12" s="4"/>
      <c r="B12" s="5"/>
      <c r="E12" s="22"/>
      <c r="I12" s="19"/>
      <c r="K12" s="14"/>
      <c r="N12" s="1"/>
    </row>
  </sheetData>
  <conditionalFormatting sqref="E2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1048576 K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4" r:id="rId1" xr:uid="{0DF8380E-F130-4DF6-8C1B-81195F64E711}"/>
    <hyperlink ref="B5" r:id="rId2" xr:uid="{E1F53057-56EF-47B9-8FE1-1577EBD42A71}"/>
    <hyperlink ref="B11" r:id="rId3" xr:uid="{E611340F-90AF-4D19-BAC0-62BACF486418}"/>
    <hyperlink ref="B10" r:id="rId4" xr:uid="{34820F31-FD3D-4DA0-BA88-FE235039C846}"/>
    <hyperlink ref="B2" r:id="rId5" xr:uid="{3154E5F3-A90E-40D1-A213-6B2AD19D0831}"/>
    <hyperlink ref="B7" r:id="rId6" xr:uid="{7F400EBC-E648-4E90-B4D3-A13DFCE215CA}"/>
    <hyperlink ref="B9" r:id="rId7" xr:uid="{D983D58E-4193-450D-97E9-A90CF2926C9E}"/>
    <hyperlink ref="B3" r:id="rId8" xr:uid="{3B3A617F-B0BC-4F0B-B959-6C0C93FA9FBA}"/>
    <hyperlink ref="B8" r:id="rId9" xr:uid="{63119635-1507-495B-829C-7F604EBE1405}"/>
    <hyperlink ref="B6" r:id="rId10" xr:uid="{0F47FD78-A563-4307-BB98-742B98937275}"/>
  </hyperlinks>
  <pageMargins left="0.7" right="0.7" top="0.75" bottom="0.75" header="0.3" footer="0.3"/>
  <pageSetup orientation="portrait" horizontalDpi="1200" verticalDpi="1200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0134-2B0C-4B8F-8791-A493F6352A74}">
  <dimension ref="A1:N12"/>
  <sheetViews>
    <sheetView workbookViewId="0">
      <selection activeCell="O18" sqref="O18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78</v>
      </c>
      <c r="B1" s="2" t="s">
        <v>0</v>
      </c>
      <c r="C1" s="2" t="s">
        <v>1</v>
      </c>
      <c r="D1" s="2" t="s">
        <v>4</v>
      </c>
      <c r="E1" s="10" t="s">
        <v>77</v>
      </c>
      <c r="F1" s="3" t="s">
        <v>80</v>
      </c>
      <c r="G1" s="8" t="s">
        <v>85</v>
      </c>
      <c r="H1" s="9" t="s">
        <v>81</v>
      </c>
      <c r="I1" s="17" t="s">
        <v>82</v>
      </c>
      <c r="J1" s="18" t="s">
        <v>83</v>
      </c>
      <c r="K1" s="11" t="s">
        <v>84</v>
      </c>
      <c r="L1" t="s">
        <v>36</v>
      </c>
    </row>
    <row r="2" spans="1:14" x14ac:dyDescent="0.25">
      <c r="A2" s="4">
        <v>44777</v>
      </c>
      <c r="B2" s="5" t="s">
        <v>91</v>
      </c>
      <c r="C2" t="s">
        <v>92</v>
      </c>
      <c r="D2" t="s">
        <v>22</v>
      </c>
      <c r="E2" s="22">
        <v>44869</v>
      </c>
      <c r="F2" s="6" t="s">
        <v>93</v>
      </c>
      <c r="G2" s="12">
        <f>[25]Main!$O$8</f>
        <v>506.71814999999992</v>
      </c>
      <c r="H2" s="13">
        <f>[25]Main!$O$18</f>
        <v>541.46267091390234</v>
      </c>
      <c r="I2" s="23">
        <f>[25]Main!$O$3</f>
        <v>18.149999999999999</v>
      </c>
      <c r="J2" s="24">
        <f>[25]Main!$O$19</f>
        <v>16.629178185986376</v>
      </c>
      <c r="K2" s="14">
        <f t="shared" ref="K2:K4" si="0">J2/I2</f>
        <v>0.91620816451715581</v>
      </c>
    </row>
    <row r="3" spans="1:14" x14ac:dyDescent="0.25">
      <c r="A3" s="4">
        <v>44777</v>
      </c>
      <c r="B3" s="5" t="s">
        <v>97</v>
      </c>
      <c r="C3" t="s">
        <v>98</v>
      </c>
      <c r="D3" t="s">
        <v>22</v>
      </c>
      <c r="E3" s="22">
        <v>44868</v>
      </c>
      <c r="F3" s="6" t="s">
        <v>99</v>
      </c>
      <c r="G3" s="12">
        <f>+[26]Main!$N$8</f>
        <v>217.09325999999999</v>
      </c>
      <c r="H3" s="13">
        <f>+[26]Main!$N$18</f>
        <v>42.225188935657137</v>
      </c>
      <c r="I3" s="19">
        <f>+[26]Main!$N$3</f>
        <v>4.43</v>
      </c>
      <c r="J3" s="25">
        <f>+[26]Main!$N$19</f>
        <v>0.9450156424434254</v>
      </c>
      <c r="K3" s="14">
        <f t="shared" si="0"/>
        <v>0.21332181544998316</v>
      </c>
      <c r="L3" t="s">
        <v>100</v>
      </c>
    </row>
    <row r="4" spans="1:14" x14ac:dyDescent="0.25">
      <c r="A4" s="4">
        <v>44779</v>
      </c>
      <c r="B4" s="5" t="s">
        <v>102</v>
      </c>
      <c r="C4" t="s">
        <v>103</v>
      </c>
      <c r="D4" t="s">
        <v>22</v>
      </c>
      <c r="E4" s="22">
        <v>44832</v>
      </c>
      <c r="F4" s="6" t="s">
        <v>104</v>
      </c>
      <c r="G4" s="12">
        <f>[27]Main!$J$8</f>
        <v>3802.98</v>
      </c>
      <c r="H4" s="13">
        <f>[27]Main!$J$18</f>
        <v>218.76521315251679</v>
      </c>
      <c r="I4" s="23">
        <f>[27]Main!$J$3</f>
        <v>8.1999999999999993</v>
      </c>
      <c r="J4" s="25">
        <f>[27]Main!$J$19</f>
        <v>2.7483066978959396</v>
      </c>
      <c r="K4" s="14">
        <f t="shared" si="0"/>
        <v>0.33515935340194386</v>
      </c>
    </row>
    <row r="5" spans="1:14" x14ac:dyDescent="0.25">
      <c r="A5" s="4"/>
      <c r="B5" s="5"/>
      <c r="E5" s="22"/>
      <c r="I5" s="19"/>
      <c r="K5" s="14"/>
    </row>
    <row r="6" spans="1:14" x14ac:dyDescent="0.25">
      <c r="A6" s="4"/>
      <c r="B6" s="5" t="s">
        <v>101</v>
      </c>
      <c r="E6" s="22"/>
      <c r="I6" s="19"/>
      <c r="K6" s="14"/>
    </row>
    <row r="7" spans="1:14" x14ac:dyDescent="0.25">
      <c r="A7" s="4"/>
      <c r="B7" s="5"/>
      <c r="E7" s="22"/>
      <c r="I7" s="19"/>
      <c r="K7" s="14"/>
    </row>
    <row r="8" spans="1:14" x14ac:dyDescent="0.25">
      <c r="A8" s="4"/>
      <c r="B8" s="5"/>
      <c r="E8" s="22"/>
      <c r="I8" s="19"/>
      <c r="K8" s="14"/>
    </row>
    <row r="9" spans="1:14" x14ac:dyDescent="0.25">
      <c r="A9" s="4"/>
      <c r="B9" s="5"/>
      <c r="E9" s="22"/>
      <c r="I9" s="19"/>
      <c r="K9" s="14"/>
    </row>
    <row r="10" spans="1:14" x14ac:dyDescent="0.25">
      <c r="A10" s="4"/>
      <c r="B10" s="5"/>
      <c r="E10" s="22"/>
      <c r="I10" s="19"/>
      <c r="K10" s="14"/>
    </row>
    <row r="11" spans="1:14" x14ac:dyDescent="0.25">
      <c r="A11" s="4"/>
      <c r="B11" s="5"/>
      <c r="E11" s="22"/>
      <c r="I11" s="19"/>
      <c r="K11" s="14"/>
    </row>
    <row r="12" spans="1:14" x14ac:dyDescent="0.25">
      <c r="A12" s="4"/>
      <c r="B12" s="5"/>
      <c r="E12" s="22"/>
      <c r="I12" s="19"/>
      <c r="K12" s="14"/>
      <c r="N12" s="1"/>
    </row>
  </sheetData>
  <conditionalFormatting sqref="E2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 xr:uid="{2BA61AB2-B324-4A96-BC09-D9608FDE949E}"/>
    <hyperlink ref="B3" r:id="rId2" xr:uid="{1252D7D6-1977-4A37-ADFC-E3118CFC39F8}"/>
    <hyperlink ref="B4" r:id="rId3" xr:uid="{62853EBA-2B32-465B-BA6B-12CFBF71F9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WatchList</vt:lpstr>
      <vt:lpstr>Semiconductors</vt:lpstr>
      <vt:lpstr>Clothing</vt:lpstr>
      <vt:lpstr>Etc.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2022-07-27T04:50:36Z</dcterms:created>
  <dcterms:modified xsi:type="dcterms:W3CDTF">2023-03-07T22:27:48Z</dcterms:modified>
</cp:coreProperties>
</file>