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C6916840-01D2-4066-A710-004091EDCAC4}" xr6:coauthVersionLast="47" xr6:coauthVersionMax="47" xr10:uidLastSave="{00000000-0000-0000-0000-000000000000}"/>
  <bookViews>
    <workbookView xWindow="1335" yWindow="390" windowWidth="34665" windowHeight="13410" activeTab="1" xr2:uid="{F1620845-D3A1-42C3-B09D-9C0C2CC1B833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" l="1"/>
  <c r="V23" i="1"/>
  <c r="M55" i="1"/>
  <c r="M51" i="1"/>
  <c r="M50" i="1"/>
  <c r="M48" i="1"/>
  <c r="M47" i="1"/>
  <c r="M46" i="1"/>
  <c r="M45" i="1"/>
  <c r="M43" i="1"/>
  <c r="M42" i="1"/>
  <c r="M41" i="1"/>
  <c r="M40" i="1"/>
  <c r="M39" i="1"/>
  <c r="M37" i="1"/>
  <c r="M36" i="1"/>
  <c r="M35" i="1"/>
  <c r="M34" i="1"/>
  <c r="M16" i="1"/>
  <c r="M15" i="1"/>
  <c r="M32" i="1"/>
  <c r="O17" i="2"/>
  <c r="O16" i="2"/>
  <c r="O15" i="2"/>
  <c r="Y16" i="1"/>
  <c r="X16" i="1"/>
  <c r="W16" i="1"/>
  <c r="V16" i="1"/>
  <c r="O5" i="2"/>
  <c r="O8" i="2" s="1"/>
  <c r="V55" i="1"/>
  <c r="V21" i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W9" i="1"/>
  <c r="W10" i="1" s="1"/>
  <c r="W7" i="1"/>
  <c r="X7" i="1" s="1"/>
  <c r="W5" i="1"/>
  <c r="X5" i="1" s="1"/>
  <c r="V17" i="1"/>
  <c r="T51" i="1"/>
  <c r="S51" i="1"/>
  <c r="R51" i="1"/>
  <c r="U51" i="1"/>
  <c r="T50" i="1"/>
  <c r="S50" i="1"/>
  <c r="R50" i="1"/>
  <c r="U50" i="1"/>
  <c r="V9" i="1"/>
  <c r="V10" i="1" s="1"/>
  <c r="V7" i="1"/>
  <c r="V8" i="1" s="1"/>
  <c r="V5" i="1"/>
  <c r="V6" i="1" s="1"/>
  <c r="V3" i="1"/>
  <c r="V4" i="1" s="1"/>
  <c r="U32" i="1"/>
  <c r="T32" i="1"/>
  <c r="U55" i="1" s="1"/>
  <c r="L32" i="1"/>
  <c r="K32" i="1"/>
  <c r="L55" i="1" s="1"/>
  <c r="J32" i="1"/>
  <c r="K55" i="1" s="1"/>
  <c r="I32" i="1"/>
  <c r="T53" i="1"/>
  <c r="S53" i="1"/>
  <c r="U53" i="1"/>
  <c r="K50" i="1"/>
  <c r="I50" i="1"/>
  <c r="L50" i="1"/>
  <c r="K48" i="1"/>
  <c r="I48" i="1"/>
  <c r="L48" i="1"/>
  <c r="K47" i="1"/>
  <c r="I47" i="1"/>
  <c r="L47" i="1"/>
  <c r="K46" i="1"/>
  <c r="I46" i="1"/>
  <c r="L46" i="1"/>
  <c r="K45" i="1"/>
  <c r="I45" i="1"/>
  <c r="L45" i="1"/>
  <c r="L42" i="1"/>
  <c r="L37" i="1"/>
  <c r="L36" i="1"/>
  <c r="L35" i="1"/>
  <c r="L34" i="1"/>
  <c r="K42" i="1"/>
  <c r="K37" i="1"/>
  <c r="K36" i="1"/>
  <c r="K35" i="1"/>
  <c r="K34" i="1"/>
  <c r="I42" i="1"/>
  <c r="I37" i="1"/>
  <c r="I36" i="1"/>
  <c r="I35" i="1"/>
  <c r="I34" i="1"/>
  <c r="H37" i="1"/>
  <c r="H36" i="1"/>
  <c r="H35" i="1"/>
  <c r="H34" i="1"/>
  <c r="G37" i="1"/>
  <c r="G36" i="1"/>
  <c r="G35" i="1"/>
  <c r="G34" i="1"/>
  <c r="E37" i="1"/>
  <c r="E36" i="1"/>
  <c r="E35" i="1"/>
  <c r="E34" i="1"/>
  <c r="J23" i="1"/>
  <c r="J21" i="1"/>
  <c r="J19" i="1"/>
  <c r="J18" i="1"/>
  <c r="J17" i="1"/>
  <c r="J14" i="1"/>
  <c r="J12" i="1"/>
  <c r="J11" i="1"/>
  <c r="J10" i="1"/>
  <c r="J9" i="1"/>
  <c r="J8" i="1"/>
  <c r="J7" i="1"/>
  <c r="J6" i="1"/>
  <c r="J5" i="1"/>
  <c r="J4" i="1"/>
  <c r="J3" i="1"/>
  <c r="F23" i="1"/>
  <c r="F21" i="1"/>
  <c r="F19" i="1"/>
  <c r="F18" i="1"/>
  <c r="F17" i="1"/>
  <c r="F14" i="1"/>
  <c r="F12" i="1"/>
  <c r="F11" i="1"/>
  <c r="F10" i="1"/>
  <c r="F9" i="1"/>
  <c r="F8" i="1"/>
  <c r="F7" i="1"/>
  <c r="J47" i="1" s="1"/>
  <c r="F6" i="1"/>
  <c r="F5" i="1"/>
  <c r="F4" i="1"/>
  <c r="F3" i="1"/>
  <c r="E16" i="1"/>
  <c r="E43" i="1" s="1"/>
  <c r="E15" i="1"/>
  <c r="E39" i="1" s="1"/>
  <c r="I16" i="1"/>
  <c r="I43" i="1" s="1"/>
  <c r="I15" i="1"/>
  <c r="I39" i="1" s="1"/>
  <c r="G16" i="1"/>
  <c r="G43" i="1" s="1"/>
  <c r="G15" i="1"/>
  <c r="G39" i="1" s="1"/>
  <c r="K16" i="1"/>
  <c r="K43" i="1" s="1"/>
  <c r="K15" i="1"/>
  <c r="K39" i="1" s="1"/>
  <c r="H16" i="1"/>
  <c r="H43" i="1" s="1"/>
  <c r="H15" i="1"/>
  <c r="H39" i="1" s="1"/>
  <c r="L16" i="1"/>
  <c r="L43" i="1" s="1"/>
  <c r="L15" i="1"/>
  <c r="L39" i="1" s="1"/>
  <c r="R28" i="1"/>
  <c r="R32" i="1" s="1"/>
  <c r="S55" i="1" s="1"/>
  <c r="S28" i="1"/>
  <c r="S32" i="1" s="1"/>
  <c r="T55" i="1" s="1"/>
  <c r="Q16" i="1"/>
  <c r="R16" i="1"/>
  <c r="S16" i="1"/>
  <c r="T13" i="1"/>
  <c r="T15" i="1" s="1"/>
  <c r="T39" i="1" s="1"/>
  <c r="S13" i="1"/>
  <c r="S15" i="1" s="1"/>
  <c r="S39" i="1" s="1"/>
  <c r="R13" i="1"/>
  <c r="R15" i="1" s="1"/>
  <c r="R39" i="1" s="1"/>
  <c r="Q13" i="1"/>
  <c r="Q15" i="1" s="1"/>
  <c r="Q39" i="1" s="1"/>
  <c r="U13" i="1"/>
  <c r="U15" i="1" s="1"/>
  <c r="T16" i="1"/>
  <c r="U16" i="1"/>
  <c r="U38" i="1"/>
  <c r="T38" i="1"/>
  <c r="S38" i="1"/>
  <c r="R38" i="1"/>
  <c r="Q38" i="1"/>
  <c r="U37" i="1"/>
  <c r="T37" i="1"/>
  <c r="S37" i="1"/>
  <c r="R37" i="1"/>
  <c r="U36" i="1"/>
  <c r="T36" i="1"/>
  <c r="S36" i="1"/>
  <c r="R36" i="1"/>
  <c r="Q36" i="1"/>
  <c r="U35" i="1"/>
  <c r="T35" i="1"/>
  <c r="S35" i="1"/>
  <c r="R35" i="1"/>
  <c r="Q35" i="1"/>
  <c r="T34" i="1"/>
  <c r="S34" i="1"/>
  <c r="R34" i="1"/>
  <c r="Q34" i="1"/>
  <c r="U34" i="1"/>
  <c r="U46" i="1"/>
  <c r="U49" i="1"/>
  <c r="T49" i="1"/>
  <c r="S49" i="1"/>
  <c r="R49" i="1"/>
  <c r="U48" i="1"/>
  <c r="T48" i="1"/>
  <c r="S48" i="1"/>
  <c r="U47" i="1"/>
  <c r="T47" i="1"/>
  <c r="S47" i="1"/>
  <c r="R47" i="1"/>
  <c r="T46" i="1"/>
  <c r="S46" i="1"/>
  <c r="R46" i="1"/>
  <c r="T45" i="1"/>
  <c r="S45" i="1"/>
  <c r="R45" i="1"/>
  <c r="U45" i="1"/>
  <c r="M20" i="1" l="1"/>
  <c r="M22" i="1" s="1"/>
  <c r="M24" i="1" s="1"/>
  <c r="M26" i="1" s="1"/>
  <c r="W3" i="1"/>
  <c r="X3" i="1" s="1"/>
  <c r="W6" i="1"/>
  <c r="W8" i="1"/>
  <c r="Y3" i="1"/>
  <c r="X4" i="1"/>
  <c r="Y5" i="1"/>
  <c r="X6" i="1"/>
  <c r="Y7" i="1"/>
  <c r="X8" i="1"/>
  <c r="W13" i="1"/>
  <c r="W50" i="1" s="1"/>
  <c r="X9" i="1"/>
  <c r="X13" i="1" s="1"/>
  <c r="V15" i="1"/>
  <c r="V13" i="1"/>
  <c r="V50" i="1" s="1"/>
  <c r="J55" i="1"/>
  <c r="U43" i="1"/>
  <c r="J37" i="1"/>
  <c r="J45" i="1"/>
  <c r="U42" i="1"/>
  <c r="F35" i="1"/>
  <c r="L20" i="1"/>
  <c r="L22" i="1" s="1"/>
  <c r="L24" i="1" s="1"/>
  <c r="L26" i="1" s="1"/>
  <c r="J36" i="1"/>
  <c r="J34" i="1"/>
  <c r="S42" i="1"/>
  <c r="R42" i="1"/>
  <c r="T43" i="1"/>
  <c r="T42" i="1"/>
  <c r="F34" i="1"/>
  <c r="J46" i="1"/>
  <c r="F37" i="1"/>
  <c r="J48" i="1"/>
  <c r="F36" i="1"/>
  <c r="R43" i="1"/>
  <c r="F13" i="1"/>
  <c r="F15" i="1" s="1"/>
  <c r="F39" i="1" s="1"/>
  <c r="J35" i="1"/>
  <c r="Q43" i="1"/>
  <c r="S43" i="1"/>
  <c r="U20" i="1"/>
  <c r="U39" i="1"/>
  <c r="J13" i="1"/>
  <c r="F16" i="1"/>
  <c r="J16" i="1"/>
  <c r="J43" i="1" s="1"/>
  <c r="L41" i="1"/>
  <c r="E20" i="1"/>
  <c r="I20" i="1"/>
  <c r="G20" i="1"/>
  <c r="K20" i="1"/>
  <c r="H20" i="1"/>
  <c r="Q20" i="1"/>
  <c r="R20" i="1"/>
  <c r="T20" i="1"/>
  <c r="S20" i="1"/>
  <c r="V20" i="1" l="1"/>
  <c r="W4" i="1"/>
  <c r="X50" i="1"/>
  <c r="W15" i="1"/>
  <c r="W20" i="1" s="1"/>
  <c r="W40" i="1" s="1"/>
  <c r="X10" i="1"/>
  <c r="X15" i="1" s="1"/>
  <c r="Y9" i="1"/>
  <c r="Y13" i="1" s="1"/>
  <c r="Y50" i="1" s="1"/>
  <c r="Z5" i="1"/>
  <c r="Y6" i="1"/>
  <c r="Y8" i="1"/>
  <c r="Z7" i="1"/>
  <c r="Y4" i="1"/>
  <c r="Z3" i="1"/>
  <c r="L40" i="1"/>
  <c r="F43" i="1"/>
  <c r="F20" i="1"/>
  <c r="I22" i="1"/>
  <c r="I40" i="1"/>
  <c r="E22" i="1"/>
  <c r="E40" i="1"/>
  <c r="Q22" i="1"/>
  <c r="Q40" i="1"/>
  <c r="F22" i="1"/>
  <c r="F40" i="1"/>
  <c r="G22" i="1"/>
  <c r="G40" i="1"/>
  <c r="S22" i="1"/>
  <c r="S40" i="1"/>
  <c r="K22" i="1"/>
  <c r="K40" i="1"/>
  <c r="U22" i="1"/>
  <c r="U40" i="1"/>
  <c r="H22" i="1"/>
  <c r="H40" i="1"/>
  <c r="J15" i="1"/>
  <c r="J50" i="1"/>
  <c r="J42" i="1"/>
  <c r="T22" i="1"/>
  <c r="T40" i="1"/>
  <c r="R22" i="1"/>
  <c r="R40" i="1"/>
  <c r="V22" i="1" l="1"/>
  <c r="V24" i="1" s="1"/>
  <c r="V40" i="1"/>
  <c r="W39" i="1"/>
  <c r="X20" i="1"/>
  <c r="X40" i="1" s="1"/>
  <c r="X39" i="1"/>
  <c r="AA3" i="1"/>
  <c r="Z4" i="1"/>
  <c r="AA5" i="1"/>
  <c r="Z6" i="1"/>
  <c r="Y10" i="1"/>
  <c r="Y15" i="1" s="1"/>
  <c r="Z9" i="1"/>
  <c r="AA7" i="1"/>
  <c r="Z8" i="1"/>
  <c r="U24" i="1"/>
  <c r="U26" i="1" s="1"/>
  <c r="U41" i="1"/>
  <c r="S24" i="1"/>
  <c r="S26" i="1" s="1"/>
  <c r="S41" i="1"/>
  <c r="G24" i="1"/>
  <c r="G26" i="1" s="1"/>
  <c r="G41" i="1"/>
  <c r="E24" i="1"/>
  <c r="E26" i="1" s="1"/>
  <c r="E41" i="1"/>
  <c r="K24" i="1"/>
  <c r="K41" i="1"/>
  <c r="Q24" i="1"/>
  <c r="Q26" i="1" s="1"/>
  <c r="Q41" i="1"/>
  <c r="R24" i="1"/>
  <c r="R26" i="1" s="1"/>
  <c r="R41" i="1"/>
  <c r="F24" i="1"/>
  <c r="F26" i="1" s="1"/>
  <c r="F41" i="1"/>
  <c r="T24" i="1"/>
  <c r="T26" i="1" s="1"/>
  <c r="T41" i="1"/>
  <c r="J39" i="1"/>
  <c r="J20" i="1"/>
  <c r="H24" i="1"/>
  <c r="H41" i="1"/>
  <c r="I24" i="1"/>
  <c r="I41" i="1"/>
  <c r="V32" i="1" l="1"/>
  <c r="V51" i="1"/>
  <c r="Y20" i="1"/>
  <c r="Y40" i="1" s="1"/>
  <c r="Y39" i="1"/>
  <c r="Z10" i="1"/>
  <c r="Z15" i="1" s="1"/>
  <c r="AA9" i="1"/>
  <c r="Z13" i="1"/>
  <c r="AB5" i="1"/>
  <c r="AA6" i="1"/>
  <c r="AA8" i="1"/>
  <c r="AB7" i="1"/>
  <c r="AA4" i="1"/>
  <c r="AB3" i="1"/>
  <c r="AA13" i="1"/>
  <c r="H26" i="1"/>
  <c r="L51" i="1"/>
  <c r="K26" i="1"/>
  <c r="K51" i="1"/>
  <c r="I26" i="1"/>
  <c r="I51" i="1"/>
  <c r="J22" i="1"/>
  <c r="J40" i="1"/>
  <c r="AA50" i="1" l="1"/>
  <c r="AA16" i="1"/>
  <c r="Z50" i="1"/>
  <c r="Z16" i="1"/>
  <c r="W21" i="1"/>
  <c r="Z20" i="1"/>
  <c r="Z40" i="1" s="1"/>
  <c r="Z39" i="1"/>
  <c r="AC7" i="1"/>
  <c r="AB8" i="1"/>
  <c r="AC5" i="1"/>
  <c r="AB6" i="1"/>
  <c r="AA10" i="1"/>
  <c r="AA15" i="1" s="1"/>
  <c r="AB9" i="1"/>
  <c r="AB13" i="1" s="1"/>
  <c r="AC3" i="1"/>
  <c r="AB4" i="1"/>
  <c r="J24" i="1"/>
  <c r="J41" i="1"/>
  <c r="AB50" i="1" l="1"/>
  <c r="AB16" i="1"/>
  <c r="W55" i="1"/>
  <c r="W22" i="1"/>
  <c r="W24" i="1" s="1"/>
  <c r="AA20" i="1"/>
  <c r="AA40" i="1" s="1"/>
  <c r="AA39" i="1"/>
  <c r="AD3" i="1"/>
  <c r="AC4" i="1"/>
  <c r="AC9" i="1"/>
  <c r="AC13" i="1" s="1"/>
  <c r="AB10" i="1"/>
  <c r="AB15" i="1" s="1"/>
  <c r="AD5" i="1"/>
  <c r="AC6" i="1"/>
  <c r="AC8" i="1"/>
  <c r="AD7" i="1"/>
  <c r="J26" i="1"/>
  <c r="J51" i="1"/>
  <c r="AC50" i="1" l="1"/>
  <c r="AC16" i="1"/>
  <c r="W51" i="1"/>
  <c r="W32" i="1"/>
  <c r="AB39" i="1"/>
  <c r="AB20" i="1"/>
  <c r="AB40" i="1" s="1"/>
  <c r="AE5" i="1"/>
  <c r="AD6" i="1"/>
  <c r="AD8" i="1"/>
  <c r="AE7" i="1"/>
  <c r="AD9" i="1"/>
  <c r="AD13" i="1" s="1"/>
  <c r="AC10" i="1"/>
  <c r="AC15" i="1" s="1"/>
  <c r="AE3" i="1"/>
  <c r="AD4" i="1"/>
  <c r="AD50" i="1" l="1"/>
  <c r="AD16" i="1"/>
  <c r="X21" i="1"/>
  <c r="AC39" i="1"/>
  <c r="AC20" i="1"/>
  <c r="AC40" i="1" s="1"/>
  <c r="AF3" i="1"/>
  <c r="AE4" i="1"/>
  <c r="AE9" i="1"/>
  <c r="AE13" i="1" s="1"/>
  <c r="AD10" i="1"/>
  <c r="AD15" i="1" s="1"/>
  <c r="AE8" i="1"/>
  <c r="AF7" i="1"/>
  <c r="AF8" i="1" s="1"/>
  <c r="AE6" i="1"/>
  <c r="AF5" i="1"/>
  <c r="AF6" i="1" s="1"/>
  <c r="AE50" i="1" l="1"/>
  <c r="AE16" i="1"/>
  <c r="X55" i="1"/>
  <c r="X22" i="1"/>
  <c r="AD39" i="1"/>
  <c r="AD20" i="1"/>
  <c r="AD40" i="1" s="1"/>
  <c r="AF9" i="1"/>
  <c r="AF10" i="1" s="1"/>
  <c r="AE10" i="1"/>
  <c r="AE15" i="1" s="1"/>
  <c r="AF4" i="1"/>
  <c r="X23" i="1" l="1"/>
  <c r="X24" i="1" s="1"/>
  <c r="AF15" i="1"/>
  <c r="AF13" i="1"/>
  <c r="AE39" i="1"/>
  <c r="AE20" i="1"/>
  <c r="AE40" i="1" s="1"/>
  <c r="X51" i="1" l="1"/>
  <c r="X32" i="1"/>
  <c r="AF50" i="1"/>
  <c r="AF16" i="1"/>
  <c r="AF20" i="1" s="1"/>
  <c r="AF40" i="1" s="1"/>
  <c r="Y21" i="1"/>
  <c r="AF39" i="1"/>
  <c r="Y55" i="1" l="1"/>
  <c r="Y22" i="1"/>
  <c r="Y23" i="1" l="1"/>
  <c r="Y24" i="1" s="1"/>
  <c r="Y32" i="1" l="1"/>
  <c r="Y51" i="1"/>
  <c r="Z21" i="1"/>
  <c r="Z55" i="1" l="1"/>
  <c r="Z22" i="1"/>
  <c r="V39" i="1"/>
  <c r="Z23" i="1" l="1"/>
  <c r="Z24" i="1" s="1"/>
  <c r="Z32" i="1" l="1"/>
  <c r="Z51" i="1"/>
  <c r="AA21" i="1"/>
  <c r="AA22" i="1" l="1"/>
  <c r="AA55" i="1"/>
  <c r="AA23" i="1" l="1"/>
  <c r="AA24" i="1" s="1"/>
  <c r="AA32" i="1" l="1"/>
  <c r="AA51" i="1"/>
  <c r="AB21" i="1"/>
  <c r="AB55" i="1" l="1"/>
  <c r="AB22" i="1"/>
  <c r="AB23" i="1" l="1"/>
  <c r="AB24" i="1" s="1"/>
  <c r="AB51" i="1" l="1"/>
  <c r="AB32" i="1"/>
  <c r="AC21" i="1"/>
  <c r="AC55" i="1" l="1"/>
  <c r="AC22" i="1"/>
  <c r="AC23" i="1" l="1"/>
  <c r="AC24" i="1" s="1"/>
  <c r="AC51" i="1" l="1"/>
  <c r="AC32" i="1"/>
  <c r="AD21" i="1"/>
  <c r="AD55" i="1" l="1"/>
  <c r="AD22" i="1"/>
  <c r="AD23" i="1" l="1"/>
  <c r="AD24" i="1" s="1"/>
  <c r="AD51" i="1" l="1"/>
  <c r="AD32" i="1"/>
  <c r="AE21" i="1"/>
  <c r="AE55" i="1" l="1"/>
  <c r="AE22" i="1"/>
  <c r="AE23" i="1" l="1"/>
  <c r="AE24" i="1" s="1"/>
  <c r="AE32" i="1" l="1"/>
  <c r="AE51" i="1"/>
  <c r="AF21" i="1"/>
  <c r="AF55" i="1" l="1"/>
  <c r="AF22" i="1"/>
  <c r="AF23" i="1" l="1"/>
  <c r="AF24" i="1" s="1"/>
  <c r="AG24" i="1" l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AJ47" i="1" s="1"/>
  <c r="O18" i="2" s="1"/>
  <c r="O19" i="2" s="1"/>
  <c r="AF32" i="1"/>
  <c r="AF51" i="1"/>
</calcChain>
</file>

<file path=xl/sharedStrings.xml><?xml version="1.0" encoding="utf-8"?>
<sst xmlns="http://schemas.openxmlformats.org/spreadsheetml/2006/main" count="84" uniqueCount="73">
  <si>
    <t>Price</t>
  </si>
  <si>
    <t>Shares</t>
  </si>
  <si>
    <t>MkCap</t>
  </si>
  <si>
    <t>Cash</t>
  </si>
  <si>
    <t>Debt</t>
  </si>
  <si>
    <t>EV</t>
  </si>
  <si>
    <t>LQDT</t>
  </si>
  <si>
    <t>Liquidity Services</t>
  </si>
  <si>
    <t>They are a cyclical company, I won't learn anything without going back dozens of years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</si>
  <si>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</si>
  <si>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</si>
  <si>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</si>
  <si>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</si>
  <si>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</si>
  <si>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</si>
  <si>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</si>
  <si>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</si>
  <si>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</si>
  <si>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</si>
  <si>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</si>
  <si>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</si>
  <si>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</si>
  <si>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</si>
  <si>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Gross profit</t>
  </si>
  <si>
    <t>SG&amp;A</t>
  </si>
  <si>
    <t>Impairments</t>
  </si>
  <si>
    <t>Operating Income</t>
  </si>
  <si>
    <t>Taxes expense</t>
  </si>
  <si>
    <t>Net income</t>
  </si>
  <si>
    <t>EPS</t>
  </si>
  <si>
    <t>Inventory</t>
  </si>
  <si>
    <t>PP&amp;E, net</t>
  </si>
  <si>
    <t>Net cash</t>
  </si>
  <si>
    <t>Gross margin</t>
  </si>
  <si>
    <t>Operating margin</t>
  </si>
  <si>
    <t>Tax on revenue rate</t>
  </si>
  <si>
    <t>Revenue on PP&amp;E gross</t>
  </si>
  <si>
    <t>SG&amp;A rate</t>
  </si>
  <si>
    <t>Revenue y/y</t>
  </si>
  <si>
    <t>Net income y/y</t>
  </si>
  <si>
    <t>PPE y/y</t>
  </si>
  <si>
    <t>Interest on Cash</t>
  </si>
  <si>
    <t>ROIC</t>
  </si>
  <si>
    <t>Discount</t>
  </si>
  <si>
    <t>NPV</t>
  </si>
  <si>
    <t>Reverse supply said to grow 4.6% CAGR into 2025</t>
  </si>
  <si>
    <t>GovDeals</t>
  </si>
  <si>
    <t>RSCG</t>
  </si>
  <si>
    <t>CAG</t>
  </si>
  <si>
    <t>Machinio</t>
  </si>
  <si>
    <t>Other sales and adjustments</t>
  </si>
  <si>
    <t>GovDeals y/y</t>
  </si>
  <si>
    <t>RSCG y/y</t>
  </si>
  <si>
    <t>CAG y/y</t>
  </si>
  <si>
    <t>Machinio y/y</t>
  </si>
  <si>
    <t>Other sales and adjustments y/y</t>
  </si>
  <si>
    <t xml:space="preserve"> GP</t>
  </si>
  <si>
    <t>Income before Taxes</t>
  </si>
  <si>
    <t>GovDeals gm</t>
  </si>
  <si>
    <t>RSCG gm</t>
  </si>
  <si>
    <t>CAG gm</t>
  </si>
  <si>
    <t>Machinio gm</t>
  </si>
  <si>
    <t>Other sales and adjustments gm</t>
  </si>
  <si>
    <t>Depreciation and amortization</t>
  </si>
  <si>
    <t>Other op expenses</t>
  </si>
  <si>
    <t>Interest and other income</t>
  </si>
  <si>
    <t>Sept</t>
  </si>
  <si>
    <t>Weirdo schedule</t>
  </si>
  <si>
    <t>Dec</t>
  </si>
  <si>
    <t>Mar</t>
  </si>
  <si>
    <t>Jun</t>
  </si>
  <si>
    <t>Terminal value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</si>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</sst>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605140</xdr:colOff>
      <xdr:row>0</xdr:row>
      <xdr:rowOff>0</xdr:rowOff>
    </xdr:from>
    <xdr:to>
      <xdr:col>12</xdr:col>
      <xdr:colOff>605140</xdr:colOff>
      <xdr:row>55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F557988-B92E-412C-BAE2-01E32E2AAFC9}"/>
            </a:ext>
          </a:extLst>
        </xdr:cNvPr>
        <xdr:cNvCxnSpPr/>
      </xdr:nvCxnSpPr>
      <xdr:spPr>
        <a:xfrm>
          <a:off x="9053815" y="0"/>
          <a:ext cx="0" cy="10646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56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354A06-A524-4E0E-862C-2448E84FFD11}"/>
            </a:ext>
          </a:extLst>
        </xdr:cNvPr>
        <xdr:cNvCxnSpPr/>
      </xdr:nvCxnSpPr>
      <xdr:spPr>
        <a:xfrm>
          <a:off x="13992225" y="9525"/>
          <a:ext cx="0" cy="9324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F078-8F80-46BC-B5B9-A1A85F980B56}">
  <dimension ref="B1:O19"/>
  <sheetViews>
    <sheetView workbookViewId="0">
      <selection activeCell="O24" sqref="O24"/>
    </sheetView>
  </sheetViews>
  <sheetFormatPr defaultRowHeight="15" x14ac:dyDescent="0.25"/>
  <cols>
    <col min="14" max="14" width="9.7109375" bestFit="1" customWidth="1"/>
  </cols>
  <sheetData>
    <row r="1" spans="2:15" x14ac:dyDescent="0.25">
      <c r="N1" t="s">
        <v>7</v>
      </c>
    </row>
    <row r="2" spans="2:15" x14ac:dyDescent="0.25">
      <c r="B2" t="s">
        <v>8</v>
      </c>
      <c r="N2" t="s">
        <v>6</v>
      </c>
    </row>
    <row r="3" spans="2:15" x14ac:dyDescent="0.25">
      <c r="B3" t="s">
        <v>45</v>
      </c>
      <c r="N3" t="s">
        <v>0</v>
      </c>
      <c r="O3" s="20">
        <v>18.149999999999999</v>
      </c>
    </row>
    <row r="4" spans="2:15" x14ac:dyDescent="0.25">
      <c r="N4" t="s">
        <v>1</v>
      </c>
      <c r="O4">
        <v>32.561</v>
      </c>
    </row>
    <row r="5" spans="2:15" x14ac:dyDescent="0.25">
      <c r="N5" t="s">
        <v>2</v>
      </c>
      <c r="O5">
        <f>O3*O4</f>
        <v>590.98214999999993</v>
      </c>
    </row>
    <row r="6" spans="2:15" x14ac:dyDescent="0.25">
      <c r="N6" t="s">
        <v>3</v>
      </c>
      <c r="O6" s="2">
        <v>84.263999999999996</v>
      </c>
    </row>
    <row r="7" spans="2:15" x14ac:dyDescent="0.25">
      <c r="N7" t="s">
        <v>4</v>
      </c>
      <c r="O7" s="2">
        <v>0</v>
      </c>
    </row>
    <row r="8" spans="2:15" x14ac:dyDescent="0.25">
      <c r="N8" t="s">
        <v>5</v>
      </c>
      <c r="O8" s="2">
        <f>O5-O6+O7</f>
        <v>506.71814999999992</v>
      </c>
    </row>
    <row r="11" spans="2:15" x14ac:dyDescent="0.25">
      <c r="N11" s="1">
        <v>44777</v>
      </c>
    </row>
    <row r="15" spans="2:15" x14ac:dyDescent="0.25">
      <c r="N15" s="16" t="s">
        <v>71</v>
      </c>
      <c r="O15" s="18">
        <f>Model!AJ44</f>
        <v>-1.4999999999999999E-2</v>
      </c>
    </row>
    <row r="16" spans="2:15" x14ac:dyDescent="0.25">
      <c r="N16" s="16" t="s">
        <v>42</v>
      </c>
      <c r="O16" s="18">
        <f>Model!AJ45</f>
        <v>0.01</v>
      </c>
    </row>
    <row r="17" spans="14:15" x14ac:dyDescent="0.25">
      <c r="N17" s="16" t="s">
        <v>43</v>
      </c>
      <c r="O17" s="18">
        <f>Model!AJ46</f>
        <v>8.5000000000000006E-2</v>
      </c>
    </row>
    <row r="18" spans="14:15" x14ac:dyDescent="0.25">
      <c r="N18" s="16" t="s">
        <v>44</v>
      </c>
      <c r="O18" s="21">
        <f>Model!AJ47</f>
        <v>541.46267091390234</v>
      </c>
    </row>
    <row r="19" spans="14:15" x14ac:dyDescent="0.25">
      <c r="N19" s="16" t="s">
        <v>72</v>
      </c>
      <c r="O19" s="20">
        <f>O18/O4</f>
        <v>16.629178185986376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247D-41DC-4DAB-8C48-410CF359BD4C}">
  <dimension ref="A1:DE59"/>
  <sheetViews>
    <sheetView tabSelected="1" workbookViewId="0">
      <pane xSplit="2" ySplit="2" topLeftCell="O23" activePane="bottomRight" state="frozen"/>
      <selection pane="topRight" activeCell="C1" sqref="C1"/>
      <selection pane="bottomLeft" activeCell="A3" sqref="A3"/>
      <selection pane="bottomRight" activeCell="AL42" sqref="AL42"/>
    </sheetView>
  </sheetViews>
  <sheetFormatPr defaultRowHeight="15" x14ac:dyDescent="0.25"/>
  <cols>
    <col min="1" max="1" width="3.85546875" customWidth="1"/>
    <col min="2" max="2" width="31.42578125" customWidth="1"/>
    <col min="3" max="15" width="9.140625" style="2"/>
    <col min="16" max="16" width="4.42578125" style="3" customWidth="1"/>
    <col min="23" max="23" width="10.85546875" bestFit="1" customWidth="1"/>
    <col min="35" max="35" width="10.85546875" bestFit="1" customWidth="1"/>
    <col min="36" max="36" width="9.85546875" bestFit="1" customWidth="1"/>
    <col min="40" max="40" width="10.85546875" bestFit="1" customWidth="1"/>
  </cols>
  <sheetData>
    <row r="1" spans="1:37" x14ac:dyDescent="0.25">
      <c r="B1" t="s">
        <v>67</v>
      </c>
      <c r="I1" s="2" t="s">
        <v>70</v>
      </c>
      <c r="J1" s="2" t="s">
        <v>66</v>
      </c>
      <c r="K1" s="2" t="s">
        <v>68</v>
      </c>
      <c r="L1" s="2" t="s">
        <v>69</v>
      </c>
    </row>
    <row r="2" spans="1:37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  <c r="AF2" s="2">
        <v>32</v>
      </c>
      <c r="AG2" s="2">
        <v>33</v>
      </c>
      <c r="AH2" s="2">
        <v>34</v>
      </c>
      <c r="AI2" s="2">
        <v>35</v>
      </c>
      <c r="AJ2" s="2">
        <v>36</v>
      </c>
      <c r="AK2" s="2">
        <v>37</v>
      </c>
    </row>
    <row r="3" spans="1:37" s="2" customFormat="1" x14ac:dyDescent="0.25">
      <c r="B3" s="2" t="s">
        <v>46</v>
      </c>
      <c r="E3" s="2">
        <v>6.02</v>
      </c>
      <c r="F3" s="2">
        <f>+T3-21.858</f>
        <v>10.941999999999997</v>
      </c>
      <c r="G3" s="2">
        <v>10.8</v>
      </c>
      <c r="H3" s="2">
        <v>10.97</v>
      </c>
      <c r="I3" s="2">
        <v>14.657999999999999</v>
      </c>
      <c r="J3" s="2">
        <f>U3-I3-H3-G3</f>
        <v>13.172000000000001</v>
      </c>
      <c r="K3" s="2">
        <v>13.98</v>
      </c>
      <c r="L3" s="2">
        <v>14.558999999999999</v>
      </c>
      <c r="M3" s="2">
        <v>16.600000000000001</v>
      </c>
      <c r="P3" s="4"/>
      <c r="Q3" s="2">
        <v>26.9</v>
      </c>
      <c r="R3" s="2">
        <v>30.2</v>
      </c>
      <c r="S3" s="2">
        <v>32.9</v>
      </c>
      <c r="T3" s="2">
        <v>32.799999999999997</v>
      </c>
      <c r="U3" s="2">
        <v>49.6</v>
      </c>
      <c r="V3" s="2">
        <f>U3*(1+V45)</f>
        <v>59.519999999999996</v>
      </c>
      <c r="W3" s="2">
        <f t="shared" ref="W3:AF3" si="0">V3*(1+W45)</f>
        <v>69.63839999999999</v>
      </c>
      <c r="X3" s="2">
        <f t="shared" si="0"/>
        <v>62.674559999999992</v>
      </c>
      <c r="Y3" s="2">
        <f t="shared" si="0"/>
        <v>68.942015999999995</v>
      </c>
      <c r="Z3" s="2">
        <f t="shared" si="0"/>
        <v>72.389116799999996</v>
      </c>
      <c r="AA3" s="2">
        <f t="shared" si="0"/>
        <v>79.628028479999998</v>
      </c>
      <c r="AB3" s="2">
        <f t="shared" si="0"/>
        <v>84.405710188800001</v>
      </c>
      <c r="AC3" s="2">
        <f t="shared" si="0"/>
        <v>92.846281207680008</v>
      </c>
      <c r="AD3" s="2">
        <f t="shared" si="0"/>
        <v>102.13090932844801</v>
      </c>
      <c r="AE3" s="2">
        <f t="shared" si="0"/>
        <v>112.34400026129282</v>
      </c>
      <c r="AF3" s="2">
        <f t="shared" si="0"/>
        <v>112.34400026129282</v>
      </c>
    </row>
    <row r="4" spans="1:37" s="6" customFormat="1" x14ac:dyDescent="0.25">
      <c r="B4" s="6" t="s">
        <v>56</v>
      </c>
      <c r="E4" s="6">
        <v>5.6</v>
      </c>
      <c r="F4" s="6">
        <f>T4-20.36</f>
        <v>10.36</v>
      </c>
      <c r="G4" s="6">
        <v>10.199999999999999</v>
      </c>
      <c r="H4" s="6">
        <v>10.375999999999999</v>
      </c>
      <c r="I4" s="6">
        <v>13.965</v>
      </c>
      <c r="J4" s="6">
        <f t="shared" ref="J4:J23" si="1">U4-I4-H4-G4</f>
        <v>12.459</v>
      </c>
      <c r="K4" s="6">
        <v>13.3</v>
      </c>
      <c r="L4" s="6">
        <v>13.85</v>
      </c>
      <c r="M4" s="6">
        <v>15.8</v>
      </c>
      <c r="P4" s="8"/>
      <c r="Q4" s="6">
        <v>25.2</v>
      </c>
      <c r="R4" s="6">
        <v>27.99</v>
      </c>
      <c r="S4" s="6">
        <v>30.4</v>
      </c>
      <c r="T4" s="6">
        <v>30.72</v>
      </c>
      <c r="U4" s="6">
        <v>47</v>
      </c>
      <c r="V4" s="6">
        <f>V3*V34</f>
        <v>56.543999999999997</v>
      </c>
      <c r="W4" s="6">
        <f t="shared" ref="W4:AF4" si="2">W3*W34</f>
        <v>65.460095999999993</v>
      </c>
      <c r="X4" s="6">
        <f t="shared" si="2"/>
        <v>58.287340799999996</v>
      </c>
      <c r="Y4" s="6">
        <f t="shared" si="2"/>
        <v>64.116074879999999</v>
      </c>
      <c r="Z4" s="6">
        <f t="shared" si="2"/>
        <v>67.321878624000007</v>
      </c>
      <c r="AA4" s="6">
        <f t="shared" si="2"/>
        <v>74.054066486400004</v>
      </c>
      <c r="AB4" s="6">
        <f t="shared" si="2"/>
        <v>78.497310475584001</v>
      </c>
      <c r="AC4" s="6">
        <f t="shared" si="2"/>
        <v>86.347041523142408</v>
      </c>
      <c r="AD4" s="6">
        <f t="shared" si="2"/>
        <v>94.981745675456651</v>
      </c>
      <c r="AE4" s="6">
        <f t="shared" si="2"/>
        <v>104.47992024300233</v>
      </c>
      <c r="AF4" s="6">
        <f t="shared" si="2"/>
        <v>104.47992024300233</v>
      </c>
    </row>
    <row r="5" spans="1:37" s="2" customFormat="1" x14ac:dyDescent="0.25">
      <c r="B5" s="2" t="s">
        <v>47</v>
      </c>
      <c r="E5" s="2">
        <v>33.549999999999997</v>
      </c>
      <c r="F5" s="2">
        <f>+T5-101.5</f>
        <v>35</v>
      </c>
      <c r="G5" s="2">
        <v>34.9</v>
      </c>
      <c r="H5" s="2">
        <v>39.1</v>
      </c>
      <c r="I5" s="2">
        <v>44.1</v>
      </c>
      <c r="J5" s="2">
        <f t="shared" si="1"/>
        <v>40.700000000000024</v>
      </c>
      <c r="K5" s="2">
        <v>38.700000000000003</v>
      </c>
      <c r="L5" s="2">
        <v>41.82</v>
      </c>
      <c r="M5" s="2">
        <v>42.4</v>
      </c>
      <c r="P5" s="4"/>
      <c r="Q5" s="2">
        <v>95</v>
      </c>
      <c r="R5" s="2">
        <v>102</v>
      </c>
      <c r="S5" s="2">
        <v>127.3</v>
      </c>
      <c r="T5" s="2">
        <v>136.5</v>
      </c>
      <c r="U5" s="2">
        <v>158.80000000000001</v>
      </c>
      <c r="V5" s="2">
        <f>U5*(1+V46)</f>
        <v>177.85600000000002</v>
      </c>
      <c r="W5" s="2">
        <f t="shared" ref="W5:AF5" si="3">V5*(1+W46)</f>
        <v>190.30592000000004</v>
      </c>
      <c r="X5" s="2">
        <f t="shared" si="3"/>
        <v>171.27532800000003</v>
      </c>
      <c r="Y5" s="2">
        <f t="shared" si="3"/>
        <v>186.69010752000005</v>
      </c>
      <c r="Z5" s="2">
        <f t="shared" si="3"/>
        <v>192.29081074560006</v>
      </c>
      <c r="AA5" s="2">
        <f t="shared" si="3"/>
        <v>207.67407560524808</v>
      </c>
      <c r="AB5" s="2">
        <f t="shared" si="3"/>
        <v>222.21126089761546</v>
      </c>
      <c r="AC5" s="2">
        <f t="shared" si="3"/>
        <v>237.76604916044855</v>
      </c>
      <c r="AD5" s="2">
        <f t="shared" si="3"/>
        <v>254.40967260167997</v>
      </c>
      <c r="AE5" s="2">
        <f t="shared" si="3"/>
        <v>272.21834968379761</v>
      </c>
      <c r="AF5" s="2">
        <f t="shared" si="3"/>
        <v>272.21834968379761</v>
      </c>
    </row>
    <row r="6" spans="1:37" s="6" customFormat="1" x14ac:dyDescent="0.25">
      <c r="B6" s="6" t="s">
        <v>56</v>
      </c>
      <c r="E6" s="6">
        <v>12.02</v>
      </c>
      <c r="F6" s="6">
        <f>T6-34.72</f>
        <v>15</v>
      </c>
      <c r="G6" s="6">
        <v>14.6</v>
      </c>
      <c r="H6" s="6">
        <v>15.9</v>
      </c>
      <c r="I6" s="6">
        <v>17.8</v>
      </c>
      <c r="J6" s="6">
        <f t="shared" si="1"/>
        <v>16.200000000000003</v>
      </c>
      <c r="K6" s="6">
        <v>14.3</v>
      </c>
      <c r="L6" s="6">
        <v>16.600000000000001</v>
      </c>
      <c r="M6" s="6">
        <v>15.9</v>
      </c>
      <c r="P6" s="8"/>
      <c r="Q6" s="6">
        <v>30</v>
      </c>
      <c r="R6" s="6">
        <v>33</v>
      </c>
      <c r="S6" s="6">
        <v>44.966999999999999</v>
      </c>
      <c r="T6" s="6">
        <v>49.72</v>
      </c>
      <c r="U6" s="6">
        <v>64.5</v>
      </c>
      <c r="V6" s="6">
        <f>V5*V35</f>
        <v>69.36384000000001</v>
      </c>
      <c r="W6" s="6">
        <f t="shared" ref="W6:AF6" si="4">W5*W35</f>
        <v>70.413190400000019</v>
      </c>
      <c r="X6" s="6">
        <f t="shared" si="4"/>
        <v>59.946364800000005</v>
      </c>
      <c r="Y6" s="6">
        <f t="shared" si="4"/>
        <v>61.607735481600024</v>
      </c>
      <c r="Z6" s="6">
        <f t="shared" si="4"/>
        <v>61.533059438592019</v>
      </c>
      <c r="AA6" s="6">
        <f t="shared" si="4"/>
        <v>66.455704193679381</v>
      </c>
      <c r="AB6" s="6">
        <f t="shared" si="4"/>
        <v>71.107603487236943</v>
      </c>
      <c r="AC6" s="6">
        <f t="shared" si="4"/>
        <v>76.085135731343541</v>
      </c>
      <c r="AD6" s="6">
        <f t="shared" si="4"/>
        <v>81.411095232537591</v>
      </c>
      <c r="AE6" s="6">
        <f t="shared" si="4"/>
        <v>87.109871898815243</v>
      </c>
      <c r="AF6" s="6">
        <f t="shared" si="4"/>
        <v>87.109871898815243</v>
      </c>
    </row>
    <row r="7" spans="1:37" s="2" customFormat="1" x14ac:dyDescent="0.25">
      <c r="B7" s="2" t="s">
        <v>48</v>
      </c>
      <c r="E7" s="2">
        <v>6.37</v>
      </c>
      <c r="F7" s="2">
        <f>T7-21.35</f>
        <v>8.1499999999999986</v>
      </c>
      <c r="G7" s="2">
        <v>7.9</v>
      </c>
      <c r="H7" s="2">
        <v>9.5</v>
      </c>
      <c r="I7" s="2">
        <v>8.5</v>
      </c>
      <c r="J7" s="2">
        <f t="shared" si="1"/>
        <v>13.700000000000001</v>
      </c>
      <c r="K7" s="2">
        <v>11.2</v>
      </c>
      <c r="L7" s="2">
        <v>8.99</v>
      </c>
      <c r="M7" s="2">
        <v>7.8</v>
      </c>
      <c r="P7" s="4"/>
      <c r="Q7" s="2">
        <v>145.1</v>
      </c>
      <c r="R7" s="2">
        <v>88</v>
      </c>
      <c r="S7" s="2">
        <v>60.2</v>
      </c>
      <c r="T7" s="2">
        <v>29.5</v>
      </c>
      <c r="U7" s="2">
        <v>39.6</v>
      </c>
      <c r="V7" s="2">
        <f>U7*(1+V47)</f>
        <v>41.580000000000005</v>
      </c>
      <c r="W7" s="2">
        <f t="shared" ref="W7:AF7" si="5">V7*(1+W47)</f>
        <v>43.659000000000006</v>
      </c>
      <c r="X7" s="2">
        <f t="shared" si="5"/>
        <v>39.29310000000001</v>
      </c>
      <c r="Y7" s="2">
        <f t="shared" si="5"/>
        <v>41.25775500000001</v>
      </c>
      <c r="Z7" s="2">
        <f t="shared" si="5"/>
        <v>43.320642750000012</v>
      </c>
      <c r="AA7" s="2">
        <f t="shared" si="5"/>
        <v>45.486674887500016</v>
      </c>
      <c r="AB7" s="2">
        <f t="shared" si="5"/>
        <v>47.761008631875015</v>
      </c>
      <c r="AC7" s="2">
        <f t="shared" si="5"/>
        <v>50.149059063468769</v>
      </c>
      <c r="AD7" s="2">
        <f t="shared" si="5"/>
        <v>52.65651201664221</v>
      </c>
      <c r="AE7" s="2">
        <f t="shared" si="5"/>
        <v>55.289337617474324</v>
      </c>
      <c r="AF7" s="2">
        <f t="shared" si="5"/>
        <v>58.053804498348043</v>
      </c>
    </row>
    <row r="8" spans="1:37" s="6" customFormat="1" x14ac:dyDescent="0.25">
      <c r="B8" s="6" t="s">
        <v>56</v>
      </c>
      <c r="E8" s="6">
        <v>5.89</v>
      </c>
      <c r="F8" s="6">
        <f>T8-16.63</f>
        <v>6.0839999999999996</v>
      </c>
      <c r="G8" s="6">
        <v>6.3579999999999997</v>
      </c>
      <c r="H8" s="6">
        <v>7</v>
      </c>
      <c r="I8" s="6">
        <v>7.1</v>
      </c>
      <c r="J8" s="6">
        <f t="shared" si="1"/>
        <v>8.8420000000000023</v>
      </c>
      <c r="K8" s="6">
        <v>8.6999999999999993</v>
      </c>
      <c r="L8" s="6">
        <v>6.08</v>
      </c>
      <c r="M8" s="6">
        <v>6.3</v>
      </c>
      <c r="P8" s="8"/>
      <c r="Q8" s="6">
        <v>71.900000000000006</v>
      </c>
      <c r="R8" s="6">
        <v>48.9</v>
      </c>
      <c r="S8" s="6">
        <v>32.700000000000003</v>
      </c>
      <c r="T8" s="6">
        <v>22.713999999999999</v>
      </c>
      <c r="U8" s="6">
        <v>29.3</v>
      </c>
      <c r="V8" s="6">
        <f>V7*V36</f>
        <v>29.521800000000002</v>
      </c>
      <c r="W8" s="6">
        <f t="shared" ref="W8:AF8" si="6">W7*W36</f>
        <v>29.688120000000005</v>
      </c>
      <c r="X8" s="6">
        <f t="shared" si="6"/>
        <v>25.540515000000006</v>
      </c>
      <c r="Y8" s="6">
        <f t="shared" si="6"/>
        <v>25.579808100000005</v>
      </c>
      <c r="Z8" s="6">
        <f t="shared" si="6"/>
        <v>25.559179222500006</v>
      </c>
      <c r="AA8" s="6">
        <f t="shared" si="6"/>
        <v>25.472537937000013</v>
      </c>
      <c r="AB8" s="6">
        <f t="shared" si="6"/>
        <v>25.313334574893759</v>
      </c>
      <c r="AC8" s="6">
        <f t="shared" si="6"/>
        <v>26.579001303638449</v>
      </c>
      <c r="AD8" s="6">
        <f t="shared" si="6"/>
        <v>27.907951368820374</v>
      </c>
      <c r="AE8" s="6">
        <f t="shared" si="6"/>
        <v>29.303348937261394</v>
      </c>
      <c r="AF8" s="6">
        <f t="shared" si="6"/>
        <v>30.768516384124464</v>
      </c>
    </row>
    <row r="9" spans="1:37" s="2" customFormat="1" x14ac:dyDescent="0.25">
      <c r="B9" s="2" t="s">
        <v>49</v>
      </c>
      <c r="E9" s="2">
        <v>1.77</v>
      </c>
      <c r="F9" s="2">
        <f>T9-5.33</f>
        <v>1.87</v>
      </c>
      <c r="G9" s="2">
        <v>2.11</v>
      </c>
      <c r="H9" s="2">
        <v>2.2400000000000002</v>
      </c>
      <c r="I9" s="2">
        <v>2.44</v>
      </c>
      <c r="J9" s="2">
        <f t="shared" si="1"/>
        <v>2.81</v>
      </c>
      <c r="K9" s="2">
        <v>2.83</v>
      </c>
      <c r="L9" s="2">
        <v>2.9</v>
      </c>
      <c r="M9" s="2">
        <v>3.1</v>
      </c>
      <c r="P9" s="4"/>
      <c r="Q9" s="2">
        <v>0</v>
      </c>
      <c r="R9" s="2">
        <v>0.65</v>
      </c>
      <c r="S9" s="2">
        <v>5.6</v>
      </c>
      <c r="T9" s="2">
        <v>7.2</v>
      </c>
      <c r="U9" s="2">
        <v>9.6</v>
      </c>
      <c r="V9" s="2">
        <f>U9*(1+V48)</f>
        <v>10.08</v>
      </c>
      <c r="W9" s="2">
        <f t="shared" ref="W9:AF9" si="7">V9*(1+W48)</f>
        <v>10.584000000000001</v>
      </c>
      <c r="X9" s="2">
        <f t="shared" si="7"/>
        <v>9.5256000000000007</v>
      </c>
      <c r="Y9" s="2">
        <f t="shared" si="7"/>
        <v>10.001880000000002</v>
      </c>
      <c r="Z9" s="2">
        <f t="shared" si="7"/>
        <v>10.501974000000002</v>
      </c>
      <c r="AA9" s="2">
        <f t="shared" si="7"/>
        <v>11.027072700000003</v>
      </c>
      <c r="AB9" s="2">
        <f t="shared" si="7"/>
        <v>11.578426335000003</v>
      </c>
      <c r="AC9" s="2">
        <f t="shared" si="7"/>
        <v>12.157347651750003</v>
      </c>
      <c r="AD9" s="2">
        <f t="shared" si="7"/>
        <v>12.765215034337503</v>
      </c>
      <c r="AE9" s="2">
        <f t="shared" si="7"/>
        <v>13.403475786054379</v>
      </c>
      <c r="AF9" s="2">
        <f t="shared" si="7"/>
        <v>14.073649575357098</v>
      </c>
    </row>
    <row r="10" spans="1:37" s="6" customFormat="1" x14ac:dyDescent="0.25">
      <c r="B10" s="6" t="s">
        <v>56</v>
      </c>
      <c r="E10" s="6">
        <v>1.67</v>
      </c>
      <c r="F10" s="6">
        <f>T10-5.05</f>
        <v>1.75</v>
      </c>
      <c r="G10" s="6">
        <v>1.99</v>
      </c>
      <c r="H10" s="6">
        <v>2.1</v>
      </c>
      <c r="I10" s="6">
        <v>2.2999999999999998</v>
      </c>
      <c r="J10" s="6">
        <f t="shared" si="1"/>
        <v>2.6099999999999994</v>
      </c>
      <c r="K10" s="6">
        <v>2.67</v>
      </c>
      <c r="L10" s="6">
        <v>2.75</v>
      </c>
      <c r="M10" s="6">
        <v>3</v>
      </c>
      <c r="P10" s="8"/>
      <c r="Q10" s="6">
        <v>0</v>
      </c>
      <c r="R10" s="6">
        <v>0.5</v>
      </c>
      <c r="S10" s="6">
        <v>5.2</v>
      </c>
      <c r="T10" s="6">
        <v>6.8</v>
      </c>
      <c r="U10" s="6">
        <v>9</v>
      </c>
      <c r="V10" s="6">
        <f>V9*V37</f>
        <v>9.4751999999999992</v>
      </c>
      <c r="W10" s="6">
        <f t="shared" ref="W10:AF10" si="8">W9*W37</f>
        <v>9.9489600000000014</v>
      </c>
      <c r="X10" s="6">
        <f t="shared" si="8"/>
        <v>8.9540640000000007</v>
      </c>
      <c r="Y10" s="6">
        <f t="shared" si="8"/>
        <v>9.4017672000000019</v>
      </c>
      <c r="Z10" s="6">
        <f t="shared" si="8"/>
        <v>9.871855560000002</v>
      </c>
      <c r="AA10" s="6">
        <f t="shared" si="8"/>
        <v>10.365448338000002</v>
      </c>
      <c r="AB10" s="6">
        <f t="shared" si="8"/>
        <v>10.883720754900002</v>
      </c>
      <c r="AC10" s="6">
        <f t="shared" si="8"/>
        <v>11.427906792645002</v>
      </c>
      <c r="AD10" s="6">
        <f t="shared" si="8"/>
        <v>11.999302132277252</v>
      </c>
      <c r="AE10" s="6">
        <f t="shared" si="8"/>
        <v>12.599267238891116</v>
      </c>
      <c r="AF10" s="6">
        <f t="shared" si="8"/>
        <v>13.229230600835672</v>
      </c>
    </row>
    <row r="11" spans="1:37" s="2" customFormat="1" x14ac:dyDescent="0.25">
      <c r="B11" s="2" t="s">
        <v>50</v>
      </c>
      <c r="E11" s="2">
        <v>0</v>
      </c>
      <c r="F11" s="2">
        <f>T11-0</f>
        <v>-5.7000000000000002E-2</v>
      </c>
      <c r="G11" s="2">
        <v>0</v>
      </c>
      <c r="H11" s="2">
        <v>0</v>
      </c>
      <c r="I11" s="2">
        <v>0</v>
      </c>
      <c r="J11" s="2">
        <f t="shared" si="1"/>
        <v>-5.7000000000000002E-2</v>
      </c>
      <c r="K11" s="2">
        <v>0</v>
      </c>
      <c r="L11" s="2">
        <v>0</v>
      </c>
      <c r="M11" s="2">
        <v>0</v>
      </c>
      <c r="P11" s="4"/>
      <c r="Q11" s="2">
        <v>3</v>
      </c>
      <c r="R11" s="2">
        <v>3.7</v>
      </c>
      <c r="S11" s="2">
        <v>0.42799999999999999</v>
      </c>
      <c r="T11" s="2">
        <v>-5.7000000000000002E-2</v>
      </c>
      <c r="U11" s="2">
        <v>-5.7000000000000002E-2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7" s="6" customFormat="1" x14ac:dyDescent="0.25">
      <c r="B12" s="6" t="s">
        <v>56</v>
      </c>
      <c r="E12" s="6">
        <v>0</v>
      </c>
      <c r="F12" s="6">
        <f>T12-0</f>
        <v>-5.0999999999999997E-2</v>
      </c>
      <c r="G12" s="6">
        <v>0</v>
      </c>
      <c r="H12" s="6">
        <v>0</v>
      </c>
      <c r="I12" s="6">
        <v>0</v>
      </c>
      <c r="J12" s="6">
        <f t="shared" si="1"/>
        <v>-5.7000000000000002E-2</v>
      </c>
      <c r="K12" s="6">
        <v>0</v>
      </c>
      <c r="L12" s="6">
        <v>0</v>
      </c>
      <c r="M12" s="6">
        <v>0</v>
      </c>
      <c r="P12" s="8"/>
      <c r="Q12" s="6">
        <v>-2.66</v>
      </c>
      <c r="R12" s="6">
        <v>-0.66</v>
      </c>
      <c r="S12" s="6">
        <v>5.1999999999999998E-2</v>
      </c>
      <c r="T12" s="6">
        <v>-5.0999999999999997E-2</v>
      </c>
      <c r="U12" s="6">
        <v>-5.7000000000000002E-2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7" x14ac:dyDescent="0.25">
      <c r="A13" s="5"/>
      <c r="B13" s="5" t="s">
        <v>21</v>
      </c>
      <c r="C13" s="6"/>
      <c r="D13" s="6"/>
      <c r="E13" s="6">
        <v>47.722000000000001</v>
      </c>
      <c r="F13" s="6">
        <f>T13-150.05</f>
        <v>55.893000000000001</v>
      </c>
      <c r="G13" s="6">
        <v>55.75</v>
      </c>
      <c r="H13" s="6">
        <v>61.8</v>
      </c>
      <c r="I13" s="6">
        <v>69.66</v>
      </c>
      <c r="J13" s="6">
        <f t="shared" si="1"/>
        <v>70.333000000000013</v>
      </c>
      <c r="K13" s="6">
        <v>66.7</v>
      </c>
      <c r="L13" s="6">
        <v>68.3</v>
      </c>
      <c r="M13" s="6">
        <v>69.866</v>
      </c>
      <c r="N13" s="6"/>
      <c r="O13" s="6"/>
      <c r="P13" s="7"/>
      <c r="Q13" s="6">
        <f t="shared" ref="Q13:T13" si="9">+Q3+Q5+Q7+Q9+Q11</f>
        <v>270</v>
      </c>
      <c r="R13" s="6">
        <f t="shared" si="9"/>
        <v>224.54999999999998</v>
      </c>
      <c r="S13" s="6">
        <f t="shared" si="9"/>
        <v>226.42799999999997</v>
      </c>
      <c r="T13" s="6">
        <f t="shared" si="9"/>
        <v>205.94300000000001</v>
      </c>
      <c r="U13" s="6">
        <f>+U3+U5+U7+U9+U11</f>
        <v>257.54300000000001</v>
      </c>
      <c r="V13" s="6">
        <f>+V3+V5+V7+V9+V11</f>
        <v>289.036</v>
      </c>
      <c r="W13" s="6">
        <f t="shared" ref="W13:AF13" si="10">+W3+W5+W7+W9+W11</f>
        <v>314.18732000000006</v>
      </c>
      <c r="X13" s="6">
        <f t="shared" si="10"/>
        <v>282.76858800000002</v>
      </c>
      <c r="Y13" s="6">
        <f t="shared" si="10"/>
        <v>306.89175852000011</v>
      </c>
      <c r="Z13" s="6">
        <f t="shared" si="10"/>
        <v>318.50254429560005</v>
      </c>
      <c r="AA13" s="6">
        <f t="shared" si="10"/>
        <v>343.81585167274812</v>
      </c>
      <c r="AB13" s="6">
        <f t="shared" si="10"/>
        <v>365.95640605329049</v>
      </c>
      <c r="AC13" s="6">
        <f t="shared" si="10"/>
        <v>392.91873708334731</v>
      </c>
      <c r="AD13" s="6">
        <f t="shared" si="10"/>
        <v>421.96230898110775</v>
      </c>
      <c r="AE13" s="6">
        <f t="shared" si="10"/>
        <v>453.25516334861913</v>
      </c>
      <c r="AF13" s="6">
        <f t="shared" si="10"/>
        <v>456.68980401879554</v>
      </c>
      <c r="AG13" s="6"/>
      <c r="AH13" s="6"/>
      <c r="AI13" s="6"/>
      <c r="AJ13" s="6"/>
      <c r="AK13" s="6"/>
    </row>
    <row r="14" spans="1:37" s="2" customFormat="1" x14ac:dyDescent="0.25">
      <c r="B14" s="2" t="s">
        <v>22</v>
      </c>
      <c r="E14" s="2">
        <v>22.5</v>
      </c>
      <c r="F14" s="2">
        <f>T14-73.289</f>
        <v>22.710999999999999</v>
      </c>
      <c r="G14" s="2">
        <v>22.6</v>
      </c>
      <c r="H14" s="2">
        <v>26.385000000000002</v>
      </c>
      <c r="I14" s="2">
        <v>28.54</v>
      </c>
      <c r="J14" s="2">
        <f t="shared" si="1"/>
        <v>30.17499999999999</v>
      </c>
      <c r="K14" s="2">
        <v>27.76</v>
      </c>
      <c r="L14" s="2">
        <v>29</v>
      </c>
      <c r="M14" s="2">
        <v>28.93</v>
      </c>
      <c r="P14" s="4"/>
      <c r="Q14" s="2">
        <v>126.227</v>
      </c>
      <c r="R14" s="2">
        <v>100.1</v>
      </c>
      <c r="S14" s="2">
        <v>102</v>
      </c>
      <c r="T14" s="2">
        <v>96</v>
      </c>
      <c r="U14" s="2">
        <v>107.7</v>
      </c>
    </row>
    <row r="15" spans="1:37" x14ac:dyDescent="0.25">
      <c r="A15" s="5"/>
      <c r="B15" s="5" t="s">
        <v>23</v>
      </c>
      <c r="C15" s="6"/>
      <c r="D15" s="6"/>
      <c r="E15" s="6">
        <f t="shared" ref="E15:M15" si="11">+E13-E14</f>
        <v>25.222000000000001</v>
      </c>
      <c r="F15" s="6">
        <f t="shared" si="11"/>
        <v>33.182000000000002</v>
      </c>
      <c r="G15" s="6">
        <f t="shared" si="11"/>
        <v>33.15</v>
      </c>
      <c r="H15" s="6">
        <f t="shared" si="11"/>
        <v>35.414999999999992</v>
      </c>
      <c r="I15" s="6">
        <f t="shared" si="11"/>
        <v>41.12</v>
      </c>
      <c r="J15" s="6">
        <f t="shared" si="11"/>
        <v>40.158000000000023</v>
      </c>
      <c r="K15" s="6">
        <f t="shared" si="11"/>
        <v>38.94</v>
      </c>
      <c r="L15" s="6">
        <f t="shared" si="11"/>
        <v>39.299999999999997</v>
      </c>
      <c r="M15" s="6">
        <f t="shared" si="11"/>
        <v>40.936</v>
      </c>
      <c r="N15" s="6"/>
      <c r="O15" s="6"/>
      <c r="P15" s="7"/>
      <c r="Q15" s="6">
        <f>+Q13-Q14</f>
        <v>143.773</v>
      </c>
      <c r="R15" s="6">
        <f>+R13-R14</f>
        <v>124.44999999999999</v>
      </c>
      <c r="S15" s="6">
        <f>+S13-S14</f>
        <v>124.42799999999997</v>
      </c>
      <c r="T15" s="6">
        <f>+T13-T14</f>
        <v>109.94300000000001</v>
      </c>
      <c r="U15" s="6">
        <f>+U13-U14</f>
        <v>149.84300000000002</v>
      </c>
      <c r="V15" s="6">
        <f>V4+V6+V8+V10+V12</f>
        <v>164.90484000000001</v>
      </c>
      <c r="W15" s="6">
        <f t="shared" ref="W15:AF15" si="12">W4+W6+W8+W10+W12</f>
        <v>175.51036640000001</v>
      </c>
      <c r="X15" s="6">
        <f t="shared" si="12"/>
        <v>152.72828459999999</v>
      </c>
      <c r="Y15" s="6">
        <f t="shared" si="12"/>
        <v>160.70538566160002</v>
      </c>
      <c r="Z15" s="6">
        <f t="shared" si="12"/>
        <v>164.28597284509203</v>
      </c>
      <c r="AA15" s="6">
        <f t="shared" si="12"/>
        <v>176.3477569550794</v>
      </c>
      <c r="AB15" s="6">
        <f t="shared" si="12"/>
        <v>185.8019692926147</v>
      </c>
      <c r="AC15" s="6">
        <f t="shared" si="12"/>
        <v>200.4390853507694</v>
      </c>
      <c r="AD15" s="6">
        <f t="shared" si="12"/>
        <v>216.30009440909186</v>
      </c>
      <c r="AE15" s="6">
        <f t="shared" si="12"/>
        <v>233.49240831797007</v>
      </c>
      <c r="AF15" s="6">
        <f t="shared" si="12"/>
        <v>235.5875391267777</v>
      </c>
      <c r="AG15" s="6"/>
      <c r="AH15" s="6"/>
      <c r="AI15" s="6"/>
      <c r="AJ15" s="6"/>
      <c r="AK15" s="6"/>
    </row>
    <row r="16" spans="1:37" x14ac:dyDescent="0.25">
      <c r="B16" t="s">
        <v>24</v>
      </c>
      <c r="E16" s="2">
        <f>9.515+7.4+6.2</f>
        <v>23.114999999999998</v>
      </c>
      <c r="F16" s="2">
        <f>T16-(32.34+27.126+21.32)</f>
        <v>25.99199999999999</v>
      </c>
      <c r="G16" s="2">
        <f>10.6+9.1+7</f>
        <v>26.7</v>
      </c>
      <c r="H16" s="2">
        <f>12.1+8.9+6.9</f>
        <v>27.9</v>
      </c>
      <c r="I16" s="2">
        <f>12.3+9.66+7.676</f>
        <v>29.636000000000003</v>
      </c>
      <c r="J16" s="2">
        <f t="shared" si="1"/>
        <v>29.964000000000024</v>
      </c>
      <c r="K16" s="2">
        <f>13.9+10+8.2</f>
        <v>32.099999999999994</v>
      </c>
      <c r="L16" s="2">
        <f>13.87+11.27+7</f>
        <v>32.14</v>
      </c>
      <c r="M16" s="2">
        <f>13.78+10.9+6.4</f>
        <v>31.08</v>
      </c>
      <c r="Q16" s="2">
        <f>19.3+83+35.2+36.1</f>
        <v>173.6</v>
      </c>
      <c r="R16" s="2">
        <f>14.7+60.8+33.7+30.5</f>
        <v>139.69999999999999</v>
      </c>
      <c r="S16" s="2">
        <f>10.83+51.6+36.7+34.25</f>
        <v>133.38</v>
      </c>
      <c r="T16" s="2">
        <f>0+42.158+35.62+29</f>
        <v>106.77799999999999</v>
      </c>
      <c r="U16" s="2">
        <f>0+47.7+37.6+28.9</f>
        <v>114.20000000000002</v>
      </c>
      <c r="V16" s="2">
        <f>V13*V43</f>
        <v>135.84691999999998</v>
      </c>
      <c r="W16" s="2">
        <f t="shared" ref="W16:AF16" si="13">W13*W43</f>
        <v>157.09366000000003</v>
      </c>
      <c r="X16" s="2">
        <f t="shared" si="13"/>
        <v>152.69503752000003</v>
      </c>
      <c r="Y16" s="2">
        <f t="shared" si="13"/>
        <v>144.23912650440005</v>
      </c>
      <c r="Z16" s="2">
        <f t="shared" si="13"/>
        <v>140.14111949006403</v>
      </c>
      <c r="AA16" s="2">
        <f t="shared" si="13"/>
        <v>137.52634066909926</v>
      </c>
      <c r="AB16" s="2">
        <f t="shared" si="13"/>
        <v>139.06343430025038</v>
      </c>
      <c r="AC16" s="2">
        <f t="shared" si="13"/>
        <v>141.45074535000504</v>
      </c>
      <c r="AD16" s="2">
        <f t="shared" si="13"/>
        <v>143.46718505357666</v>
      </c>
      <c r="AE16" s="2">
        <f t="shared" si="13"/>
        <v>145.04165227155812</v>
      </c>
      <c r="AF16" s="2">
        <f t="shared" si="13"/>
        <v>137.00694120563867</v>
      </c>
      <c r="AG16" s="2"/>
      <c r="AH16" s="2"/>
      <c r="AI16" s="2"/>
      <c r="AJ16" s="2"/>
      <c r="AK16" s="2"/>
    </row>
    <row r="17" spans="1:109" x14ac:dyDescent="0.25">
      <c r="B17" t="s">
        <v>63</v>
      </c>
      <c r="E17" s="2">
        <v>1.5669999999999999</v>
      </c>
      <c r="F17" s="2">
        <f>T17-4.7</f>
        <v>1.5999999999999996</v>
      </c>
      <c r="G17" s="2">
        <v>1.9</v>
      </c>
      <c r="H17" s="2">
        <v>1.67</v>
      </c>
      <c r="I17" s="2">
        <v>1.7</v>
      </c>
      <c r="J17" s="2">
        <f t="shared" si="1"/>
        <v>1.6990000000000003</v>
      </c>
      <c r="K17" s="2">
        <v>2.2999999999999998</v>
      </c>
      <c r="L17" s="2">
        <v>2.6</v>
      </c>
      <c r="M17" s="2">
        <v>2.64</v>
      </c>
      <c r="Q17" s="2">
        <v>5.8</v>
      </c>
      <c r="R17" s="2">
        <v>4.5999999999999996</v>
      </c>
      <c r="S17" s="2">
        <v>5.0999999999999996</v>
      </c>
      <c r="T17" s="2">
        <v>6.3</v>
      </c>
      <c r="U17" s="2">
        <v>6.9690000000000003</v>
      </c>
      <c r="V17" s="2">
        <f>U17*1.06</f>
        <v>7.3871400000000005</v>
      </c>
      <c r="W17" s="2">
        <f t="shared" ref="W17:AF17" si="14">V17*1.06</f>
        <v>7.8303684000000011</v>
      </c>
      <c r="X17" s="2">
        <f t="shared" si="14"/>
        <v>8.3001905040000015</v>
      </c>
      <c r="Y17" s="2">
        <f t="shared" si="14"/>
        <v>8.7982019342400015</v>
      </c>
      <c r="Z17" s="2">
        <f t="shared" si="14"/>
        <v>9.3260940502944027</v>
      </c>
      <c r="AA17" s="2">
        <f t="shared" si="14"/>
        <v>9.8856596933120677</v>
      </c>
      <c r="AB17" s="2">
        <f t="shared" si="14"/>
        <v>10.478799274910791</v>
      </c>
      <c r="AC17" s="2">
        <f t="shared" si="14"/>
        <v>11.10752723140544</v>
      </c>
      <c r="AD17" s="2">
        <f t="shared" si="14"/>
        <v>11.773978865289767</v>
      </c>
      <c r="AE17" s="2">
        <f t="shared" si="14"/>
        <v>12.480417597207154</v>
      </c>
      <c r="AF17" s="2">
        <f t="shared" si="14"/>
        <v>13.229242653039584</v>
      </c>
      <c r="AG17" s="2"/>
      <c r="AH17" s="2"/>
      <c r="AI17" s="2"/>
      <c r="AJ17" s="2"/>
      <c r="AK17" s="2"/>
    </row>
    <row r="18" spans="1:109" x14ac:dyDescent="0.25">
      <c r="B18" t="s">
        <v>25</v>
      </c>
      <c r="E18" s="2">
        <v>0</v>
      </c>
      <c r="F18" s="2">
        <f>T18-0</f>
        <v>0</v>
      </c>
      <c r="G18" s="2">
        <v>0</v>
      </c>
      <c r="H18" s="2">
        <v>0</v>
      </c>
      <c r="I18" s="2">
        <v>0</v>
      </c>
      <c r="J18" s="2">
        <f t="shared" si="1"/>
        <v>1.5</v>
      </c>
      <c r="K18" s="2">
        <v>0</v>
      </c>
      <c r="L18" s="2">
        <v>-8.5</v>
      </c>
      <c r="M18" s="2">
        <v>-11.5</v>
      </c>
      <c r="Q18" s="2">
        <v>1</v>
      </c>
      <c r="R18" s="2">
        <v>0.5</v>
      </c>
      <c r="S18" s="2">
        <v>0.1</v>
      </c>
      <c r="T18" s="2">
        <v>0</v>
      </c>
      <c r="U18" s="2">
        <v>1.5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109" x14ac:dyDescent="0.25">
      <c r="B19" t="s">
        <v>64</v>
      </c>
      <c r="E19" s="2">
        <v>0.31900000000000001</v>
      </c>
      <c r="F19" s="2">
        <f>T19-0.5</f>
        <v>9.9999999999999978E-2</v>
      </c>
      <c r="G19" s="2">
        <v>0</v>
      </c>
      <c r="H19" s="2">
        <v>0.2</v>
      </c>
      <c r="I19" s="2">
        <v>1.18</v>
      </c>
      <c r="J19" s="2">
        <f t="shared" si="1"/>
        <v>-1.38</v>
      </c>
      <c r="K19" s="2">
        <v>-3.2000000000000001E-2</v>
      </c>
      <c r="L19" s="2">
        <v>0</v>
      </c>
      <c r="M19" s="2">
        <v>0</v>
      </c>
      <c r="Q19" s="2">
        <v>3.65</v>
      </c>
      <c r="R19" s="2">
        <v>1.4</v>
      </c>
      <c r="S19" s="2">
        <v>5.05</v>
      </c>
      <c r="T19" s="2">
        <v>0.6</v>
      </c>
      <c r="U19" s="2">
        <v>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109" x14ac:dyDescent="0.25">
      <c r="A20" s="5"/>
      <c r="B20" s="5" t="s">
        <v>26</v>
      </c>
      <c r="C20" s="6"/>
      <c r="D20" s="6"/>
      <c r="E20" s="6">
        <f t="shared" ref="E20:M20" si="15">+E15-E16-E17-E18-E19</f>
        <v>0.22100000000000292</v>
      </c>
      <c r="F20" s="6">
        <f t="shared" si="15"/>
        <v>5.4900000000000126</v>
      </c>
      <c r="G20" s="6">
        <f t="shared" si="15"/>
        <v>4.5499999999999989</v>
      </c>
      <c r="H20" s="6">
        <f t="shared" si="15"/>
        <v>5.6449999999999934</v>
      </c>
      <c r="I20" s="6">
        <f t="shared" si="15"/>
        <v>8.6039999999999957</v>
      </c>
      <c r="J20" s="6">
        <f t="shared" si="15"/>
        <v>8.375</v>
      </c>
      <c r="K20" s="6">
        <f t="shared" si="15"/>
        <v>4.5720000000000036</v>
      </c>
      <c r="L20" s="6">
        <f t="shared" si="15"/>
        <v>13.059999999999997</v>
      </c>
      <c r="M20" s="6">
        <f t="shared" si="15"/>
        <v>18.716000000000001</v>
      </c>
      <c r="N20" s="6"/>
      <c r="O20" s="6"/>
      <c r="P20" s="7"/>
      <c r="Q20" s="6">
        <f t="shared" ref="Q20:V20" si="16">+Q15-Q16-Q17-Q18-Q19</f>
        <v>-40.276999999999994</v>
      </c>
      <c r="R20" s="6">
        <f t="shared" si="16"/>
        <v>-21.75</v>
      </c>
      <c r="S20" s="6">
        <f t="shared" si="16"/>
        <v>-19.202000000000027</v>
      </c>
      <c r="T20" s="6">
        <f t="shared" si="16"/>
        <v>-3.7349999999999794</v>
      </c>
      <c r="U20" s="6">
        <f t="shared" si="16"/>
        <v>27.173999999999999</v>
      </c>
      <c r="V20" s="6">
        <f t="shared" si="16"/>
        <v>21.670780000000022</v>
      </c>
      <c r="W20" s="6">
        <f t="shared" ref="W20:AF20" si="17">+W15-W16-W17-W18-W19</f>
        <v>10.58633799999998</v>
      </c>
      <c r="X20" s="6">
        <f t="shared" si="17"/>
        <v>-8.2669434240000346</v>
      </c>
      <c r="Y20" s="6">
        <f t="shared" si="17"/>
        <v>7.6680572229599697</v>
      </c>
      <c r="Z20" s="6">
        <f t="shared" si="17"/>
        <v>14.818759304733602</v>
      </c>
      <c r="AA20" s="6">
        <f t="shared" si="17"/>
        <v>28.935756592668081</v>
      </c>
      <c r="AB20" s="6">
        <f t="shared" si="17"/>
        <v>36.25973571745353</v>
      </c>
      <c r="AC20" s="6">
        <f t="shared" si="17"/>
        <v>47.880812769358926</v>
      </c>
      <c r="AD20" s="6">
        <f t="shared" si="17"/>
        <v>61.058930490225436</v>
      </c>
      <c r="AE20" s="6">
        <f t="shared" si="17"/>
        <v>75.970338449204803</v>
      </c>
      <c r="AF20" s="6">
        <f t="shared" si="17"/>
        <v>85.351355268099439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</row>
    <row r="21" spans="1:109" x14ac:dyDescent="0.25">
      <c r="B21" t="s">
        <v>65</v>
      </c>
      <c r="E21" s="2">
        <v>0.254</v>
      </c>
      <c r="F21" s="2">
        <f>T21-0.733</f>
        <v>0.19100000000000006</v>
      </c>
      <c r="G21" s="2">
        <v>0.185</v>
      </c>
      <c r="H21" s="2">
        <v>2.9000000000000001E-2</v>
      </c>
      <c r="I21" s="2">
        <v>0.25</v>
      </c>
      <c r="J21" s="2">
        <f t="shared" si="1"/>
        <v>-6.3999999999999974E-2</v>
      </c>
      <c r="K21" s="2">
        <v>0.13100000000000001</v>
      </c>
      <c r="L21" s="2">
        <v>0.05</v>
      </c>
      <c r="M21" s="2">
        <v>-0.104</v>
      </c>
      <c r="Q21" s="2">
        <v>0.6</v>
      </c>
      <c r="R21" s="2">
        <v>0.8</v>
      </c>
      <c r="S21" s="2">
        <v>1.448</v>
      </c>
      <c r="T21" s="2">
        <v>0.92400000000000004</v>
      </c>
      <c r="U21" s="2">
        <v>0.4</v>
      </c>
      <c r="V21" s="2">
        <f>U32*0.01</f>
        <v>1.06335</v>
      </c>
      <c r="W21" s="2">
        <f t="shared" ref="W21:AF21" si="18">V32*0.01</f>
        <v>1.2702305830000002</v>
      </c>
      <c r="X21" s="2">
        <f t="shared" si="18"/>
        <v>1.3781253571053</v>
      </c>
      <c r="Y21" s="2">
        <f t="shared" si="18"/>
        <v>1.3154371126965581</v>
      </c>
      <c r="Z21" s="2">
        <f t="shared" si="18"/>
        <v>1.3971869111510324</v>
      </c>
      <c r="AA21" s="2">
        <f t="shared" si="18"/>
        <v>1.5447520217155828</v>
      </c>
      <c r="AB21" s="2">
        <f t="shared" si="18"/>
        <v>1.8221246501064741</v>
      </c>
      <c r="AC21" s="2">
        <f t="shared" si="18"/>
        <v>2.16866957945127</v>
      </c>
      <c r="AD21" s="2">
        <f t="shared" si="18"/>
        <v>2.624119868825443</v>
      </c>
      <c r="AE21" s="2">
        <f t="shared" si="18"/>
        <v>3.2036356270928059</v>
      </c>
      <c r="AF21" s="2">
        <f t="shared" si="18"/>
        <v>3.924118791187114</v>
      </c>
      <c r="AG21" s="2"/>
      <c r="AH21" s="2"/>
      <c r="AI21" s="2"/>
      <c r="AJ21" s="2"/>
      <c r="AK21" s="2"/>
    </row>
    <row r="22" spans="1:109" s="5" customFormat="1" x14ac:dyDescent="0.25">
      <c r="B22" s="5" t="s">
        <v>57</v>
      </c>
      <c r="C22" s="6"/>
      <c r="D22" s="6"/>
      <c r="E22" s="6">
        <f t="shared" ref="E22:M22" si="19">+E20+E21</f>
        <v>0.47500000000000292</v>
      </c>
      <c r="F22" s="6">
        <f t="shared" si="19"/>
        <v>5.6810000000000125</v>
      </c>
      <c r="G22" s="6">
        <f t="shared" si="19"/>
        <v>4.7349999999999985</v>
      </c>
      <c r="H22" s="6">
        <f t="shared" si="19"/>
        <v>5.6739999999999933</v>
      </c>
      <c r="I22" s="6">
        <f t="shared" si="19"/>
        <v>8.8539999999999957</v>
      </c>
      <c r="J22" s="6">
        <f t="shared" si="19"/>
        <v>8.3109999999999999</v>
      </c>
      <c r="K22" s="6">
        <f t="shared" si="19"/>
        <v>4.7030000000000038</v>
      </c>
      <c r="L22" s="6">
        <f t="shared" si="19"/>
        <v>13.109999999999998</v>
      </c>
      <c r="M22" s="6">
        <f t="shared" si="19"/>
        <v>18.612000000000002</v>
      </c>
      <c r="N22" s="6"/>
      <c r="O22" s="6"/>
      <c r="P22" s="7"/>
      <c r="Q22" s="6">
        <f t="shared" ref="Q22:V22" si="20">+Q20+Q21</f>
        <v>-39.676999999999992</v>
      </c>
      <c r="R22" s="6">
        <f t="shared" si="20"/>
        <v>-20.95</v>
      </c>
      <c r="S22" s="6">
        <f t="shared" si="20"/>
        <v>-17.754000000000026</v>
      </c>
      <c r="T22" s="6">
        <f t="shared" si="20"/>
        <v>-2.8109999999999795</v>
      </c>
      <c r="U22" s="6">
        <f t="shared" si="20"/>
        <v>27.573999999999998</v>
      </c>
      <c r="V22" s="6">
        <f t="shared" si="20"/>
        <v>22.734130000000022</v>
      </c>
      <c r="W22" s="6">
        <f t="shared" ref="W22:AF22" si="21">+W20+W21</f>
        <v>11.85656858299998</v>
      </c>
      <c r="X22" s="6">
        <f t="shared" si="21"/>
        <v>-6.8888180668947347</v>
      </c>
      <c r="Y22" s="6">
        <f t="shared" si="21"/>
        <v>8.9834943356565269</v>
      </c>
      <c r="Z22" s="6">
        <f t="shared" si="21"/>
        <v>16.215946215884635</v>
      </c>
      <c r="AA22" s="6">
        <f t="shared" si="21"/>
        <v>30.480508614383663</v>
      </c>
      <c r="AB22" s="6">
        <f t="shared" si="21"/>
        <v>38.081860367560004</v>
      </c>
      <c r="AC22" s="6">
        <f t="shared" si="21"/>
        <v>50.049482348810194</v>
      </c>
      <c r="AD22" s="6">
        <f t="shared" si="21"/>
        <v>63.683050359050881</v>
      </c>
      <c r="AE22" s="6">
        <f t="shared" si="21"/>
        <v>79.173974076297611</v>
      </c>
      <c r="AF22" s="6">
        <f t="shared" si="21"/>
        <v>89.275474059286552</v>
      </c>
      <c r="AG22" s="6"/>
      <c r="AH22" s="6"/>
      <c r="AI22" s="6"/>
      <c r="AJ22" s="6"/>
      <c r="AK22" s="6"/>
    </row>
    <row r="23" spans="1:109" x14ac:dyDescent="0.25">
      <c r="A23" s="5"/>
      <c r="B23" t="s">
        <v>27</v>
      </c>
      <c r="E23" s="2">
        <v>0.20899999999999999</v>
      </c>
      <c r="F23" s="2">
        <f>T23-0.7</f>
        <v>0.10000000000000009</v>
      </c>
      <c r="G23" s="2">
        <v>0.3</v>
      </c>
      <c r="H23" s="2">
        <v>0.4</v>
      </c>
      <c r="I23" s="2">
        <v>0.42899999999999999</v>
      </c>
      <c r="J23" s="2">
        <f t="shared" si="1"/>
        <v>-24.128999999999998</v>
      </c>
      <c r="K23" s="2">
        <v>1.012</v>
      </c>
      <c r="L23" s="2">
        <v>1.06</v>
      </c>
      <c r="M23" s="2">
        <v>2.1829999999999998</v>
      </c>
      <c r="P23" s="7"/>
      <c r="Q23" s="2">
        <v>-0.45</v>
      </c>
      <c r="R23" s="2">
        <v>-9.3000000000000007</v>
      </c>
      <c r="S23" s="2">
        <v>1.2</v>
      </c>
      <c r="T23" s="2">
        <v>0.8</v>
      </c>
      <c r="U23" s="2">
        <v>-23</v>
      </c>
      <c r="V23" s="2">
        <f>V22*0.09</f>
        <v>2.0460717000000019</v>
      </c>
      <c r="W23" s="2">
        <f t="shared" ref="W23:AF23" si="22">W22*0.09</f>
        <v>1.0670911724699981</v>
      </c>
      <c r="X23" s="2">
        <f t="shared" si="22"/>
        <v>-0.6199936260205261</v>
      </c>
      <c r="Y23" s="2">
        <f t="shared" si="22"/>
        <v>0.80851449020908739</v>
      </c>
      <c r="Z23" s="2">
        <f t="shared" si="22"/>
        <v>1.4594351594296171</v>
      </c>
      <c r="AA23" s="2">
        <f t="shared" si="22"/>
        <v>2.7432457752945294</v>
      </c>
      <c r="AB23" s="2">
        <f t="shared" si="22"/>
        <v>3.4273674330804003</v>
      </c>
      <c r="AC23" s="2">
        <f t="shared" si="22"/>
        <v>4.5044534113929169</v>
      </c>
      <c r="AD23" s="2">
        <f t="shared" si="22"/>
        <v>5.7314745323145795</v>
      </c>
      <c r="AE23" s="2">
        <f t="shared" si="22"/>
        <v>7.1256576668667844</v>
      </c>
      <c r="AF23" s="2">
        <f t="shared" si="22"/>
        <v>8.0347926653357895</v>
      </c>
      <c r="AG23" s="2"/>
      <c r="AH23" s="2"/>
      <c r="AI23" s="2"/>
      <c r="AJ23" s="2"/>
      <c r="AK23" s="2"/>
    </row>
    <row r="24" spans="1:109" x14ac:dyDescent="0.25">
      <c r="B24" s="5" t="s">
        <v>28</v>
      </c>
      <c r="C24" s="6"/>
      <c r="D24" s="6"/>
      <c r="E24" s="6">
        <f t="shared" ref="E24:M24" si="23">+E22-E23</f>
        <v>0.2660000000000029</v>
      </c>
      <c r="F24" s="6">
        <f t="shared" si="23"/>
        <v>5.581000000000012</v>
      </c>
      <c r="G24" s="6">
        <f t="shared" si="23"/>
        <v>4.4349999999999987</v>
      </c>
      <c r="H24" s="6">
        <f t="shared" si="23"/>
        <v>5.2739999999999929</v>
      </c>
      <c r="I24" s="6">
        <f t="shared" si="23"/>
        <v>8.4249999999999954</v>
      </c>
      <c r="J24" s="6">
        <f t="shared" si="23"/>
        <v>32.44</v>
      </c>
      <c r="K24" s="6">
        <f t="shared" si="23"/>
        <v>3.6910000000000038</v>
      </c>
      <c r="L24" s="6">
        <f t="shared" si="23"/>
        <v>12.049999999999997</v>
      </c>
      <c r="M24" s="6">
        <f t="shared" si="23"/>
        <v>16.429000000000002</v>
      </c>
      <c r="N24" s="6"/>
      <c r="O24" s="6"/>
      <c r="Q24" s="6">
        <f t="shared" ref="Q24:V24" si="24">+Q22-Q23</f>
        <v>-39.22699999999999</v>
      </c>
      <c r="R24" s="6">
        <f t="shared" si="24"/>
        <v>-11.649999999999999</v>
      </c>
      <c r="S24" s="6">
        <f t="shared" si="24"/>
        <v>-18.954000000000025</v>
      </c>
      <c r="T24" s="6">
        <f t="shared" si="24"/>
        <v>-3.6109999999999793</v>
      </c>
      <c r="U24" s="6">
        <f t="shared" si="24"/>
        <v>50.573999999999998</v>
      </c>
      <c r="V24" s="6">
        <f t="shared" si="24"/>
        <v>20.688058300000019</v>
      </c>
      <c r="W24" s="6">
        <f t="shared" ref="W24:AF24" si="25">+W22-W23</f>
        <v>10.789477410529981</v>
      </c>
      <c r="X24" s="6">
        <f t="shared" si="25"/>
        <v>-6.2688244408742086</v>
      </c>
      <c r="Y24" s="6">
        <f t="shared" si="25"/>
        <v>8.1749798454474387</v>
      </c>
      <c r="Z24" s="6">
        <f t="shared" si="25"/>
        <v>14.756511056455018</v>
      </c>
      <c r="AA24" s="6">
        <f t="shared" si="25"/>
        <v>27.737262839089134</v>
      </c>
      <c r="AB24" s="6">
        <f t="shared" si="25"/>
        <v>34.654492934479606</v>
      </c>
      <c r="AC24" s="6">
        <f t="shared" si="25"/>
        <v>45.545028937417278</v>
      </c>
      <c r="AD24" s="6">
        <f t="shared" si="25"/>
        <v>57.951575826736303</v>
      </c>
      <c r="AE24" s="6">
        <f t="shared" si="25"/>
        <v>72.048316409430825</v>
      </c>
      <c r="AF24" s="6">
        <f t="shared" si="25"/>
        <v>81.240681393950766</v>
      </c>
      <c r="AG24" s="6">
        <f>AF24*(1+$AJ$44)</f>
        <v>80.022071173041496</v>
      </c>
      <c r="AH24" s="6">
        <f t="shared" ref="AH24:CS24" si="26">AG24*(1+$AJ$44)</f>
        <v>78.821740105445869</v>
      </c>
      <c r="AI24" s="6">
        <f t="shared" si="26"/>
        <v>77.639414003864175</v>
      </c>
      <c r="AJ24" s="6">
        <f t="shared" si="26"/>
        <v>76.474822793806212</v>
      </c>
      <c r="AK24" s="6">
        <f t="shared" si="26"/>
        <v>75.327700451899119</v>
      </c>
      <c r="AL24" s="6">
        <f t="shared" si="26"/>
        <v>74.197784945120631</v>
      </c>
      <c r="AM24" s="6">
        <f t="shared" si="26"/>
        <v>73.084818170943819</v>
      </c>
      <c r="AN24" s="6">
        <f t="shared" si="26"/>
        <v>71.988545898379655</v>
      </c>
      <c r="AO24" s="6">
        <f t="shared" si="26"/>
        <v>70.908717709903954</v>
      </c>
      <c r="AP24" s="6">
        <f t="shared" si="26"/>
        <v>69.845086944255399</v>
      </c>
      <c r="AQ24" s="6">
        <f t="shared" si="26"/>
        <v>68.79741064009157</v>
      </c>
      <c r="AR24" s="6">
        <f t="shared" si="26"/>
        <v>67.76544948049019</v>
      </c>
      <c r="AS24" s="6">
        <f t="shared" si="26"/>
        <v>66.748967738282843</v>
      </c>
      <c r="AT24" s="6">
        <f t="shared" si="26"/>
        <v>65.747733222208595</v>
      </c>
      <c r="AU24" s="6">
        <f t="shared" si="26"/>
        <v>64.761517223875458</v>
      </c>
      <c r="AV24" s="6">
        <f t="shared" si="26"/>
        <v>63.790094465517328</v>
      </c>
      <c r="AW24" s="6">
        <f t="shared" si="26"/>
        <v>62.83324304853457</v>
      </c>
      <c r="AX24" s="6">
        <f t="shared" si="26"/>
        <v>61.890744402806547</v>
      </c>
      <c r="AY24" s="6">
        <f t="shared" si="26"/>
        <v>60.962383236764445</v>
      </c>
      <c r="AZ24" s="6">
        <f t="shared" si="26"/>
        <v>60.047947488212976</v>
      </c>
      <c r="BA24" s="6">
        <f t="shared" si="26"/>
        <v>59.14722827588978</v>
      </c>
      <c r="BB24" s="6">
        <f t="shared" si="26"/>
        <v>58.26001985175143</v>
      </c>
      <c r="BC24" s="6">
        <f t="shared" si="26"/>
        <v>57.386119553975156</v>
      </c>
      <c r="BD24" s="6">
        <f t="shared" si="26"/>
        <v>56.525327760665526</v>
      </c>
      <c r="BE24" s="6">
        <f t="shared" si="26"/>
        <v>55.677447844255539</v>
      </c>
      <c r="BF24" s="6">
        <f t="shared" si="26"/>
        <v>54.842286126591702</v>
      </c>
      <c r="BG24" s="6">
        <f t="shared" si="26"/>
        <v>54.019651834692823</v>
      </c>
      <c r="BH24" s="6">
        <f t="shared" si="26"/>
        <v>53.209357057172433</v>
      </c>
      <c r="BI24" s="6">
        <f t="shared" si="26"/>
        <v>52.411216701314842</v>
      </c>
      <c r="BJ24" s="6">
        <f t="shared" si="26"/>
        <v>51.62504845079512</v>
      </c>
      <c r="BK24" s="6">
        <f t="shared" si="26"/>
        <v>50.850672724033195</v>
      </c>
      <c r="BL24" s="6">
        <f t="shared" si="26"/>
        <v>50.087912633172699</v>
      </c>
      <c r="BM24" s="6">
        <f t="shared" si="26"/>
        <v>49.336593943675105</v>
      </c>
      <c r="BN24" s="6">
        <f t="shared" si="26"/>
        <v>48.596545034519977</v>
      </c>
      <c r="BO24" s="6">
        <f t="shared" si="26"/>
        <v>47.867596859002177</v>
      </c>
      <c r="BP24" s="6">
        <f t="shared" si="26"/>
        <v>47.149582906117146</v>
      </c>
      <c r="BQ24" s="6">
        <f t="shared" si="26"/>
        <v>46.442339162525386</v>
      </c>
      <c r="BR24" s="6">
        <f t="shared" si="26"/>
        <v>45.745704075087502</v>
      </c>
      <c r="BS24" s="6">
        <f t="shared" si="26"/>
        <v>45.059518513961187</v>
      </c>
      <c r="BT24" s="6">
        <f t="shared" si="26"/>
        <v>44.383625736251766</v>
      </c>
      <c r="BU24" s="6">
        <f t="shared" si="26"/>
        <v>43.717871350207986</v>
      </c>
      <c r="BV24" s="6">
        <f t="shared" si="26"/>
        <v>43.062103279954869</v>
      </c>
      <c r="BW24" s="6">
        <f t="shared" si="26"/>
        <v>42.416171730755543</v>
      </c>
      <c r="BX24" s="6">
        <f t="shared" si="26"/>
        <v>41.77992915479421</v>
      </c>
      <c r="BY24" s="6">
        <f t="shared" si="26"/>
        <v>41.153230217472299</v>
      </c>
      <c r="BZ24" s="6">
        <f t="shared" si="26"/>
        <v>40.535931764210211</v>
      </c>
      <c r="CA24" s="6">
        <f t="shared" si="26"/>
        <v>39.927892787747055</v>
      </c>
      <c r="CB24" s="6">
        <f t="shared" si="26"/>
        <v>39.32897439593085</v>
      </c>
      <c r="CC24" s="6">
        <f t="shared" si="26"/>
        <v>38.739039779991884</v>
      </c>
      <c r="CD24" s="6">
        <f t="shared" si="26"/>
        <v>38.157954183292006</v>
      </c>
      <c r="CE24" s="6">
        <f t="shared" si="26"/>
        <v>37.585584870542625</v>
      </c>
      <c r="CF24" s="6">
        <f t="shared" si="26"/>
        <v>37.021801097484484</v>
      </c>
      <c r="CG24" s="6">
        <f t="shared" si="26"/>
        <v>36.46647408102222</v>
      </c>
      <c r="CH24" s="6">
        <f t="shared" si="26"/>
        <v>35.919476969806887</v>
      </c>
      <c r="CI24" s="6">
        <f t="shared" si="26"/>
        <v>35.380684815259784</v>
      </c>
      <c r="CJ24" s="6">
        <f t="shared" si="26"/>
        <v>34.849974543030889</v>
      </c>
      <c r="CK24" s="6">
        <f t="shared" si="26"/>
        <v>34.327224924885428</v>
      </c>
      <c r="CL24" s="6">
        <f t="shared" si="26"/>
        <v>33.812316551012145</v>
      </c>
      <c r="CM24" s="6">
        <f t="shared" si="26"/>
        <v>33.305131802746963</v>
      </c>
      <c r="CN24" s="6">
        <f t="shared" si="26"/>
        <v>32.805554825705755</v>
      </c>
      <c r="CO24" s="6">
        <f t="shared" si="26"/>
        <v>32.313471503320166</v>
      </c>
      <c r="CP24" s="6">
        <f t="shared" si="26"/>
        <v>31.828769430770365</v>
      </c>
      <c r="CQ24" s="6">
        <f t="shared" si="26"/>
        <v>31.351337889308809</v>
      </c>
      <c r="CR24" s="6">
        <f t="shared" si="26"/>
        <v>30.881067820969175</v>
      </c>
      <c r="CS24" s="6">
        <f t="shared" si="26"/>
        <v>30.417851803654639</v>
      </c>
      <c r="CT24" s="6">
        <f t="shared" ref="CT24:DD24" si="27">CS24*(1+$AJ$44)</f>
        <v>29.961584026599819</v>
      </c>
      <c r="CU24" s="6">
        <f t="shared" si="27"/>
        <v>29.512160266200823</v>
      </c>
      <c r="CV24" s="6">
        <f t="shared" si="27"/>
        <v>29.069477862207812</v>
      </c>
      <c r="CW24" s="6">
        <f t="shared" si="27"/>
        <v>28.633435694274695</v>
      </c>
      <c r="CX24" s="6">
        <f t="shared" si="27"/>
        <v>28.203934158860573</v>
      </c>
      <c r="CY24" s="6">
        <f t="shared" si="27"/>
        <v>27.780875146477666</v>
      </c>
      <c r="CZ24" s="6">
        <f t="shared" si="27"/>
        <v>27.364162019280499</v>
      </c>
      <c r="DA24" s="6">
        <f t="shared" si="27"/>
        <v>26.953699588991292</v>
      </c>
      <c r="DB24" s="6">
        <f t="shared" si="27"/>
        <v>26.549394095156423</v>
      </c>
      <c r="DC24" s="6">
        <f t="shared" si="27"/>
        <v>26.151153183729075</v>
      </c>
      <c r="DD24" s="6">
        <f t="shared" si="27"/>
        <v>25.75888588597314</v>
      </c>
      <c r="DE24" s="6"/>
    </row>
    <row r="25" spans="1:109" s="2" customFormat="1" x14ac:dyDescent="0.25">
      <c r="A25" s="6"/>
      <c r="B25" s="2" t="s">
        <v>1</v>
      </c>
      <c r="E25" s="2">
        <v>33.695</v>
      </c>
      <c r="F25" s="2">
        <v>33.695</v>
      </c>
      <c r="G25" s="2">
        <v>33.176000000000002</v>
      </c>
      <c r="H25" s="2">
        <v>33.491</v>
      </c>
      <c r="I25" s="2">
        <v>33.371899999999997</v>
      </c>
      <c r="J25" s="2">
        <v>33.371899999999997</v>
      </c>
      <c r="K25" s="2">
        <v>32.970999999999997</v>
      </c>
      <c r="L25" s="2">
        <v>32.561</v>
      </c>
      <c r="M25" s="2">
        <v>32.561</v>
      </c>
      <c r="P25" s="8"/>
      <c r="Q25" s="2">
        <v>31.402000000000001</v>
      </c>
      <c r="R25" s="2">
        <v>32.094999999999999</v>
      </c>
      <c r="S25" s="2">
        <v>33.06</v>
      </c>
      <c r="T25" s="2">
        <v>33.612000000000002</v>
      </c>
      <c r="U25" s="2">
        <v>33.332999999999998</v>
      </c>
    </row>
    <row r="26" spans="1:109" x14ac:dyDescent="0.25">
      <c r="A26" s="9"/>
      <c r="B26" s="10" t="s">
        <v>29</v>
      </c>
      <c r="C26" s="9"/>
      <c r="D26" s="9"/>
      <c r="E26" s="9">
        <f t="shared" ref="E26:M26" si="28">+E24/E25</f>
        <v>7.8943463421873548E-3</v>
      </c>
      <c r="F26" s="9">
        <f t="shared" si="28"/>
        <v>0.16563288321709488</v>
      </c>
      <c r="G26" s="9">
        <f t="shared" si="28"/>
        <v>0.13368097419821554</v>
      </c>
      <c r="H26" s="9">
        <f t="shared" si="28"/>
        <v>0.15747514257561712</v>
      </c>
      <c r="I26" s="9">
        <f t="shared" si="28"/>
        <v>0.25245790620252356</v>
      </c>
      <c r="J26" s="9">
        <f t="shared" si="28"/>
        <v>0.97207530886764015</v>
      </c>
      <c r="K26" s="9">
        <f t="shared" si="28"/>
        <v>0.11194686239422535</v>
      </c>
      <c r="L26" s="9">
        <f t="shared" si="28"/>
        <v>0.37007462915758105</v>
      </c>
      <c r="M26" s="9">
        <f t="shared" si="28"/>
        <v>0.50456067074107069</v>
      </c>
      <c r="N26" s="9"/>
      <c r="O26" s="9"/>
      <c r="P26" s="11"/>
      <c r="Q26" s="9">
        <f>+Q24/Q25</f>
        <v>-1.2491879498121135</v>
      </c>
      <c r="R26" s="9">
        <f>+R24/R25</f>
        <v>-0.36298488861193329</v>
      </c>
      <c r="S26" s="9">
        <f>+S24/S25</f>
        <v>-0.57332123411978297</v>
      </c>
      <c r="T26" s="9">
        <f>+T24/T25</f>
        <v>-0.1074318695703909</v>
      </c>
      <c r="U26" s="9">
        <f>+U24/U25</f>
        <v>1.5172351723517234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109" x14ac:dyDescent="0.25">
      <c r="A27" s="2"/>
      <c r="B27" s="2"/>
      <c r="C27" s="12"/>
      <c r="D27" s="12"/>
      <c r="E27" s="12"/>
      <c r="F27" s="12"/>
      <c r="G27" s="12"/>
      <c r="H27" s="12"/>
      <c r="I27" s="12"/>
      <c r="J27" s="12"/>
      <c r="L27" s="12"/>
      <c r="M27" s="12"/>
      <c r="N27" s="12"/>
      <c r="O27" s="12"/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109" s="2" customFormat="1" x14ac:dyDescent="0.25">
      <c r="B28" s="2" t="s">
        <v>3</v>
      </c>
      <c r="I28" s="2">
        <v>112.666</v>
      </c>
      <c r="J28" s="2">
        <v>106.33499999999999</v>
      </c>
      <c r="K28" s="2">
        <v>91.320999999999998</v>
      </c>
      <c r="L28" s="2">
        <v>84.263999999999996</v>
      </c>
      <c r="M28" s="2">
        <v>88.28</v>
      </c>
      <c r="P28" s="4"/>
      <c r="R28" s="2">
        <f>58.5+20</f>
        <v>78.5</v>
      </c>
      <c r="S28" s="2">
        <f>36.5+30</f>
        <v>66.5</v>
      </c>
      <c r="T28" s="2">
        <v>76</v>
      </c>
      <c r="U28" s="2">
        <v>106.33499999999999</v>
      </c>
    </row>
    <row r="29" spans="1:109" s="2" customFormat="1" x14ac:dyDescent="0.25">
      <c r="B29" s="2" t="s">
        <v>30</v>
      </c>
      <c r="I29" s="2">
        <v>13.8</v>
      </c>
      <c r="J29" s="2">
        <v>12.5</v>
      </c>
      <c r="K29" s="2">
        <v>13.225</v>
      </c>
      <c r="L29" s="2">
        <v>13.08</v>
      </c>
      <c r="M29" s="2">
        <v>14.355</v>
      </c>
      <c r="P29" s="4"/>
      <c r="R29" s="2">
        <v>10.122</v>
      </c>
      <c r="S29" s="2">
        <v>5.8</v>
      </c>
      <c r="T29" s="2">
        <v>5.6</v>
      </c>
      <c r="U29" s="2">
        <v>12.5</v>
      </c>
    </row>
    <row r="30" spans="1:109" s="2" customFormat="1" x14ac:dyDescent="0.25">
      <c r="B30" s="2" t="s">
        <v>31</v>
      </c>
      <c r="I30" s="2">
        <v>17</v>
      </c>
      <c r="J30" s="2">
        <v>17.600000000000001</v>
      </c>
      <c r="K30" s="2">
        <v>18.16</v>
      </c>
      <c r="L30" s="2">
        <v>18.239999999999998</v>
      </c>
      <c r="M30" s="2">
        <v>19.024999999999999</v>
      </c>
      <c r="P30" s="4"/>
      <c r="R30" s="2">
        <v>7.8</v>
      </c>
      <c r="S30" s="2">
        <v>18.844999999999999</v>
      </c>
      <c r="T30" s="2">
        <v>17.84</v>
      </c>
      <c r="U30" s="2">
        <v>17.600000000000001</v>
      </c>
    </row>
    <row r="31" spans="1:109" s="2" customFormat="1" x14ac:dyDescent="0.25">
      <c r="B31" s="2" t="s">
        <v>4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P31" s="4"/>
      <c r="R31" s="2">
        <v>0</v>
      </c>
      <c r="S31" s="2">
        <v>0</v>
      </c>
      <c r="T31" s="2">
        <v>0</v>
      </c>
      <c r="U31" s="2">
        <v>0</v>
      </c>
    </row>
    <row r="32" spans="1:109" s="2" customFormat="1" x14ac:dyDescent="0.25">
      <c r="B32" s="6" t="s">
        <v>32</v>
      </c>
      <c r="I32" s="2">
        <f>I28-I31</f>
        <v>112.666</v>
      </c>
      <c r="J32" s="2">
        <f t="shared" ref="J32:M32" si="29">J28-J31</f>
        <v>106.33499999999999</v>
      </c>
      <c r="K32" s="2">
        <f t="shared" si="29"/>
        <v>91.320999999999998</v>
      </c>
      <c r="L32" s="2">
        <f t="shared" si="29"/>
        <v>84.263999999999996</v>
      </c>
      <c r="M32" s="2">
        <f t="shared" si="29"/>
        <v>88.28</v>
      </c>
      <c r="P32" s="4"/>
      <c r="R32" s="2">
        <f t="shared" ref="R32:U32" si="30">R28-R31</f>
        <v>78.5</v>
      </c>
      <c r="S32" s="2">
        <f t="shared" si="30"/>
        <v>66.5</v>
      </c>
      <c r="T32" s="2">
        <f t="shared" si="30"/>
        <v>76</v>
      </c>
      <c r="U32" s="2">
        <f t="shared" si="30"/>
        <v>106.33499999999999</v>
      </c>
      <c r="V32" s="2">
        <f>U32+V24</f>
        <v>127.02305830000002</v>
      </c>
      <c r="W32" s="2">
        <f t="shared" ref="W32:AF32" si="31">V32+W24</f>
        <v>137.81253571053</v>
      </c>
      <c r="X32" s="2">
        <f t="shared" si="31"/>
        <v>131.5437112696558</v>
      </c>
      <c r="Y32" s="2">
        <f t="shared" si="31"/>
        <v>139.71869111510324</v>
      </c>
      <c r="Z32" s="2">
        <f t="shared" si="31"/>
        <v>154.47520217155827</v>
      </c>
      <c r="AA32" s="2">
        <f t="shared" si="31"/>
        <v>182.21246501064741</v>
      </c>
      <c r="AB32" s="2">
        <f t="shared" si="31"/>
        <v>216.86695794512701</v>
      </c>
      <c r="AC32" s="2">
        <f t="shared" si="31"/>
        <v>262.41198688254428</v>
      </c>
      <c r="AD32" s="2">
        <f t="shared" si="31"/>
        <v>320.36356270928059</v>
      </c>
      <c r="AE32" s="2">
        <f t="shared" si="31"/>
        <v>392.4118791187114</v>
      </c>
      <c r="AF32" s="2">
        <f t="shared" si="31"/>
        <v>473.65256051266215</v>
      </c>
    </row>
    <row r="33" spans="1:37" x14ac:dyDescent="0.25">
      <c r="A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s="16" customFormat="1" x14ac:dyDescent="0.25">
      <c r="B34" s="2" t="s">
        <v>58</v>
      </c>
      <c r="E34" s="16">
        <f t="shared" ref="E34:L34" si="32">E4/E3</f>
        <v>0.93023255813953487</v>
      </c>
      <c r="F34" s="16">
        <f t="shared" si="32"/>
        <v>0.94681045512703366</v>
      </c>
      <c r="G34" s="16">
        <f t="shared" si="32"/>
        <v>0.94444444444444431</v>
      </c>
      <c r="H34" s="16">
        <f t="shared" si="32"/>
        <v>0.94585232452142198</v>
      </c>
      <c r="I34" s="16">
        <f t="shared" si="32"/>
        <v>0.95272206303724927</v>
      </c>
      <c r="J34" s="16">
        <f t="shared" si="32"/>
        <v>0.94587002733070147</v>
      </c>
      <c r="K34" s="16">
        <f t="shared" si="32"/>
        <v>0.95135908440629469</v>
      </c>
      <c r="L34" s="16">
        <f t="shared" si="32"/>
        <v>0.95130160038464184</v>
      </c>
      <c r="M34" s="16">
        <f t="shared" ref="M34" si="33">M4/M3</f>
        <v>0.95180722891566261</v>
      </c>
      <c r="P34" s="17"/>
      <c r="Q34" s="16">
        <f t="shared" ref="Q34:T34" si="34">Q4/Q3</f>
        <v>0.93680297397769519</v>
      </c>
      <c r="R34" s="16">
        <f t="shared" si="34"/>
        <v>0.92682119205298008</v>
      </c>
      <c r="S34" s="16">
        <f t="shared" si="34"/>
        <v>0.92401215805471126</v>
      </c>
      <c r="T34" s="16">
        <f t="shared" si="34"/>
        <v>0.93658536585365859</v>
      </c>
      <c r="U34" s="16">
        <f>U4/U3</f>
        <v>0.94758064516129026</v>
      </c>
      <c r="V34" s="16">
        <v>0.95</v>
      </c>
      <c r="W34" s="16">
        <v>0.94</v>
      </c>
      <c r="X34" s="16">
        <v>0.93</v>
      </c>
      <c r="Y34" s="16">
        <v>0.93</v>
      </c>
      <c r="Z34" s="16">
        <v>0.93</v>
      </c>
      <c r="AA34" s="16">
        <v>0.93</v>
      </c>
      <c r="AB34" s="16">
        <v>0.93</v>
      </c>
      <c r="AC34" s="16">
        <v>0.93</v>
      </c>
      <c r="AD34" s="16">
        <v>0.93</v>
      </c>
      <c r="AE34" s="16">
        <v>0.93</v>
      </c>
      <c r="AF34" s="16">
        <v>0.93</v>
      </c>
    </row>
    <row r="35" spans="1:37" s="16" customFormat="1" x14ac:dyDescent="0.25">
      <c r="B35" s="2" t="s">
        <v>59</v>
      </c>
      <c r="E35" s="16">
        <f t="shared" ref="E35:L35" si="35">E6/E5</f>
        <v>0.35827123695976154</v>
      </c>
      <c r="F35" s="16">
        <f t="shared" si="35"/>
        <v>0.42857142857142855</v>
      </c>
      <c r="G35" s="16">
        <f t="shared" si="35"/>
        <v>0.41833810888252149</v>
      </c>
      <c r="H35" s="16">
        <f t="shared" si="35"/>
        <v>0.40664961636828645</v>
      </c>
      <c r="I35" s="16">
        <f t="shared" si="35"/>
        <v>0.40362811791383219</v>
      </c>
      <c r="J35" s="16">
        <f t="shared" si="35"/>
        <v>0.39803439803439788</v>
      </c>
      <c r="K35" s="16">
        <f t="shared" si="35"/>
        <v>0.36950904392764855</v>
      </c>
      <c r="L35" s="16">
        <f t="shared" si="35"/>
        <v>0.39693926351028219</v>
      </c>
      <c r="M35" s="16">
        <f t="shared" ref="M35" si="36">M6/M5</f>
        <v>0.375</v>
      </c>
      <c r="P35" s="17"/>
      <c r="Q35" s="16">
        <f t="shared" ref="Q35:U35" si="37">Q6/Q5</f>
        <v>0.31578947368421051</v>
      </c>
      <c r="R35" s="16">
        <f t="shared" si="37"/>
        <v>0.3235294117647059</v>
      </c>
      <c r="S35" s="16">
        <f t="shared" si="37"/>
        <v>0.35323644933228593</v>
      </c>
      <c r="T35" s="16">
        <f t="shared" si="37"/>
        <v>0.36424908424908425</v>
      </c>
      <c r="U35" s="16">
        <f t="shared" si="37"/>
        <v>0.40617128463476065</v>
      </c>
      <c r="V35" s="16">
        <v>0.39</v>
      </c>
      <c r="W35" s="16">
        <v>0.37</v>
      </c>
      <c r="X35" s="16">
        <v>0.35</v>
      </c>
      <c r="Y35" s="16">
        <v>0.33</v>
      </c>
      <c r="Z35" s="16">
        <v>0.32</v>
      </c>
      <c r="AA35" s="16">
        <v>0.32</v>
      </c>
      <c r="AB35" s="16">
        <v>0.32</v>
      </c>
      <c r="AC35" s="16">
        <v>0.32</v>
      </c>
      <c r="AD35" s="16">
        <v>0.32</v>
      </c>
      <c r="AE35" s="16">
        <v>0.32</v>
      </c>
      <c r="AF35" s="16">
        <v>0.32</v>
      </c>
    </row>
    <row r="36" spans="1:37" s="16" customFormat="1" x14ac:dyDescent="0.25">
      <c r="B36" s="2" t="s">
        <v>60</v>
      </c>
      <c r="E36" s="16">
        <f t="shared" ref="E36:L36" si="38">E8/E7</f>
        <v>0.92464678178963888</v>
      </c>
      <c r="F36" s="16">
        <f t="shared" si="38"/>
        <v>0.74650306748466266</v>
      </c>
      <c r="G36" s="16">
        <f t="shared" si="38"/>
        <v>0.80481012658227835</v>
      </c>
      <c r="H36" s="16">
        <f t="shared" si="38"/>
        <v>0.73684210526315785</v>
      </c>
      <c r="I36" s="16">
        <f t="shared" si="38"/>
        <v>0.83529411764705874</v>
      </c>
      <c r="J36" s="16">
        <f t="shared" si="38"/>
        <v>0.64540145985401476</v>
      </c>
      <c r="K36" s="16">
        <f t="shared" si="38"/>
        <v>0.7767857142857143</v>
      </c>
      <c r="L36" s="16">
        <f t="shared" si="38"/>
        <v>0.67630700778642938</v>
      </c>
      <c r="M36" s="16">
        <f t="shared" ref="M36" si="39">M8/M7</f>
        <v>0.80769230769230771</v>
      </c>
      <c r="P36" s="17"/>
      <c r="Q36" s="16">
        <f t="shared" ref="Q36:U36" si="40">Q8/Q7</f>
        <v>0.4955203308063405</v>
      </c>
      <c r="R36" s="16">
        <f t="shared" si="40"/>
        <v>0.55568181818181817</v>
      </c>
      <c r="S36" s="16">
        <f t="shared" si="40"/>
        <v>0.54318936877076418</v>
      </c>
      <c r="T36" s="16">
        <f t="shared" si="40"/>
        <v>0.76996610169491519</v>
      </c>
      <c r="U36" s="16">
        <f t="shared" si="40"/>
        <v>0.73989898989898994</v>
      </c>
      <c r="V36" s="16">
        <v>0.71</v>
      </c>
      <c r="W36" s="16">
        <v>0.68</v>
      </c>
      <c r="X36" s="16">
        <v>0.65</v>
      </c>
      <c r="Y36" s="16">
        <v>0.62</v>
      </c>
      <c r="Z36" s="16">
        <v>0.59</v>
      </c>
      <c r="AA36" s="16">
        <v>0.56000000000000005</v>
      </c>
      <c r="AB36" s="16">
        <v>0.53</v>
      </c>
      <c r="AC36" s="16">
        <v>0.53</v>
      </c>
      <c r="AD36" s="16">
        <v>0.53</v>
      </c>
      <c r="AE36" s="16">
        <v>0.53</v>
      </c>
      <c r="AF36" s="16">
        <v>0.53</v>
      </c>
    </row>
    <row r="37" spans="1:37" s="16" customFormat="1" x14ac:dyDescent="0.25">
      <c r="B37" s="2" t="s">
        <v>61</v>
      </c>
      <c r="E37" s="16">
        <f t="shared" ref="E37:L37" si="41">E10/E9</f>
        <v>0.94350282485875703</v>
      </c>
      <c r="F37" s="16">
        <f t="shared" si="41"/>
        <v>0.93582887700534756</v>
      </c>
      <c r="G37" s="16">
        <f t="shared" si="41"/>
        <v>0.94312796208530814</v>
      </c>
      <c r="H37" s="16">
        <f t="shared" si="41"/>
        <v>0.9375</v>
      </c>
      <c r="I37" s="16">
        <f t="shared" si="41"/>
        <v>0.94262295081967207</v>
      </c>
      <c r="J37" s="16">
        <f t="shared" si="41"/>
        <v>0.9288256227758005</v>
      </c>
      <c r="K37" s="16">
        <f t="shared" si="41"/>
        <v>0.9434628975265017</v>
      </c>
      <c r="L37" s="16">
        <f t="shared" si="41"/>
        <v>0.94827586206896552</v>
      </c>
      <c r="M37" s="16">
        <f t="shared" ref="M37" si="42">M10/M9</f>
        <v>0.96774193548387089</v>
      </c>
      <c r="P37" s="17"/>
      <c r="R37" s="16">
        <f>R10/R9</f>
        <v>0.76923076923076916</v>
      </c>
      <c r="S37" s="16">
        <f>S10/S9</f>
        <v>0.92857142857142871</v>
      </c>
      <c r="T37" s="16">
        <f>T10/T9</f>
        <v>0.94444444444444442</v>
      </c>
      <c r="U37" s="16">
        <f>U10/U9</f>
        <v>0.9375</v>
      </c>
      <c r="V37" s="16">
        <v>0.94</v>
      </c>
      <c r="W37" s="16">
        <v>0.94</v>
      </c>
      <c r="X37" s="16">
        <v>0.94</v>
      </c>
      <c r="Y37" s="16">
        <v>0.94</v>
      </c>
      <c r="Z37" s="16">
        <v>0.94</v>
      </c>
      <c r="AA37" s="16">
        <v>0.94</v>
      </c>
      <c r="AB37" s="16">
        <v>0.94</v>
      </c>
      <c r="AC37" s="16">
        <v>0.94</v>
      </c>
      <c r="AD37" s="16">
        <v>0.94</v>
      </c>
      <c r="AE37" s="16">
        <v>0.94</v>
      </c>
      <c r="AF37" s="16">
        <v>0.94</v>
      </c>
    </row>
    <row r="38" spans="1:37" s="16" customFormat="1" x14ac:dyDescent="0.25">
      <c r="B38" s="2" t="s">
        <v>62</v>
      </c>
      <c r="P38" s="17"/>
      <c r="Q38" s="16">
        <f>Q12/Q11</f>
        <v>-0.88666666666666671</v>
      </c>
      <c r="R38" s="16">
        <f>R12/R11</f>
        <v>-0.17837837837837839</v>
      </c>
      <c r="S38" s="16">
        <f>S12/S11</f>
        <v>0.12149532710280374</v>
      </c>
      <c r="T38" s="16">
        <f>T12/T11</f>
        <v>0.89473684210526305</v>
      </c>
      <c r="U38" s="16">
        <f>U12/U11</f>
        <v>1</v>
      </c>
    </row>
    <row r="39" spans="1:37" x14ac:dyDescent="0.25">
      <c r="A39" s="14"/>
      <c r="B39" s="14" t="s">
        <v>33</v>
      </c>
      <c r="C39" s="14"/>
      <c r="D39" s="14"/>
      <c r="E39" s="14">
        <f t="shared" ref="E39:L39" si="43">E15/E13</f>
        <v>0.52851934118435939</v>
      </c>
      <c r="F39" s="14">
        <f t="shared" si="43"/>
        <v>0.59367004812767254</v>
      </c>
      <c r="G39" s="14">
        <f t="shared" si="43"/>
        <v>0.59461883408071747</v>
      </c>
      <c r="H39" s="14">
        <f t="shared" si="43"/>
        <v>0.57305825242718433</v>
      </c>
      <c r="I39" s="14">
        <f t="shared" si="43"/>
        <v>0.59029572207866776</v>
      </c>
      <c r="J39" s="14">
        <f t="shared" si="43"/>
        <v>0.57096953066128298</v>
      </c>
      <c r="K39" s="14">
        <f t="shared" si="43"/>
        <v>0.58380809595202388</v>
      </c>
      <c r="L39" s="14">
        <f t="shared" si="43"/>
        <v>0.57540263543191794</v>
      </c>
      <c r="M39" s="14">
        <f t="shared" ref="M39" si="44">M15/M13</f>
        <v>0.58592162138951709</v>
      </c>
      <c r="N39" s="14"/>
      <c r="O39" s="14"/>
      <c r="P39" s="15"/>
      <c r="Q39" s="14">
        <f t="shared" ref="Q39:T39" si="45">Q15/Q13</f>
        <v>0.53249259259259263</v>
      </c>
      <c r="R39" s="14">
        <f t="shared" si="45"/>
        <v>0.55421955021153413</v>
      </c>
      <c r="S39" s="14">
        <f t="shared" si="45"/>
        <v>0.54952567703640887</v>
      </c>
      <c r="T39" s="14">
        <f t="shared" si="45"/>
        <v>0.53385159971448415</v>
      </c>
      <c r="U39" s="14">
        <f>U15/U13</f>
        <v>0.5818174052488323</v>
      </c>
      <c r="V39" s="14">
        <f>V15/V13</f>
        <v>0.57053391273059417</v>
      </c>
      <c r="W39" s="14">
        <f t="shared" ref="W39:AF39" si="46">W15/W13</f>
        <v>0.55861696264508698</v>
      </c>
      <c r="X39" s="14">
        <f t="shared" si="46"/>
        <v>0.54011757699196761</v>
      </c>
      <c r="Y39" s="14">
        <f t="shared" si="46"/>
        <v>0.52365494087103959</v>
      </c>
      <c r="Z39" s="14">
        <f t="shared" si="46"/>
        <v>0.51580741123568341</v>
      </c>
      <c r="AA39" s="14">
        <f t="shared" si="46"/>
        <v>0.5129133985449027</v>
      </c>
      <c r="AB39" s="14">
        <f t="shared" si="46"/>
        <v>0.50771612743829997</v>
      </c>
      <c r="AC39" s="14">
        <f t="shared" si="46"/>
        <v>0.51012860022567863</v>
      </c>
      <c r="AD39" s="14">
        <f t="shared" si="46"/>
        <v>0.51260524887016889</v>
      </c>
      <c r="AE39" s="14">
        <f t="shared" si="46"/>
        <v>0.51514561156445215</v>
      </c>
      <c r="AF39" s="14">
        <f t="shared" si="46"/>
        <v>0.51585898580096579</v>
      </c>
      <c r="AG39" s="14"/>
      <c r="AH39" s="14"/>
      <c r="AI39" s="14"/>
      <c r="AJ39" s="14"/>
      <c r="AK39" s="14"/>
    </row>
    <row r="40" spans="1:37" x14ac:dyDescent="0.25">
      <c r="A40" s="16"/>
      <c r="B40" s="16" t="s">
        <v>34</v>
      </c>
      <c r="C40" s="16"/>
      <c r="D40" s="16"/>
      <c r="E40" s="16">
        <f t="shared" ref="E40:L40" si="47">E20/E13</f>
        <v>4.6309878043670196E-3</v>
      </c>
      <c r="F40" s="16">
        <f t="shared" si="47"/>
        <v>9.8223391122323242E-2</v>
      </c>
      <c r="G40" s="16">
        <f t="shared" si="47"/>
        <v>8.1614349775784731E-2</v>
      </c>
      <c r="H40" s="16">
        <f t="shared" si="47"/>
        <v>9.1343042071197311E-2</v>
      </c>
      <c r="I40" s="16">
        <f t="shared" si="47"/>
        <v>0.12351421188630485</v>
      </c>
      <c r="J40" s="16">
        <f t="shared" si="47"/>
        <v>0.11907639372698446</v>
      </c>
      <c r="K40" s="16">
        <f t="shared" si="47"/>
        <v>6.8545727136431839E-2</v>
      </c>
      <c r="L40" s="16">
        <f t="shared" si="47"/>
        <v>0.19121522693997067</v>
      </c>
      <c r="M40" s="16">
        <f t="shared" ref="M40" si="48">M20/M13</f>
        <v>0.26788423553659862</v>
      </c>
      <c r="N40" s="16"/>
      <c r="O40" s="16"/>
      <c r="P40" s="17"/>
      <c r="Q40" s="16">
        <f t="shared" ref="Q40:T40" si="49">Q20/Q13</f>
        <v>-0.14917407407407404</v>
      </c>
      <c r="R40" s="16">
        <f t="shared" si="49"/>
        <v>-9.6860387441549775E-2</v>
      </c>
      <c r="S40" s="16">
        <f t="shared" si="49"/>
        <v>-8.480399950536166E-2</v>
      </c>
      <c r="T40" s="16">
        <f t="shared" si="49"/>
        <v>-1.8136086198608251E-2</v>
      </c>
      <c r="U40" s="16">
        <f>U20/U13</f>
        <v>0.10551247752802444</v>
      </c>
      <c r="V40" s="16">
        <f t="shared" ref="V40:AF40" si="50">V20/V13</f>
        <v>7.497605834567328E-2</v>
      </c>
      <c r="W40" s="16">
        <f t="shared" si="50"/>
        <v>3.3694351509793517E-2</v>
      </c>
      <c r="X40" s="16">
        <f t="shared" si="50"/>
        <v>-2.9235720567377992E-2</v>
      </c>
      <c r="Y40" s="16">
        <f t="shared" si="50"/>
        <v>2.4986194676388622E-2</v>
      </c>
      <c r="Z40" s="16">
        <f t="shared" si="50"/>
        <v>4.6526345142726432E-2</v>
      </c>
      <c r="AA40" s="16">
        <f t="shared" si="50"/>
        <v>8.4160623926699582E-2</v>
      </c>
      <c r="AB40" s="16">
        <f t="shared" si="50"/>
        <v>9.9082117754138721E-2</v>
      </c>
      <c r="AC40" s="16">
        <f t="shared" si="50"/>
        <v>0.12185932675234645</v>
      </c>
      <c r="AD40" s="16">
        <f t="shared" si="50"/>
        <v>0.14470233286395062</v>
      </c>
      <c r="AE40" s="16">
        <f t="shared" si="50"/>
        <v>0.16761053065108178</v>
      </c>
      <c r="AF40" s="16">
        <f t="shared" si="50"/>
        <v>0.18689130897388442</v>
      </c>
      <c r="AG40" s="16"/>
      <c r="AH40" s="16"/>
      <c r="AI40" s="16"/>
      <c r="AJ40" s="16"/>
      <c r="AK40" s="16"/>
    </row>
    <row r="41" spans="1:37" s="18" customFormat="1" x14ac:dyDescent="0.25">
      <c r="B41" s="18" t="s">
        <v>35</v>
      </c>
      <c r="E41" s="18">
        <f t="shared" ref="E41:L41" si="51">E23/E22</f>
        <v>0.43999999999999728</v>
      </c>
      <c r="F41" s="18">
        <f t="shared" si="51"/>
        <v>1.7602534765006138E-2</v>
      </c>
      <c r="G41" s="18">
        <f t="shared" si="51"/>
        <v>6.3357972544878585E-2</v>
      </c>
      <c r="H41" s="18">
        <f t="shared" si="51"/>
        <v>7.0497003877335304E-2</v>
      </c>
      <c r="I41" s="18">
        <f t="shared" si="51"/>
        <v>4.8452676756268374E-2</v>
      </c>
      <c r="J41" s="18">
        <f t="shared" si="51"/>
        <v>-2.9032607387799301</v>
      </c>
      <c r="K41" s="18">
        <f t="shared" si="51"/>
        <v>0.21518179885179656</v>
      </c>
      <c r="L41" s="18">
        <f t="shared" si="51"/>
        <v>8.085430968726165E-2</v>
      </c>
      <c r="M41" s="18">
        <f t="shared" ref="M41" si="52">M23/M22</f>
        <v>0.11728992048140982</v>
      </c>
      <c r="P41" s="19"/>
      <c r="Q41" s="18">
        <f t="shared" ref="Q41:T41" si="53">Q23/Q22</f>
        <v>1.1341583285026591E-2</v>
      </c>
      <c r="R41" s="18">
        <f t="shared" si="53"/>
        <v>0.44391408114558478</v>
      </c>
      <c r="S41" s="18">
        <f t="shared" si="53"/>
        <v>-6.7590402162892763E-2</v>
      </c>
      <c r="T41" s="18">
        <f t="shared" si="53"/>
        <v>-0.28459622909996651</v>
      </c>
      <c r="U41" s="18">
        <f>U23/U22</f>
        <v>-0.83411909770073267</v>
      </c>
    </row>
    <row r="42" spans="1:37" x14ac:dyDescent="0.25">
      <c r="A42" s="16"/>
      <c r="B42" s="16" t="s">
        <v>36</v>
      </c>
      <c r="C42" s="16"/>
      <c r="D42" s="16"/>
      <c r="E42" s="16"/>
      <c r="F42" s="16"/>
      <c r="G42" s="16"/>
      <c r="H42" s="16"/>
      <c r="I42" s="16">
        <f>I13/I30</f>
        <v>4.0976470588235294</v>
      </c>
      <c r="J42" s="16">
        <f>J13/J30</f>
        <v>3.9961931818181822</v>
      </c>
      <c r="K42" s="16">
        <f>K13/K30</f>
        <v>3.6729074889867843</v>
      </c>
      <c r="L42" s="16">
        <f>L13/L30</f>
        <v>3.7445175438596494</v>
      </c>
      <c r="M42" s="16">
        <f>M13/M30</f>
        <v>3.672325886990802</v>
      </c>
      <c r="N42" s="16"/>
      <c r="O42" s="16"/>
      <c r="P42" s="17"/>
      <c r="Q42" s="16"/>
      <c r="R42" s="16">
        <f t="shared" ref="R42:T42" si="54">R13/R30</f>
        <v>28.788461538461537</v>
      </c>
      <c r="S42" s="16">
        <f t="shared" si="54"/>
        <v>12.015282568320508</v>
      </c>
      <c r="T42" s="16">
        <f t="shared" si="54"/>
        <v>11.543890134529148</v>
      </c>
      <c r="U42" s="16">
        <f>U13/U30</f>
        <v>14.633125</v>
      </c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</row>
    <row r="43" spans="1:37" x14ac:dyDescent="0.25">
      <c r="A43" s="16"/>
      <c r="B43" s="16" t="s">
        <v>37</v>
      </c>
      <c r="C43" s="16"/>
      <c r="D43" s="16"/>
      <c r="E43" s="16">
        <f t="shared" ref="E43:L43" si="55">E16/E13</f>
        <v>0.48436779682326803</v>
      </c>
      <c r="F43" s="16">
        <f t="shared" si="55"/>
        <v>0.46503139928076842</v>
      </c>
      <c r="G43" s="16">
        <f t="shared" si="55"/>
        <v>0.47892376681614346</v>
      </c>
      <c r="H43" s="16">
        <f t="shared" si="55"/>
        <v>0.45145631067961167</v>
      </c>
      <c r="I43" s="16">
        <f t="shared" si="55"/>
        <v>0.42543784094171699</v>
      </c>
      <c r="J43" s="16">
        <f t="shared" si="55"/>
        <v>0.42603045512064064</v>
      </c>
      <c r="K43" s="16">
        <f t="shared" si="55"/>
        <v>0.48125937031484245</v>
      </c>
      <c r="L43" s="16">
        <f t="shared" si="55"/>
        <v>0.47057101024890191</v>
      </c>
      <c r="M43" s="16">
        <f t="shared" ref="M43" si="56">M16/M13</f>
        <v>0.44485157301119282</v>
      </c>
      <c r="N43" s="16"/>
      <c r="O43" s="16"/>
      <c r="P43" s="17"/>
      <c r="Q43" s="16">
        <f t="shared" ref="Q43:T43" si="57">Q16/Q13</f>
        <v>0.64296296296296296</v>
      </c>
      <c r="R43" s="16">
        <f t="shared" si="57"/>
        <v>0.62213315519928747</v>
      </c>
      <c r="S43" s="16">
        <f t="shared" si="57"/>
        <v>0.58906142349886059</v>
      </c>
      <c r="T43" s="16">
        <f t="shared" si="57"/>
        <v>0.51848326964257097</v>
      </c>
      <c r="U43" s="16">
        <f>U16/U13</f>
        <v>0.44342109861265894</v>
      </c>
      <c r="V43" s="16">
        <v>0.47</v>
      </c>
      <c r="W43" s="16">
        <v>0.5</v>
      </c>
      <c r="X43" s="16">
        <v>0.54</v>
      </c>
      <c r="Y43" s="16">
        <v>0.47</v>
      </c>
      <c r="Z43" s="16">
        <v>0.44</v>
      </c>
      <c r="AA43" s="16">
        <v>0.4</v>
      </c>
      <c r="AB43" s="16">
        <v>0.38</v>
      </c>
      <c r="AC43" s="16">
        <v>0.36</v>
      </c>
      <c r="AD43" s="16">
        <v>0.34</v>
      </c>
      <c r="AE43" s="16">
        <v>0.32</v>
      </c>
      <c r="AF43" s="16">
        <v>0.3</v>
      </c>
      <c r="AG43" s="16"/>
      <c r="AH43" s="16"/>
      <c r="AI43" s="16"/>
      <c r="AJ43" s="16"/>
      <c r="AK43" s="16"/>
    </row>
    <row r="44" spans="1:3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 t="s">
        <v>71</v>
      </c>
      <c r="AJ44" s="18">
        <v>-1.4999999999999999E-2</v>
      </c>
      <c r="AK44" s="16"/>
    </row>
    <row r="45" spans="1:37" s="16" customFormat="1" x14ac:dyDescent="0.25">
      <c r="B45" s="2" t="s">
        <v>51</v>
      </c>
      <c r="I45" s="16">
        <f t="shared" ref="I45:K45" si="58">I3/E3-1</f>
        <v>1.4348837209302325</v>
      </c>
      <c r="J45" s="16">
        <f t="shared" si="58"/>
        <v>0.20380186437580017</v>
      </c>
      <c r="K45" s="16">
        <f t="shared" si="58"/>
        <v>0.29444444444444451</v>
      </c>
      <c r="L45" s="16">
        <f>L3/H3-1</f>
        <v>0.32716499544211475</v>
      </c>
      <c r="M45" s="16">
        <f>M3/I3-1</f>
        <v>0.13248737890571705</v>
      </c>
      <c r="P45" s="17"/>
      <c r="R45" s="16">
        <f>R3/Q3-1</f>
        <v>0.12267657992565062</v>
      </c>
      <c r="S45" s="16">
        <f>S3/R3-1</f>
        <v>8.9403973509933676E-2</v>
      </c>
      <c r="T45" s="16">
        <f>T3/S3-1</f>
        <v>-3.0395136778116338E-3</v>
      </c>
      <c r="U45" s="16">
        <f>U3/T3-1</f>
        <v>0.51219512195121975</v>
      </c>
      <c r="V45" s="16">
        <v>0.2</v>
      </c>
      <c r="W45" s="16">
        <v>0.17</v>
      </c>
      <c r="X45" s="16">
        <v>-0.1</v>
      </c>
      <c r="Y45" s="16">
        <v>0.1</v>
      </c>
      <c r="Z45" s="16">
        <v>0.05</v>
      </c>
      <c r="AA45" s="16">
        <v>0.1</v>
      </c>
      <c r="AB45" s="16">
        <v>0.06</v>
      </c>
      <c r="AC45" s="16">
        <v>0.1</v>
      </c>
      <c r="AD45" s="16">
        <v>0.1</v>
      </c>
      <c r="AE45" s="16">
        <v>0.1</v>
      </c>
      <c r="AF45" s="16">
        <v>0</v>
      </c>
      <c r="AI45" s="16" t="s">
        <v>42</v>
      </c>
      <c r="AJ45" s="18">
        <v>0.01</v>
      </c>
    </row>
    <row r="46" spans="1:37" s="16" customFormat="1" x14ac:dyDescent="0.25">
      <c r="B46" s="2" t="s">
        <v>52</v>
      </c>
      <c r="I46" s="16">
        <f t="shared" ref="I46:K46" si="59">I5/E5-1</f>
        <v>0.31445603576751124</v>
      </c>
      <c r="J46" s="16">
        <f t="shared" si="59"/>
        <v>0.16285714285714348</v>
      </c>
      <c r="K46" s="16">
        <f t="shared" si="59"/>
        <v>0.10888252148997157</v>
      </c>
      <c r="L46" s="16">
        <f>L5/H5-1</f>
        <v>6.956521739130439E-2</v>
      </c>
      <c r="M46" s="16">
        <f>M5/I5-1</f>
        <v>-3.8548752834467237E-2</v>
      </c>
      <c r="P46" s="17"/>
      <c r="R46" s="16">
        <f>R5/Q5-1</f>
        <v>7.3684210526315796E-2</v>
      </c>
      <c r="S46" s="16">
        <f>S5/R5-1</f>
        <v>0.24803921568627452</v>
      </c>
      <c r="T46" s="16">
        <f>T5/S5-1</f>
        <v>7.2270227808326704E-2</v>
      </c>
      <c r="U46" s="16">
        <f>U5/T5-1</f>
        <v>0.16336996336996346</v>
      </c>
      <c r="V46" s="16">
        <v>0.12</v>
      </c>
      <c r="W46" s="16">
        <v>7.0000000000000007E-2</v>
      </c>
      <c r="X46" s="16">
        <v>-0.1</v>
      </c>
      <c r="Y46" s="16">
        <v>0.09</v>
      </c>
      <c r="Z46" s="16">
        <v>0.03</v>
      </c>
      <c r="AA46" s="16">
        <v>0.08</v>
      </c>
      <c r="AB46" s="16">
        <v>7.0000000000000007E-2</v>
      </c>
      <c r="AC46" s="16">
        <v>7.0000000000000007E-2</v>
      </c>
      <c r="AD46" s="16">
        <v>7.0000000000000007E-2</v>
      </c>
      <c r="AE46" s="16">
        <v>7.0000000000000007E-2</v>
      </c>
      <c r="AF46" s="16">
        <v>0</v>
      </c>
      <c r="AI46" s="16" t="s">
        <v>43</v>
      </c>
      <c r="AJ46" s="18">
        <v>8.5000000000000006E-2</v>
      </c>
    </row>
    <row r="47" spans="1:37" s="16" customFormat="1" x14ac:dyDescent="0.25">
      <c r="B47" s="2" t="s">
        <v>53</v>
      </c>
      <c r="I47" s="16">
        <f t="shared" ref="I47:K47" si="60">I7/E7-1</f>
        <v>0.33437990580847732</v>
      </c>
      <c r="J47" s="16">
        <f t="shared" si="60"/>
        <v>0.68098159509202505</v>
      </c>
      <c r="K47" s="16">
        <f t="shared" si="60"/>
        <v>0.41772151898734156</v>
      </c>
      <c r="L47" s="16">
        <f>L7/H7-1</f>
        <v>-5.3684210526315779E-2</v>
      </c>
      <c r="M47" s="16">
        <f>M7/I7-1</f>
        <v>-8.2352941176470629E-2</v>
      </c>
      <c r="P47" s="17"/>
      <c r="R47" s="16">
        <f>R7/Q7-1</f>
        <v>-0.3935217091660923</v>
      </c>
      <c r="S47" s="16">
        <f>S7/R7-1</f>
        <v>-0.31590909090909092</v>
      </c>
      <c r="T47" s="16">
        <f>T7/S7-1</f>
        <v>-0.50996677740863783</v>
      </c>
      <c r="U47" s="16">
        <f>U7/T7-1</f>
        <v>0.34237288135593236</v>
      </c>
      <c r="V47" s="16">
        <v>0.05</v>
      </c>
      <c r="W47" s="16">
        <v>0.05</v>
      </c>
      <c r="X47" s="16">
        <v>-0.1</v>
      </c>
      <c r="Y47" s="16">
        <v>0.05</v>
      </c>
      <c r="Z47" s="16">
        <v>0.05</v>
      </c>
      <c r="AA47" s="16">
        <v>0.05</v>
      </c>
      <c r="AB47" s="16">
        <v>0.05</v>
      </c>
      <c r="AC47" s="16">
        <v>0.05</v>
      </c>
      <c r="AD47" s="16">
        <v>0.05</v>
      </c>
      <c r="AE47" s="16">
        <v>0.05</v>
      </c>
      <c r="AF47" s="16">
        <v>0.05</v>
      </c>
      <c r="AI47" s="16" t="s">
        <v>44</v>
      </c>
      <c r="AJ47" s="21">
        <f>NPV(AJ46,W24:DD24)</f>
        <v>541.46267091390234</v>
      </c>
    </row>
    <row r="48" spans="1:37" s="16" customFormat="1" x14ac:dyDescent="0.25">
      <c r="B48" s="2" t="s">
        <v>54</v>
      </c>
      <c r="I48" s="16">
        <f t="shared" ref="I48:K48" si="61">I9/E9-1</f>
        <v>0.37853107344632764</v>
      </c>
      <c r="J48" s="16">
        <f t="shared" si="61"/>
        <v>0.50267379679144386</v>
      </c>
      <c r="K48" s="16">
        <f t="shared" si="61"/>
        <v>0.34123222748815185</v>
      </c>
      <c r="L48" s="16">
        <f>L9/H9-1</f>
        <v>0.29464285714285698</v>
      </c>
      <c r="M48" s="16">
        <f>M9/I9-1</f>
        <v>0.27049180327868849</v>
      </c>
      <c r="P48" s="17"/>
      <c r="S48" s="16">
        <f>S9/R9-1</f>
        <v>7.615384615384615</v>
      </c>
      <c r="T48" s="16">
        <f>T9/S9-1</f>
        <v>0.28571428571428581</v>
      </c>
      <c r="U48" s="16">
        <f>U9/T9-1</f>
        <v>0.33333333333333326</v>
      </c>
      <c r="V48" s="16">
        <v>0.05</v>
      </c>
      <c r="W48" s="16">
        <v>0.05</v>
      </c>
      <c r="X48" s="16">
        <v>-0.1</v>
      </c>
      <c r="Y48" s="16">
        <v>0.05</v>
      </c>
      <c r="Z48" s="16">
        <v>0.05</v>
      </c>
      <c r="AA48" s="16">
        <v>0.05</v>
      </c>
      <c r="AB48" s="16">
        <v>0.05</v>
      </c>
      <c r="AC48" s="16">
        <v>0.05</v>
      </c>
      <c r="AD48" s="16">
        <v>0.05</v>
      </c>
      <c r="AE48" s="16">
        <v>0.05</v>
      </c>
      <c r="AF48" s="16">
        <v>0.05</v>
      </c>
    </row>
    <row r="49" spans="1:37" s="16" customFormat="1" x14ac:dyDescent="0.25">
      <c r="B49" s="2" t="s">
        <v>55</v>
      </c>
      <c r="P49" s="17"/>
      <c r="R49" s="16">
        <f>R11/Q11-1</f>
        <v>0.23333333333333339</v>
      </c>
      <c r="S49" s="16">
        <f>S11/R11-1</f>
        <v>-0.88432432432432428</v>
      </c>
      <c r="T49" s="16">
        <f>T11/S11-1</f>
        <v>-1.1331775700934579</v>
      </c>
      <c r="U49" s="16">
        <f>U11/T11-1</f>
        <v>0</v>
      </c>
    </row>
    <row r="50" spans="1:37" s="5" customFormat="1" x14ac:dyDescent="0.25">
      <c r="A50" s="14"/>
      <c r="B50" s="14" t="s">
        <v>38</v>
      </c>
      <c r="C50" s="14"/>
      <c r="D50" s="14"/>
      <c r="E50" s="14"/>
      <c r="F50" s="14"/>
      <c r="G50" s="14"/>
      <c r="H50" s="14"/>
      <c r="I50" s="14">
        <f t="shared" ref="I50:K50" si="62">I13/E13-1</f>
        <v>0.45970411969322322</v>
      </c>
      <c r="J50" s="14">
        <f t="shared" si="62"/>
        <v>0.258350777378205</v>
      </c>
      <c r="K50" s="14">
        <f t="shared" si="62"/>
        <v>0.19641255605381169</v>
      </c>
      <c r="L50" s="14">
        <f>L13/H13-1</f>
        <v>0.10517799352750812</v>
      </c>
      <c r="M50" s="14">
        <f>M13/I13-1</f>
        <v>2.9572207866781497E-3</v>
      </c>
      <c r="N50" s="14"/>
      <c r="O50" s="14"/>
      <c r="P50" s="15"/>
      <c r="Q50" s="14"/>
      <c r="R50" s="14">
        <f t="shared" ref="R50:T50" si="63">R13/Q13-1</f>
        <v>-0.16833333333333345</v>
      </c>
      <c r="S50" s="14">
        <f t="shared" si="63"/>
        <v>8.3633934535738419E-3</v>
      </c>
      <c r="T50" s="14">
        <f t="shared" si="63"/>
        <v>-9.0470259861854307E-2</v>
      </c>
      <c r="U50" s="14">
        <f>U13/T13-1</f>
        <v>0.25055476515346475</v>
      </c>
      <c r="V50" s="14">
        <f>V13/U13-1</f>
        <v>0.12228249263229829</v>
      </c>
      <c r="W50" s="14">
        <f t="shared" ref="W50:AF50" si="64">W13/V13-1</f>
        <v>8.7017949321192001E-2</v>
      </c>
      <c r="X50" s="14">
        <f t="shared" si="64"/>
        <v>-0.10000000000000009</v>
      </c>
      <c r="Y50" s="14">
        <f t="shared" si="64"/>
        <v>8.5310644617994535E-2</v>
      </c>
      <c r="Z50" s="14">
        <f t="shared" si="64"/>
        <v>3.7833488366039836E-2</v>
      </c>
      <c r="AA50" s="14">
        <f t="shared" si="64"/>
        <v>7.9475997383728902E-2</v>
      </c>
      <c r="AB50" s="14">
        <f t="shared" si="64"/>
        <v>6.4396549120184998E-2</v>
      </c>
      <c r="AC50" s="14">
        <f t="shared" si="64"/>
        <v>7.3676346646956992E-2</v>
      </c>
      <c r="AD50" s="14">
        <f t="shared" si="64"/>
        <v>7.3917502925292311E-2</v>
      </c>
      <c r="AE50" s="14">
        <f t="shared" si="64"/>
        <v>7.4160306978774404E-2</v>
      </c>
      <c r="AF50" s="14">
        <f t="shared" si="64"/>
        <v>7.5777198979962712E-3</v>
      </c>
      <c r="AG50" s="14"/>
      <c r="AH50" s="14"/>
      <c r="AI50" s="14"/>
      <c r="AJ50" s="14"/>
      <c r="AK50" s="14"/>
    </row>
    <row r="51" spans="1:37" x14ac:dyDescent="0.25">
      <c r="A51" s="14"/>
      <c r="B51" s="14" t="s">
        <v>39</v>
      </c>
      <c r="C51" s="14"/>
      <c r="D51" s="14"/>
      <c r="E51" s="14"/>
      <c r="F51" s="14"/>
      <c r="G51" s="14"/>
      <c r="H51" s="14"/>
      <c r="I51" s="14">
        <f t="shared" ref="I51:K51" si="65">I24/E24-1</f>
        <v>30.672932330826704</v>
      </c>
      <c r="J51" s="14">
        <f t="shared" si="65"/>
        <v>4.8125783909693478</v>
      </c>
      <c r="K51" s="14">
        <f t="shared" si="65"/>
        <v>-0.16775648252536535</v>
      </c>
      <c r="L51" s="14">
        <f>L24/H24-1</f>
        <v>1.2847933257489599</v>
      </c>
      <c r="M51" s="14">
        <f>M24/I24-1</f>
        <v>0.95002967359050583</v>
      </c>
      <c r="N51" s="14"/>
      <c r="O51" s="14"/>
      <c r="P51" s="15"/>
      <c r="Q51" s="14"/>
      <c r="R51" s="14">
        <f t="shared" ref="R51:T51" si="66">R24/Q24-1</f>
        <v>-0.70301068141841072</v>
      </c>
      <c r="S51" s="14">
        <f t="shared" si="66"/>
        <v>0.62695278969957324</v>
      </c>
      <c r="T51" s="14">
        <f t="shared" si="66"/>
        <v>-0.80948612430094047</v>
      </c>
      <c r="U51" s="14">
        <f>U24/T24-1</f>
        <v>-15.005538631957986</v>
      </c>
      <c r="V51" s="14">
        <f>V24/U24-1</f>
        <v>-0.59093490133270021</v>
      </c>
      <c r="W51" s="14">
        <f t="shared" ref="W51:AF51" si="67">W24/V24-1</f>
        <v>-0.47846833888079432</v>
      </c>
      <c r="X51" s="14">
        <f t="shared" si="67"/>
        <v>-1.5810127962968952</v>
      </c>
      <c r="Y51" s="14">
        <f t="shared" si="67"/>
        <v>-2.3040690359973475</v>
      </c>
      <c r="Z51" s="14">
        <f t="shared" si="67"/>
        <v>0.8050822553003314</v>
      </c>
      <c r="AA51" s="14">
        <f t="shared" si="67"/>
        <v>0.8796626609753988</v>
      </c>
      <c r="AB51" s="14">
        <f t="shared" si="67"/>
        <v>0.24938401945134503</v>
      </c>
      <c r="AC51" s="14">
        <f t="shared" si="67"/>
        <v>0.31426043438373608</v>
      </c>
      <c r="AD51" s="14">
        <f t="shared" si="67"/>
        <v>0.2724017786083015</v>
      </c>
      <c r="AE51" s="14">
        <f t="shared" si="67"/>
        <v>0.24325034102335663</v>
      </c>
      <c r="AF51" s="14">
        <f t="shared" si="67"/>
        <v>0.12758611779742712</v>
      </c>
      <c r="AG51" s="14"/>
      <c r="AH51" s="14"/>
      <c r="AI51" s="14"/>
      <c r="AJ51" s="14"/>
      <c r="AK51" s="14"/>
    </row>
    <row r="52" spans="1:3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7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</row>
    <row r="53" spans="1:37" x14ac:dyDescent="0.25">
      <c r="A53" s="16"/>
      <c r="B53" s="16" t="s">
        <v>40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/>
      <c r="Q53" s="16"/>
      <c r="R53" s="16"/>
      <c r="S53" s="16">
        <f>S30/R30-1</f>
        <v>1.4160256410256409</v>
      </c>
      <c r="T53" s="16">
        <f>T30/S30-1</f>
        <v>-5.3329795701777649E-2</v>
      </c>
      <c r="U53" s="16">
        <f>U30/T30-1</f>
        <v>-1.3452914798206206E-2</v>
      </c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</row>
    <row r="54" spans="1:37" x14ac:dyDescent="0.25">
      <c r="B54" s="2"/>
    </row>
    <row r="55" spans="1:37" s="18" customFormat="1" x14ac:dyDescent="0.25">
      <c r="B55" s="18" t="s">
        <v>41</v>
      </c>
      <c r="J55" s="18">
        <f>(1+J21/I32)^4-1</f>
        <v>-2.2702674376166021E-3</v>
      </c>
      <c r="K55" s="18">
        <f t="shared" ref="K55:M55" si="68">(1+K21/J32)^4-1</f>
        <v>4.9369362170355036E-3</v>
      </c>
      <c r="L55" s="18">
        <f t="shared" si="68"/>
        <v>2.1918760823995687E-3</v>
      </c>
      <c r="M55" s="18">
        <f t="shared" si="68"/>
        <v>-4.9277328697768796E-3</v>
      </c>
      <c r="P55" s="19"/>
      <c r="S55" s="18">
        <f>S21/R32</f>
        <v>1.8445859872611464E-2</v>
      </c>
      <c r="T55" s="18">
        <f>T21/S32</f>
        <v>1.3894736842105264E-2</v>
      </c>
      <c r="U55" s="18">
        <f>U21/T32</f>
        <v>5.263157894736842E-3</v>
      </c>
      <c r="V55" s="18">
        <f t="shared" ref="V55:AF55" si="69">V21/U32</f>
        <v>0.01</v>
      </c>
      <c r="W55" s="18">
        <f t="shared" si="69"/>
        <v>0.01</v>
      </c>
      <c r="X55" s="18">
        <f t="shared" si="69"/>
        <v>0.01</v>
      </c>
      <c r="Y55" s="18">
        <f t="shared" si="69"/>
        <v>0.01</v>
      </c>
      <c r="Z55" s="18">
        <f t="shared" si="69"/>
        <v>0.01</v>
      </c>
      <c r="AA55" s="18">
        <f t="shared" si="69"/>
        <v>0.01</v>
      </c>
      <c r="AB55" s="18">
        <f t="shared" si="69"/>
        <v>0.01</v>
      </c>
      <c r="AC55" s="18">
        <f t="shared" si="69"/>
        <v>0.01</v>
      </c>
      <c r="AD55" s="18">
        <f t="shared" si="69"/>
        <v>0.01</v>
      </c>
      <c r="AE55" s="18">
        <f t="shared" si="69"/>
        <v>0.01</v>
      </c>
      <c r="AF55" s="18">
        <f t="shared" si="69"/>
        <v>0.01</v>
      </c>
    </row>
    <row r="56" spans="1:37" x14ac:dyDescent="0.25">
      <c r="AH56" s="12"/>
      <c r="AI56" s="18"/>
    </row>
    <row r="57" spans="1:37" x14ac:dyDescent="0.25">
      <c r="AH57" s="16"/>
      <c r="AI57" s="18"/>
    </row>
    <row r="58" spans="1:37" x14ac:dyDescent="0.25">
      <c r="AI58" s="18"/>
    </row>
    <row r="59" spans="1:37" x14ac:dyDescent="0.25">
      <c r="AH59" s="16"/>
      <c r="AI59" s="20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2022-07-25T13:18:17Z</dcterms:created>
  <dcterms:modified xsi:type="dcterms:W3CDTF">2023-02-12T19:13:30Z</dcterms:modified>
</cp:coreProperties>
</file>