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DCF Models\"/>
    </mc:Choice>
  </mc:AlternateContent>
  <xr:revisionPtr revIDLastSave="0" documentId="13_ncr:1_{6A0887E4-5142-47E3-AF80-C5758715D756}" xr6:coauthVersionLast="47" xr6:coauthVersionMax="47" xr10:uidLastSave="{00000000-0000-0000-0000-000000000000}"/>
  <bookViews>
    <workbookView xWindow="15825" yWindow="0" windowWidth="29295" windowHeight="21600" xr2:uid="{3056AFBF-C33C-44A0-B793-E31A92920761}"/>
  </bookViews>
  <sheets>
    <sheet name="Main" sheetId="1" r:id="rId1"/>
    <sheet name="Model" sheetId="2" r:id="rId2"/>
    <sheet name="Das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1" l="1"/>
  <c r="C4" i="3"/>
  <c r="AE24" i="2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CT24" i="2" s="1"/>
  <c r="CU24" i="2" s="1"/>
  <c r="CV24" i="2" s="1"/>
  <c r="CW24" i="2" s="1"/>
  <c r="CX24" i="2" s="1"/>
  <c r="CY24" i="2" s="1"/>
  <c r="CZ24" i="2" s="1"/>
  <c r="DA24" i="2" s="1"/>
  <c r="DB24" i="2" s="1"/>
  <c r="DC24" i="2" s="1"/>
  <c r="DD24" i="2" s="1"/>
  <c r="DE24" i="2" s="1"/>
  <c r="DF24" i="2" s="1"/>
  <c r="DG24" i="2" s="1"/>
  <c r="DH24" i="2" s="1"/>
  <c r="DI24" i="2" s="1"/>
  <c r="DJ24" i="2" s="1"/>
  <c r="DK24" i="2" s="1"/>
  <c r="DL24" i="2" s="1"/>
  <c r="DM24" i="2" s="1"/>
  <c r="DN24" i="2" s="1"/>
  <c r="DO24" i="2" s="1"/>
  <c r="DP24" i="2" s="1"/>
  <c r="DQ24" i="2" s="1"/>
  <c r="U21" i="2"/>
  <c r="AD19" i="2"/>
  <c r="AC19" i="2"/>
  <c r="AB19" i="2"/>
  <c r="AA19" i="2"/>
  <c r="Z19" i="2"/>
  <c r="Y19" i="2"/>
  <c r="X19" i="2"/>
  <c r="W19" i="2"/>
  <c r="V19" i="2"/>
  <c r="U19" i="2"/>
  <c r="AD18" i="2"/>
  <c r="AC18" i="2"/>
  <c r="AB18" i="2"/>
  <c r="AA18" i="2"/>
  <c r="Z18" i="2"/>
  <c r="Y18" i="2"/>
  <c r="X18" i="2"/>
  <c r="W18" i="2"/>
  <c r="V18" i="2"/>
  <c r="U18" i="2"/>
  <c r="AD17" i="2"/>
  <c r="AC17" i="2"/>
  <c r="AB17" i="2"/>
  <c r="AA17" i="2"/>
  <c r="Z17" i="2"/>
  <c r="Y17" i="2"/>
  <c r="X17" i="2"/>
  <c r="W17" i="2"/>
  <c r="V17" i="2"/>
  <c r="U17" i="2"/>
  <c r="AD16" i="2"/>
  <c r="AC16" i="2"/>
  <c r="AB16" i="2"/>
  <c r="AA16" i="2"/>
  <c r="Z16" i="2"/>
  <c r="Y16" i="2"/>
  <c r="X16" i="2"/>
  <c r="W16" i="2"/>
  <c r="V16" i="2"/>
  <c r="U16" i="2"/>
  <c r="AD15" i="2"/>
  <c r="AC15" i="2"/>
  <c r="AB15" i="2"/>
  <c r="AA15" i="2"/>
  <c r="Z15" i="2"/>
  <c r="Y15" i="2"/>
  <c r="X15" i="2"/>
  <c r="W15" i="2"/>
  <c r="V15" i="2"/>
  <c r="U15" i="2"/>
  <c r="AD14" i="2"/>
  <c r="AC14" i="2"/>
  <c r="AB14" i="2"/>
  <c r="AA14" i="2"/>
  <c r="Z14" i="2"/>
  <c r="Y14" i="2"/>
  <c r="X14" i="2"/>
  <c r="W14" i="2"/>
  <c r="V14" i="2"/>
  <c r="U14" i="2"/>
  <c r="AD13" i="2"/>
  <c r="AC13" i="2"/>
  <c r="AB13" i="2"/>
  <c r="AA13" i="2"/>
  <c r="Z13" i="2"/>
  <c r="Y13" i="2"/>
  <c r="X13" i="2"/>
  <c r="W13" i="2"/>
  <c r="V13" i="2"/>
  <c r="U13" i="2"/>
  <c r="AD12" i="2"/>
  <c r="AC12" i="2"/>
  <c r="AB12" i="2"/>
  <c r="AA12" i="2"/>
  <c r="Z12" i="2"/>
  <c r="Y12" i="2"/>
  <c r="X12" i="2"/>
  <c r="W12" i="2"/>
  <c r="V12" i="2"/>
  <c r="V20" i="2" s="1"/>
  <c r="U12" i="2"/>
  <c r="AD11" i="2"/>
  <c r="AC11" i="2"/>
  <c r="AB11" i="2"/>
  <c r="AA11" i="2"/>
  <c r="Z11" i="2"/>
  <c r="Y11" i="2"/>
  <c r="X11" i="2"/>
  <c r="W11" i="2"/>
  <c r="V11" i="2"/>
  <c r="U11" i="2"/>
  <c r="AD10" i="2"/>
  <c r="AC10" i="2"/>
  <c r="AB10" i="2"/>
  <c r="AA10" i="2"/>
  <c r="Z10" i="2"/>
  <c r="Y10" i="2"/>
  <c r="X10" i="2"/>
  <c r="W10" i="2"/>
  <c r="V10" i="2"/>
  <c r="U10" i="2"/>
  <c r="V9" i="2"/>
  <c r="W9" i="2" s="1"/>
  <c r="U9" i="2"/>
  <c r="T49" i="2"/>
  <c r="S49" i="2"/>
  <c r="R49" i="2"/>
  <c r="Q49" i="2"/>
  <c r="P49" i="2"/>
  <c r="O49" i="2"/>
  <c r="N49" i="2"/>
  <c r="N40" i="2"/>
  <c r="T34" i="2"/>
  <c r="S34" i="2"/>
  <c r="R34" i="2"/>
  <c r="Q34" i="2"/>
  <c r="P34" i="2"/>
  <c r="O34" i="2"/>
  <c r="N34" i="2"/>
  <c r="M34" i="2"/>
  <c r="J34" i="2"/>
  <c r="I34" i="2"/>
  <c r="H34" i="2"/>
  <c r="G34" i="2"/>
  <c r="F34" i="2"/>
  <c r="E34" i="2"/>
  <c r="D34" i="2"/>
  <c r="C34" i="2"/>
  <c r="T36" i="2"/>
  <c r="S36" i="2"/>
  <c r="R36" i="2"/>
  <c r="Q36" i="2"/>
  <c r="P36" i="2"/>
  <c r="O36" i="2"/>
  <c r="N36" i="2"/>
  <c r="J36" i="2"/>
  <c r="I36" i="2"/>
  <c r="H36" i="2"/>
  <c r="G36" i="2"/>
  <c r="T47" i="2"/>
  <c r="S47" i="2"/>
  <c r="R47" i="2"/>
  <c r="Q47" i="2"/>
  <c r="P47" i="2"/>
  <c r="O47" i="2"/>
  <c r="N47" i="2"/>
  <c r="M47" i="2"/>
  <c r="J47" i="2"/>
  <c r="I47" i="2"/>
  <c r="H47" i="2"/>
  <c r="G47" i="2"/>
  <c r="F47" i="2"/>
  <c r="E47" i="2"/>
  <c r="D47" i="2"/>
  <c r="C47" i="2"/>
  <c r="T46" i="2"/>
  <c r="S46" i="2"/>
  <c r="R46" i="2"/>
  <c r="Q46" i="2"/>
  <c r="P46" i="2"/>
  <c r="O46" i="2"/>
  <c r="N46" i="2"/>
  <c r="M46" i="2"/>
  <c r="J46" i="2"/>
  <c r="I46" i="2"/>
  <c r="H46" i="2"/>
  <c r="G46" i="2"/>
  <c r="F46" i="2"/>
  <c r="E46" i="2"/>
  <c r="D46" i="2"/>
  <c r="C46" i="2"/>
  <c r="T45" i="2"/>
  <c r="S45" i="2"/>
  <c r="R45" i="2"/>
  <c r="Q45" i="2"/>
  <c r="P45" i="2"/>
  <c r="O45" i="2"/>
  <c r="N45" i="2"/>
  <c r="M45" i="2"/>
  <c r="J45" i="2"/>
  <c r="I45" i="2"/>
  <c r="H45" i="2"/>
  <c r="G45" i="2"/>
  <c r="F45" i="2"/>
  <c r="E45" i="2"/>
  <c r="D45" i="2"/>
  <c r="C45" i="2"/>
  <c r="T44" i="2"/>
  <c r="S44" i="2"/>
  <c r="R44" i="2"/>
  <c r="Q44" i="2"/>
  <c r="P44" i="2"/>
  <c r="O44" i="2"/>
  <c r="N44" i="2"/>
  <c r="M44" i="2"/>
  <c r="J44" i="2"/>
  <c r="I44" i="2"/>
  <c r="H44" i="2"/>
  <c r="G44" i="2"/>
  <c r="F44" i="2"/>
  <c r="E44" i="2"/>
  <c r="D44" i="2"/>
  <c r="C44" i="2"/>
  <c r="T43" i="2"/>
  <c r="S43" i="2"/>
  <c r="R43" i="2"/>
  <c r="Q43" i="2"/>
  <c r="P43" i="2"/>
  <c r="O43" i="2"/>
  <c r="N43" i="2"/>
  <c r="M43" i="2"/>
  <c r="J43" i="2"/>
  <c r="I43" i="2"/>
  <c r="H43" i="2"/>
  <c r="G43" i="2"/>
  <c r="F43" i="2"/>
  <c r="E43" i="2"/>
  <c r="D43" i="2"/>
  <c r="C43" i="2"/>
  <c r="T42" i="2"/>
  <c r="S42" i="2"/>
  <c r="R42" i="2"/>
  <c r="Q42" i="2"/>
  <c r="P42" i="2"/>
  <c r="O42" i="2"/>
  <c r="N42" i="2"/>
  <c r="M42" i="2"/>
  <c r="J42" i="2"/>
  <c r="I42" i="2"/>
  <c r="H42" i="2"/>
  <c r="G42" i="2"/>
  <c r="F42" i="2"/>
  <c r="E42" i="2"/>
  <c r="D42" i="2"/>
  <c r="C42" i="2"/>
  <c r="T41" i="2"/>
  <c r="S41" i="2"/>
  <c r="R41" i="2"/>
  <c r="Q41" i="2"/>
  <c r="P41" i="2"/>
  <c r="O41" i="2"/>
  <c r="N41" i="2"/>
  <c r="M41" i="2"/>
  <c r="J41" i="2"/>
  <c r="I41" i="2"/>
  <c r="H41" i="2"/>
  <c r="G41" i="2"/>
  <c r="F41" i="2"/>
  <c r="E41" i="2"/>
  <c r="D41" i="2"/>
  <c r="C41" i="2"/>
  <c r="T40" i="2"/>
  <c r="S40" i="2"/>
  <c r="R40" i="2"/>
  <c r="Q40" i="2"/>
  <c r="P40" i="2"/>
  <c r="O40" i="2"/>
  <c r="M40" i="2"/>
  <c r="J40" i="2"/>
  <c r="I40" i="2"/>
  <c r="H40" i="2"/>
  <c r="G40" i="2"/>
  <c r="F40" i="2"/>
  <c r="E40" i="2"/>
  <c r="D40" i="2"/>
  <c r="C40" i="2"/>
  <c r="T39" i="2"/>
  <c r="S39" i="2"/>
  <c r="R39" i="2"/>
  <c r="Q39" i="2"/>
  <c r="P39" i="2"/>
  <c r="O39" i="2"/>
  <c r="N39" i="2"/>
  <c r="M39" i="2"/>
  <c r="J39" i="2"/>
  <c r="I39" i="2"/>
  <c r="H39" i="2"/>
  <c r="G39" i="2"/>
  <c r="F39" i="2"/>
  <c r="E39" i="2"/>
  <c r="D39" i="2"/>
  <c r="C39" i="2"/>
  <c r="T38" i="2"/>
  <c r="S38" i="2"/>
  <c r="R38" i="2"/>
  <c r="Q38" i="2"/>
  <c r="P38" i="2"/>
  <c r="O38" i="2"/>
  <c r="N38" i="2"/>
  <c r="M38" i="2"/>
  <c r="J38" i="2"/>
  <c r="I38" i="2"/>
  <c r="H38" i="2"/>
  <c r="G38" i="2"/>
  <c r="F38" i="2"/>
  <c r="E38" i="2"/>
  <c r="D38" i="2"/>
  <c r="C38" i="2"/>
  <c r="T50" i="2"/>
  <c r="S50" i="2"/>
  <c r="R50" i="2"/>
  <c r="Q50" i="2"/>
  <c r="P50" i="2"/>
  <c r="O50" i="2"/>
  <c r="N50" i="2"/>
  <c r="M50" i="2"/>
  <c r="J50" i="2"/>
  <c r="I50" i="2"/>
  <c r="H50" i="2"/>
  <c r="G50" i="2"/>
  <c r="F50" i="2"/>
  <c r="E50" i="2"/>
  <c r="D50" i="2"/>
  <c r="C50" i="2"/>
  <c r="F23" i="2"/>
  <c r="F21" i="2"/>
  <c r="F19" i="2"/>
  <c r="F18" i="2"/>
  <c r="F17" i="2"/>
  <c r="F16" i="2"/>
  <c r="F15" i="2"/>
  <c r="F14" i="2"/>
  <c r="F13" i="2"/>
  <c r="F12" i="2"/>
  <c r="F11" i="2"/>
  <c r="F10" i="2"/>
  <c r="F9" i="2"/>
  <c r="J23" i="2"/>
  <c r="J19" i="2"/>
  <c r="J18" i="2"/>
  <c r="J17" i="2"/>
  <c r="J16" i="2"/>
  <c r="J15" i="2"/>
  <c r="J14" i="2"/>
  <c r="J13" i="2"/>
  <c r="J12" i="2"/>
  <c r="J11" i="2"/>
  <c r="J10" i="2"/>
  <c r="J9" i="2"/>
  <c r="I21" i="2"/>
  <c r="J6" i="2"/>
  <c r="J7" i="2" s="1"/>
  <c r="M29" i="2"/>
  <c r="M6" i="2"/>
  <c r="M7" i="2" s="1"/>
  <c r="N6" i="2"/>
  <c r="N7" i="2" s="1"/>
  <c r="N29" i="2"/>
  <c r="O29" i="2"/>
  <c r="O20" i="2"/>
  <c r="O22" i="2" s="1"/>
  <c r="O24" i="2" s="1"/>
  <c r="O26" i="2" s="1"/>
  <c r="O6" i="2"/>
  <c r="O7" i="2" s="1"/>
  <c r="P6" i="2"/>
  <c r="P7" i="2" s="1"/>
  <c r="P29" i="2"/>
  <c r="Q29" i="2"/>
  <c r="Q6" i="2"/>
  <c r="Q7" i="2" s="1"/>
  <c r="R6" i="2"/>
  <c r="R7" i="2" s="1"/>
  <c r="R29" i="2"/>
  <c r="S29" i="2"/>
  <c r="T29" i="2"/>
  <c r="Q20" i="2"/>
  <c r="Q22" i="2" s="1"/>
  <c r="Q24" i="2" s="1"/>
  <c r="Q26" i="2" s="1"/>
  <c r="P20" i="2"/>
  <c r="P22" i="2" s="1"/>
  <c r="P24" i="2" s="1"/>
  <c r="P26" i="2" s="1"/>
  <c r="N20" i="2"/>
  <c r="N22" i="2" s="1"/>
  <c r="N24" i="2" s="1"/>
  <c r="N26" i="2" s="1"/>
  <c r="M20" i="2"/>
  <c r="M22" i="2" s="1"/>
  <c r="M24" i="2" s="1"/>
  <c r="M26" i="2" s="1"/>
  <c r="I20" i="2"/>
  <c r="I32" i="2" s="1"/>
  <c r="H20" i="2"/>
  <c r="H22" i="2" s="1"/>
  <c r="H24" i="2" s="1"/>
  <c r="H26" i="2" s="1"/>
  <c r="G20" i="2"/>
  <c r="G22" i="2" s="1"/>
  <c r="G24" i="2" s="1"/>
  <c r="G26" i="2" s="1"/>
  <c r="E20" i="2"/>
  <c r="E22" i="2" s="1"/>
  <c r="E24" i="2" s="1"/>
  <c r="E26" i="2" s="1"/>
  <c r="D20" i="2"/>
  <c r="D22" i="2" s="1"/>
  <c r="D24" i="2" s="1"/>
  <c r="D26" i="2" s="1"/>
  <c r="C20" i="2"/>
  <c r="C22" i="2" s="1"/>
  <c r="C24" i="2" s="1"/>
  <c r="C26" i="2" s="1"/>
  <c r="I7" i="2"/>
  <c r="H7" i="2"/>
  <c r="G7" i="2"/>
  <c r="F7" i="2"/>
  <c r="E7" i="2"/>
  <c r="D7" i="2"/>
  <c r="C7" i="2"/>
  <c r="T21" i="2"/>
  <c r="S20" i="2"/>
  <c r="S22" i="2" s="1"/>
  <c r="S24" i="2" s="1"/>
  <c r="S26" i="2" s="1"/>
  <c r="R20" i="2"/>
  <c r="R22" i="2" s="1"/>
  <c r="R24" i="2" s="1"/>
  <c r="R26" i="2" s="1"/>
  <c r="T20" i="2"/>
  <c r="T32" i="2" s="1"/>
  <c r="S6" i="2"/>
  <c r="S7" i="2" s="1"/>
  <c r="T6" i="2"/>
  <c r="T7" i="2" s="1"/>
  <c r="U20" i="2" l="1"/>
  <c r="U22" i="2" s="1"/>
  <c r="U23" i="2" s="1"/>
  <c r="U24" i="2" s="1"/>
  <c r="U7" i="2" s="1"/>
  <c r="V21" i="2" s="1"/>
  <c r="V22" i="2" s="1"/>
  <c r="V34" i="2"/>
  <c r="X9" i="2"/>
  <c r="W20" i="2"/>
  <c r="E32" i="2"/>
  <c r="G32" i="2"/>
  <c r="T22" i="2"/>
  <c r="T24" i="2" s="1"/>
  <c r="T26" i="2" s="1"/>
  <c r="C32" i="2"/>
  <c r="D32" i="2"/>
  <c r="H32" i="2"/>
  <c r="M32" i="2"/>
  <c r="N32" i="2"/>
  <c r="O32" i="2"/>
  <c r="P32" i="2"/>
  <c r="R32" i="2"/>
  <c r="F20" i="2"/>
  <c r="Q32" i="2"/>
  <c r="S32" i="2"/>
  <c r="J20" i="2"/>
  <c r="J32" i="2" s="1"/>
  <c r="J21" i="2"/>
  <c r="I22" i="2"/>
  <c r="I24" i="2" s="1"/>
  <c r="I26" i="2" s="1"/>
  <c r="U34" i="2" l="1"/>
  <c r="V23" i="2"/>
  <c r="V24" i="2" s="1"/>
  <c r="V7" i="2" s="1"/>
  <c r="W21" i="2" s="1"/>
  <c r="W22" i="2" s="1"/>
  <c r="W34" i="2"/>
  <c r="Y9" i="2"/>
  <c r="X20" i="2"/>
  <c r="J22" i="2"/>
  <c r="J24" i="2" s="1"/>
  <c r="J26" i="2" s="1"/>
  <c r="F22" i="2"/>
  <c r="F24" i="2" s="1"/>
  <c r="F26" i="2" s="1"/>
  <c r="F32" i="2"/>
  <c r="W23" i="2" l="1"/>
  <c r="W24" i="2" s="1"/>
  <c r="W7" i="2" s="1"/>
  <c r="X34" i="2"/>
  <c r="Y20" i="2"/>
  <c r="Z9" i="2"/>
  <c r="X21" i="2" l="1"/>
  <c r="X22" i="2" s="1"/>
  <c r="Y34" i="2"/>
  <c r="AA9" i="2"/>
  <c r="Z20" i="2"/>
  <c r="X23" i="2" l="1"/>
  <c r="X24" i="2" s="1"/>
  <c r="X7" i="2" s="1"/>
  <c r="Z34" i="2"/>
  <c r="AA20" i="2"/>
  <c r="AB9" i="2"/>
  <c r="Y21" i="2" l="1"/>
  <c r="Y22" i="2" s="1"/>
  <c r="AA34" i="2"/>
  <c r="AC9" i="2"/>
  <c r="AB20" i="2"/>
  <c r="Y23" i="2" l="1"/>
  <c r="Y24" i="2" s="1"/>
  <c r="Y7" i="2" s="1"/>
  <c r="Z21" i="2" s="1"/>
  <c r="Z22" i="2" s="1"/>
  <c r="AB34" i="2"/>
  <c r="AD9" i="2"/>
  <c r="AD20" i="2" s="1"/>
  <c r="AC20" i="2"/>
  <c r="Z23" i="2" l="1"/>
  <c r="Z24" i="2" s="1"/>
  <c r="Z7" i="2" s="1"/>
  <c r="AA21" i="2" s="1"/>
  <c r="AA22" i="2" s="1"/>
  <c r="AD34" i="2"/>
  <c r="AC34" i="2"/>
  <c r="AA23" i="2" l="1"/>
  <c r="AA24" i="2" s="1"/>
  <c r="AA7" i="2" s="1"/>
  <c r="AB21" i="2" s="1"/>
  <c r="AB22" i="2" s="1"/>
  <c r="AB23" i="2" l="1"/>
  <c r="AB24" i="2" s="1"/>
  <c r="AB7" i="2" s="1"/>
  <c r="AC21" i="2" s="1"/>
  <c r="AC22" i="2" s="1"/>
  <c r="AC23" i="2" l="1"/>
  <c r="AC24" i="2" s="1"/>
  <c r="AC7" i="2" s="1"/>
  <c r="AD21" i="2" l="1"/>
  <c r="AD22" i="2" s="1"/>
  <c r="AD23" i="2" l="1"/>
  <c r="AD24" i="2" s="1"/>
  <c r="AD7" i="2" s="1"/>
  <c r="N14" i="1" l="1"/>
  <c r="N15" i="1" s="1"/>
  <c r="N8" i="1"/>
  <c r="N11" i="1" s="1"/>
</calcChain>
</file>

<file path=xl/sharedStrings.xml><?xml version="1.0" encoding="utf-8"?>
<sst xmlns="http://schemas.openxmlformats.org/spreadsheetml/2006/main" count="70" uniqueCount="57">
  <si>
    <t>Price</t>
  </si>
  <si>
    <t>Shares</t>
  </si>
  <si>
    <t>MkCap</t>
  </si>
  <si>
    <t>Cash</t>
  </si>
  <si>
    <t>Debt</t>
  </si>
  <si>
    <t>Run rate</t>
  </si>
  <si>
    <t>EV</t>
  </si>
  <si>
    <t>Update</t>
  </si>
  <si>
    <t>NPV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</si>
  <si>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</si>
  <si>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</si>
  <si>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</si>
  <si>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</si>
  <si>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</si>
  <si>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</si>
  <si>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</si>
  <si>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</si>
  <si>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NPV/Sh</t>
  </si>
  <si>
    <t>Maturity decay</t>
  </si>
  <si>
    <t>Discount</t>
  </si>
  <si>
    <t>Ticker</t>
  </si>
  <si>
    <t>Company</t>
  </si>
  <si>
    <t>Heartland Express</t>
  </si>
  <si>
    <t>HTLD</t>
  </si>
  <si>
    <t>Revenue PPE, at cost</t>
  </si>
  <si>
    <t>PPE, net</t>
  </si>
  <si>
    <t>Net cash</t>
  </si>
  <si>
    <t>Revenue</t>
  </si>
  <si>
    <t>Salaries</t>
  </si>
  <si>
    <t>Purch. Transport</t>
  </si>
  <si>
    <t>Fuel</t>
  </si>
  <si>
    <t>Maintenance</t>
  </si>
  <si>
    <t>Licenses</t>
  </si>
  <si>
    <t>Insurance</t>
  </si>
  <si>
    <t>Communications</t>
  </si>
  <si>
    <t>Depreciation</t>
  </si>
  <si>
    <t>Other op ex</t>
  </si>
  <si>
    <t>Other, sales</t>
  </si>
  <si>
    <t>Operating income</t>
  </si>
  <si>
    <t>Interest, net</t>
  </si>
  <si>
    <t>EBT</t>
  </si>
  <si>
    <t>Tax</t>
  </si>
  <si>
    <t>Net income</t>
  </si>
  <si>
    <t>EPS</t>
  </si>
  <si>
    <t>CF Stock-comp</t>
  </si>
  <si>
    <t>CF Debt repay</t>
  </si>
  <si>
    <t>CF capex</t>
  </si>
  <si>
    <t>Interest rate</t>
  </si>
  <si>
    <t>EBITDA</t>
  </si>
  <si>
    <t>Rev y/y</t>
  </si>
  <si>
    <t>Operation margin</t>
  </si>
  <si>
    <t>Tax rate</t>
  </si>
  <si>
    <t>Salaries rev%</t>
  </si>
  <si>
    <t>99.9% USA based</t>
  </si>
  <si>
    <t>As of August 31 2022 500M acquisition, some Mexico</t>
  </si>
  <si>
    <t>Organic growth has become increasingly difficult for traditional over-the-road truckload carriers given a shortage of qualified drivers in the industry and availability of revenue equipment assets</t>
  </si>
  <si>
    <t>EBITDA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</si>
</sst>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  <xf numFmtId="44" fontId="0" fillId="0" borderId="0" xfId="0" applyNumberFormat="1"/>
    <xf numFmtId="3" fontId="1" fillId="0" borderId="0" xfId="0" applyNumberFormat="1" applyFont="1"/>
    <xf numFmtId="3" fontId="0" fillId="0" borderId="0" xfId="0" applyNumberFormat="1" applyFont="1"/>
    <xf numFmtId="8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38100</xdr:rowOff>
    </xdr:from>
    <xdr:to>
      <xdr:col>20</xdr:col>
      <xdr:colOff>9525</xdr:colOff>
      <xdr:row>25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F41FF2C-7A02-A688-44AC-9A20A2BC341C}"/>
            </a:ext>
          </a:extLst>
        </xdr:cNvPr>
        <xdr:cNvCxnSpPr/>
      </xdr:nvCxnSpPr>
      <xdr:spPr>
        <a:xfrm>
          <a:off x="12201525" y="38100"/>
          <a:ext cx="0" cy="474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0</xdr:row>
      <xdr:rowOff>0</xdr:rowOff>
    </xdr:from>
    <xdr:to>
      <xdr:col>30</xdr:col>
      <xdr:colOff>19050</xdr:colOff>
      <xdr:row>24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B0F37C3-A497-43EB-8B50-23417BD53A4C}"/>
            </a:ext>
          </a:extLst>
        </xdr:cNvPr>
        <xdr:cNvCxnSpPr/>
      </xdr:nvCxnSpPr>
      <xdr:spPr>
        <a:xfrm>
          <a:off x="18307050" y="0"/>
          <a:ext cx="0" cy="474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E6B5-2ED0-4ACF-895E-E286D10A7127}">
  <dimension ref="C2:N17"/>
  <sheetViews>
    <sheetView tabSelected="1" topLeftCell="B1" workbookViewId="0">
      <selection activeCell="Q13" sqref="Q13"/>
    </sheetView>
  </sheetViews>
  <sheetFormatPr defaultRowHeight="15" x14ac:dyDescent="0.25"/>
  <cols>
    <col min="14" max="14" width="9.7109375" bestFit="1" customWidth="1"/>
  </cols>
  <sheetData>
    <row r="2" spans="3:14" x14ac:dyDescent="0.25">
      <c r="M2" t="s">
        <v>7</v>
      </c>
      <c r="N2" s="1">
        <v>44993</v>
      </c>
    </row>
    <row r="3" spans="3:14" x14ac:dyDescent="0.25">
      <c r="C3" t="s">
        <v>53</v>
      </c>
      <c r="M3" t="s">
        <v>20</v>
      </c>
      <c r="N3" t="s">
        <v>23</v>
      </c>
    </row>
    <row r="4" spans="3:14" x14ac:dyDescent="0.25">
      <c r="C4" t="s">
        <v>54</v>
      </c>
      <c r="M4" t="s">
        <v>21</v>
      </c>
      <c r="N4" t="s">
        <v>22</v>
      </c>
    </row>
    <row r="5" spans="3:14" x14ac:dyDescent="0.25">
      <c r="C5" s="9" t="s">
        <v>55</v>
      </c>
      <c r="D5" s="9"/>
      <c r="E5" s="9"/>
      <c r="F5" s="9"/>
      <c r="G5" s="9"/>
      <c r="H5" s="9"/>
      <c r="I5" s="9"/>
      <c r="J5" s="9"/>
      <c r="K5" s="9"/>
    </row>
    <row r="6" spans="3:14" x14ac:dyDescent="0.25">
      <c r="C6" s="9"/>
      <c r="D6" s="9"/>
      <c r="E6" s="9"/>
      <c r="F6" s="9"/>
      <c r="G6" s="9"/>
      <c r="H6" s="9"/>
      <c r="I6" s="9"/>
      <c r="J6" s="9"/>
      <c r="K6" s="9"/>
      <c r="M6" t="s">
        <v>0</v>
      </c>
      <c r="N6" s="4">
        <v>16.260000000000002</v>
      </c>
    </row>
    <row r="7" spans="3:14" x14ac:dyDescent="0.25">
      <c r="C7" s="9"/>
      <c r="D7" s="9"/>
      <c r="E7" s="9"/>
      <c r="F7" s="9"/>
      <c r="G7" s="9"/>
      <c r="H7" s="9"/>
      <c r="I7" s="9"/>
      <c r="J7" s="9"/>
      <c r="K7" s="9"/>
      <c r="M7" t="s">
        <v>1</v>
      </c>
      <c r="N7" s="2">
        <v>78.941000000000003</v>
      </c>
    </row>
    <row r="8" spans="3:14" x14ac:dyDescent="0.25">
      <c r="M8" t="s">
        <v>2</v>
      </c>
      <c r="N8" s="2">
        <f>N6*N7</f>
        <v>1283.5806600000001</v>
      </c>
    </row>
    <row r="9" spans="3:14" x14ac:dyDescent="0.25">
      <c r="M9" t="s">
        <v>3</v>
      </c>
      <c r="N9" s="2">
        <v>49.46</v>
      </c>
    </row>
    <row r="10" spans="3:14" x14ac:dyDescent="0.25">
      <c r="M10" t="s">
        <v>4</v>
      </c>
      <c r="N10" s="2">
        <v>529.6</v>
      </c>
    </row>
    <row r="11" spans="3:14" x14ac:dyDescent="0.25">
      <c r="M11" t="s">
        <v>6</v>
      </c>
      <c r="N11" s="2">
        <f>+N8-N9+N10</f>
        <v>1763.72066</v>
      </c>
    </row>
    <row r="12" spans="3:14" x14ac:dyDescent="0.25">
      <c r="M12" t="s">
        <v>5</v>
      </c>
      <c r="N12" s="2"/>
    </row>
    <row r="13" spans="3:14" x14ac:dyDescent="0.25">
      <c r="N13" s="2"/>
    </row>
    <row r="14" spans="3:14" x14ac:dyDescent="0.25">
      <c r="M14" t="s">
        <v>8</v>
      </c>
      <c r="N14" s="2">
        <f>Dash!C4</f>
        <v>1294.1990734380452</v>
      </c>
    </row>
    <row r="15" spans="3:14" x14ac:dyDescent="0.25">
      <c r="M15" t="s">
        <v>17</v>
      </c>
      <c r="N15" s="4">
        <f>N14/N7</f>
        <v>16.394510754082734</v>
      </c>
    </row>
    <row r="17" spans="13:14" x14ac:dyDescent="0.25">
      <c r="M17" t="s">
        <v>56</v>
      </c>
      <c r="N17" s="2">
        <f>+SUM(Model!G32:J32)</f>
        <v>321.39600000000002</v>
      </c>
    </row>
  </sheetData>
  <mergeCells count="1">
    <mergeCell ref="C5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2598-A76D-432E-8D6B-EF22B15EDFE4}">
  <dimension ref="B1:DQ12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RowHeight="15" x14ac:dyDescent="0.25"/>
  <cols>
    <col min="2" max="2" width="17" bestFit="1" customWidth="1"/>
  </cols>
  <sheetData>
    <row r="1" spans="2:121" x14ac:dyDescent="0.25">
      <c r="J1" s="1">
        <v>44595</v>
      </c>
    </row>
    <row r="2" spans="2:121" x14ac:dyDescent="0.25">
      <c r="C2" t="s">
        <v>16</v>
      </c>
      <c r="D2" t="s">
        <v>15</v>
      </c>
      <c r="E2" t="s">
        <v>14</v>
      </c>
      <c r="F2" t="s">
        <v>13</v>
      </c>
      <c r="G2" t="s">
        <v>12</v>
      </c>
      <c r="H2" t="s">
        <v>11</v>
      </c>
      <c r="I2" t="s">
        <v>10</v>
      </c>
      <c r="J2" t="s">
        <v>9</v>
      </c>
      <c r="M2">
        <v>2015</v>
      </c>
      <c r="N2">
        <v>2016</v>
      </c>
      <c r="O2">
        <v>2017</v>
      </c>
      <c r="P2">
        <v>2018</v>
      </c>
      <c r="Q2">
        <v>2019</v>
      </c>
      <c r="R2">
        <v>2020</v>
      </c>
      <c r="S2">
        <v>2021</v>
      </c>
      <c r="T2">
        <v>2022</v>
      </c>
      <c r="U2">
        <v>2023</v>
      </c>
      <c r="V2">
        <v>2024</v>
      </c>
      <c r="W2">
        <v>2025</v>
      </c>
      <c r="X2">
        <v>2026</v>
      </c>
      <c r="Y2">
        <v>2027</v>
      </c>
      <c r="Z2">
        <v>2028</v>
      </c>
      <c r="AA2">
        <v>2029</v>
      </c>
      <c r="AB2">
        <v>2030</v>
      </c>
      <c r="AC2">
        <v>2031</v>
      </c>
      <c r="AD2">
        <v>2032</v>
      </c>
      <c r="AE2">
        <v>2033</v>
      </c>
      <c r="AF2">
        <v>2034</v>
      </c>
      <c r="AG2">
        <v>2035</v>
      </c>
      <c r="AH2">
        <v>2036</v>
      </c>
      <c r="AI2">
        <v>2037</v>
      </c>
      <c r="AJ2">
        <v>2038</v>
      </c>
      <c r="AK2">
        <v>2039</v>
      </c>
      <c r="AL2">
        <v>2040</v>
      </c>
      <c r="AM2">
        <v>2041</v>
      </c>
      <c r="AN2">
        <v>2042</v>
      </c>
      <c r="AO2">
        <v>2043</v>
      </c>
      <c r="AP2">
        <v>2044</v>
      </c>
      <c r="AQ2">
        <v>2045</v>
      </c>
      <c r="AR2">
        <v>2046</v>
      </c>
      <c r="AS2">
        <v>2047</v>
      </c>
      <c r="AT2">
        <v>2048</v>
      </c>
      <c r="AU2">
        <v>2049</v>
      </c>
      <c r="AV2">
        <v>2050</v>
      </c>
      <c r="AW2">
        <v>2051</v>
      </c>
      <c r="AX2">
        <v>2052</v>
      </c>
      <c r="AY2">
        <v>2053</v>
      </c>
      <c r="AZ2">
        <v>2054</v>
      </c>
      <c r="BA2">
        <v>2055</v>
      </c>
      <c r="BB2">
        <v>2056</v>
      </c>
      <c r="BC2">
        <v>2057</v>
      </c>
      <c r="BD2">
        <v>2058</v>
      </c>
      <c r="BE2">
        <v>2059</v>
      </c>
      <c r="BF2">
        <v>2060</v>
      </c>
      <c r="BG2">
        <v>2061</v>
      </c>
      <c r="BH2">
        <v>2062</v>
      </c>
      <c r="BI2">
        <v>2063</v>
      </c>
      <c r="BJ2">
        <v>2064</v>
      </c>
      <c r="BK2">
        <v>2065</v>
      </c>
      <c r="BL2">
        <v>2066</v>
      </c>
      <c r="BM2">
        <v>2067</v>
      </c>
      <c r="BN2">
        <v>2068</v>
      </c>
      <c r="BO2">
        <v>2069</v>
      </c>
      <c r="BP2">
        <v>2070</v>
      </c>
      <c r="BQ2">
        <v>2071</v>
      </c>
      <c r="BR2">
        <v>2072</v>
      </c>
      <c r="BS2">
        <v>2073</v>
      </c>
      <c r="BT2">
        <v>2074</v>
      </c>
      <c r="BU2">
        <v>2075</v>
      </c>
      <c r="BV2">
        <v>2076</v>
      </c>
      <c r="BW2">
        <v>2077</v>
      </c>
      <c r="BX2">
        <v>2078</v>
      </c>
      <c r="BY2">
        <v>2079</v>
      </c>
      <c r="BZ2">
        <v>2080</v>
      </c>
      <c r="CA2">
        <v>2081</v>
      </c>
      <c r="CB2">
        <v>2082</v>
      </c>
      <c r="CC2">
        <v>2083</v>
      </c>
      <c r="CD2">
        <v>2084</v>
      </c>
      <c r="CE2">
        <v>2085</v>
      </c>
      <c r="CF2">
        <v>2086</v>
      </c>
      <c r="CG2">
        <v>2087</v>
      </c>
      <c r="CH2">
        <v>2088</v>
      </c>
      <c r="CI2">
        <v>2089</v>
      </c>
      <c r="CJ2">
        <v>2090</v>
      </c>
      <c r="CK2">
        <v>2091</v>
      </c>
      <c r="CL2">
        <v>2092</v>
      </c>
      <c r="CM2">
        <v>2093</v>
      </c>
      <c r="CN2">
        <v>2094</v>
      </c>
      <c r="CO2">
        <v>2095</v>
      </c>
      <c r="CP2">
        <v>2096</v>
      </c>
      <c r="CQ2">
        <v>2097</v>
      </c>
      <c r="CR2">
        <v>2098</v>
      </c>
      <c r="CS2">
        <v>2099</v>
      </c>
      <c r="CT2">
        <v>2100</v>
      </c>
      <c r="CU2">
        <v>2101</v>
      </c>
      <c r="CV2">
        <v>2102</v>
      </c>
      <c r="CW2">
        <v>2103</v>
      </c>
      <c r="CX2">
        <v>2104</v>
      </c>
      <c r="CY2">
        <v>2105</v>
      </c>
      <c r="CZ2">
        <v>2106</v>
      </c>
      <c r="DA2">
        <v>2107</v>
      </c>
      <c r="DB2">
        <v>2108</v>
      </c>
      <c r="DC2">
        <v>2109</v>
      </c>
      <c r="DD2">
        <v>2110</v>
      </c>
      <c r="DE2">
        <v>2111</v>
      </c>
      <c r="DF2">
        <v>2112</v>
      </c>
      <c r="DG2">
        <v>2113</v>
      </c>
      <c r="DH2">
        <v>2114</v>
      </c>
      <c r="DI2">
        <v>2115</v>
      </c>
      <c r="DJ2">
        <v>2116</v>
      </c>
      <c r="DK2">
        <v>2117</v>
      </c>
      <c r="DL2">
        <v>2118</v>
      </c>
      <c r="DM2">
        <v>2119</v>
      </c>
      <c r="DN2">
        <v>2120</v>
      </c>
      <c r="DO2">
        <v>2121</v>
      </c>
      <c r="DP2">
        <v>2122</v>
      </c>
      <c r="DQ2">
        <v>2123</v>
      </c>
    </row>
    <row r="3" spans="2:121" s="2" customFormat="1" x14ac:dyDescent="0.25">
      <c r="B3" s="2" t="s">
        <v>3</v>
      </c>
      <c r="J3" s="2">
        <v>49.46</v>
      </c>
      <c r="M3" s="2">
        <v>33.200000000000003</v>
      </c>
      <c r="N3" s="2">
        <v>128.5</v>
      </c>
      <c r="O3" s="2">
        <v>75.400000000000006</v>
      </c>
      <c r="P3" s="2">
        <v>161.4</v>
      </c>
      <c r="Q3" s="2">
        <v>76.7</v>
      </c>
      <c r="R3" s="2">
        <v>113.9</v>
      </c>
      <c r="S3" s="2">
        <v>157.69999999999999</v>
      </c>
      <c r="T3" s="2">
        <v>49.46</v>
      </c>
    </row>
    <row r="4" spans="2:121" s="2" customFormat="1" x14ac:dyDescent="0.25">
      <c r="B4" s="2" t="s">
        <v>24</v>
      </c>
      <c r="J4" s="2">
        <v>1000.5</v>
      </c>
      <c r="M4" s="2">
        <v>571.29999999999995</v>
      </c>
      <c r="N4" s="2">
        <v>556.5</v>
      </c>
      <c r="O4" s="2">
        <v>556</v>
      </c>
      <c r="P4" s="2">
        <v>479.1</v>
      </c>
      <c r="Q4" s="2">
        <v>583.1</v>
      </c>
      <c r="R4" s="2">
        <v>590.20000000000005</v>
      </c>
      <c r="S4" s="2">
        <v>500.3</v>
      </c>
      <c r="T4" s="2">
        <v>1000.5</v>
      </c>
    </row>
    <row r="5" spans="2:121" s="2" customFormat="1" x14ac:dyDescent="0.25">
      <c r="B5" s="2" t="s">
        <v>25</v>
      </c>
      <c r="J5" s="2">
        <v>973.3</v>
      </c>
      <c r="M5" s="2">
        <v>473.99900000000002</v>
      </c>
      <c r="N5" s="2">
        <v>407.6</v>
      </c>
      <c r="O5" s="2">
        <v>442.9</v>
      </c>
      <c r="P5" s="2">
        <v>403.12</v>
      </c>
      <c r="Q5" s="2">
        <v>526.29999999999995</v>
      </c>
      <c r="R5" s="2">
        <v>539.29999999999995</v>
      </c>
      <c r="S5" s="2">
        <v>487.9</v>
      </c>
      <c r="T5" s="2">
        <v>973.3</v>
      </c>
    </row>
    <row r="6" spans="2:121" s="2" customFormat="1" x14ac:dyDescent="0.25">
      <c r="B6" s="2" t="s">
        <v>4</v>
      </c>
      <c r="J6" s="2">
        <f>62.7+18.5+14+399.1+35.3</f>
        <v>529.6</v>
      </c>
      <c r="M6" s="2">
        <f>7.5+21.6+59.4</f>
        <v>88.5</v>
      </c>
      <c r="N6" s="2">
        <f>12.4+19.1+60.3</f>
        <v>91.8</v>
      </c>
      <c r="O6" s="2">
        <f>14.4+21.4+65.5</f>
        <v>101.3</v>
      </c>
      <c r="P6" s="2">
        <f>10.55+22.1+48.9</f>
        <v>81.550000000000011</v>
      </c>
      <c r="Q6" s="2">
        <f>11.1+17.6+51.2</f>
        <v>79.900000000000006</v>
      </c>
      <c r="R6" s="2">
        <f>12.8+15.8+45.99</f>
        <v>74.59</v>
      </c>
      <c r="S6" s="2">
        <f>20.5+15.7+34.4</f>
        <v>70.599999999999994</v>
      </c>
      <c r="T6" s="2">
        <f>62.7+18.5+14+399.1+35.3</f>
        <v>529.6</v>
      </c>
    </row>
    <row r="7" spans="2:121" s="2" customFormat="1" x14ac:dyDescent="0.25">
      <c r="B7" s="2" t="s">
        <v>26</v>
      </c>
      <c r="C7" s="2">
        <f t="shared" ref="C7:Q7" si="0">+C3-C6</f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>+J3-J6</f>
        <v>-480.14000000000004</v>
      </c>
      <c r="M7" s="2">
        <f t="shared" si="0"/>
        <v>-55.3</v>
      </c>
      <c r="N7" s="2">
        <f t="shared" si="0"/>
        <v>36.700000000000003</v>
      </c>
      <c r="O7" s="2">
        <f t="shared" si="0"/>
        <v>-25.899999999999991</v>
      </c>
      <c r="P7" s="2">
        <f t="shared" si="0"/>
        <v>79.849999999999994</v>
      </c>
      <c r="Q7" s="2">
        <f t="shared" si="0"/>
        <v>-3.2000000000000028</v>
      </c>
      <c r="R7" s="2">
        <f>+R3-R6</f>
        <v>39.31</v>
      </c>
      <c r="S7" s="2">
        <f>+S3-S6</f>
        <v>87.1</v>
      </c>
      <c r="T7" s="2">
        <f>+T3-T6</f>
        <v>-480.14000000000004</v>
      </c>
      <c r="U7" s="2">
        <f>+T7+U24</f>
        <v>-365.71340105000007</v>
      </c>
      <c r="V7" s="2">
        <f t="shared" ref="V7:AD7" si="1">+U7+V24</f>
        <v>-283.503393919475</v>
      </c>
      <c r="W7" s="2">
        <f t="shared" si="1"/>
        <v>-208.26967279248913</v>
      </c>
      <c r="X7" s="2">
        <f t="shared" si="1"/>
        <v>-128.97713069799471</v>
      </c>
      <c r="Y7" s="2">
        <f t="shared" si="1"/>
        <v>-43.614592805907648</v>
      </c>
      <c r="Z7" s="2">
        <f t="shared" si="1"/>
        <v>47.349594299762245</v>
      </c>
      <c r="AA7" s="2">
        <f t="shared" si="1"/>
        <v>150.73197297037564</v>
      </c>
      <c r="AB7" s="2">
        <f t="shared" si="1"/>
        <v>267.82005815417006</v>
      </c>
      <c r="AC7" s="2">
        <f t="shared" si="1"/>
        <v>394.5989298412901</v>
      </c>
      <c r="AD7" s="2">
        <f t="shared" si="1"/>
        <v>535.19641999907765</v>
      </c>
    </row>
    <row r="8" spans="2:121" s="2" customFormat="1" x14ac:dyDescent="0.25"/>
    <row r="9" spans="2:121" s="5" customFormat="1" x14ac:dyDescent="0.25">
      <c r="B9" s="5" t="s">
        <v>27</v>
      </c>
      <c r="C9" s="5">
        <v>152.4</v>
      </c>
      <c r="D9" s="5">
        <v>154.12799999999999</v>
      </c>
      <c r="E9" s="5">
        <v>152.6</v>
      </c>
      <c r="F9" s="5">
        <f>+S9-E9-D9-C9</f>
        <v>148.17199999999994</v>
      </c>
      <c r="G9" s="5">
        <v>151.30000000000001</v>
      </c>
      <c r="H9" s="5">
        <v>187.8</v>
      </c>
      <c r="I9" s="5">
        <v>273.99</v>
      </c>
      <c r="J9" s="5">
        <f>+T9-I9-H9-G9</f>
        <v>354.90599999999995</v>
      </c>
      <c r="M9" s="5">
        <v>736.3</v>
      </c>
      <c r="N9" s="5">
        <v>612.9</v>
      </c>
      <c r="O9" s="5">
        <v>607.29999999999995</v>
      </c>
      <c r="P9" s="5">
        <v>610.79999999999995</v>
      </c>
      <c r="Q9" s="5">
        <v>596.79999999999995</v>
      </c>
      <c r="R9" s="5">
        <v>645.26199999999994</v>
      </c>
      <c r="S9" s="5">
        <v>607.29999999999995</v>
      </c>
      <c r="T9" s="5">
        <v>967.99599999999998</v>
      </c>
      <c r="U9" s="5">
        <f>+T9*(1+U36)</f>
        <v>1306.7946000000002</v>
      </c>
      <c r="V9" s="5">
        <f t="shared" ref="V9:AD9" si="2">+U9*(1+V36)</f>
        <v>1502.8137900000002</v>
      </c>
      <c r="W9" s="5">
        <f t="shared" si="2"/>
        <v>1653.0951690000004</v>
      </c>
      <c r="X9" s="5">
        <f t="shared" si="2"/>
        <v>1810.1392100550004</v>
      </c>
      <c r="Y9" s="5">
        <f t="shared" si="2"/>
        <v>1973.0517389599506</v>
      </c>
      <c r="Z9" s="5">
        <f t="shared" si="2"/>
        <v>2140.7611367715463</v>
      </c>
      <c r="AA9" s="5">
        <f t="shared" si="2"/>
        <v>2322.7258333971276</v>
      </c>
      <c r="AB9" s="5">
        <f t="shared" si="2"/>
        <v>2520.1575292358834</v>
      </c>
      <c r="AC9" s="5">
        <f t="shared" si="2"/>
        <v>2734.3709192209335</v>
      </c>
      <c r="AD9" s="5">
        <f t="shared" si="2"/>
        <v>2966.7924473547127</v>
      </c>
    </row>
    <row r="10" spans="2:121" s="2" customFormat="1" x14ac:dyDescent="0.25">
      <c r="B10" s="2" t="s">
        <v>28</v>
      </c>
      <c r="C10" s="2">
        <v>64.78</v>
      </c>
      <c r="D10" s="2">
        <v>62.9</v>
      </c>
      <c r="E10" s="2">
        <v>62.73</v>
      </c>
      <c r="F10" s="6">
        <f t="shared" ref="F10:F19" si="3">+S10-E10-D10-C10</f>
        <v>59.59</v>
      </c>
      <c r="G10" s="2">
        <v>58.6</v>
      </c>
      <c r="H10" s="2">
        <v>65.900000000000006</v>
      </c>
      <c r="I10" s="2">
        <v>97.4</v>
      </c>
      <c r="J10" s="6">
        <f t="shared" ref="J10:J19" si="4">+T10-I10-H10-G10</f>
        <v>124.4</v>
      </c>
      <c r="M10" s="2">
        <v>277.3</v>
      </c>
      <c r="N10" s="2">
        <v>231.99</v>
      </c>
      <c r="O10" s="2">
        <v>236.9</v>
      </c>
      <c r="P10" s="2">
        <v>227.9</v>
      </c>
      <c r="Q10" s="2">
        <v>240.1</v>
      </c>
      <c r="R10" s="2">
        <v>269.5</v>
      </c>
      <c r="S10" s="2">
        <v>250</v>
      </c>
      <c r="T10" s="2">
        <v>346.3</v>
      </c>
      <c r="U10" s="2">
        <f>+U$9*U38</f>
        <v>463.91208300000005</v>
      </c>
      <c r="V10" s="2">
        <f t="shared" ref="V10:AD10" si="5">+V$9*V38</f>
        <v>563.55517125000006</v>
      </c>
      <c r="W10" s="2">
        <f t="shared" si="5"/>
        <v>636.44164006500012</v>
      </c>
      <c r="X10" s="2">
        <f t="shared" si="5"/>
        <v>696.90359587117518</v>
      </c>
      <c r="Y10" s="2">
        <f t="shared" si="5"/>
        <v>759.62491949958098</v>
      </c>
      <c r="Z10" s="2">
        <f t="shared" si="5"/>
        <v>824.19303765704535</v>
      </c>
      <c r="AA10" s="2">
        <f t="shared" si="5"/>
        <v>894.24944585789422</v>
      </c>
      <c r="AB10" s="2">
        <f t="shared" si="5"/>
        <v>970.26064875581517</v>
      </c>
      <c r="AC10" s="2">
        <f t="shared" si="5"/>
        <v>1052.7328039000595</v>
      </c>
      <c r="AD10" s="2">
        <f t="shared" si="5"/>
        <v>1142.2150922315645</v>
      </c>
    </row>
    <row r="11" spans="2:121" s="2" customFormat="1" x14ac:dyDescent="0.25">
      <c r="B11" s="2" t="s">
        <v>29</v>
      </c>
      <c r="C11" s="2">
        <v>1</v>
      </c>
      <c r="D11" s="2">
        <v>1</v>
      </c>
      <c r="E11" s="2">
        <v>1</v>
      </c>
      <c r="F11" s="6">
        <f t="shared" si="3"/>
        <v>0.79999999999999982</v>
      </c>
      <c r="G11" s="2">
        <v>0.7</v>
      </c>
      <c r="H11" s="2">
        <v>3.1</v>
      </c>
      <c r="I11" s="2">
        <v>17</v>
      </c>
      <c r="J11" s="6">
        <f t="shared" si="4"/>
        <v>33.499999999999993</v>
      </c>
      <c r="M11" s="2">
        <v>34.5</v>
      </c>
      <c r="N11" s="2">
        <v>23.5</v>
      </c>
      <c r="O11" s="2">
        <v>30</v>
      </c>
      <c r="P11" s="2">
        <v>18.7</v>
      </c>
      <c r="Q11" s="2">
        <v>8</v>
      </c>
      <c r="R11" s="2">
        <v>4.5999999999999996</v>
      </c>
      <c r="S11" s="2">
        <v>3.8</v>
      </c>
      <c r="T11" s="2">
        <v>54.3</v>
      </c>
      <c r="U11" s="2">
        <f t="shared" ref="U11:AD11" si="6">+U$9*U39</f>
        <v>65.339730000000017</v>
      </c>
      <c r="V11" s="2">
        <f t="shared" si="6"/>
        <v>75.140689500000008</v>
      </c>
      <c r="W11" s="2">
        <f t="shared" si="6"/>
        <v>82.654758450000031</v>
      </c>
      <c r="X11" s="2">
        <f t="shared" si="6"/>
        <v>90.506960502750019</v>
      </c>
      <c r="Y11" s="2">
        <f t="shared" si="6"/>
        <v>98.652586947997534</v>
      </c>
      <c r="Z11" s="2">
        <f t="shared" si="6"/>
        <v>107.03805683857732</v>
      </c>
      <c r="AA11" s="2">
        <f t="shared" si="6"/>
        <v>116.13629166985639</v>
      </c>
      <c r="AB11" s="2">
        <f t="shared" si="6"/>
        <v>126.00787646179418</v>
      </c>
      <c r="AC11" s="2">
        <f t="shared" si="6"/>
        <v>136.71854596104669</v>
      </c>
      <c r="AD11" s="2">
        <f t="shared" si="6"/>
        <v>148.33962236773564</v>
      </c>
    </row>
    <row r="12" spans="2:121" s="2" customFormat="1" x14ac:dyDescent="0.25">
      <c r="B12" s="2" t="s">
        <v>30</v>
      </c>
      <c r="C12" s="2">
        <v>24.2</v>
      </c>
      <c r="D12" s="2">
        <v>24.8</v>
      </c>
      <c r="E12" s="2">
        <v>25.3</v>
      </c>
      <c r="F12" s="6">
        <f t="shared" si="3"/>
        <v>25.3</v>
      </c>
      <c r="G12" s="2">
        <v>29.7</v>
      </c>
      <c r="H12" s="2">
        <v>42</v>
      </c>
      <c r="I12" s="2">
        <v>53.4</v>
      </c>
      <c r="J12" s="6">
        <f t="shared" si="4"/>
        <v>69.499999999999986</v>
      </c>
      <c r="M12" s="2">
        <v>123.7</v>
      </c>
      <c r="N12" s="2">
        <v>91.5</v>
      </c>
      <c r="O12" s="2">
        <v>104.4</v>
      </c>
      <c r="P12" s="2">
        <v>110.536</v>
      </c>
      <c r="Q12" s="2">
        <v>101.9</v>
      </c>
      <c r="R12" s="2">
        <v>86.1</v>
      </c>
      <c r="S12" s="2">
        <v>99.6</v>
      </c>
      <c r="T12" s="2">
        <v>194.6</v>
      </c>
      <c r="U12" s="2">
        <f t="shared" ref="U12:AD12" si="7">+U$9*U40</f>
        <v>261.35892000000007</v>
      </c>
      <c r="V12" s="2">
        <f t="shared" si="7"/>
        <v>300.56275800000003</v>
      </c>
      <c r="W12" s="2">
        <f t="shared" si="7"/>
        <v>330.61903380000012</v>
      </c>
      <c r="X12" s="2">
        <f t="shared" si="7"/>
        <v>362.02784201100008</v>
      </c>
      <c r="Y12" s="2">
        <f t="shared" si="7"/>
        <v>394.61034779199014</v>
      </c>
      <c r="Z12" s="2">
        <f t="shared" si="7"/>
        <v>428.15222735430928</v>
      </c>
      <c r="AA12" s="2">
        <f t="shared" si="7"/>
        <v>464.54516667942556</v>
      </c>
      <c r="AB12" s="2">
        <f t="shared" si="7"/>
        <v>504.03150584717673</v>
      </c>
      <c r="AC12" s="2">
        <f t="shared" si="7"/>
        <v>546.87418384418675</v>
      </c>
      <c r="AD12" s="2">
        <f t="shared" si="7"/>
        <v>593.35848947094257</v>
      </c>
    </row>
    <row r="13" spans="2:121" s="2" customFormat="1" x14ac:dyDescent="0.25">
      <c r="B13" s="2" t="s">
        <v>31</v>
      </c>
      <c r="C13" s="2">
        <v>5.7</v>
      </c>
      <c r="D13" s="2">
        <v>5.7</v>
      </c>
      <c r="E13" s="2">
        <v>5.4</v>
      </c>
      <c r="F13" s="6">
        <f t="shared" si="3"/>
        <v>4.700000000000002</v>
      </c>
      <c r="G13" s="2">
        <v>5.0999999999999996</v>
      </c>
      <c r="H13" s="2">
        <v>6.1</v>
      </c>
      <c r="I13" s="2">
        <v>12.3</v>
      </c>
      <c r="J13" s="6">
        <f t="shared" si="4"/>
        <v>15.600000000000003</v>
      </c>
      <c r="M13" s="2">
        <v>34</v>
      </c>
      <c r="N13" s="2">
        <v>26.2</v>
      </c>
      <c r="O13" s="2">
        <v>29.6</v>
      </c>
      <c r="P13" s="2">
        <v>27.1</v>
      </c>
      <c r="Q13" s="2">
        <v>24.5</v>
      </c>
      <c r="R13" s="2">
        <v>27.6</v>
      </c>
      <c r="S13" s="2">
        <v>21.5</v>
      </c>
      <c r="T13" s="2">
        <v>39.1</v>
      </c>
      <c r="U13" s="2">
        <f t="shared" ref="U13:AD13" si="8">+U$9*U41</f>
        <v>52.271784000000011</v>
      </c>
      <c r="V13" s="2">
        <f t="shared" si="8"/>
        <v>63.118179180000013</v>
      </c>
      <c r="W13" s="2">
        <f t="shared" si="8"/>
        <v>72.736187436000009</v>
      </c>
      <c r="X13" s="2">
        <f t="shared" si="8"/>
        <v>83.26640366253001</v>
      </c>
      <c r="Y13" s="2">
        <f t="shared" si="8"/>
        <v>90.760379992157723</v>
      </c>
      <c r="Z13" s="2">
        <f t="shared" si="8"/>
        <v>98.475012291491126</v>
      </c>
      <c r="AA13" s="2">
        <f t="shared" si="8"/>
        <v>106.84538833626787</v>
      </c>
      <c r="AB13" s="2">
        <f t="shared" si="8"/>
        <v>115.92724634485063</v>
      </c>
      <c r="AC13" s="2">
        <f t="shared" si="8"/>
        <v>125.78106228416294</v>
      </c>
      <c r="AD13" s="2">
        <f t="shared" si="8"/>
        <v>136.47245257831679</v>
      </c>
    </row>
    <row r="14" spans="2:121" s="2" customFormat="1" x14ac:dyDescent="0.25">
      <c r="B14" s="2" t="s">
        <v>32</v>
      </c>
      <c r="C14" s="2">
        <v>3.6</v>
      </c>
      <c r="D14" s="2">
        <v>3.4</v>
      </c>
      <c r="E14" s="2">
        <v>3.3</v>
      </c>
      <c r="F14" s="6">
        <f t="shared" si="3"/>
        <v>3.3000000000000003</v>
      </c>
      <c r="G14" s="2">
        <v>3.2</v>
      </c>
      <c r="H14" s="2">
        <v>3.4</v>
      </c>
      <c r="I14" s="2">
        <v>4.3</v>
      </c>
      <c r="J14" s="6">
        <f t="shared" si="4"/>
        <v>5.4999999999999973</v>
      </c>
      <c r="M14" s="2">
        <v>18.100000000000001</v>
      </c>
      <c r="N14" s="2">
        <v>15.6</v>
      </c>
      <c r="O14" s="2">
        <v>16.600000000000001</v>
      </c>
      <c r="P14" s="2">
        <v>16.399999999999999</v>
      </c>
      <c r="Q14" s="2">
        <v>14.5</v>
      </c>
      <c r="R14" s="2">
        <v>14.99</v>
      </c>
      <c r="S14" s="2">
        <v>13.6</v>
      </c>
      <c r="T14" s="2">
        <v>16.399999999999999</v>
      </c>
      <c r="U14" s="2">
        <f t="shared" ref="U14:AD14" si="9">+U$9*U42</f>
        <v>32.669865000000009</v>
      </c>
      <c r="V14" s="2">
        <f t="shared" si="9"/>
        <v>37.570344750000004</v>
      </c>
      <c r="W14" s="2">
        <f t="shared" si="9"/>
        <v>41.327379225000016</v>
      </c>
      <c r="X14" s="2">
        <f t="shared" si="9"/>
        <v>45.253480251375009</v>
      </c>
      <c r="Y14" s="2">
        <f t="shared" si="9"/>
        <v>49.326293473998767</v>
      </c>
      <c r="Z14" s="2">
        <f t="shared" si="9"/>
        <v>53.519028419288659</v>
      </c>
      <c r="AA14" s="2">
        <f t="shared" si="9"/>
        <v>58.068145834928195</v>
      </c>
      <c r="AB14" s="2">
        <f t="shared" si="9"/>
        <v>63.003938230897091</v>
      </c>
      <c r="AC14" s="2">
        <f t="shared" si="9"/>
        <v>68.359272980523343</v>
      </c>
      <c r="AD14" s="2">
        <f t="shared" si="9"/>
        <v>74.169811183867822</v>
      </c>
    </row>
    <row r="15" spans="2:121" s="2" customFormat="1" x14ac:dyDescent="0.25">
      <c r="B15" s="2" t="s">
        <v>33</v>
      </c>
      <c r="C15" s="2">
        <v>5.4</v>
      </c>
      <c r="D15" s="2">
        <v>4.7</v>
      </c>
      <c r="E15" s="2">
        <v>5.0999999999999996</v>
      </c>
      <c r="F15" s="6">
        <f t="shared" si="3"/>
        <v>5.6</v>
      </c>
      <c r="G15" s="2">
        <v>5.6</v>
      </c>
      <c r="H15" s="2">
        <v>6.3</v>
      </c>
      <c r="I15" s="2">
        <v>10.8</v>
      </c>
      <c r="J15" s="6">
        <f t="shared" si="4"/>
        <v>11.699999999999998</v>
      </c>
      <c r="M15" s="2">
        <v>21.6</v>
      </c>
      <c r="N15" s="2">
        <v>24.4</v>
      </c>
      <c r="O15" s="2">
        <v>18.899999999999999</v>
      </c>
      <c r="P15" s="2">
        <v>17.2</v>
      </c>
      <c r="Q15" s="2">
        <v>17</v>
      </c>
      <c r="R15" s="2">
        <v>22.2</v>
      </c>
      <c r="S15" s="2">
        <v>20.8</v>
      </c>
      <c r="T15" s="2">
        <v>34.4</v>
      </c>
      <c r="U15" s="2">
        <f t="shared" ref="U15:AD15" si="10">+U$9*U43</f>
        <v>45.737811000000008</v>
      </c>
      <c r="V15" s="2">
        <f t="shared" si="10"/>
        <v>52.598482650000008</v>
      </c>
      <c r="W15" s="2">
        <f t="shared" si="10"/>
        <v>57.858330915000018</v>
      </c>
      <c r="X15" s="2">
        <f t="shared" si="10"/>
        <v>63.354872351925017</v>
      </c>
      <c r="Y15" s="2">
        <f t="shared" si="10"/>
        <v>69.056810863598272</v>
      </c>
      <c r="Z15" s="2">
        <f t="shared" si="10"/>
        <v>74.92663978700412</v>
      </c>
      <c r="AA15" s="2">
        <f t="shared" si="10"/>
        <v>81.295404168899481</v>
      </c>
      <c r="AB15" s="2">
        <f t="shared" si="10"/>
        <v>88.205513523255931</v>
      </c>
      <c r="AC15" s="2">
        <f t="shared" si="10"/>
        <v>95.702982172732675</v>
      </c>
      <c r="AD15" s="2">
        <f t="shared" si="10"/>
        <v>103.83773565741495</v>
      </c>
    </row>
    <row r="16" spans="2:121" s="2" customFormat="1" x14ac:dyDescent="0.25">
      <c r="B16" s="2" t="s">
        <v>34</v>
      </c>
      <c r="C16" s="2">
        <v>1.2</v>
      </c>
      <c r="D16" s="2">
        <v>1</v>
      </c>
      <c r="E16" s="2">
        <v>1.2</v>
      </c>
      <c r="F16" s="6">
        <f t="shared" si="3"/>
        <v>1.0000000000000002</v>
      </c>
      <c r="G16" s="2">
        <v>1.1000000000000001</v>
      </c>
      <c r="H16" s="2">
        <v>1.1000000000000001</v>
      </c>
      <c r="I16" s="2">
        <v>1.9</v>
      </c>
      <c r="J16" s="6">
        <f t="shared" si="4"/>
        <v>2.8999999999999995</v>
      </c>
      <c r="M16" s="2">
        <v>6</v>
      </c>
      <c r="N16" s="2">
        <v>4.5</v>
      </c>
      <c r="O16" s="2">
        <v>5.8</v>
      </c>
      <c r="P16" s="2">
        <v>6.1</v>
      </c>
      <c r="Q16" s="2">
        <v>5</v>
      </c>
      <c r="R16" s="2">
        <v>5.3</v>
      </c>
      <c r="S16" s="2">
        <v>4.4000000000000004</v>
      </c>
      <c r="T16" s="2">
        <v>7</v>
      </c>
      <c r="U16" s="2">
        <f t="shared" ref="U16:AD16" si="11">+U$9*U44</f>
        <v>11.761151400000001</v>
      </c>
      <c r="V16" s="2">
        <f t="shared" si="11"/>
        <v>13.52532411</v>
      </c>
      <c r="W16" s="2">
        <f t="shared" si="11"/>
        <v>14.877856521000002</v>
      </c>
      <c r="X16" s="2">
        <f t="shared" si="11"/>
        <v>16.291252890495002</v>
      </c>
      <c r="Y16" s="2">
        <f t="shared" si="11"/>
        <v>17.757465650639553</v>
      </c>
      <c r="Z16" s="2">
        <f t="shared" si="11"/>
        <v>19.266850230943916</v>
      </c>
      <c r="AA16" s="2">
        <f t="shared" si="11"/>
        <v>20.904532500574149</v>
      </c>
      <c r="AB16" s="2">
        <f t="shared" si="11"/>
        <v>22.681417763122948</v>
      </c>
      <c r="AC16" s="2">
        <f t="shared" si="11"/>
        <v>24.609338272988399</v>
      </c>
      <c r="AD16" s="2">
        <f t="shared" si="11"/>
        <v>26.701132026192411</v>
      </c>
    </row>
    <row r="17" spans="2:121" s="2" customFormat="1" x14ac:dyDescent="0.25">
      <c r="B17" s="2" t="s">
        <v>35</v>
      </c>
      <c r="C17" s="2">
        <v>26.9</v>
      </c>
      <c r="D17" s="2">
        <v>26</v>
      </c>
      <c r="E17" s="2">
        <v>25.3</v>
      </c>
      <c r="F17" s="6">
        <f t="shared" si="3"/>
        <v>25.9</v>
      </c>
      <c r="G17" s="2">
        <v>23.3</v>
      </c>
      <c r="H17" s="2">
        <v>24.3</v>
      </c>
      <c r="I17" s="2">
        <v>34.799999999999997</v>
      </c>
      <c r="J17" s="6">
        <f t="shared" si="4"/>
        <v>50.600000000000009</v>
      </c>
      <c r="M17" s="2">
        <v>110.97</v>
      </c>
      <c r="N17" s="2">
        <v>105.6</v>
      </c>
      <c r="O17" s="2">
        <v>103.7</v>
      </c>
      <c r="P17" s="2">
        <v>100.5</v>
      </c>
      <c r="Q17" s="2">
        <v>100.2</v>
      </c>
      <c r="R17" s="2">
        <v>109.9</v>
      </c>
      <c r="S17" s="2">
        <v>104.1</v>
      </c>
      <c r="T17" s="2">
        <v>133</v>
      </c>
      <c r="U17" s="2">
        <f t="shared" ref="U17:AD17" si="12">+U$9*U45</f>
        <v>182.95124400000003</v>
      </c>
      <c r="V17" s="2">
        <f t="shared" si="12"/>
        <v>216.40518575999999</v>
      </c>
      <c r="W17" s="2">
        <f t="shared" si="12"/>
        <v>244.65808501200004</v>
      </c>
      <c r="X17" s="2">
        <f t="shared" si="12"/>
        <v>275.14115992836003</v>
      </c>
      <c r="Y17" s="2">
        <f t="shared" si="12"/>
        <v>307.79607127775228</v>
      </c>
      <c r="Z17" s="2">
        <f t="shared" si="12"/>
        <v>342.52178188344743</v>
      </c>
      <c r="AA17" s="2">
        <f t="shared" si="12"/>
        <v>371.63613334354045</v>
      </c>
      <c r="AB17" s="2">
        <f t="shared" si="12"/>
        <v>403.22520467774137</v>
      </c>
      <c r="AC17" s="2">
        <f t="shared" si="12"/>
        <v>437.49934707534936</v>
      </c>
      <c r="AD17" s="2">
        <f t="shared" si="12"/>
        <v>474.68679157675405</v>
      </c>
    </row>
    <row r="18" spans="2:121" s="2" customFormat="1" x14ac:dyDescent="0.25">
      <c r="B18" s="2" t="s">
        <v>36</v>
      </c>
      <c r="C18" s="2">
        <v>5.5</v>
      </c>
      <c r="D18" s="2">
        <v>5.2</v>
      </c>
      <c r="E18" s="2">
        <v>5.4</v>
      </c>
      <c r="F18" s="6">
        <f t="shared" si="3"/>
        <v>5.2999999999999972</v>
      </c>
      <c r="G18" s="2">
        <v>5.8</v>
      </c>
      <c r="H18" s="2">
        <v>12.2</v>
      </c>
      <c r="I18" s="2">
        <v>14.1</v>
      </c>
      <c r="J18" s="6">
        <f t="shared" si="4"/>
        <v>19.299999999999997</v>
      </c>
      <c r="M18" s="2">
        <v>28.6</v>
      </c>
      <c r="N18" s="2">
        <v>13.4</v>
      </c>
      <c r="O18" s="2">
        <v>24.7</v>
      </c>
      <c r="P18" s="2">
        <v>21.5</v>
      </c>
      <c r="Q18" s="2">
        <v>22.8</v>
      </c>
      <c r="R18" s="2">
        <v>26.4</v>
      </c>
      <c r="S18" s="2">
        <v>21.4</v>
      </c>
      <c r="T18" s="2">
        <v>51.4</v>
      </c>
      <c r="U18" s="2">
        <f t="shared" ref="U18:AD18" si="13">+U$9*U46</f>
        <v>71.873703000000006</v>
      </c>
      <c r="V18" s="2">
        <f t="shared" si="13"/>
        <v>84.157572240000007</v>
      </c>
      <c r="W18" s="2">
        <f t="shared" si="13"/>
        <v>94.226424633000022</v>
      </c>
      <c r="X18" s="2">
        <f t="shared" si="13"/>
        <v>103.17793497313502</v>
      </c>
      <c r="Y18" s="2">
        <f t="shared" si="13"/>
        <v>112.46394912071719</v>
      </c>
      <c r="Z18" s="2">
        <f t="shared" si="13"/>
        <v>122.02338479597815</v>
      </c>
      <c r="AA18" s="2">
        <f t="shared" si="13"/>
        <v>132.39537250363628</v>
      </c>
      <c r="AB18" s="2">
        <f t="shared" si="13"/>
        <v>143.64897916644537</v>
      </c>
      <c r="AC18" s="2">
        <f t="shared" si="13"/>
        <v>155.85914239559321</v>
      </c>
      <c r="AD18" s="2">
        <f t="shared" si="13"/>
        <v>169.10716949921863</v>
      </c>
    </row>
    <row r="19" spans="2:121" s="2" customFormat="1" x14ac:dyDescent="0.25">
      <c r="B19" s="2" t="s">
        <v>37</v>
      </c>
      <c r="C19" s="2">
        <v>-4.2</v>
      </c>
      <c r="D19" s="2">
        <v>-7.8</v>
      </c>
      <c r="E19" s="2">
        <v>-15.3</v>
      </c>
      <c r="F19" s="6">
        <f t="shared" si="3"/>
        <v>-10.099999999999998</v>
      </c>
      <c r="G19" s="2">
        <v>-4.3</v>
      </c>
      <c r="H19" s="2">
        <v>-81.7</v>
      </c>
      <c r="I19" s="2">
        <v>-6.8</v>
      </c>
      <c r="J19" s="6">
        <f t="shared" si="4"/>
        <v>-4.1000000000000059</v>
      </c>
      <c r="M19" s="2">
        <v>-35</v>
      </c>
      <c r="N19" s="2">
        <v>-9.1999999999999993</v>
      </c>
      <c r="O19" s="2">
        <v>-26.7</v>
      </c>
      <c r="P19" s="2">
        <v>-25</v>
      </c>
      <c r="Q19" s="2">
        <v>-31.3</v>
      </c>
      <c r="R19" s="2">
        <v>-14.8</v>
      </c>
      <c r="S19" s="2">
        <v>-37.4</v>
      </c>
      <c r="T19" s="2">
        <v>-96.9</v>
      </c>
      <c r="U19" s="2">
        <f t="shared" ref="U19:AD19" si="14">+U$9*U47</f>
        <v>-65.339730000000017</v>
      </c>
      <c r="V19" s="2">
        <f t="shared" si="14"/>
        <v>-37.570344750000004</v>
      </c>
      <c r="W19" s="2">
        <f t="shared" si="14"/>
        <v>-41.327379225000016</v>
      </c>
      <c r="X19" s="2">
        <f t="shared" si="14"/>
        <v>-45.253480251375009</v>
      </c>
      <c r="Y19" s="2">
        <f t="shared" si="14"/>
        <v>-49.326293473998767</v>
      </c>
      <c r="Z19" s="2">
        <f t="shared" si="14"/>
        <v>-53.519028419288659</v>
      </c>
      <c r="AA19" s="2">
        <f t="shared" si="14"/>
        <v>-58.068145834928195</v>
      </c>
      <c r="AB19" s="2">
        <f t="shared" si="14"/>
        <v>-63.003938230897091</v>
      </c>
      <c r="AC19" s="2">
        <f t="shared" si="14"/>
        <v>-68.359272980523343</v>
      </c>
      <c r="AD19" s="2">
        <f t="shared" si="14"/>
        <v>-74.169811183867822</v>
      </c>
    </row>
    <row r="20" spans="2:121" s="5" customFormat="1" x14ac:dyDescent="0.25">
      <c r="B20" s="5" t="s">
        <v>38</v>
      </c>
      <c r="C20" s="5">
        <f t="shared" ref="C20" si="15">+C9-SUM(C10:C19)</f>
        <v>18.319999999999993</v>
      </c>
      <c r="D20" s="5">
        <f t="shared" ref="D20" si="16">+D9-SUM(D10:D19)</f>
        <v>27.227999999999994</v>
      </c>
      <c r="E20" s="5">
        <f t="shared" ref="E20" si="17">+E9-SUM(E10:E19)</f>
        <v>33.169999999999973</v>
      </c>
      <c r="F20" s="5">
        <f t="shared" ref="F20" si="18">+F9-SUM(F10:F19)</f>
        <v>26.781999999999925</v>
      </c>
      <c r="G20" s="5">
        <f t="shared" ref="G20" si="19">+G9-SUM(G10:G19)</f>
        <v>22.500000000000028</v>
      </c>
      <c r="H20" s="5">
        <f t="shared" ref="H20" si="20">+H9-SUM(H10:H19)</f>
        <v>105.10000000000004</v>
      </c>
      <c r="I20" s="5">
        <f t="shared" ref="I20" si="21">+I9-SUM(I10:I19)</f>
        <v>34.789999999999992</v>
      </c>
      <c r="J20" s="5">
        <f t="shared" ref="J20" si="22">+J9-SUM(J10:J19)</f>
        <v>26.005999999999972</v>
      </c>
      <c r="M20" s="5">
        <f t="shared" ref="M20" si="23">+M9-SUM(M10:M19)</f>
        <v>116.52999999999986</v>
      </c>
      <c r="N20" s="5">
        <f t="shared" ref="N20" si="24">+N9-SUM(N10:N19)</f>
        <v>85.410000000000082</v>
      </c>
      <c r="O20" s="5">
        <f t="shared" ref="O20" si="25">+O9-SUM(O10:O19)</f>
        <v>63.399999999999977</v>
      </c>
      <c r="P20" s="5">
        <f t="shared" ref="P20" si="26">+P9-SUM(P10:P19)</f>
        <v>89.864000000000033</v>
      </c>
      <c r="Q20" s="5">
        <f t="shared" ref="Q20" si="27">+Q9-SUM(Q10:Q19)</f>
        <v>94.099999999999966</v>
      </c>
      <c r="R20" s="5">
        <f t="shared" ref="R20:U20" si="28">+R9-SUM(R10:R19)</f>
        <v>93.471999999999866</v>
      </c>
      <c r="S20" s="5">
        <f t="shared" si="28"/>
        <v>105.5</v>
      </c>
      <c r="T20" s="5">
        <f>+T9-SUM(T10:T19)</f>
        <v>188.39599999999996</v>
      </c>
      <c r="U20" s="5">
        <f t="shared" si="28"/>
        <v>184.25803859999996</v>
      </c>
      <c r="V20" s="5">
        <f t="shared" ref="V20" si="29">+V9-SUM(V10:V19)</f>
        <v>133.75042731000008</v>
      </c>
      <c r="W20" s="5">
        <f t="shared" ref="W20" si="30">+W9-SUM(W10:W19)</f>
        <v>119.02285216799987</v>
      </c>
      <c r="X20" s="5">
        <f t="shared" ref="X20" si="31">+X9-SUM(X10:X19)</f>
        <v>119.46918786363017</v>
      </c>
      <c r="Y20" s="5">
        <f t="shared" ref="Y20" si="32">+Y9-SUM(Y10:Y19)</f>
        <v>122.32920781551707</v>
      </c>
      <c r="Z20" s="5">
        <f t="shared" ref="Z20" si="33">+Z9-SUM(Z10:Z19)</f>
        <v>124.16414593274976</v>
      </c>
      <c r="AA20" s="5">
        <f t="shared" ref="AA20" si="34">+AA9-SUM(AA10:AA19)</f>
        <v>134.71809833703355</v>
      </c>
      <c r="AB20" s="5">
        <f t="shared" ref="AB20" si="35">+AB9-SUM(AB10:AB19)</f>
        <v>146.16913669568112</v>
      </c>
      <c r="AC20" s="5">
        <f t="shared" ref="AC20" si="36">+AC9-SUM(AC10:AC19)</f>
        <v>158.59351331481412</v>
      </c>
      <c r="AD20" s="5">
        <f t="shared" ref="AD20" si="37">+AD9-SUM(AD10:AD19)</f>
        <v>172.07396194657304</v>
      </c>
    </row>
    <row r="21" spans="2:121" s="2" customFormat="1" x14ac:dyDescent="0.25">
      <c r="B21" s="2" t="s">
        <v>39</v>
      </c>
      <c r="C21" s="2">
        <v>0.1</v>
      </c>
      <c r="D21" s="2">
        <v>0.2</v>
      </c>
      <c r="E21" s="2">
        <v>0.2</v>
      </c>
      <c r="F21" s="6">
        <f>+S21-E21-D21-C21</f>
        <v>9.999999999999995E-2</v>
      </c>
      <c r="G21" s="2">
        <v>0.15</v>
      </c>
      <c r="H21" s="2">
        <v>0.1</v>
      </c>
      <c r="I21" s="2">
        <f>0.5-2.3</f>
        <v>-1.7999999999999998</v>
      </c>
      <c r="J21" s="6">
        <f>+T21-I21-H21-G21</f>
        <v>-5.7000000000000011</v>
      </c>
      <c r="M21" s="2">
        <v>0.2</v>
      </c>
      <c r="N21" s="2">
        <v>0.5</v>
      </c>
      <c r="O21" s="2">
        <v>1</v>
      </c>
      <c r="P21" s="2">
        <v>2.13</v>
      </c>
      <c r="Q21" s="2">
        <v>4</v>
      </c>
      <c r="R21" s="2">
        <v>0.8</v>
      </c>
      <c r="S21" s="2">
        <v>0.6</v>
      </c>
      <c r="T21" s="2">
        <f>1.3-8.55</f>
        <v>-7.2500000000000009</v>
      </c>
      <c r="U21" s="2">
        <f>+T7*U49</f>
        <v>-31.689240000000005</v>
      </c>
      <c r="V21" s="2">
        <f t="shared" ref="V21:AD21" si="38">+U7*V49</f>
        <v>-24.137084469300007</v>
      </c>
      <c r="W21" s="2">
        <f t="shared" si="38"/>
        <v>-18.711223998685352</v>
      </c>
      <c r="X21" s="2">
        <f t="shared" si="38"/>
        <v>-13.745798404304283</v>
      </c>
      <c r="Y21" s="2">
        <f t="shared" si="38"/>
        <v>-8.5124906260676507</v>
      </c>
      <c r="Z21" s="2">
        <f t="shared" si="38"/>
        <v>-2.8785631251899049</v>
      </c>
      <c r="AA21" s="2">
        <f t="shared" si="38"/>
        <v>3.1250732237843084</v>
      </c>
      <c r="AB21" s="2">
        <f t="shared" si="38"/>
        <v>9.948310216044792</v>
      </c>
      <c r="AC21" s="2">
        <f t="shared" si="38"/>
        <v>10.444982268012632</v>
      </c>
      <c r="AD21" s="2">
        <f t="shared" si="38"/>
        <v>15.389358263810314</v>
      </c>
    </row>
    <row r="22" spans="2:121" s="5" customFormat="1" x14ac:dyDescent="0.25">
      <c r="B22" s="5" t="s">
        <v>40</v>
      </c>
      <c r="C22" s="5">
        <f t="shared" ref="C22" si="39">+C20+C21</f>
        <v>18.419999999999995</v>
      </c>
      <c r="D22" s="5">
        <f t="shared" ref="D22" si="40">+D20+D21</f>
        <v>27.427999999999994</v>
      </c>
      <c r="E22" s="5">
        <f t="shared" ref="E22" si="41">+E20+E21</f>
        <v>33.369999999999976</v>
      </c>
      <c r="F22" s="5">
        <f t="shared" ref="F22" si="42">+F20+F21</f>
        <v>26.881999999999927</v>
      </c>
      <c r="G22" s="5">
        <f t="shared" ref="G22" si="43">+G20+G21</f>
        <v>22.650000000000027</v>
      </c>
      <c r="H22" s="5">
        <f t="shared" ref="H22" si="44">+H20+H21</f>
        <v>105.20000000000003</v>
      </c>
      <c r="I22" s="5">
        <f t="shared" ref="I22" si="45">+I20+I21</f>
        <v>32.989999999999995</v>
      </c>
      <c r="J22" s="5">
        <f t="shared" ref="J22" si="46">+J20+J21</f>
        <v>20.305999999999969</v>
      </c>
      <c r="M22" s="5">
        <f t="shared" ref="M22" si="47">+M20+M21</f>
        <v>116.72999999999986</v>
      </c>
      <c r="N22" s="5">
        <f t="shared" ref="N22" si="48">+N20+N21</f>
        <v>85.910000000000082</v>
      </c>
      <c r="O22" s="5">
        <f t="shared" ref="O22" si="49">+O20+O21</f>
        <v>64.399999999999977</v>
      </c>
      <c r="P22" s="5">
        <f t="shared" ref="P22" si="50">+P20+P21</f>
        <v>91.994000000000028</v>
      </c>
      <c r="Q22" s="5">
        <f t="shared" ref="Q22" si="51">+Q20+Q21</f>
        <v>98.099999999999966</v>
      </c>
      <c r="R22" s="5">
        <f t="shared" ref="R22:U22" si="52">+R20+R21</f>
        <v>94.271999999999863</v>
      </c>
      <c r="S22" s="5">
        <f t="shared" si="52"/>
        <v>106.1</v>
      </c>
      <c r="T22" s="5">
        <f>+T20+T21</f>
        <v>181.14599999999996</v>
      </c>
      <c r="U22" s="5">
        <f t="shared" si="52"/>
        <v>152.56879859999995</v>
      </c>
      <c r="V22" s="5">
        <f t="shared" ref="V22" si="53">+V20+V21</f>
        <v>109.61334284070007</v>
      </c>
      <c r="W22" s="5">
        <f t="shared" ref="W22" si="54">+W20+W21</f>
        <v>100.31162816931452</v>
      </c>
      <c r="X22" s="5">
        <f t="shared" ref="X22" si="55">+X20+X21</f>
        <v>105.72338945932589</v>
      </c>
      <c r="Y22" s="5">
        <f t="shared" ref="Y22" si="56">+Y20+Y21</f>
        <v>113.81671718944942</v>
      </c>
      <c r="Z22" s="5">
        <f t="shared" ref="Z22" si="57">+Z20+Z21</f>
        <v>121.28558280755986</v>
      </c>
      <c r="AA22" s="5">
        <f t="shared" ref="AA22" si="58">+AA20+AA21</f>
        <v>137.84317156081786</v>
      </c>
      <c r="AB22" s="5">
        <f t="shared" ref="AB22" si="59">+AB20+AB21</f>
        <v>156.11744691172592</v>
      </c>
      <c r="AC22" s="5">
        <f t="shared" ref="AC22" si="60">+AC20+AC21</f>
        <v>169.03849558282676</v>
      </c>
      <c r="AD22" s="5">
        <f t="shared" ref="AD22" si="61">+AD20+AD21</f>
        <v>187.46332021038336</v>
      </c>
    </row>
    <row r="23" spans="2:121" s="2" customFormat="1" x14ac:dyDescent="0.25">
      <c r="B23" s="2" t="s">
        <v>41</v>
      </c>
      <c r="C23" s="2">
        <v>4.7</v>
      </c>
      <c r="D23" s="2">
        <v>6.8</v>
      </c>
      <c r="E23" s="2">
        <v>9</v>
      </c>
      <c r="F23" s="6">
        <f>+S23-E23-D23-C23</f>
        <v>6.3</v>
      </c>
      <c r="G23" s="2">
        <v>5.8</v>
      </c>
      <c r="H23" s="2">
        <v>28.234999999999999</v>
      </c>
      <c r="I23" s="2">
        <v>8.5</v>
      </c>
      <c r="J23" s="6">
        <f>+T23-I23-H23-G23</f>
        <v>4.9650000000000007</v>
      </c>
      <c r="M23" s="2">
        <v>43.7</v>
      </c>
      <c r="N23" s="2">
        <v>29.7</v>
      </c>
      <c r="O23" s="2">
        <v>-10.7</v>
      </c>
      <c r="P23" s="2">
        <v>19.2</v>
      </c>
      <c r="Q23" s="2">
        <v>24.2</v>
      </c>
      <c r="R23" s="2">
        <v>23.454999999999998</v>
      </c>
      <c r="S23" s="2">
        <v>26.8</v>
      </c>
      <c r="T23" s="2">
        <v>47.5</v>
      </c>
      <c r="U23" s="2">
        <f>+U22*U50</f>
        <v>38.142199649999988</v>
      </c>
      <c r="V23" s="2">
        <f t="shared" ref="V23:AD23" si="62">+V22*V50</f>
        <v>27.403335710175018</v>
      </c>
      <c r="W23" s="2">
        <f t="shared" si="62"/>
        <v>25.077907042328629</v>
      </c>
      <c r="X23" s="2">
        <f t="shared" si="62"/>
        <v>26.430847364831472</v>
      </c>
      <c r="Y23" s="2">
        <f t="shared" si="62"/>
        <v>28.454179297362355</v>
      </c>
      <c r="Z23" s="2">
        <f t="shared" si="62"/>
        <v>30.321395701889966</v>
      </c>
      <c r="AA23" s="2">
        <f t="shared" si="62"/>
        <v>34.460792890204466</v>
      </c>
      <c r="AB23" s="2">
        <f t="shared" si="62"/>
        <v>39.02936172793148</v>
      </c>
      <c r="AC23" s="2">
        <f t="shared" si="62"/>
        <v>42.259623895706689</v>
      </c>
      <c r="AD23" s="2">
        <f t="shared" si="62"/>
        <v>46.86583005259584</v>
      </c>
    </row>
    <row r="24" spans="2:121" s="5" customFormat="1" x14ac:dyDescent="0.25">
      <c r="B24" s="5" t="s">
        <v>42</v>
      </c>
      <c r="C24" s="5">
        <f t="shared" ref="C24" si="63">+C22-C23</f>
        <v>13.719999999999995</v>
      </c>
      <c r="D24" s="5">
        <f t="shared" ref="D24" si="64">+D22-D23</f>
        <v>20.627999999999993</v>
      </c>
      <c r="E24" s="5">
        <f t="shared" ref="E24" si="65">+E22-E23</f>
        <v>24.369999999999976</v>
      </c>
      <c r="F24" s="5">
        <f t="shared" ref="F24" si="66">+F22-F23</f>
        <v>20.581999999999926</v>
      </c>
      <c r="G24" s="5">
        <f t="shared" ref="G24" si="67">+G22-G23</f>
        <v>16.850000000000026</v>
      </c>
      <c r="H24" s="5">
        <f t="shared" ref="H24" si="68">+H22-H23</f>
        <v>76.965000000000032</v>
      </c>
      <c r="I24" s="5">
        <f t="shared" ref="I24" si="69">+I22-I23</f>
        <v>24.489999999999995</v>
      </c>
      <c r="J24" s="5">
        <f t="shared" ref="J24" si="70">+J22-J23</f>
        <v>15.340999999999969</v>
      </c>
      <c r="M24" s="5">
        <f t="shared" ref="M24" si="71">+M22-M23</f>
        <v>73.029999999999859</v>
      </c>
      <c r="N24" s="5">
        <f t="shared" ref="N24" si="72">+N22-N23</f>
        <v>56.210000000000079</v>
      </c>
      <c r="O24" s="5">
        <f t="shared" ref="O24" si="73">+O22-O23</f>
        <v>75.09999999999998</v>
      </c>
      <c r="P24" s="5">
        <f t="shared" ref="P24" si="74">+P22-P23</f>
        <v>72.794000000000025</v>
      </c>
      <c r="Q24" s="5">
        <f t="shared" ref="Q24" si="75">+Q22-Q23</f>
        <v>73.899999999999963</v>
      </c>
      <c r="R24" s="5">
        <f t="shared" ref="R24:U24" si="76">+R22-R23</f>
        <v>70.816999999999865</v>
      </c>
      <c r="S24" s="5">
        <f t="shared" si="76"/>
        <v>79.3</v>
      </c>
      <c r="T24" s="5">
        <f>+T22-T23</f>
        <v>133.64599999999996</v>
      </c>
      <c r="U24" s="5">
        <f t="shared" si="76"/>
        <v>114.42659894999997</v>
      </c>
      <c r="V24" s="5">
        <f t="shared" ref="V24" si="77">+V22-V23</f>
        <v>82.210007130525057</v>
      </c>
      <c r="W24" s="5">
        <f t="shared" ref="W24" si="78">+W22-W23</f>
        <v>75.233721126985884</v>
      </c>
      <c r="X24" s="5">
        <f t="shared" ref="X24" si="79">+X22-X23</f>
        <v>79.292542094494422</v>
      </c>
      <c r="Y24" s="5">
        <f t="shared" ref="Y24" si="80">+Y22-Y23</f>
        <v>85.362537892087062</v>
      </c>
      <c r="Z24" s="5">
        <f t="shared" ref="Z24" si="81">+Z22-Z23</f>
        <v>90.964187105669893</v>
      </c>
      <c r="AA24" s="5">
        <f t="shared" ref="AA24" si="82">+AA22-AA23</f>
        <v>103.38237867061341</v>
      </c>
      <c r="AB24" s="5">
        <f t="shared" ref="AB24" si="83">+AB22-AB23</f>
        <v>117.08808518379445</v>
      </c>
      <c r="AC24" s="5">
        <f t="shared" ref="AC24" si="84">+AC22-AC23</f>
        <v>126.77887168712007</v>
      </c>
      <c r="AD24" s="5">
        <f t="shared" ref="AD24" si="85">+AD22-AD23</f>
        <v>140.59749015778752</v>
      </c>
      <c r="AE24" s="5">
        <f>+AD24*(1+Dash!$C$2)</f>
        <v>139.19151525620964</v>
      </c>
      <c r="AF24" s="5">
        <f>+AE24*(1+Dash!$C$2)</f>
        <v>137.79960010364755</v>
      </c>
      <c r="AG24" s="5">
        <f>+AF24*(1+Dash!$C$2)</f>
        <v>136.42160410261107</v>
      </c>
      <c r="AH24" s="5">
        <f>+AG24*(1+Dash!$C$2)</f>
        <v>135.05738806158496</v>
      </c>
      <c r="AI24" s="5">
        <f>+AH24*(1+Dash!$C$2)</f>
        <v>133.7068141809691</v>
      </c>
      <c r="AJ24" s="5">
        <f>+AI24*(1+Dash!$C$2)</f>
        <v>132.36974603915942</v>
      </c>
      <c r="AK24" s="5">
        <f>+AJ24*(1+Dash!$C$2)</f>
        <v>131.04604857876782</v>
      </c>
      <c r="AL24" s="5">
        <f>+AK24*(1+Dash!$C$2)</f>
        <v>129.73558809298015</v>
      </c>
      <c r="AM24" s="5">
        <f>+AL24*(1+Dash!$C$2)</f>
        <v>128.43823221205034</v>
      </c>
      <c r="AN24" s="5">
        <f>+AM24*(1+Dash!$C$2)</f>
        <v>127.15384988992983</v>
      </c>
      <c r="AO24" s="5">
        <f>+AN24*(1+Dash!$C$2)</f>
        <v>125.88231139103053</v>
      </c>
      <c r="AP24" s="5">
        <f>+AO24*(1+Dash!$C$2)</f>
        <v>124.62348827712022</v>
      </c>
      <c r="AQ24" s="5">
        <f>+AP24*(1+Dash!$C$2)</f>
        <v>123.37725339434901</v>
      </c>
      <c r="AR24" s="5">
        <f>+AQ24*(1+Dash!$C$2)</f>
        <v>122.14348086040552</v>
      </c>
      <c r="AS24" s="5">
        <f>+AR24*(1+Dash!$C$2)</f>
        <v>120.92204605180146</v>
      </c>
      <c r="AT24" s="5">
        <f>+AS24*(1+Dash!$C$2)</f>
        <v>119.71282559128345</v>
      </c>
      <c r="AU24" s="5">
        <f>+AT24*(1+Dash!$C$2)</f>
        <v>118.51569733537062</v>
      </c>
      <c r="AV24" s="5">
        <f>+AU24*(1+Dash!$C$2)</f>
        <v>117.3305403620169</v>
      </c>
      <c r="AW24" s="5">
        <f>+AV24*(1+Dash!$C$2)</f>
        <v>116.15723495839673</v>
      </c>
      <c r="AX24" s="5">
        <f>+AW24*(1+Dash!$C$2)</f>
        <v>114.99566260881276</v>
      </c>
      <c r="AY24" s="5">
        <f>+AX24*(1+Dash!$C$2)</f>
        <v>113.84570598272464</v>
      </c>
      <c r="AZ24" s="5">
        <f>+AY24*(1+Dash!$C$2)</f>
        <v>112.70724892289739</v>
      </c>
      <c r="BA24" s="5">
        <f>+AZ24*(1+Dash!$C$2)</f>
        <v>111.58017643366841</v>
      </c>
      <c r="BB24" s="5">
        <f>+BA24*(1+Dash!$C$2)</f>
        <v>110.46437466933173</v>
      </c>
      <c r="BC24" s="5">
        <f>+BB24*(1+Dash!$C$2)</f>
        <v>109.35973092263842</v>
      </c>
      <c r="BD24" s="5">
        <f>+BC24*(1+Dash!$C$2)</f>
        <v>108.26613361341204</v>
      </c>
      <c r="BE24" s="5">
        <f>+BD24*(1+Dash!$C$2)</f>
        <v>107.18347227727791</v>
      </c>
      <c r="BF24" s="5">
        <f>+BE24*(1+Dash!$C$2)</f>
        <v>106.11163755450514</v>
      </c>
      <c r="BG24" s="5">
        <f>+BF24*(1+Dash!$C$2)</f>
        <v>105.05052117896008</v>
      </c>
      <c r="BH24" s="5">
        <f>+BG24*(1+Dash!$C$2)</f>
        <v>104.00001596717048</v>
      </c>
      <c r="BI24" s="5">
        <f>+BH24*(1+Dash!$C$2)</f>
        <v>102.96001580749878</v>
      </c>
      <c r="BJ24" s="5">
        <f>+BI24*(1+Dash!$C$2)</f>
        <v>101.93041564942379</v>
      </c>
      <c r="BK24" s="5">
        <f>+BJ24*(1+Dash!$C$2)</f>
        <v>100.91111149292955</v>
      </c>
      <c r="BL24" s="5">
        <f>+BK24*(1+Dash!$C$2)</f>
        <v>99.902000378000253</v>
      </c>
      <c r="BM24" s="5">
        <f>+BL24*(1+Dash!$C$2)</f>
        <v>98.902980374220249</v>
      </c>
      <c r="BN24" s="5">
        <f>+BM24*(1+Dash!$C$2)</f>
        <v>97.91395057047805</v>
      </c>
      <c r="BO24" s="5">
        <f>+BN24*(1+Dash!$C$2)</f>
        <v>96.934811064773271</v>
      </c>
      <c r="BP24" s="5">
        <f>+BO24*(1+Dash!$C$2)</f>
        <v>95.965462954125542</v>
      </c>
      <c r="BQ24" s="5">
        <f>+BP24*(1+Dash!$C$2)</f>
        <v>95.005808324584279</v>
      </c>
      <c r="BR24" s="5">
        <f>+BQ24*(1+Dash!$C$2)</f>
        <v>94.05575024133843</v>
      </c>
      <c r="BS24" s="5">
        <f>+BR24*(1+Dash!$C$2)</f>
        <v>93.115192738925046</v>
      </c>
      <c r="BT24" s="5">
        <f>+BS24*(1+Dash!$C$2)</f>
        <v>92.184040811535795</v>
      </c>
      <c r="BU24" s="5">
        <f>+BT24*(1+Dash!$C$2)</f>
        <v>91.262200403420437</v>
      </c>
      <c r="BV24" s="5">
        <f>+BU24*(1+Dash!$C$2)</f>
        <v>90.349578399386232</v>
      </c>
      <c r="BW24" s="5">
        <f>+BV24*(1+Dash!$C$2)</f>
        <v>89.44608261539237</v>
      </c>
      <c r="BX24" s="5">
        <f>+BW24*(1+Dash!$C$2)</f>
        <v>88.551621789238439</v>
      </c>
      <c r="BY24" s="5">
        <f>+BX24*(1+Dash!$C$2)</f>
        <v>87.666105571346051</v>
      </c>
      <c r="BZ24" s="5">
        <f>+BY24*(1+Dash!$C$2)</f>
        <v>86.789444515632596</v>
      </c>
      <c r="CA24" s="5">
        <f>+BZ24*(1+Dash!$C$2)</f>
        <v>85.921550070476272</v>
      </c>
      <c r="CB24" s="5">
        <f>+CA24*(1+Dash!$C$2)</f>
        <v>85.062334569771508</v>
      </c>
      <c r="CC24" s="5">
        <f>+CB24*(1+Dash!$C$2)</f>
        <v>84.211711224073795</v>
      </c>
      <c r="CD24" s="5">
        <f>+CC24*(1+Dash!$C$2)</f>
        <v>83.369594111833052</v>
      </c>
      <c r="CE24" s="5">
        <f>+CD24*(1+Dash!$C$2)</f>
        <v>82.535898170714717</v>
      </c>
      <c r="CF24" s="5">
        <f>+CE24*(1+Dash!$C$2)</f>
        <v>81.710539189007562</v>
      </c>
      <c r="CG24" s="5">
        <f>+CF24*(1+Dash!$C$2)</f>
        <v>80.893433797117481</v>
      </c>
      <c r="CH24" s="5">
        <f>+CG24*(1+Dash!$C$2)</f>
        <v>80.084499459146301</v>
      </c>
      <c r="CI24" s="5">
        <f>+CH24*(1+Dash!$C$2)</f>
        <v>79.283654464554843</v>
      </c>
      <c r="CJ24" s="5">
        <f>+CI24*(1+Dash!$C$2)</f>
        <v>78.49081791990929</v>
      </c>
      <c r="CK24" s="5">
        <f>+CJ24*(1+Dash!$C$2)</f>
        <v>77.705909740710197</v>
      </c>
      <c r="CL24" s="5">
        <f>+CK24*(1+Dash!$C$2)</f>
        <v>76.928850643303093</v>
      </c>
      <c r="CM24" s="5">
        <f>+CL24*(1+Dash!$C$2)</f>
        <v>76.159562136870065</v>
      </c>
      <c r="CN24" s="5">
        <f>+CM24*(1+Dash!$C$2)</f>
        <v>75.397966515501366</v>
      </c>
      <c r="CO24" s="5">
        <f>+CN24*(1+Dash!$C$2)</f>
        <v>74.643986850346352</v>
      </c>
      <c r="CP24" s="5">
        <f>+CO24*(1+Dash!$C$2)</f>
        <v>73.897546981842893</v>
      </c>
      <c r="CQ24" s="5">
        <f>+CP24*(1+Dash!$C$2)</f>
        <v>73.158571512024466</v>
      </c>
      <c r="CR24" s="5">
        <f>+CQ24*(1+Dash!$C$2)</f>
        <v>72.426985796904219</v>
      </c>
      <c r="CS24" s="5">
        <f>+CR24*(1+Dash!$C$2)</f>
        <v>71.702715938935171</v>
      </c>
      <c r="CT24" s="5">
        <f>+CS24*(1+Dash!$C$2)</f>
        <v>70.985688779545825</v>
      </c>
      <c r="CU24" s="5">
        <f>+CT24*(1+Dash!$C$2)</f>
        <v>70.275831891750371</v>
      </c>
      <c r="CV24" s="5">
        <f>+CU24*(1+Dash!$C$2)</f>
        <v>69.573073572832868</v>
      </c>
      <c r="CW24" s="5">
        <f>+CV24*(1+Dash!$C$2)</f>
        <v>68.877342837104536</v>
      </c>
      <c r="CX24" s="5">
        <f>+CW24*(1+Dash!$C$2)</f>
        <v>68.188569408733485</v>
      </c>
      <c r="CY24" s="5">
        <f>+CX24*(1+Dash!$C$2)</f>
        <v>67.506683714646144</v>
      </c>
      <c r="CZ24" s="5">
        <f>+CY24*(1+Dash!$C$2)</f>
        <v>66.831616877499684</v>
      </c>
      <c r="DA24" s="5">
        <f>+CZ24*(1+Dash!$C$2)</f>
        <v>66.163300708724691</v>
      </c>
      <c r="DB24" s="5">
        <f>+DA24*(1+Dash!$C$2)</f>
        <v>65.501667701637444</v>
      </c>
      <c r="DC24" s="5">
        <f>+DB24*(1+Dash!$C$2)</f>
        <v>64.846651024621067</v>
      </c>
      <c r="DD24" s="5">
        <f>+DC24*(1+Dash!$C$2)</f>
        <v>64.198184514374859</v>
      </c>
      <c r="DE24" s="5">
        <f>+DD24*(1+Dash!$C$2)</f>
        <v>63.556202669231112</v>
      </c>
      <c r="DF24" s="5">
        <f>+DE24*(1+Dash!$C$2)</f>
        <v>62.9206406425388</v>
      </c>
      <c r="DG24" s="5">
        <f>+DF24*(1+Dash!$C$2)</f>
        <v>62.29143423611341</v>
      </c>
      <c r="DH24" s="5">
        <f>+DG24*(1+Dash!$C$2)</f>
        <v>61.668519893752276</v>
      </c>
      <c r="DI24" s="5">
        <f>+DH24*(1+Dash!$C$2)</f>
        <v>61.051834694814751</v>
      </c>
      <c r="DJ24" s="5">
        <f>+DI24*(1+Dash!$C$2)</f>
        <v>60.441316347866604</v>
      </c>
      <c r="DK24" s="5">
        <f>+DJ24*(1+Dash!$C$2)</f>
        <v>59.836903184387936</v>
      </c>
      <c r="DL24" s="5">
        <f>+DK24*(1+Dash!$C$2)</f>
        <v>59.238534152544055</v>
      </c>
      <c r="DM24" s="5">
        <f>+DL24*(1+Dash!$C$2)</f>
        <v>58.646148811018612</v>
      </c>
      <c r="DN24" s="5">
        <f>+DM24*(1+Dash!$C$2)</f>
        <v>58.059687322908424</v>
      </c>
      <c r="DO24" s="5">
        <f>+DN24*(1+Dash!$C$2)</f>
        <v>57.47909044967934</v>
      </c>
      <c r="DP24" s="5">
        <f>+DO24*(1+Dash!$C$2)</f>
        <v>56.904299545182546</v>
      </c>
      <c r="DQ24" s="5">
        <f>+DP24*(1+Dash!$C$2)</f>
        <v>56.335256549730722</v>
      </c>
    </row>
    <row r="25" spans="2:121" s="2" customFormat="1" x14ac:dyDescent="0.25">
      <c r="B25" s="2" t="s">
        <v>1</v>
      </c>
      <c r="C25" s="2">
        <v>80.152000000000001</v>
      </c>
      <c r="D25" s="2">
        <v>79.900000000000006</v>
      </c>
      <c r="E25" s="2">
        <v>79.335999999999999</v>
      </c>
      <c r="F25" s="2">
        <v>79.572999999999993</v>
      </c>
      <c r="G25" s="2">
        <v>78.930000000000007</v>
      </c>
      <c r="H25" s="2">
        <v>78.933999999999997</v>
      </c>
      <c r="I25" s="2">
        <v>78.936999999999998</v>
      </c>
      <c r="J25" s="2">
        <v>78.941000000000003</v>
      </c>
      <c r="M25" s="2">
        <v>86.974000000000004</v>
      </c>
      <c r="N25" s="2">
        <v>83.296999999999997</v>
      </c>
      <c r="O25" s="2">
        <v>83.298000000000002</v>
      </c>
      <c r="P25" s="2">
        <v>82.378</v>
      </c>
      <c r="Q25" s="2">
        <v>81.98</v>
      </c>
      <c r="R25" s="2">
        <v>81.400000000000006</v>
      </c>
      <c r="S25" s="2">
        <v>79.572999999999993</v>
      </c>
      <c r="T25" s="2">
        <v>78.941000000000003</v>
      </c>
    </row>
    <row r="26" spans="2:121" s="7" customFormat="1" x14ac:dyDescent="0.25">
      <c r="B26" s="7" t="s">
        <v>43</v>
      </c>
      <c r="C26" s="7">
        <f t="shared" ref="C26" si="86">+C24/C25</f>
        <v>0.17117476794091221</v>
      </c>
      <c r="D26" s="7">
        <f t="shared" ref="D26" si="87">+D24/D25</f>
        <v>0.25817271589486845</v>
      </c>
      <c r="E26" s="7">
        <f t="shared" ref="E26" si="88">+E24/E25</f>
        <v>0.30717454875466343</v>
      </c>
      <c r="F26" s="7">
        <f t="shared" ref="F26" si="89">+F24/F25</f>
        <v>0.25865557412690143</v>
      </c>
      <c r="G26" s="7">
        <f t="shared" ref="G26" si="90">+G24/G25</f>
        <v>0.21348029899911344</v>
      </c>
      <c r="H26" s="7">
        <f t="shared" ref="H26" si="91">+H24/H25</f>
        <v>0.97505510933184725</v>
      </c>
      <c r="I26" s="7">
        <f t="shared" ref="I26" si="92">+I24/I25</f>
        <v>0.3102474124935074</v>
      </c>
      <c r="J26" s="7">
        <f t="shared" ref="J26" si="93">+J24/J25</f>
        <v>0.19433500969078132</v>
      </c>
      <c r="M26" s="7">
        <f t="shared" ref="M26" si="94">+M24/M25</f>
        <v>0.8396762250787575</v>
      </c>
      <c r="N26" s="7">
        <f t="shared" ref="N26" si="95">+N24/N25</f>
        <v>0.67481421899948479</v>
      </c>
      <c r="O26" s="7">
        <f t="shared" ref="O26" si="96">+O24/O25</f>
        <v>0.90158227088285403</v>
      </c>
      <c r="P26" s="7">
        <f t="shared" ref="P26" si="97">+P24/P25</f>
        <v>0.88365825827284017</v>
      </c>
      <c r="Q26" s="7">
        <f t="shared" ref="Q26" si="98">+Q24/Q25</f>
        <v>0.90143937545742814</v>
      </c>
      <c r="R26" s="7">
        <f t="shared" ref="R26:U26" si="99">+R24/R25</f>
        <v>0.86998771498771332</v>
      </c>
      <c r="S26" s="7">
        <f t="shared" si="99"/>
        <v>0.99656918804116978</v>
      </c>
      <c r="T26" s="7">
        <f>+T24/T25</f>
        <v>1.6929859008626691</v>
      </c>
    </row>
    <row r="27" spans="2:121" s="2" customFormat="1" x14ac:dyDescent="0.25"/>
    <row r="28" spans="2:121" s="2" customFormat="1" x14ac:dyDescent="0.25">
      <c r="B28" s="2" t="s">
        <v>44</v>
      </c>
      <c r="M28" s="2">
        <v>1.25</v>
      </c>
      <c r="N28" s="2">
        <v>0</v>
      </c>
      <c r="O28" s="2">
        <v>0.51100000000000001</v>
      </c>
      <c r="P28" s="2">
        <v>0.54</v>
      </c>
      <c r="Q28" s="2">
        <v>2.0649999999999999</v>
      </c>
      <c r="R28" s="2">
        <v>2.1</v>
      </c>
      <c r="S28" s="2">
        <v>1.1499999999999999</v>
      </c>
      <c r="T28" s="2">
        <v>1.4</v>
      </c>
    </row>
    <row r="29" spans="2:121" s="2" customFormat="1" x14ac:dyDescent="0.25">
      <c r="B29" s="2" t="s">
        <v>46</v>
      </c>
      <c r="M29" s="2">
        <f>148.8-217.3</f>
        <v>-68.5</v>
      </c>
      <c r="N29" s="2">
        <f>57.3-86.1</f>
        <v>-28.799999999999997</v>
      </c>
      <c r="O29" s="2">
        <f>147.6-184.1-86.7</f>
        <v>-123.2</v>
      </c>
      <c r="P29" s="2">
        <f>130.8-169.3</f>
        <v>-38.5</v>
      </c>
      <c r="Q29" s="2">
        <f>92.94-163.8-61.9</f>
        <v>-132.76000000000002</v>
      </c>
      <c r="R29" s="2">
        <f>93.2-204.3</f>
        <v>-111.10000000000001</v>
      </c>
      <c r="S29" s="2">
        <f>130.2-132.6</f>
        <v>-2.4000000000000057</v>
      </c>
      <c r="T29" s="2">
        <f>-160.6+172.75-675.85</f>
        <v>-663.7</v>
      </c>
    </row>
    <row r="30" spans="2:121" s="2" customFormat="1" x14ac:dyDescent="0.25">
      <c r="B30" s="2" t="s">
        <v>45</v>
      </c>
      <c r="M30" s="2">
        <v>24.6</v>
      </c>
      <c r="N30" s="2">
        <v>0</v>
      </c>
      <c r="O30" s="2">
        <v>23.3</v>
      </c>
      <c r="P30" s="2">
        <v>0</v>
      </c>
      <c r="Q30" s="2">
        <v>93.347999999999999</v>
      </c>
      <c r="R30" s="2">
        <v>0</v>
      </c>
      <c r="S30" s="2">
        <v>0</v>
      </c>
      <c r="T30" s="2">
        <v>81.5</v>
      </c>
    </row>
    <row r="31" spans="2:121" s="2" customFormat="1" x14ac:dyDescent="0.25"/>
    <row r="32" spans="2:121" s="2" customFormat="1" x14ac:dyDescent="0.25">
      <c r="B32" s="2" t="s">
        <v>48</v>
      </c>
      <c r="C32" s="2">
        <f>+C20+C17</f>
        <v>45.219999999999992</v>
      </c>
      <c r="D32" s="2">
        <f t="shared" ref="D32:AD32" si="100">+D20+D17</f>
        <v>53.227999999999994</v>
      </c>
      <c r="E32" s="2">
        <f t="shared" si="100"/>
        <v>58.46999999999997</v>
      </c>
      <c r="F32" s="2">
        <f t="shared" si="100"/>
        <v>52.681999999999924</v>
      </c>
      <c r="G32" s="2">
        <f t="shared" si="100"/>
        <v>45.800000000000026</v>
      </c>
      <c r="H32" s="2">
        <f t="shared" si="100"/>
        <v>129.40000000000003</v>
      </c>
      <c r="I32" s="2">
        <f t="shared" si="100"/>
        <v>69.589999999999989</v>
      </c>
      <c r="J32" s="2">
        <f t="shared" si="100"/>
        <v>76.60599999999998</v>
      </c>
      <c r="M32" s="2">
        <f t="shared" si="100"/>
        <v>227.49999999999986</v>
      </c>
      <c r="N32" s="2">
        <f t="shared" si="100"/>
        <v>191.01000000000008</v>
      </c>
      <c r="O32" s="2">
        <f t="shared" si="100"/>
        <v>167.09999999999997</v>
      </c>
      <c r="P32" s="2">
        <f t="shared" si="100"/>
        <v>190.36400000000003</v>
      </c>
      <c r="Q32" s="2">
        <f t="shared" si="100"/>
        <v>194.29999999999995</v>
      </c>
      <c r="R32" s="2">
        <f t="shared" si="100"/>
        <v>203.37199999999987</v>
      </c>
      <c r="S32" s="2">
        <f t="shared" si="100"/>
        <v>209.6</v>
      </c>
      <c r="T32" s="2">
        <f t="shared" si="100"/>
        <v>321.39599999999996</v>
      </c>
    </row>
    <row r="33" spans="2:30" s="2" customFormat="1" x14ac:dyDescent="0.25"/>
    <row r="34" spans="2:30" s="8" customFormat="1" x14ac:dyDescent="0.25">
      <c r="B34" s="8" t="s">
        <v>50</v>
      </c>
      <c r="C34" s="8">
        <f>+C20/C9</f>
        <v>0.1202099737532808</v>
      </c>
      <c r="D34" s="8">
        <f t="shared" ref="D34:AD34" si="101">+D20/D9</f>
        <v>0.17665836188103393</v>
      </c>
      <c r="E34" s="8">
        <f t="shared" si="101"/>
        <v>0.21736566186107453</v>
      </c>
      <c r="F34" s="8">
        <f t="shared" si="101"/>
        <v>0.18074939934670475</v>
      </c>
      <c r="G34" s="8">
        <f t="shared" si="101"/>
        <v>0.14871116986120309</v>
      </c>
      <c r="H34" s="8">
        <f t="shared" si="101"/>
        <v>0.55963791267305663</v>
      </c>
      <c r="I34" s="8">
        <f t="shared" si="101"/>
        <v>0.12697543705974668</v>
      </c>
      <c r="J34" s="8">
        <f t="shared" si="101"/>
        <v>7.3275740618642615E-2</v>
      </c>
      <c r="M34" s="8">
        <f t="shared" si="101"/>
        <v>0.15826429444519879</v>
      </c>
      <c r="N34" s="8">
        <f t="shared" si="101"/>
        <v>0.13935389133627032</v>
      </c>
      <c r="O34" s="8">
        <f t="shared" si="101"/>
        <v>0.1043965091388111</v>
      </c>
      <c r="P34" s="8">
        <f t="shared" si="101"/>
        <v>0.14712508185985598</v>
      </c>
      <c r="Q34" s="8">
        <f t="shared" si="101"/>
        <v>0.1576742627345844</v>
      </c>
      <c r="R34" s="8">
        <f t="shared" si="101"/>
        <v>0.14485898751204918</v>
      </c>
      <c r="S34" s="8">
        <f t="shared" si="101"/>
        <v>0.17371974312530875</v>
      </c>
      <c r="T34" s="8">
        <f t="shared" si="101"/>
        <v>0.19462477117674035</v>
      </c>
      <c r="U34" s="8">
        <f t="shared" si="101"/>
        <v>0.14099999999999996</v>
      </c>
      <c r="V34" s="8">
        <f t="shared" si="101"/>
        <v>8.9000000000000037E-2</v>
      </c>
      <c r="W34" s="8">
        <f t="shared" si="101"/>
        <v>7.1999999999999911E-2</v>
      </c>
      <c r="X34" s="8">
        <f t="shared" si="101"/>
        <v>6.6000000000000072E-2</v>
      </c>
      <c r="Y34" s="8">
        <f t="shared" si="101"/>
        <v>6.2000000000000062E-2</v>
      </c>
      <c r="Z34" s="8">
        <f t="shared" si="101"/>
        <v>5.8000000000000038E-2</v>
      </c>
      <c r="AA34" s="8">
        <f t="shared" si="101"/>
        <v>5.8000000000000065E-2</v>
      </c>
      <c r="AB34" s="8">
        <f t="shared" si="101"/>
        <v>5.7999999999999954E-2</v>
      </c>
      <c r="AC34" s="8">
        <f t="shared" si="101"/>
        <v>5.7999999999999989E-2</v>
      </c>
      <c r="AD34" s="8">
        <f t="shared" si="101"/>
        <v>5.7999999999999899E-2</v>
      </c>
    </row>
    <row r="35" spans="2:30" s="2" customFormat="1" x14ac:dyDescent="0.25"/>
    <row r="36" spans="2:30" s="8" customFormat="1" x14ac:dyDescent="0.25">
      <c r="B36" s="8" t="s">
        <v>49</v>
      </c>
      <c r="G36" s="8">
        <f>+G9/C9-1</f>
        <v>-7.2178477690287846E-3</v>
      </c>
      <c r="H36" s="8">
        <f t="shared" ref="H36:J36" si="102">+H9/D9-1</f>
        <v>0.2184677670507631</v>
      </c>
      <c r="I36" s="8">
        <f t="shared" si="102"/>
        <v>0.79547837483617312</v>
      </c>
      <c r="J36" s="8">
        <f t="shared" si="102"/>
        <v>1.395229867991254</v>
      </c>
      <c r="N36" s="8">
        <f>+N9/M9-1</f>
        <v>-0.16759473040880069</v>
      </c>
      <c r="O36" s="8">
        <f t="shared" ref="O36:U36" si="103">+O9/N9-1</f>
        <v>-9.1368901941589753E-3</v>
      </c>
      <c r="P36" s="8">
        <f t="shared" si="103"/>
        <v>5.763214226905955E-3</v>
      </c>
      <c r="Q36" s="8">
        <f t="shared" si="103"/>
        <v>-2.2920759659463052E-2</v>
      </c>
      <c r="R36" s="8">
        <f t="shared" si="103"/>
        <v>8.1203083109919527E-2</v>
      </c>
      <c r="S36" s="8">
        <f t="shared" si="103"/>
        <v>-5.8831916337859669E-2</v>
      </c>
      <c r="T36" s="8">
        <f t="shared" si="103"/>
        <v>0.59393380536802254</v>
      </c>
      <c r="U36" s="8">
        <v>0.35</v>
      </c>
      <c r="V36" s="8">
        <v>0.15</v>
      </c>
      <c r="W36" s="8">
        <v>0.1</v>
      </c>
      <c r="X36" s="8">
        <v>9.5000000000000001E-2</v>
      </c>
      <c r="Y36" s="8">
        <v>0.09</v>
      </c>
      <c r="Z36" s="8">
        <v>8.5000000000000006E-2</v>
      </c>
      <c r="AA36" s="8">
        <v>8.5000000000000006E-2</v>
      </c>
      <c r="AB36" s="8">
        <v>8.5000000000000006E-2</v>
      </c>
      <c r="AC36" s="8">
        <v>8.5000000000000006E-2</v>
      </c>
      <c r="AD36" s="8">
        <v>8.5000000000000006E-2</v>
      </c>
    </row>
    <row r="37" spans="2:30" s="2" customFormat="1" x14ac:dyDescent="0.25"/>
    <row r="38" spans="2:30" s="8" customFormat="1" x14ac:dyDescent="0.25">
      <c r="B38" s="8" t="s">
        <v>52</v>
      </c>
      <c r="C38" s="8">
        <f>+C10/C$9</f>
        <v>0.42506561679790028</v>
      </c>
      <c r="D38" s="8">
        <f t="shared" ref="D38:T38" si="104">+D10/D$9</f>
        <v>0.40810235648292331</v>
      </c>
      <c r="E38" s="8">
        <f t="shared" si="104"/>
        <v>0.41107470511140237</v>
      </c>
      <c r="F38" s="8">
        <f t="shared" si="104"/>
        <v>0.40216775099209046</v>
      </c>
      <c r="G38" s="8">
        <f t="shared" si="104"/>
        <v>0.38730998017184398</v>
      </c>
      <c r="H38" s="8">
        <f t="shared" si="104"/>
        <v>0.35090521831735888</v>
      </c>
      <c r="I38" s="8">
        <f t="shared" si="104"/>
        <v>0.3554874265484142</v>
      </c>
      <c r="J38" s="8">
        <f t="shared" si="104"/>
        <v>0.35051534772587678</v>
      </c>
      <c r="M38" s="8">
        <f t="shared" si="104"/>
        <v>0.37661279369822087</v>
      </c>
      <c r="N38" s="8">
        <f t="shared" si="104"/>
        <v>0.37851199216837988</v>
      </c>
      <c r="O38" s="8">
        <f t="shared" si="104"/>
        <v>0.39008727152972178</v>
      </c>
      <c r="P38" s="8">
        <f t="shared" si="104"/>
        <v>0.37311722331368702</v>
      </c>
      <c r="Q38" s="8">
        <f t="shared" si="104"/>
        <v>0.40231233243967829</v>
      </c>
      <c r="R38" s="8">
        <f t="shared" si="104"/>
        <v>0.41765980330470415</v>
      </c>
      <c r="S38" s="8">
        <f t="shared" si="104"/>
        <v>0.4116581590647127</v>
      </c>
      <c r="T38" s="8">
        <f t="shared" si="104"/>
        <v>0.35774941218765366</v>
      </c>
      <c r="U38" s="8">
        <v>0.35499999999999998</v>
      </c>
      <c r="V38" s="8">
        <v>0.375</v>
      </c>
      <c r="W38" s="8">
        <v>0.38500000000000001</v>
      </c>
      <c r="X38" s="8">
        <v>0.38500000000000001</v>
      </c>
      <c r="Y38" s="8">
        <v>0.38500000000000001</v>
      </c>
      <c r="Z38" s="8">
        <v>0.38500000000000001</v>
      </c>
      <c r="AA38" s="8">
        <v>0.38500000000000001</v>
      </c>
      <c r="AB38" s="8">
        <v>0.38500000000000001</v>
      </c>
      <c r="AC38" s="8">
        <v>0.38500000000000001</v>
      </c>
      <c r="AD38" s="8">
        <v>0.38500000000000001</v>
      </c>
    </row>
    <row r="39" spans="2:30" s="8" customFormat="1" x14ac:dyDescent="0.25">
      <c r="B39" s="8" t="s">
        <v>29</v>
      </c>
      <c r="C39" s="8">
        <f t="shared" ref="C39:T39" si="105">+C11/C$9</f>
        <v>6.5616797900262466E-3</v>
      </c>
      <c r="D39" s="8">
        <f t="shared" si="105"/>
        <v>6.4881137755631686E-3</v>
      </c>
      <c r="E39" s="8">
        <f t="shared" si="105"/>
        <v>6.5530799475753609E-3</v>
      </c>
      <c r="F39" s="8">
        <f t="shared" si="105"/>
        <v>5.3991307399508691E-3</v>
      </c>
      <c r="G39" s="8">
        <f t="shared" si="105"/>
        <v>4.6265697290152012E-3</v>
      </c>
      <c r="H39" s="8">
        <f t="shared" si="105"/>
        <v>1.650692225772098E-2</v>
      </c>
      <c r="I39" s="8">
        <f t="shared" si="105"/>
        <v>6.2046060075185226E-2</v>
      </c>
      <c r="J39" s="8">
        <f t="shared" si="105"/>
        <v>9.4391190906888009E-2</v>
      </c>
      <c r="M39" s="8">
        <f t="shared" si="105"/>
        <v>4.6855901127257911E-2</v>
      </c>
      <c r="N39" s="8">
        <f t="shared" si="105"/>
        <v>3.8342307064774026E-2</v>
      </c>
      <c r="O39" s="8">
        <f t="shared" si="105"/>
        <v>4.9398979087765527E-2</v>
      </c>
      <c r="P39" s="8">
        <f t="shared" si="105"/>
        <v>3.0615586116568436E-2</v>
      </c>
      <c r="Q39" s="8">
        <f t="shared" si="105"/>
        <v>1.3404825737265416E-2</v>
      </c>
      <c r="R39" s="8">
        <f t="shared" si="105"/>
        <v>7.1288871807110915E-3</v>
      </c>
      <c r="S39" s="8">
        <f t="shared" si="105"/>
        <v>6.2572040177836328E-3</v>
      </c>
      <c r="T39" s="8">
        <f t="shared" si="105"/>
        <v>5.609527312096331E-2</v>
      </c>
      <c r="U39" s="8">
        <v>0.05</v>
      </c>
      <c r="V39" s="8">
        <v>0.05</v>
      </c>
      <c r="W39" s="8">
        <v>0.05</v>
      </c>
      <c r="X39" s="8">
        <v>0.05</v>
      </c>
      <c r="Y39" s="8">
        <v>0.05</v>
      </c>
      <c r="Z39" s="8">
        <v>0.05</v>
      </c>
      <c r="AA39" s="8">
        <v>0.05</v>
      </c>
      <c r="AB39" s="8">
        <v>0.05</v>
      </c>
      <c r="AC39" s="8">
        <v>0.05</v>
      </c>
      <c r="AD39" s="8">
        <v>0.05</v>
      </c>
    </row>
    <row r="40" spans="2:30" s="8" customFormat="1" x14ac:dyDescent="0.25">
      <c r="B40" s="8" t="s">
        <v>30</v>
      </c>
      <c r="C40" s="8">
        <f t="shared" ref="C40:T40" si="106">+C12/C$9</f>
        <v>0.15879265091863515</v>
      </c>
      <c r="D40" s="8">
        <f t="shared" si="106"/>
        <v>0.16090522163396659</v>
      </c>
      <c r="E40" s="8">
        <f t="shared" si="106"/>
        <v>0.16579292267365664</v>
      </c>
      <c r="F40" s="8">
        <f t="shared" si="106"/>
        <v>0.17074750965094626</v>
      </c>
      <c r="G40" s="8">
        <f t="shared" si="106"/>
        <v>0.19629874421678781</v>
      </c>
      <c r="H40" s="8">
        <f t="shared" si="106"/>
        <v>0.22364217252396165</v>
      </c>
      <c r="I40" s="8">
        <f t="shared" si="106"/>
        <v>0.19489762400087593</v>
      </c>
      <c r="J40" s="8">
        <f t="shared" si="106"/>
        <v>0.19582650053817066</v>
      </c>
      <c r="M40" s="8">
        <f t="shared" si="106"/>
        <v>0.16800217302729867</v>
      </c>
      <c r="N40" s="8">
        <f>+N12/N$9</f>
        <v>0.14929025942241803</v>
      </c>
      <c r="O40" s="8">
        <f t="shared" si="106"/>
        <v>0.17190844722542403</v>
      </c>
      <c r="P40" s="8">
        <f t="shared" si="106"/>
        <v>0.1809692206941716</v>
      </c>
      <c r="Q40" s="8">
        <f t="shared" si="106"/>
        <v>0.17074396782841825</v>
      </c>
      <c r="R40" s="8">
        <f t="shared" si="106"/>
        <v>0.13343417092591847</v>
      </c>
      <c r="S40" s="8">
        <f t="shared" si="106"/>
        <v>0.16400461057138152</v>
      </c>
      <c r="T40" s="8">
        <f t="shared" si="106"/>
        <v>0.20103388856978749</v>
      </c>
      <c r="U40" s="8">
        <v>0.2</v>
      </c>
      <c r="V40" s="8">
        <v>0.2</v>
      </c>
      <c r="W40" s="8">
        <v>0.2</v>
      </c>
      <c r="X40" s="8">
        <v>0.2</v>
      </c>
      <c r="Y40" s="8">
        <v>0.2</v>
      </c>
      <c r="Z40" s="8">
        <v>0.2</v>
      </c>
      <c r="AA40" s="8">
        <v>0.2</v>
      </c>
      <c r="AB40" s="8">
        <v>0.2</v>
      </c>
      <c r="AC40" s="8">
        <v>0.2</v>
      </c>
      <c r="AD40" s="8">
        <v>0.2</v>
      </c>
    </row>
    <row r="41" spans="2:30" s="8" customFormat="1" x14ac:dyDescent="0.25">
      <c r="B41" s="8" t="s">
        <v>31</v>
      </c>
      <c r="C41" s="8">
        <f t="shared" ref="C41:T41" si="107">+C13/C$9</f>
        <v>3.7401574803149609E-2</v>
      </c>
      <c r="D41" s="8">
        <f t="shared" si="107"/>
        <v>3.6982248520710061E-2</v>
      </c>
      <c r="E41" s="8">
        <f t="shared" si="107"/>
        <v>3.5386631716906952E-2</v>
      </c>
      <c r="F41" s="8">
        <f t="shared" si="107"/>
        <v>3.1719893097211377E-2</v>
      </c>
      <c r="G41" s="8">
        <f t="shared" si="107"/>
        <v>3.3707865168539318E-2</v>
      </c>
      <c r="H41" s="8">
        <f t="shared" si="107"/>
        <v>3.2481363152289666E-2</v>
      </c>
      <c r="I41" s="8">
        <f t="shared" si="107"/>
        <v>4.4892149348516368E-2</v>
      </c>
      <c r="J41" s="8">
        <f t="shared" si="107"/>
        <v>4.3955300840222498E-2</v>
      </c>
      <c r="M41" s="8">
        <f t="shared" si="107"/>
        <v>4.617683009642809E-2</v>
      </c>
      <c r="N41" s="8">
        <f t="shared" si="107"/>
        <v>4.274759340838636E-2</v>
      </c>
      <c r="O41" s="8">
        <f t="shared" si="107"/>
        <v>4.8740326033261984E-2</v>
      </c>
      <c r="P41" s="8">
        <f t="shared" si="107"/>
        <v>4.4368041912246241E-2</v>
      </c>
      <c r="Q41" s="8">
        <f t="shared" si="107"/>
        <v>4.1052278820375342E-2</v>
      </c>
      <c r="R41" s="8">
        <f t="shared" si="107"/>
        <v>4.2773323084266554E-2</v>
      </c>
      <c r="S41" s="8">
        <f t="shared" si="107"/>
        <v>3.5402601679565292E-2</v>
      </c>
      <c r="T41" s="8">
        <f t="shared" si="107"/>
        <v>4.0392728895573951E-2</v>
      </c>
      <c r="U41" s="8">
        <v>0.04</v>
      </c>
      <c r="V41" s="8">
        <v>4.2000000000000003E-2</v>
      </c>
      <c r="W41" s="8">
        <v>4.3999999999999997E-2</v>
      </c>
      <c r="X41" s="8">
        <v>4.5999999999999999E-2</v>
      </c>
      <c r="Y41" s="8">
        <v>4.5999999999999999E-2</v>
      </c>
      <c r="Z41" s="8">
        <v>4.5999999999999999E-2</v>
      </c>
      <c r="AA41" s="8">
        <v>4.5999999999999999E-2</v>
      </c>
      <c r="AB41" s="8">
        <v>4.5999999999999999E-2</v>
      </c>
      <c r="AC41" s="8">
        <v>4.5999999999999999E-2</v>
      </c>
      <c r="AD41" s="8">
        <v>4.5999999999999999E-2</v>
      </c>
    </row>
    <row r="42" spans="2:30" s="8" customFormat="1" x14ac:dyDescent="0.25">
      <c r="B42" s="8" t="s">
        <v>32</v>
      </c>
      <c r="C42" s="8">
        <f t="shared" ref="C42:T42" si="108">+C14/C$9</f>
        <v>2.3622047244094488E-2</v>
      </c>
      <c r="D42" s="8">
        <f t="shared" si="108"/>
        <v>2.2059586836914773E-2</v>
      </c>
      <c r="E42" s="8">
        <f t="shared" si="108"/>
        <v>2.1625163826998688E-2</v>
      </c>
      <c r="F42" s="8">
        <f t="shared" si="108"/>
        <v>2.227141430229734E-2</v>
      </c>
      <c r="G42" s="8">
        <f t="shared" si="108"/>
        <v>2.1150033046926635E-2</v>
      </c>
      <c r="H42" s="8">
        <f t="shared" si="108"/>
        <v>1.8104366347177846E-2</v>
      </c>
      <c r="I42" s="8">
        <f t="shared" si="108"/>
        <v>1.5694003430782144E-2</v>
      </c>
      <c r="J42" s="8">
        <f t="shared" si="108"/>
        <v>1.5497061193668176E-2</v>
      </c>
      <c r="M42" s="8">
        <f t="shared" si="108"/>
        <v>2.4582371316039662E-2</v>
      </c>
      <c r="N42" s="8">
        <f t="shared" si="108"/>
        <v>2.5452765540871267E-2</v>
      </c>
      <c r="O42" s="8">
        <f t="shared" si="108"/>
        <v>2.7334101761896924E-2</v>
      </c>
      <c r="P42" s="8">
        <f t="shared" si="108"/>
        <v>2.6850032743942369E-2</v>
      </c>
      <c r="Q42" s="8">
        <f t="shared" si="108"/>
        <v>2.4296246648793568E-2</v>
      </c>
      <c r="R42" s="8">
        <f t="shared" si="108"/>
        <v>2.3230873660621581E-2</v>
      </c>
      <c r="S42" s="8">
        <f t="shared" si="108"/>
        <v>2.2394203853120371E-2</v>
      </c>
      <c r="T42" s="8">
        <f t="shared" si="108"/>
        <v>1.6942218769499046E-2</v>
      </c>
      <c r="U42" s="8">
        <v>2.5000000000000001E-2</v>
      </c>
      <c r="V42" s="8">
        <v>2.5000000000000001E-2</v>
      </c>
      <c r="W42" s="8">
        <v>2.5000000000000001E-2</v>
      </c>
      <c r="X42" s="8">
        <v>2.5000000000000001E-2</v>
      </c>
      <c r="Y42" s="8">
        <v>2.5000000000000001E-2</v>
      </c>
      <c r="Z42" s="8">
        <v>2.5000000000000001E-2</v>
      </c>
      <c r="AA42" s="8">
        <v>2.5000000000000001E-2</v>
      </c>
      <c r="AB42" s="8">
        <v>2.5000000000000001E-2</v>
      </c>
      <c r="AC42" s="8">
        <v>2.5000000000000001E-2</v>
      </c>
      <c r="AD42" s="8">
        <v>2.5000000000000001E-2</v>
      </c>
    </row>
    <row r="43" spans="2:30" s="8" customFormat="1" x14ac:dyDescent="0.25">
      <c r="B43" s="8" t="s">
        <v>33</v>
      </c>
      <c r="C43" s="8">
        <f t="shared" ref="C43:T43" si="109">+C15/C$9</f>
        <v>3.5433070866141732E-2</v>
      </c>
      <c r="D43" s="8">
        <f t="shared" si="109"/>
        <v>3.0494134745146895E-2</v>
      </c>
      <c r="E43" s="8">
        <f t="shared" si="109"/>
        <v>3.3420707732634336E-2</v>
      </c>
      <c r="F43" s="8">
        <f t="shared" si="109"/>
        <v>3.7793915179656086E-2</v>
      </c>
      <c r="G43" s="8">
        <f t="shared" si="109"/>
        <v>3.7012557832121609E-2</v>
      </c>
      <c r="H43" s="8">
        <f t="shared" si="109"/>
        <v>3.3546325878594248E-2</v>
      </c>
      <c r="I43" s="8">
        <f t="shared" si="109"/>
        <v>3.9417496988941203E-2</v>
      </c>
      <c r="J43" s="8">
        <f t="shared" si="109"/>
        <v>3.2966475630166858E-2</v>
      </c>
      <c r="M43" s="8">
        <f t="shared" si="109"/>
        <v>2.9335868531848434E-2</v>
      </c>
      <c r="N43" s="8">
        <f t="shared" si="109"/>
        <v>3.9810735845978135E-2</v>
      </c>
      <c r="O43" s="8">
        <f t="shared" si="109"/>
        <v>3.1121356825292278E-2</v>
      </c>
      <c r="P43" s="8">
        <f t="shared" si="109"/>
        <v>2.8159790438768827E-2</v>
      </c>
      <c r="Q43" s="8">
        <f t="shared" si="109"/>
        <v>2.848525469168901E-2</v>
      </c>
      <c r="R43" s="8">
        <f t="shared" si="109"/>
        <v>3.4404629437344833E-2</v>
      </c>
      <c r="S43" s="8">
        <f t="shared" si="109"/>
        <v>3.4249958834184094E-2</v>
      </c>
      <c r="T43" s="8">
        <f t="shared" si="109"/>
        <v>3.5537336931144345E-2</v>
      </c>
      <c r="U43" s="8">
        <v>3.5000000000000003E-2</v>
      </c>
      <c r="V43" s="8">
        <v>3.5000000000000003E-2</v>
      </c>
      <c r="W43" s="8">
        <v>3.5000000000000003E-2</v>
      </c>
      <c r="X43" s="8">
        <v>3.5000000000000003E-2</v>
      </c>
      <c r="Y43" s="8">
        <v>3.5000000000000003E-2</v>
      </c>
      <c r="Z43" s="8">
        <v>3.5000000000000003E-2</v>
      </c>
      <c r="AA43" s="8">
        <v>3.5000000000000003E-2</v>
      </c>
      <c r="AB43" s="8">
        <v>3.5000000000000003E-2</v>
      </c>
      <c r="AC43" s="8">
        <v>3.5000000000000003E-2</v>
      </c>
      <c r="AD43" s="8">
        <v>3.5000000000000003E-2</v>
      </c>
    </row>
    <row r="44" spans="2:30" s="8" customFormat="1" x14ac:dyDescent="0.25">
      <c r="B44" s="8" t="s">
        <v>34</v>
      </c>
      <c r="C44" s="8">
        <f t="shared" ref="C44:T44" si="110">+C16/C$9</f>
        <v>7.874015748031496E-3</v>
      </c>
      <c r="D44" s="8">
        <f t="shared" si="110"/>
        <v>6.4881137755631686E-3</v>
      </c>
      <c r="E44" s="8">
        <f t="shared" si="110"/>
        <v>7.8636959370904317E-3</v>
      </c>
      <c r="F44" s="8">
        <f t="shared" si="110"/>
        <v>6.7489134249385891E-3</v>
      </c>
      <c r="G44" s="8">
        <f t="shared" si="110"/>
        <v>7.2703238598810314E-3</v>
      </c>
      <c r="H44" s="8">
        <f t="shared" si="110"/>
        <v>5.8572949946751867E-3</v>
      </c>
      <c r="I44" s="8">
        <f t="shared" si="110"/>
        <v>6.9345596554618773E-3</v>
      </c>
      <c r="J44" s="8">
        <f t="shared" si="110"/>
        <v>8.1711777202977693E-3</v>
      </c>
      <c r="M44" s="8">
        <f t="shared" si="110"/>
        <v>8.1488523699578975E-3</v>
      </c>
      <c r="N44" s="8">
        <f t="shared" si="110"/>
        <v>7.3421439060205587E-3</v>
      </c>
      <c r="O44" s="8">
        <f t="shared" si="110"/>
        <v>9.550469290301334E-3</v>
      </c>
      <c r="P44" s="8">
        <f t="shared" si="110"/>
        <v>9.9869024230517349E-3</v>
      </c>
      <c r="Q44" s="8">
        <f t="shared" si="110"/>
        <v>8.3780160857908851E-3</v>
      </c>
      <c r="R44" s="8">
        <f t="shared" si="110"/>
        <v>8.2137178386453881E-3</v>
      </c>
      <c r="S44" s="8">
        <f t="shared" si="110"/>
        <v>7.2451835995389442E-3</v>
      </c>
      <c r="T44" s="8">
        <f t="shared" si="110"/>
        <v>7.2314348406398374E-3</v>
      </c>
      <c r="U44" s="8">
        <v>8.9999999999999993E-3</v>
      </c>
      <c r="V44" s="8">
        <v>8.9999999999999993E-3</v>
      </c>
      <c r="W44" s="8">
        <v>8.9999999999999993E-3</v>
      </c>
      <c r="X44" s="8">
        <v>8.9999999999999993E-3</v>
      </c>
      <c r="Y44" s="8">
        <v>8.9999999999999993E-3</v>
      </c>
      <c r="Z44" s="8">
        <v>8.9999999999999993E-3</v>
      </c>
      <c r="AA44" s="8">
        <v>8.9999999999999993E-3</v>
      </c>
      <c r="AB44" s="8">
        <v>8.9999999999999993E-3</v>
      </c>
      <c r="AC44" s="8">
        <v>8.9999999999999993E-3</v>
      </c>
      <c r="AD44" s="8">
        <v>8.9999999999999993E-3</v>
      </c>
    </row>
    <row r="45" spans="2:30" s="8" customFormat="1" x14ac:dyDescent="0.25">
      <c r="B45" s="8" t="s">
        <v>35</v>
      </c>
      <c r="C45" s="8">
        <f t="shared" ref="C45:T45" si="111">+C17/C$9</f>
        <v>0.17650918635170601</v>
      </c>
      <c r="D45" s="8">
        <f t="shared" si="111"/>
        <v>0.16869095816464239</v>
      </c>
      <c r="E45" s="8">
        <f t="shared" si="111"/>
        <v>0.16579292267365664</v>
      </c>
      <c r="F45" s="8">
        <f t="shared" si="111"/>
        <v>0.17479685770590941</v>
      </c>
      <c r="G45" s="8">
        <f t="shared" si="111"/>
        <v>0.15399867812293455</v>
      </c>
      <c r="H45" s="8">
        <f t="shared" si="111"/>
        <v>0.12939297124600638</v>
      </c>
      <c r="I45" s="8">
        <f t="shared" si="111"/>
        <v>0.12701193474214387</v>
      </c>
      <c r="J45" s="8">
        <f t="shared" si="111"/>
        <v>0.14257296298174732</v>
      </c>
      <c r="M45" s="8">
        <f t="shared" si="111"/>
        <v>0.15071302458237132</v>
      </c>
      <c r="N45" s="8">
        <f t="shared" si="111"/>
        <v>0.17229564366128242</v>
      </c>
      <c r="O45" s="8">
        <f t="shared" si="111"/>
        <v>0.17075580438004284</v>
      </c>
      <c r="P45" s="8">
        <f t="shared" si="111"/>
        <v>0.16453831041257369</v>
      </c>
      <c r="Q45" s="8">
        <f t="shared" si="111"/>
        <v>0.16789544235924936</v>
      </c>
      <c r="R45" s="8">
        <f t="shared" si="111"/>
        <v>0.17031841329568456</v>
      </c>
      <c r="S45" s="8">
        <f t="shared" si="111"/>
        <v>0.17141445743454636</v>
      </c>
      <c r="T45" s="8">
        <f t="shared" si="111"/>
        <v>0.1373972619721569</v>
      </c>
      <c r="U45" s="8">
        <v>0.14000000000000001</v>
      </c>
      <c r="V45" s="8">
        <v>0.14399999999999999</v>
      </c>
      <c r="W45" s="8">
        <v>0.14799999999999999</v>
      </c>
      <c r="X45" s="8">
        <v>0.152</v>
      </c>
      <c r="Y45" s="8">
        <v>0.156</v>
      </c>
      <c r="Z45" s="8">
        <v>0.16</v>
      </c>
      <c r="AA45" s="8">
        <v>0.16</v>
      </c>
      <c r="AB45" s="8">
        <v>0.16</v>
      </c>
      <c r="AC45" s="8">
        <v>0.16</v>
      </c>
      <c r="AD45" s="8">
        <v>0.16</v>
      </c>
    </row>
    <row r="46" spans="2:30" s="8" customFormat="1" x14ac:dyDescent="0.25">
      <c r="B46" s="8" t="s">
        <v>36</v>
      </c>
      <c r="C46" s="8">
        <f t="shared" ref="C46:T46" si="112">+C18/C$9</f>
        <v>3.6089238845144353E-2</v>
      </c>
      <c r="D46" s="8">
        <f t="shared" si="112"/>
        <v>3.3738191632928481E-2</v>
      </c>
      <c r="E46" s="8">
        <f t="shared" si="112"/>
        <v>3.5386631716906952E-2</v>
      </c>
      <c r="F46" s="8">
        <f t="shared" si="112"/>
        <v>3.5769241152174495E-2</v>
      </c>
      <c r="G46" s="8">
        <f t="shared" si="112"/>
        <v>3.8334434897554524E-2</v>
      </c>
      <c r="H46" s="8">
        <f t="shared" si="112"/>
        <v>6.4962726304579332E-2</v>
      </c>
      <c r="I46" s="8">
        <f t="shared" si="112"/>
        <v>5.1461732180006568E-2</v>
      </c>
      <c r="J46" s="8">
        <f t="shared" si="112"/>
        <v>5.4380596552326528E-2</v>
      </c>
      <c r="M46" s="8">
        <f t="shared" si="112"/>
        <v>3.8842862963465979E-2</v>
      </c>
      <c r="N46" s="8">
        <f t="shared" si="112"/>
        <v>2.1863272964594553E-2</v>
      </c>
      <c r="O46" s="8">
        <f t="shared" si="112"/>
        <v>4.0671826115593612E-2</v>
      </c>
      <c r="P46" s="8">
        <f t="shared" si="112"/>
        <v>3.5199738048461035E-2</v>
      </c>
      <c r="Q46" s="8">
        <f t="shared" si="112"/>
        <v>3.8203753351206439E-2</v>
      </c>
      <c r="R46" s="8">
        <f t="shared" si="112"/>
        <v>4.0913613384950608E-2</v>
      </c>
      <c r="S46" s="8">
        <f t="shared" si="112"/>
        <v>3.5237938415939404E-2</v>
      </c>
      <c r="T46" s="8">
        <f t="shared" si="112"/>
        <v>5.3099392972698237E-2</v>
      </c>
      <c r="U46" s="8">
        <v>5.5E-2</v>
      </c>
      <c r="V46" s="8">
        <v>5.6000000000000001E-2</v>
      </c>
      <c r="W46" s="8">
        <v>5.7000000000000002E-2</v>
      </c>
      <c r="X46" s="8">
        <v>5.7000000000000002E-2</v>
      </c>
      <c r="Y46" s="8">
        <v>5.7000000000000002E-2</v>
      </c>
      <c r="Z46" s="8">
        <v>5.7000000000000002E-2</v>
      </c>
      <c r="AA46" s="8">
        <v>5.7000000000000002E-2</v>
      </c>
      <c r="AB46" s="8">
        <v>5.7000000000000002E-2</v>
      </c>
      <c r="AC46" s="8">
        <v>5.7000000000000002E-2</v>
      </c>
      <c r="AD46" s="8">
        <v>5.7000000000000002E-2</v>
      </c>
    </row>
    <row r="47" spans="2:30" s="8" customFormat="1" x14ac:dyDescent="0.25">
      <c r="B47" s="8" t="s">
        <v>37</v>
      </c>
      <c r="C47" s="8">
        <f t="shared" ref="C47:T47" si="113">+C19/C$9</f>
        <v>-2.7559055118110236E-2</v>
      </c>
      <c r="D47" s="8">
        <f t="shared" si="113"/>
        <v>-5.0607287449392718E-2</v>
      </c>
      <c r="E47" s="8">
        <f t="shared" si="113"/>
        <v>-0.10026212319790302</v>
      </c>
      <c r="F47" s="8">
        <f t="shared" si="113"/>
        <v>-6.8164025591879715E-2</v>
      </c>
      <c r="G47" s="8">
        <f t="shared" si="113"/>
        <v>-2.8420356906807664E-2</v>
      </c>
      <c r="H47" s="8">
        <f t="shared" si="113"/>
        <v>-0.43503727369542067</v>
      </c>
      <c r="I47" s="8">
        <f t="shared" si="113"/>
        <v>-2.4818424030074088E-2</v>
      </c>
      <c r="J47" s="8">
        <f t="shared" si="113"/>
        <v>-1.1552354708007209E-2</v>
      </c>
      <c r="M47" s="8">
        <f t="shared" si="113"/>
        <v>-4.7534972158087739E-2</v>
      </c>
      <c r="N47" s="8">
        <f t="shared" si="113"/>
        <v>-1.5010605318975363E-2</v>
      </c>
      <c r="O47" s="8">
        <f t="shared" si="113"/>
        <v>-4.3965091388111312E-2</v>
      </c>
      <c r="P47" s="8">
        <f t="shared" si="113"/>
        <v>-4.0929927963326784E-2</v>
      </c>
      <c r="Q47" s="8">
        <f t="shared" si="113"/>
        <v>-5.2446380697050946E-2</v>
      </c>
      <c r="R47" s="8">
        <f t="shared" si="113"/>
        <v>-2.2936419624896558E-2</v>
      </c>
      <c r="S47" s="8">
        <f t="shared" si="113"/>
        <v>-6.1584060596081014E-2</v>
      </c>
      <c r="T47" s="8">
        <f t="shared" si="113"/>
        <v>-0.10010371943685718</v>
      </c>
      <c r="U47" s="8">
        <v>-0.05</v>
      </c>
      <c r="V47" s="8">
        <v>-2.5000000000000001E-2</v>
      </c>
      <c r="W47" s="8">
        <v>-2.5000000000000001E-2</v>
      </c>
      <c r="X47" s="8">
        <v>-2.5000000000000001E-2</v>
      </c>
      <c r="Y47" s="8">
        <v>-2.5000000000000001E-2</v>
      </c>
      <c r="Z47" s="8">
        <v>-2.5000000000000001E-2</v>
      </c>
      <c r="AA47" s="8">
        <v>-2.5000000000000001E-2</v>
      </c>
      <c r="AB47" s="8">
        <v>-2.5000000000000001E-2</v>
      </c>
      <c r="AC47" s="8">
        <v>-2.5000000000000001E-2</v>
      </c>
      <c r="AD47" s="8">
        <v>-2.5000000000000001E-2</v>
      </c>
    </row>
    <row r="48" spans="2:30" s="2" customFormat="1" x14ac:dyDescent="0.25"/>
    <row r="49" spans="2:30" s="8" customFormat="1" x14ac:dyDescent="0.25">
      <c r="B49" s="8" t="s">
        <v>47</v>
      </c>
      <c r="N49" s="8">
        <f>+N21/M7</f>
        <v>-9.0415913200723331E-3</v>
      </c>
      <c r="O49" s="8">
        <f t="shared" ref="O49:T49" si="114">+O21/N7</f>
        <v>2.7247956403269751E-2</v>
      </c>
      <c r="P49" s="8">
        <f t="shared" si="114"/>
        <v>-8.2239382239382264E-2</v>
      </c>
      <c r="Q49" s="8">
        <f t="shared" si="114"/>
        <v>5.0093926111458992E-2</v>
      </c>
      <c r="R49" s="8">
        <f t="shared" si="114"/>
        <v>-0.24999999999999978</v>
      </c>
      <c r="S49" s="8">
        <f t="shared" si="114"/>
        <v>1.5263291783261254E-2</v>
      </c>
      <c r="T49" s="8">
        <f t="shared" si="114"/>
        <v>-8.3237657864523557E-2</v>
      </c>
      <c r="U49" s="8">
        <v>6.6000000000000003E-2</v>
      </c>
      <c r="V49" s="8">
        <v>6.6000000000000003E-2</v>
      </c>
      <c r="W49" s="8">
        <v>6.6000000000000003E-2</v>
      </c>
      <c r="X49" s="8">
        <v>6.6000000000000003E-2</v>
      </c>
      <c r="Y49" s="8">
        <v>6.6000000000000003E-2</v>
      </c>
      <c r="Z49" s="8">
        <v>6.6000000000000003E-2</v>
      </c>
      <c r="AA49" s="8">
        <v>6.6000000000000003E-2</v>
      </c>
      <c r="AB49" s="8">
        <v>6.6000000000000003E-2</v>
      </c>
      <c r="AC49" s="8">
        <v>3.9E-2</v>
      </c>
      <c r="AD49" s="8">
        <v>3.9E-2</v>
      </c>
    </row>
    <row r="50" spans="2:30" s="8" customFormat="1" x14ac:dyDescent="0.25">
      <c r="B50" s="8" t="s">
        <v>51</v>
      </c>
      <c r="C50" s="8">
        <f>+C23/C22</f>
        <v>0.25515743756786108</v>
      </c>
      <c r="D50" s="8">
        <f t="shared" ref="D50:T50" si="115">+D23/D22</f>
        <v>0.24792183170482723</v>
      </c>
      <c r="E50" s="8">
        <f t="shared" si="115"/>
        <v>0.26970332634102506</v>
      </c>
      <c r="F50" s="8">
        <f t="shared" si="115"/>
        <v>0.23435756268134875</v>
      </c>
      <c r="G50" s="8">
        <f t="shared" si="115"/>
        <v>0.25607064017660014</v>
      </c>
      <c r="H50" s="8">
        <f t="shared" si="115"/>
        <v>0.26839353612167294</v>
      </c>
      <c r="I50" s="8">
        <f t="shared" si="115"/>
        <v>0.25765383449530166</v>
      </c>
      <c r="J50" s="8">
        <f t="shared" si="115"/>
        <v>0.24450901211464632</v>
      </c>
      <c r="M50" s="8">
        <f t="shared" si="115"/>
        <v>0.37436820011993538</v>
      </c>
      <c r="N50" s="8">
        <f t="shared" si="115"/>
        <v>0.34571062740076791</v>
      </c>
      <c r="O50" s="8">
        <f t="shared" si="115"/>
        <v>-0.1661490683229814</v>
      </c>
      <c r="P50" s="8">
        <f t="shared" si="115"/>
        <v>0.20870926364762912</v>
      </c>
      <c r="Q50" s="8">
        <f t="shared" si="115"/>
        <v>0.24668705402650365</v>
      </c>
      <c r="R50" s="8">
        <f t="shared" si="115"/>
        <v>0.24880134080108657</v>
      </c>
      <c r="S50" s="8">
        <f t="shared" si="115"/>
        <v>0.25259189443920832</v>
      </c>
      <c r="T50" s="8">
        <f t="shared" si="115"/>
        <v>0.26221942521502001</v>
      </c>
      <c r="U50" s="8">
        <v>0.25</v>
      </c>
      <c r="V50" s="8">
        <v>0.25</v>
      </c>
      <c r="W50" s="8">
        <v>0.25</v>
      </c>
      <c r="X50" s="8">
        <v>0.25</v>
      </c>
      <c r="Y50" s="8">
        <v>0.25</v>
      </c>
      <c r="Z50" s="8">
        <v>0.25</v>
      </c>
      <c r="AA50" s="8">
        <v>0.25</v>
      </c>
      <c r="AB50" s="8">
        <v>0.25</v>
      </c>
      <c r="AC50" s="8">
        <v>0.25</v>
      </c>
      <c r="AD50" s="8">
        <v>0.25</v>
      </c>
    </row>
    <row r="51" spans="2:30" s="2" customFormat="1" x14ac:dyDescent="0.25"/>
    <row r="52" spans="2:30" s="2" customFormat="1" x14ac:dyDescent="0.25"/>
    <row r="53" spans="2:30" s="2" customFormat="1" x14ac:dyDescent="0.25"/>
    <row r="54" spans="2:30" s="2" customFormat="1" x14ac:dyDescent="0.25"/>
    <row r="55" spans="2:30" s="2" customFormat="1" x14ac:dyDescent="0.25"/>
    <row r="56" spans="2:30" s="2" customFormat="1" x14ac:dyDescent="0.25"/>
    <row r="57" spans="2:30" s="2" customFormat="1" x14ac:dyDescent="0.25"/>
    <row r="58" spans="2:30" s="2" customFormat="1" x14ac:dyDescent="0.25"/>
    <row r="59" spans="2:30" s="2" customFormat="1" x14ac:dyDescent="0.25"/>
    <row r="60" spans="2:30" s="2" customFormat="1" x14ac:dyDescent="0.25"/>
    <row r="61" spans="2:30" s="2" customFormat="1" x14ac:dyDescent="0.25"/>
    <row r="62" spans="2:30" s="2" customFormat="1" x14ac:dyDescent="0.25"/>
    <row r="63" spans="2:30" s="2" customFormat="1" x14ac:dyDescent="0.25"/>
    <row r="64" spans="2:30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</sheetData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8063-0DF5-4A99-9A0D-AA815BF05A21}">
  <dimension ref="B2:C4"/>
  <sheetViews>
    <sheetView workbookViewId="0">
      <selection activeCell="C5" sqref="C5"/>
    </sheetView>
  </sheetViews>
  <sheetFormatPr defaultRowHeight="15" x14ac:dyDescent="0.25"/>
  <cols>
    <col min="2" max="2" width="18.85546875" bestFit="1" customWidth="1"/>
    <col min="3" max="6" width="10" customWidth="1"/>
  </cols>
  <sheetData>
    <row r="2" spans="2:3" x14ac:dyDescent="0.25">
      <c r="B2" t="s">
        <v>18</v>
      </c>
      <c r="C2" s="3">
        <v>-0.01</v>
      </c>
    </row>
    <row r="3" spans="2:3" x14ac:dyDescent="0.25">
      <c r="B3" t="s">
        <v>19</v>
      </c>
      <c r="C3" s="3">
        <v>8.5000000000000006E-2</v>
      </c>
    </row>
    <row r="4" spans="2:3" x14ac:dyDescent="0.25">
      <c r="B4" t="s">
        <v>8</v>
      </c>
      <c r="C4" s="2">
        <f>+NPV(C3,Model!U24:DQ24)</f>
        <v>1294.1990734380452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2023-02-12T18:42:19Z</dcterms:created>
  <dcterms:modified xsi:type="dcterms:W3CDTF">2023-03-08T21:59:05Z</dcterms:modified>
</cp:coreProperties>
</file>