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-240" yWindow="4425" windowWidth="13305" windowHeight="7860" tabRatio="901"/>
  </bookViews>
  <sheets>
    <sheet name="Opp 1" sheetId="34" r:id="rId1"/>
    <sheet name="Opp 2" sheetId="35" r:id="rId2"/>
    <sheet name="Opp 3" sheetId="36" r:id="rId3"/>
    <sheet name="Opp 4" sheetId="37" r:id="rId4"/>
    <sheet name="Opp 5" sheetId="38" r:id="rId5"/>
    <sheet name="Opp 6" sheetId="21" r:id="rId6"/>
    <sheet name="Opp 7" sheetId="22" r:id="rId7"/>
    <sheet name="Opp 8" sheetId="24" r:id="rId8"/>
    <sheet name="Opp 9" sheetId="29" r:id="rId9"/>
    <sheet name="Opp 10" sheetId="30" r:id="rId10"/>
  </sheets>
  <externalReferences>
    <externalReference r:id="rId11"/>
  </externalReferences>
  <definedNames>
    <definedName name="anscount" hidden="1">1</definedName>
    <definedName name="d_1" localSheetId="0">#REF!</definedName>
    <definedName name="d_1" localSheetId="1">#REF!</definedName>
    <definedName name="d_1" localSheetId="2">#REF!</definedName>
    <definedName name="d_1" localSheetId="3">#REF!</definedName>
    <definedName name="d_1" localSheetId="4">#REF!</definedName>
    <definedName name="d_1">'[1]Løsn kap 5'!$E$164</definedName>
    <definedName name="d_2" localSheetId="0">#REF!</definedName>
    <definedName name="d_2" localSheetId="1">#REF!</definedName>
    <definedName name="d_2" localSheetId="2">#REF!</definedName>
    <definedName name="d_2" localSheetId="3">#REF!</definedName>
    <definedName name="d_2" localSheetId="4">#REF!</definedName>
    <definedName name="d_2">'[1]Løsn kap 5'!$E$165</definedName>
    <definedName name="rente" localSheetId="0">#REF!</definedName>
    <definedName name="rente" localSheetId="1">#REF!</definedName>
    <definedName name="rente" localSheetId="2">#REF!</definedName>
    <definedName name="rente" localSheetId="3">#REF!</definedName>
    <definedName name="rente" localSheetId="4">#REF!</definedName>
    <definedName name="rente">'[1]Løsn kap 5'!$B$166</definedName>
    <definedName name="S" localSheetId="0">#REF!</definedName>
    <definedName name="S" localSheetId="1">#REF!</definedName>
    <definedName name="S" localSheetId="2">#REF!</definedName>
    <definedName name="S" localSheetId="3">#REF!</definedName>
    <definedName name="S" localSheetId="4">#REF!</definedName>
    <definedName name="S">'[1]Løsn kap 5'!$B$164</definedName>
    <definedName name="sencount" hidden="1">2</definedName>
    <definedName name="sigma" localSheetId="0">#REF!</definedName>
    <definedName name="sigma" localSheetId="1">#REF!</definedName>
    <definedName name="sigma" localSheetId="2">#REF!</definedName>
    <definedName name="sigma" localSheetId="3">#REF!</definedName>
    <definedName name="sigma" localSheetId="4">#REF!</definedName>
    <definedName name="sigma">'[1]Løsn kap 5'!$B$167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>'[1]Løsn kap 5'!$B$168</definedName>
    <definedName name="X" localSheetId="0">#REF!</definedName>
    <definedName name="X" localSheetId="1">#REF!</definedName>
    <definedName name="X" localSheetId="2">#REF!</definedName>
    <definedName name="X" localSheetId="3">#REF!</definedName>
    <definedName name="X" localSheetId="4">#REF!</definedName>
    <definedName name="X">'[1]Løsn kap 5'!$B$165</definedName>
  </definedNames>
  <calcPr calcId="152511"/>
</workbook>
</file>

<file path=xl/calcChain.xml><?xml version="1.0" encoding="utf-8"?>
<calcChain xmlns="http://schemas.openxmlformats.org/spreadsheetml/2006/main">
  <c r="B16" i="38" l="1"/>
  <c r="B17" i="38" s="1"/>
  <c r="C11" i="38"/>
  <c r="C10" i="38" s="1"/>
  <c r="D11" i="38" s="1"/>
  <c r="G9" i="38"/>
  <c r="F9" i="38"/>
  <c r="E9" i="38"/>
  <c r="D9" i="38"/>
  <c r="C9" i="38"/>
  <c r="G8" i="38"/>
  <c r="F8" i="38"/>
  <c r="E8" i="38"/>
  <c r="D8" i="38"/>
  <c r="C8" i="38"/>
  <c r="E42" i="37"/>
  <c r="C19" i="37"/>
  <c r="C20" i="37" s="1"/>
  <c r="D19" i="37" s="1"/>
  <c r="F15" i="37"/>
  <c r="E15" i="37"/>
  <c r="D15" i="37"/>
  <c r="C15" i="37"/>
  <c r="B11" i="37"/>
  <c r="C18" i="37" s="1"/>
  <c r="B10" i="37"/>
  <c r="B12" i="37" s="1"/>
  <c r="E8" i="36"/>
  <c r="H8" i="36" s="1"/>
  <c r="D8" i="36"/>
  <c r="C8" i="36"/>
  <c r="C37" i="35"/>
  <c r="C36" i="35"/>
  <c r="C35" i="35"/>
  <c r="C34" i="35"/>
  <c r="C33" i="35"/>
  <c r="C32" i="35"/>
  <c r="C31" i="35"/>
  <c r="C30" i="35"/>
  <c r="C29" i="35"/>
  <c r="C28" i="35"/>
  <c r="C27" i="35"/>
  <c r="G24" i="35"/>
  <c r="C19" i="35"/>
  <c r="C18" i="35"/>
  <c r="C17" i="35"/>
  <c r="C16" i="35"/>
  <c r="C15" i="35"/>
  <c r="C14" i="35"/>
  <c r="C13" i="35"/>
  <c r="C12" i="35"/>
  <c r="C11" i="35"/>
  <c r="C10" i="35"/>
  <c r="C9" i="35"/>
  <c r="I6" i="35"/>
  <c r="J7" i="34"/>
  <c r="I7" i="34"/>
  <c r="J6" i="34"/>
  <c r="I6" i="34"/>
  <c r="J5" i="34"/>
  <c r="I5" i="34"/>
  <c r="J4" i="34"/>
  <c r="I4" i="34"/>
  <c r="C12" i="38" l="1"/>
  <c r="C13" i="38" s="1"/>
  <c r="C16" i="38" s="1"/>
  <c r="C17" i="38" s="1"/>
  <c r="D12" i="38"/>
  <c r="D13" i="38" s="1"/>
  <c r="D17" i="37"/>
  <c r="H7" i="36"/>
  <c r="H13" i="36"/>
  <c r="H11" i="36"/>
  <c r="H3" i="36"/>
  <c r="H4" i="36"/>
  <c r="D16" i="38"/>
  <c r="D17" i="38" s="1"/>
  <c r="D10" i="38"/>
  <c r="B23" i="37"/>
  <c r="B45" i="37"/>
  <c r="D20" i="37"/>
  <c r="E19" i="37" s="1"/>
  <c r="C16" i="37"/>
  <c r="C21" i="37" s="1"/>
  <c r="C22" i="37" s="1"/>
  <c r="E17" i="37"/>
  <c r="F17" i="37"/>
  <c r="C17" i="37"/>
  <c r="D18" i="37" s="1"/>
  <c r="H9" i="36"/>
  <c r="D12" i="36"/>
  <c r="H5" i="36"/>
  <c r="H10" i="36"/>
  <c r="H12" i="36"/>
  <c r="H6" i="36"/>
  <c r="D11" i="36"/>
  <c r="C23" i="37" l="1"/>
  <c r="E11" i="38"/>
  <c r="E12" i="38" s="1"/>
  <c r="E13" i="38" s="1"/>
  <c r="E16" i="38" s="1"/>
  <c r="E20" i="37"/>
  <c r="F19" i="37" s="1"/>
  <c r="E18" i="37"/>
  <c r="D16" i="37"/>
  <c r="E17" i="38" l="1"/>
  <c r="E10" i="38"/>
  <c r="F20" i="37"/>
  <c r="G19" i="37" s="1"/>
  <c r="G20" i="37" s="1"/>
  <c r="H20" i="37" s="1"/>
  <c r="D21" i="37"/>
  <c r="D22" i="37" s="1"/>
  <c r="D23" i="37" s="1"/>
  <c r="F18" i="37"/>
  <c r="F16" i="37" s="1"/>
  <c r="E16" i="37"/>
  <c r="F11" i="38" l="1"/>
  <c r="F12" i="38" s="1"/>
  <c r="F13" i="38" s="1"/>
  <c r="F16" i="38" s="1"/>
  <c r="F21" i="37"/>
  <c r="F22" i="37" s="1"/>
  <c r="F23" i="37" s="1"/>
  <c r="E21" i="37"/>
  <c r="E22" i="37" s="1"/>
  <c r="E23" i="37"/>
  <c r="B26" i="37" l="1"/>
  <c r="F17" i="38"/>
  <c r="F10" i="38"/>
  <c r="B28" i="37"/>
  <c r="B32" i="37"/>
  <c r="B27" i="37"/>
  <c r="G11" i="38" l="1"/>
  <c r="G12" i="38" s="1"/>
  <c r="G13" i="38" s="1"/>
  <c r="G16" i="38" s="1"/>
  <c r="G17" i="38" l="1"/>
  <c r="G10" i="38"/>
  <c r="H11" i="38" l="1"/>
  <c r="H12" i="38" s="1"/>
  <c r="H13" i="38" s="1"/>
  <c r="H10" i="38" l="1"/>
  <c r="H14" i="38" s="1"/>
  <c r="H16" i="38" s="1"/>
  <c r="B13" i="30"/>
  <c r="B12" i="30"/>
  <c r="B10" i="30"/>
  <c r="H17" i="38" l="1"/>
  <c r="B19" i="38" s="1"/>
  <c r="B21" i="38"/>
  <c r="B14" i="30"/>
  <c r="E11" i="30" s="1"/>
  <c r="B7" i="24" l="1"/>
  <c r="B8" i="24" s="1"/>
  <c r="B5" i="24"/>
  <c r="E5" i="22" l="1"/>
  <c r="G9" i="22"/>
  <c r="B11" i="22"/>
  <c r="B13" i="22" s="1"/>
  <c r="B14" i="22" s="1"/>
  <c r="B12" i="22"/>
  <c r="G7" i="22" s="1"/>
  <c r="G12" i="22"/>
  <c r="G13" i="22"/>
  <c r="G14" i="22"/>
  <c r="G15" i="22"/>
  <c r="B16" i="22"/>
  <c r="I4" i="22" s="1"/>
  <c r="G16" i="22"/>
  <c r="G17" i="22"/>
  <c r="G18" i="22"/>
  <c r="G20" i="22"/>
  <c r="G21" i="22"/>
  <c r="G22" i="22"/>
  <c r="G24" i="22"/>
  <c r="G25" i="22"/>
  <c r="G26" i="22"/>
  <c r="G28" i="22"/>
  <c r="G29" i="22"/>
  <c r="G30" i="22"/>
  <c r="G32" i="22"/>
  <c r="G33" i="22"/>
  <c r="G34" i="22"/>
  <c r="G36" i="22"/>
  <c r="G37" i="22"/>
  <c r="G38" i="22"/>
  <c r="G40" i="22"/>
  <c r="G41" i="22"/>
  <c r="G42" i="22"/>
  <c r="G44" i="22"/>
  <c r="G45" i="22"/>
  <c r="G46" i="22"/>
  <c r="G48" i="22"/>
  <c r="G49" i="22"/>
  <c r="G50" i="22"/>
  <c r="G52" i="22"/>
  <c r="G53" i="22"/>
  <c r="G54" i="22"/>
  <c r="G56" i="22"/>
  <c r="G57" i="22"/>
  <c r="G58" i="22"/>
  <c r="G60" i="22"/>
  <c r="G61" i="22"/>
  <c r="G62" i="22"/>
  <c r="G64" i="22"/>
  <c r="G63" i="22" l="1"/>
  <c r="G59" i="22"/>
  <c r="G55" i="22"/>
  <c r="G51" i="22"/>
  <c r="G47" i="22"/>
  <c r="G43" i="22"/>
  <c r="G39" i="22"/>
  <c r="G35" i="22"/>
  <c r="G31" i="22"/>
  <c r="G27" i="22"/>
  <c r="G23" i="22"/>
  <c r="G19" i="22"/>
  <c r="G10" i="22"/>
  <c r="G6" i="22"/>
  <c r="G5" i="22"/>
  <c r="H5" i="22" s="1"/>
  <c r="E6" i="22" s="1"/>
  <c r="H6" i="22" s="1"/>
  <c r="E7" i="22" s="1"/>
  <c r="H7" i="22" s="1"/>
  <c r="E8" i="22" s="1"/>
  <c r="F8" i="22" s="1"/>
  <c r="I8" i="22" s="1"/>
  <c r="G11" i="22"/>
  <c r="G8" i="22"/>
  <c r="F5" i="22"/>
  <c r="I5" i="22" s="1"/>
  <c r="F6" i="22" l="1"/>
  <c r="I6" i="22" s="1"/>
  <c r="F7" i="22"/>
  <c r="I7" i="22" s="1"/>
  <c r="H8" i="22"/>
  <c r="E9" i="22" s="1"/>
  <c r="F9" i="22" s="1"/>
  <c r="I9" i="22" s="1"/>
  <c r="H9" i="22" l="1"/>
  <c r="E10" i="22" s="1"/>
  <c r="H10" i="22"/>
  <c r="E11" i="22" s="1"/>
  <c r="F10" i="22"/>
  <c r="I10" i="22" s="1"/>
  <c r="H11" i="22" l="1"/>
  <c r="E12" i="22" s="1"/>
  <c r="F11" i="22"/>
  <c r="I11" i="22" s="1"/>
  <c r="H12" i="22" l="1"/>
  <c r="E13" i="22" s="1"/>
  <c r="F12" i="22"/>
  <c r="I12" i="22" s="1"/>
  <c r="H13" i="22" l="1"/>
  <c r="E14" i="22" s="1"/>
  <c r="F13" i="22"/>
  <c r="I13" i="22" s="1"/>
  <c r="H14" i="22" l="1"/>
  <c r="E15" i="22" s="1"/>
  <c r="F14" i="22"/>
  <c r="I14" i="22" s="1"/>
  <c r="H15" i="22" l="1"/>
  <c r="E16" i="22" s="1"/>
  <c r="F15" i="22"/>
  <c r="I15" i="22" s="1"/>
  <c r="H16" i="22" l="1"/>
  <c r="E17" i="22" s="1"/>
  <c r="F16" i="22"/>
  <c r="I16" i="22" s="1"/>
  <c r="H17" i="22" l="1"/>
  <c r="E18" i="22" s="1"/>
  <c r="F17" i="22"/>
  <c r="I17" i="22" s="1"/>
  <c r="H18" i="22" l="1"/>
  <c r="E19" i="22" s="1"/>
  <c r="F18" i="22"/>
  <c r="I18" i="22" s="1"/>
  <c r="H19" i="22" l="1"/>
  <c r="E20" i="22" s="1"/>
  <c r="F19" i="22"/>
  <c r="I19" i="22" s="1"/>
  <c r="H20" i="22" l="1"/>
  <c r="E21" i="22" s="1"/>
  <c r="F20" i="22"/>
  <c r="I20" i="22" s="1"/>
  <c r="B21" i="21"/>
  <c r="B19" i="21"/>
  <c r="B18" i="21"/>
  <c r="I13" i="21"/>
  <c r="H13" i="21"/>
  <c r="G13" i="21"/>
  <c r="F13" i="21"/>
  <c r="E13" i="21"/>
  <c r="D13" i="21"/>
  <c r="C13" i="21"/>
  <c r="C11" i="21"/>
  <c r="D11" i="21" s="1"/>
  <c r="E11" i="21" s="1"/>
  <c r="F11" i="21" s="1"/>
  <c r="G11" i="21" s="1"/>
  <c r="H11" i="21" s="1"/>
  <c r="I11" i="21" s="1"/>
  <c r="I10" i="21"/>
  <c r="H10" i="21"/>
  <c r="G10" i="21"/>
  <c r="F10" i="21"/>
  <c r="E10" i="21"/>
  <c r="D10" i="21"/>
  <c r="C10" i="21"/>
  <c r="C12" i="21" l="1"/>
  <c r="C15" i="21"/>
  <c r="C16" i="21" s="1"/>
  <c r="C21" i="21" s="1"/>
  <c r="D12" i="21"/>
  <c r="H21" i="22"/>
  <c r="E22" i="22" s="1"/>
  <c r="F21" i="22"/>
  <c r="I21" i="22" s="1"/>
  <c r="D15" i="21"/>
  <c r="D16" i="21" s="1"/>
  <c r="D21" i="21" s="1"/>
  <c r="H22" i="22" l="1"/>
  <c r="E23" i="22" s="1"/>
  <c r="F22" i="22"/>
  <c r="I22" i="22" s="1"/>
  <c r="E12" i="21"/>
  <c r="H23" i="22" l="1"/>
  <c r="E24" i="22" s="1"/>
  <c r="F23" i="22"/>
  <c r="I23" i="22" s="1"/>
  <c r="F12" i="21"/>
  <c r="E15" i="21"/>
  <c r="E16" i="21" s="1"/>
  <c r="E21" i="21" s="1"/>
  <c r="H24" i="22" l="1"/>
  <c r="E25" i="22" s="1"/>
  <c r="F24" i="22"/>
  <c r="I24" i="22" s="1"/>
  <c r="F15" i="21"/>
  <c r="F16" i="21" s="1"/>
  <c r="F21" i="21" s="1"/>
  <c r="G12" i="21"/>
  <c r="H25" i="22" l="1"/>
  <c r="E26" i="22" s="1"/>
  <c r="F25" i="22"/>
  <c r="I25" i="22" s="1"/>
  <c r="G15" i="21"/>
  <c r="G16" i="21" s="1"/>
  <c r="G21" i="21" s="1"/>
  <c r="H12" i="21"/>
  <c r="I12" i="21"/>
  <c r="H26" i="22" l="1"/>
  <c r="E27" i="22" s="1"/>
  <c r="F26" i="22"/>
  <c r="I26" i="22" s="1"/>
  <c r="I15" i="21"/>
  <c r="I16" i="21" s="1"/>
  <c r="I21" i="21" s="1"/>
  <c r="H15" i="21"/>
  <c r="H16" i="21" s="1"/>
  <c r="H21" i="21" s="1"/>
  <c r="H27" i="22" l="1"/>
  <c r="E28" i="22" s="1"/>
  <c r="F27" i="22"/>
  <c r="I27" i="22" s="1"/>
  <c r="B24" i="21"/>
  <c r="H28" i="22" l="1"/>
  <c r="E29" i="22" s="1"/>
  <c r="F28" i="22"/>
  <c r="I28" i="22" s="1"/>
  <c r="H29" i="22" l="1"/>
  <c r="E30" i="22" s="1"/>
  <c r="F29" i="22"/>
  <c r="I29" i="22" s="1"/>
  <c r="H30" i="22" l="1"/>
  <c r="E31" i="22" s="1"/>
  <c r="F30" i="22"/>
  <c r="I30" i="22" s="1"/>
  <c r="H31" i="22" l="1"/>
  <c r="E32" i="22" s="1"/>
  <c r="F31" i="22"/>
  <c r="I31" i="22" s="1"/>
  <c r="H32" i="22" l="1"/>
  <c r="E33" i="22" s="1"/>
  <c r="F32" i="22"/>
  <c r="I32" i="22" s="1"/>
  <c r="H33" i="22" l="1"/>
  <c r="E34" i="22" s="1"/>
  <c r="F33" i="22"/>
  <c r="I33" i="22" s="1"/>
  <c r="H34" i="22" l="1"/>
  <c r="E35" i="22" s="1"/>
  <c r="F34" i="22"/>
  <c r="I34" i="22" s="1"/>
  <c r="H35" i="22" l="1"/>
  <c r="E36" i="22" s="1"/>
  <c r="F35" i="22"/>
  <c r="I35" i="22" s="1"/>
  <c r="H36" i="22" l="1"/>
  <c r="E37" i="22" s="1"/>
  <c r="F36" i="22"/>
  <c r="I36" i="22" s="1"/>
  <c r="H37" i="22" l="1"/>
  <c r="E38" i="22" s="1"/>
  <c r="F37" i="22"/>
  <c r="I37" i="22" s="1"/>
  <c r="H38" i="22" l="1"/>
  <c r="E39" i="22" s="1"/>
  <c r="F38" i="22"/>
  <c r="I38" i="22" s="1"/>
  <c r="H39" i="22" l="1"/>
  <c r="E40" i="22" s="1"/>
  <c r="F39" i="22"/>
  <c r="I39" i="22" s="1"/>
  <c r="H40" i="22" l="1"/>
  <c r="E41" i="22" s="1"/>
  <c r="F40" i="22"/>
  <c r="I40" i="22" s="1"/>
  <c r="H41" i="22" l="1"/>
  <c r="E42" i="22" s="1"/>
  <c r="F41" i="22"/>
  <c r="I41" i="22" s="1"/>
  <c r="H42" i="22" l="1"/>
  <c r="E43" i="22" s="1"/>
  <c r="F42" i="22"/>
  <c r="I42" i="22" s="1"/>
  <c r="H43" i="22" l="1"/>
  <c r="E44" i="22" s="1"/>
  <c r="F43" i="22"/>
  <c r="I43" i="22" s="1"/>
  <c r="H44" i="22" l="1"/>
  <c r="E45" i="22" s="1"/>
  <c r="F44" i="22"/>
  <c r="I44" i="22" s="1"/>
  <c r="H45" i="22" l="1"/>
  <c r="E46" i="22" s="1"/>
  <c r="F45" i="22"/>
  <c r="I45" i="22" s="1"/>
  <c r="H46" i="22" l="1"/>
  <c r="E47" i="22" s="1"/>
  <c r="F46" i="22"/>
  <c r="I46" i="22" s="1"/>
  <c r="H47" i="22" l="1"/>
  <c r="E48" i="22" s="1"/>
  <c r="F47" i="22"/>
  <c r="I47" i="22" s="1"/>
  <c r="H48" i="22" l="1"/>
  <c r="E49" i="22" s="1"/>
  <c r="F48" i="22"/>
  <c r="I48" i="22" s="1"/>
  <c r="H49" i="22" l="1"/>
  <c r="E50" i="22" s="1"/>
  <c r="F49" i="22"/>
  <c r="I49" i="22" s="1"/>
  <c r="H50" i="22" l="1"/>
  <c r="E51" i="22" s="1"/>
  <c r="F50" i="22"/>
  <c r="I50" i="22" s="1"/>
  <c r="H51" i="22" l="1"/>
  <c r="E52" i="22" s="1"/>
  <c r="F51" i="22"/>
  <c r="I51" i="22" s="1"/>
  <c r="H52" i="22" l="1"/>
  <c r="E53" i="22" s="1"/>
  <c r="F52" i="22"/>
  <c r="I52" i="22" s="1"/>
  <c r="H53" i="22" l="1"/>
  <c r="E54" i="22" s="1"/>
  <c r="F53" i="22"/>
  <c r="I53" i="22" s="1"/>
  <c r="H54" i="22" l="1"/>
  <c r="E55" i="22" s="1"/>
  <c r="F54" i="22"/>
  <c r="I54" i="22" s="1"/>
  <c r="H55" i="22" l="1"/>
  <c r="E56" i="22" s="1"/>
  <c r="F55" i="22"/>
  <c r="I55" i="22" s="1"/>
  <c r="H56" i="22" l="1"/>
  <c r="E57" i="22" s="1"/>
  <c r="F56" i="22"/>
  <c r="I56" i="22" s="1"/>
  <c r="H57" i="22" l="1"/>
  <c r="E58" i="22" s="1"/>
  <c r="F57" i="22"/>
  <c r="I57" i="22" s="1"/>
  <c r="H58" i="22" l="1"/>
  <c r="E59" i="22" s="1"/>
  <c r="F58" i="22"/>
  <c r="I58" i="22" s="1"/>
  <c r="H59" i="22" l="1"/>
  <c r="E60" i="22" s="1"/>
  <c r="F59" i="22"/>
  <c r="I59" i="22" s="1"/>
  <c r="F60" i="22" l="1"/>
  <c r="I60" i="22" s="1"/>
  <c r="H60" i="22"/>
  <c r="E61" i="22" s="1"/>
  <c r="H61" i="22" l="1"/>
  <c r="E62" i="22" s="1"/>
  <c r="F61" i="22"/>
  <c r="I61" i="22" s="1"/>
  <c r="H62" i="22" l="1"/>
  <c r="E63" i="22" s="1"/>
  <c r="F62" i="22"/>
  <c r="I62" i="22" s="1"/>
  <c r="H63" i="22" l="1"/>
  <c r="E64" i="22" s="1"/>
  <c r="F63" i="22"/>
  <c r="I63" i="22" s="1"/>
  <c r="F64" i="22" l="1"/>
  <c r="I64" i="22" s="1"/>
  <c r="B18" i="22" s="1"/>
  <c r="B20" i="22" s="1"/>
  <c r="H64" i="22"/>
</calcChain>
</file>

<file path=xl/sharedStrings.xml><?xml version="1.0" encoding="utf-8"?>
<sst xmlns="http://schemas.openxmlformats.org/spreadsheetml/2006/main" count="145" uniqueCount="118">
  <si>
    <t>Avskrivning</t>
  </si>
  <si>
    <t>År</t>
  </si>
  <si>
    <t>Skattesats</t>
  </si>
  <si>
    <t>Investering</t>
  </si>
  <si>
    <t>Lån</t>
  </si>
  <si>
    <t>Rentesats</t>
  </si>
  <si>
    <t>Innbetaling</t>
  </si>
  <si>
    <t xml:space="preserve">Utbetaling </t>
  </si>
  <si>
    <t>Lån IB</t>
  </si>
  <si>
    <t>Renter</t>
  </si>
  <si>
    <t>Avdrag</t>
  </si>
  <si>
    <t>Skattbart overskudd</t>
  </si>
  <si>
    <t xml:space="preserve">Skatt </t>
  </si>
  <si>
    <t>Kontantoverskudd</t>
  </si>
  <si>
    <r>
      <t xml:space="preserve"> </t>
    </r>
    <r>
      <rPr>
        <b/>
        <i/>
        <sz val="10"/>
        <rFont val="Arial"/>
        <family val="2"/>
      </rPr>
      <t>IRR</t>
    </r>
    <r>
      <rPr>
        <sz val="11"/>
        <color theme="1"/>
        <rFont val="Calibri"/>
        <family val="2"/>
        <scheme val="minor"/>
      </rPr>
      <t xml:space="preserve"> : </t>
    </r>
  </si>
  <si>
    <t xml:space="preserve">Eff. rente p.a. </t>
  </si>
  <si>
    <t>Eff. rente pr termin</t>
  </si>
  <si>
    <t>Lån utbetalt</t>
  </si>
  <si>
    <t>Terminbeløp + geb</t>
  </si>
  <si>
    <t>Terminbeløp</t>
  </si>
  <si>
    <t>Ant terminer tot</t>
  </si>
  <si>
    <t>Rente pr termin</t>
  </si>
  <si>
    <t>Termingebyr</t>
  </si>
  <si>
    <t>Etableringsgebyr</t>
  </si>
  <si>
    <t>Ant terminer pr år</t>
  </si>
  <si>
    <r>
      <t xml:space="preserve">   </t>
    </r>
    <r>
      <rPr>
        <sz val="11"/>
        <color theme="1"/>
        <rFont val="Symbol"/>
        <family val="1"/>
        <charset val="2"/>
      </rPr>
      <t>¯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Renter + avdrag + gebyr</t>
    </r>
  </si>
  <si>
    <t>Antall år</t>
  </si>
  <si>
    <t>Lån UB</t>
  </si>
  <si>
    <t>Termin</t>
  </si>
  <si>
    <t>Nom rente p.a.</t>
  </si>
  <si>
    <t>Kontantstrøm</t>
  </si>
  <si>
    <t>Nedbetalingsplan</t>
  </si>
  <si>
    <t>Etter 3 mnd</t>
  </si>
  <si>
    <t>Rente for 3 mnd:</t>
  </si>
  <si>
    <t>Rente p.a.:</t>
  </si>
  <si>
    <t>Oppgave 6</t>
  </si>
  <si>
    <t>Oppgave 7</t>
  </si>
  <si>
    <t>Nå</t>
  </si>
  <si>
    <t>Oppgave 8</t>
  </si>
  <si>
    <t>Oppgave 9</t>
  </si>
  <si>
    <t>Rente KK</t>
  </si>
  <si>
    <t>Provisjon KK</t>
  </si>
  <si>
    <t>Lånets størrelse (velges fritt)</t>
  </si>
  <si>
    <t>Rente LG</t>
  </si>
  <si>
    <t>Innskuddsrente</t>
  </si>
  <si>
    <t>Andel trekk på KK:</t>
  </si>
  <si>
    <t xml:space="preserve"> kroner</t>
  </si>
  <si>
    <t xml:space="preserve"> kr</t>
  </si>
  <si>
    <t>Rentekostnad KK</t>
  </si>
  <si>
    <t>Rentekostnad LG</t>
  </si>
  <si>
    <t>Renteinntekt</t>
  </si>
  <si>
    <t>Differanse:</t>
  </si>
  <si>
    <t>Nto kostnad LG</t>
  </si>
  <si>
    <t xml:space="preserve">  (finnes med målsøking)</t>
  </si>
  <si>
    <r>
      <t xml:space="preserve"> (kan også løses som en ligning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)</t>
    </r>
  </si>
  <si>
    <t>Oppg 3</t>
  </si>
  <si>
    <t>NPV</t>
  </si>
  <si>
    <t>IRR</t>
  </si>
  <si>
    <t>Avk.krav</t>
  </si>
  <si>
    <t>A</t>
  </si>
  <si>
    <t>B</t>
  </si>
  <si>
    <t>C</t>
  </si>
  <si>
    <t>D</t>
  </si>
  <si>
    <t>Oppg 4</t>
  </si>
  <si>
    <t xml:space="preserve">a) </t>
  </si>
  <si>
    <t>b)</t>
  </si>
  <si>
    <t>Detaljert løsning:</t>
  </si>
  <si>
    <t>Denne 3. gradsligningen har løsningene:</t>
  </si>
  <si>
    <t>Altså en reell, og to immaginære løsninger</t>
  </si>
  <si>
    <t>Oppg 5</t>
  </si>
  <si>
    <t>3-årig</t>
  </si>
  <si>
    <t>2-årig</t>
  </si>
  <si>
    <t>Prosj 2 - 3</t>
  </si>
  <si>
    <t>Prosj 2 - 3 gir to meningsløse internrenter:</t>
  </si>
  <si>
    <t>Investering:</t>
  </si>
  <si>
    <t>(tall i 1 000 000 kr)</t>
  </si>
  <si>
    <t>Avskr.sats:</t>
  </si>
  <si>
    <t>Skattesats:</t>
  </si>
  <si>
    <t>Betrakter EK :</t>
  </si>
  <si>
    <t>Serielån:</t>
  </si>
  <si>
    <t>Nom. rente lån:</t>
  </si>
  <si>
    <t>Invest</t>
  </si>
  <si>
    <t>EK</t>
  </si>
  <si>
    <t>Driftsinnbet</t>
  </si>
  <si>
    <t>Driftsutbet</t>
  </si>
  <si>
    <t>Nto dr.overskudd</t>
  </si>
  <si>
    <t>IB lån</t>
  </si>
  <si>
    <t>IB Anlegg</t>
  </si>
  <si>
    <t>Skattelette</t>
  </si>
  <si>
    <t>Skattbar inntekt</t>
  </si>
  <si>
    <t>Avk. EK</t>
  </si>
  <si>
    <t xml:space="preserve">Kont.oversk. </t>
  </si>
  <si>
    <t>Nåverdi</t>
  </si>
  <si>
    <t>Målsøking:</t>
  </si>
  <si>
    <t>Leser av avkastning for EK :</t>
  </si>
  <si>
    <t>Avkastning for totalkapitalen:</t>
  </si>
  <si>
    <t>Lånerente etter skatt  =  lånerente før skatt  (1 - skattesats)</t>
  </si>
  <si>
    <t xml:space="preserve"> =</t>
  </si>
  <si>
    <t>Avkastn. etter skatt for totalkap.  = (EK-andel)(avk. EK etter skatt) + (Andel lån)(lånerente etter skatt)</t>
  </si>
  <si>
    <t>Med 30% Saldoavskrivninger:</t>
  </si>
  <si>
    <t>Kontantstrøm (tall i $ 1 000):</t>
  </si>
  <si>
    <t>År:</t>
  </si>
  <si>
    <t>Salg</t>
  </si>
  <si>
    <t>Råvarekostnad</t>
  </si>
  <si>
    <t>Andre kostnader</t>
  </si>
  <si>
    <t>Bokf verdi UB</t>
  </si>
  <si>
    <t>Skatt på overskudd</t>
  </si>
  <si>
    <t>Skatt salgsgevinst</t>
  </si>
  <si>
    <t>Økning omløpsmidler</t>
  </si>
  <si>
    <t>Nåverdier (k=10%)</t>
  </si>
  <si>
    <t>NÅVERDI (NPV) =</t>
  </si>
  <si>
    <t>Når salgsgevinsten beskattes, taes bokført verdi</t>
  </si>
  <si>
    <t>(Internrente)</t>
  </si>
  <si>
    <t>av AN ut av saldogruppen, og det blir ingen</t>
  </si>
  <si>
    <t>avskrivninger igjen etter år 6</t>
  </si>
  <si>
    <t>Oppg 1</t>
  </si>
  <si>
    <t>Oppg 2</t>
  </si>
  <si>
    <t>Oppgave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</si>
</sst>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0.0\ %"/>
    <numFmt numFmtId="165" formatCode="0.000\ %"/>
    <numFmt numFmtId="166" formatCode="&quot;Sann&quot;;&quot;Sann&quot;;&quot;Usann&quot;"/>
    <numFmt numFmtId="167" formatCode="&quot;Ja&quot;;&quot;Ja&quot;;&quot;Nei&quot;"/>
    <numFmt numFmtId="168" formatCode="0.000"/>
    <numFmt numFmtId="169" formatCode="#,##0.0_);[Red]\(#,##0.0\)"/>
    <numFmt numFmtId="170" formatCode="#,##0.000;[Red]\-#,##0.000"/>
    <numFmt numFmtId="171" formatCode="#,##0.0;[Red]\-#,##0.0"/>
    <numFmt numFmtId="172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Times New Roman"/>
      <family val="1"/>
    </font>
    <font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72" fontId="2" fillId="0" borderId="0" applyFont="0" applyFill="0" applyBorder="0" applyAlignment="0" applyProtection="0"/>
  </cellStyleXfs>
  <cellXfs count="73">
    <xf numFmtId="0" fontId="0" fillId="0" borderId="0" xfId="0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0" fontId="7" fillId="0" borderId="0" xfId="9" applyFont="1"/>
    <xf numFmtId="0" fontId="6" fillId="0" borderId="0" xfId="9"/>
    <xf numFmtId="0" fontId="6" fillId="0" borderId="0" xfId="9" applyAlignment="1">
      <alignment horizontal="center"/>
    </xf>
    <xf numFmtId="9" fontId="0" fillId="0" borderId="0" xfId="10" applyFont="1" applyAlignment="1">
      <alignment horizontal="center"/>
    </xf>
    <xf numFmtId="38" fontId="6" fillId="0" borderId="0" xfId="9" applyNumberFormat="1" applyAlignment="1">
      <alignment horizontal="center"/>
    </xf>
    <xf numFmtId="9" fontId="6" fillId="0" borderId="0" xfId="8" applyFont="1" applyAlignment="1">
      <alignment horizontal="center"/>
    </xf>
    <xf numFmtId="38" fontId="6" fillId="0" borderId="0" xfId="9" applyNumberFormat="1"/>
    <xf numFmtId="0" fontId="8" fillId="0" borderId="0" xfId="9" applyFont="1"/>
    <xf numFmtId="0" fontId="6" fillId="0" borderId="0" xfId="9" applyAlignment="1">
      <alignment horizontal="right"/>
    </xf>
    <xf numFmtId="38" fontId="9" fillId="0" borderId="0" xfId="9" applyNumberFormat="1" applyFont="1"/>
    <xf numFmtId="38" fontId="0" fillId="0" borderId="0" xfId="10" applyNumberFormat="1" applyFont="1"/>
    <xf numFmtId="164" fontId="8" fillId="0" borderId="0" xfId="8" applyNumberFormat="1" applyFont="1" applyAlignment="1">
      <alignment horizontal="center"/>
    </xf>
    <xf numFmtId="164" fontId="7" fillId="0" borderId="0" xfId="10" applyNumberFormat="1" applyFont="1" applyAlignment="1">
      <alignment horizontal="center"/>
    </xf>
    <xf numFmtId="0" fontId="7" fillId="0" borderId="0" xfId="9" applyFont="1" applyAlignment="1">
      <alignment horizontal="right"/>
    </xf>
    <xf numFmtId="0" fontId="6" fillId="0" borderId="0" xfId="9" quotePrefix="1" applyAlignment="1">
      <alignment horizontal="right"/>
    </xf>
    <xf numFmtId="0" fontId="11" fillId="0" borderId="0" xfId="9" quotePrefix="1" applyFont="1" applyAlignment="1">
      <alignment horizontal="right"/>
    </xf>
    <xf numFmtId="0" fontId="12" fillId="0" borderId="0" xfId="9" applyFont="1" applyAlignment="1">
      <alignment horizontal="right"/>
    </xf>
    <xf numFmtId="38" fontId="8" fillId="0" borderId="0" xfId="9" applyNumberFormat="1" applyFont="1" applyAlignment="1">
      <alignment horizontal="center"/>
    </xf>
    <xf numFmtId="10" fontId="13" fillId="0" borderId="0" xfId="8" applyNumberFormat="1" applyFont="1"/>
    <xf numFmtId="165" fontId="0" fillId="0" borderId="0" xfId="8" applyNumberFormat="1" applyFont="1"/>
    <xf numFmtId="10" fontId="0" fillId="0" borderId="0" xfId="8" applyNumberFormat="1" applyFont="1"/>
    <xf numFmtId="3" fontId="0" fillId="2" borderId="1" xfId="0" applyNumberFormat="1" applyFill="1" applyBorder="1"/>
    <xf numFmtId="164" fontId="0" fillId="2" borderId="1" xfId="8" applyNumberFormat="1" applyFont="1" applyFill="1" applyBorder="1"/>
    <xf numFmtId="3" fontId="4" fillId="0" borderId="0" xfId="0" applyNumberFormat="1" applyFont="1"/>
    <xf numFmtId="9" fontId="0" fillId="0" borderId="0" xfId="8" applyFont="1"/>
    <xf numFmtId="164" fontId="0" fillId="0" borderId="0" xfId="8" applyNumberFormat="1" applyFont="1"/>
    <xf numFmtId="3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2" fontId="0" fillId="0" borderId="0" xfId="0" applyNumberFormat="1"/>
    <xf numFmtId="168" fontId="0" fillId="0" borderId="0" xfId="0" applyNumberFormat="1"/>
    <xf numFmtId="164" fontId="0" fillId="0" borderId="0" xfId="0" applyNumberFormat="1"/>
    <xf numFmtId="2" fontId="0" fillId="0" borderId="2" xfId="0" applyNumberFormat="1" applyBorder="1"/>
    <xf numFmtId="164" fontId="16" fillId="0" borderId="7" xfId="2" applyNumberFormat="1" applyFont="1" applyBorder="1" applyAlignment="1">
      <alignment horizontal="center"/>
    </xf>
    <xf numFmtId="9" fontId="16" fillId="0" borderId="0" xfId="2" applyFont="1" applyAlignment="1">
      <alignment horizontal="center"/>
    </xf>
    <xf numFmtId="164" fontId="16" fillId="0" borderId="5" xfId="2" applyNumberFormat="1" applyFont="1" applyBorder="1" applyAlignment="1">
      <alignment horizontal="center"/>
    </xf>
    <xf numFmtId="164" fontId="16" fillId="0" borderId="0" xfId="2" applyNumberFormat="1" applyFont="1" applyAlignment="1">
      <alignment horizontal="center"/>
    </xf>
    <xf numFmtId="9" fontId="16" fillId="0" borderId="0" xfId="2" applyFont="1"/>
    <xf numFmtId="164" fontId="16" fillId="0" borderId="0" xfId="2" applyNumberFormat="1" applyFont="1"/>
    <xf numFmtId="3" fontId="17" fillId="0" borderId="0" xfId="2" applyNumberFormat="1" applyFont="1"/>
    <xf numFmtId="4" fontId="17" fillId="0" borderId="0" xfId="2" applyNumberFormat="1" applyFont="1"/>
    <xf numFmtId="0" fontId="16" fillId="0" borderId="0" xfId="1" quotePrefix="1" applyFont="1" applyAlignment="1">
      <alignment horizontal="left"/>
    </xf>
    <xf numFmtId="0" fontId="16" fillId="0" borderId="0" xfId="1" applyFont="1"/>
    <xf numFmtId="164" fontId="16" fillId="0" borderId="0" xfId="1" applyNumberFormat="1" applyFont="1"/>
    <xf numFmtId="49" fontId="16" fillId="0" borderId="0" xfId="1" applyNumberFormat="1" applyFont="1"/>
    <xf numFmtId="0" fontId="16" fillId="0" borderId="3" xfId="1" applyFont="1" applyBorder="1"/>
    <xf numFmtId="0" fontId="16" fillId="0" borderId="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5" xfId="1" applyFont="1" applyBorder="1" applyAlignment="1">
      <alignment horizontal="center"/>
    </xf>
    <xf numFmtId="3" fontId="16" fillId="0" borderId="0" xfId="1" applyNumberFormat="1" applyFont="1" applyAlignment="1">
      <alignment horizontal="center"/>
    </xf>
    <xf numFmtId="169" fontId="16" fillId="0" borderId="6" xfId="1" applyNumberFormat="1" applyFont="1" applyBorder="1" applyAlignment="1">
      <alignment horizontal="center"/>
    </xf>
    <xf numFmtId="38" fontId="16" fillId="0" borderId="0" xfId="1" applyNumberFormat="1" applyFont="1" applyAlignment="1">
      <alignment horizontal="center"/>
    </xf>
    <xf numFmtId="3" fontId="16" fillId="0" borderId="0" xfId="1" applyNumberFormat="1" applyFont="1"/>
    <xf numFmtId="38" fontId="16" fillId="0" borderId="0" xfId="1" applyNumberFormat="1" applyFont="1"/>
    <xf numFmtId="38" fontId="17" fillId="0" borderId="0" xfId="1" applyNumberFormat="1" applyFont="1" applyAlignment="1">
      <alignment horizontal="center"/>
    </xf>
    <xf numFmtId="170" fontId="16" fillId="0" borderId="0" xfId="1" applyNumberFormat="1" applyFont="1"/>
    <xf numFmtId="0" fontId="17" fillId="0" borderId="0" xfId="1" applyFont="1" applyAlignment="1">
      <alignment horizontal="center"/>
    </xf>
    <xf numFmtId="171" fontId="16" fillId="0" borderId="0" xfId="1" applyNumberFormat="1" applyFont="1"/>
    <xf numFmtId="9" fontId="16" fillId="0" borderId="0" xfId="1" applyNumberFormat="1" applyFont="1"/>
    <xf numFmtId="43" fontId="16" fillId="0" borderId="0" xfId="1" applyNumberFormat="1" applyFont="1"/>
    <xf numFmtId="10" fontId="16" fillId="0" borderId="0" xfId="1" applyNumberFormat="1" applyFont="1"/>
    <xf numFmtId="0" fontId="16" fillId="0" borderId="0" xfId="1" applyFont="1" applyAlignment="1">
      <alignment horizontal="right"/>
    </xf>
    <xf numFmtId="169" fontId="16" fillId="0" borderId="0" xfId="1" applyNumberFormat="1" applyFont="1"/>
    <xf numFmtId="0" fontId="16" fillId="0" borderId="2" xfId="1" applyFont="1" applyBorder="1"/>
    <xf numFmtId="38" fontId="16" fillId="0" borderId="2" xfId="1" applyNumberFormat="1" applyFont="1" applyBorder="1"/>
    <xf numFmtId="170" fontId="16" fillId="0" borderId="1" xfId="1" applyNumberFormat="1" applyFont="1" applyBorder="1"/>
  </cellXfs>
  <cellStyles count="22">
    <cellStyle name="Komma 2" xfId="11"/>
    <cellStyle name="Komma 3" xfId="21"/>
    <cellStyle name="Normal" xfId="0" builtinId="0"/>
    <cellStyle name="Normal 2" xfId="1"/>
    <cellStyle name="Normal 2 2" xfId="4"/>
    <cellStyle name="Normal 2 3" xfId="9"/>
    <cellStyle name="Normal 3" xfId="6"/>
    <cellStyle name="Normal 4" xfId="12"/>
    <cellStyle name="Normal 5" xfId="13"/>
    <cellStyle name="Normal 6" xfId="14"/>
    <cellStyle name="Prosent" xfId="8" builtinId="5"/>
    <cellStyle name="Prosent 2" xfId="2"/>
    <cellStyle name="Prosent 2 2" xfId="5"/>
    <cellStyle name="Prosent 2 3" xfId="10"/>
    <cellStyle name="Prosent 3" xfId="7"/>
    <cellStyle name="Tusenskille 2" xfId="3"/>
    <cellStyle name="Tusenskille 3" xfId="15"/>
    <cellStyle name="Tusenskille 4" xfId="16"/>
    <cellStyle name="Tusenskille 5" xfId="17"/>
    <cellStyle name="Valuta 2" xfId="18"/>
    <cellStyle name="Valuta 3" xfId="19"/>
    <cellStyle name="Valuta 4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4423144563174"/>
          <c:y val="0.12442424310610578"/>
          <c:w val="0.83898420807982443"/>
          <c:h val="0.622121215530528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'Opp 2'!$B$9:$B$19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'Opp 2'!$C$9:$C$19</c:f>
              <c:numCache>
                <c:formatCode>#,##0_);[Red]\(#,##0\)</c:formatCode>
                <c:ptCount val="11"/>
                <c:pt idx="0">
                  <c:v>49</c:v>
                </c:pt>
                <c:pt idx="1">
                  <c:v>40.436254852547023</c:v>
                </c:pt>
                <c:pt idx="2">
                  <c:v>32.53648230642645</c:v>
                </c:pt>
                <c:pt idx="3">
                  <c:v>25.23454488783787</c:v>
                </c:pt>
                <c:pt idx="4">
                  <c:v>18.472196871859268</c:v>
                </c:pt>
                <c:pt idx="5">
                  <c:v>12.197999391497092</c:v>
                </c:pt>
                <c:pt idx="6">
                  <c:v>6.3664030891146126</c:v>
                </c:pt>
                <c:pt idx="7">
                  <c:v>0.93696975627513268</c:v>
                </c:pt>
                <c:pt idx="8">
                  <c:v>-4.1262902921723139</c:v>
                </c:pt>
                <c:pt idx="9">
                  <c:v>-8.8554841244806966</c:v>
                </c:pt>
                <c:pt idx="10">
                  <c:v>-13.279320987654316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41120"/>
        <c:axId val="369141512"/>
      </c:scatterChart>
      <c:valAx>
        <c:axId val="369141120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Avkastningskrav</a:t>
                </a:r>
              </a:p>
            </c:rich>
          </c:tx>
          <c:layout>
            <c:manualLayout>
              <c:xMode val="edge"/>
              <c:yMode val="edge"/>
              <c:x val="0.45339045588152127"/>
              <c:y val="0.801845122239348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369141512"/>
        <c:crosses val="autoZero"/>
        <c:crossBetween val="midCat"/>
        <c:majorUnit val="0.02"/>
      </c:valAx>
      <c:valAx>
        <c:axId val="369141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NPV</a:t>
                </a:r>
              </a:p>
            </c:rich>
          </c:tx>
          <c:layout>
            <c:manualLayout>
              <c:xMode val="edge"/>
              <c:yMode val="edge"/>
              <c:x val="2.2598901227739381E-2"/>
              <c:y val="0.354839508117412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369141120"/>
        <c:crosses val="autoZero"/>
        <c:crossBetween val="midCat"/>
        <c:maj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4746089868931"/>
          <c:y val="0.12121263364377724"/>
          <c:w val="0.80332888388870138"/>
          <c:h val="0.7619079829037426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'Opp 2'!$B$27:$B$37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'Opp 2'!$C$27:$C$37</c:f>
              <c:numCache>
                <c:formatCode>#\ ##0.0;[Red]\-#\ ##0.0</c:formatCode>
                <c:ptCount val="11"/>
                <c:pt idx="0">
                  <c:v>25</c:v>
                </c:pt>
                <c:pt idx="1">
                  <c:v>18.998725980203716</c:v>
                </c:pt>
                <c:pt idx="2">
                  <c:v>13.552571688666362</c:v>
                </c:pt>
                <c:pt idx="3">
                  <c:v>8.6037467170885762</c:v>
                </c:pt>
                <c:pt idx="4">
                  <c:v>4.1012548900066079</c:v>
                </c:pt>
                <c:pt idx="5">
                  <c:v>0</c:v>
                </c:pt>
                <c:pt idx="6">
                  <c:v>-3.7399781341108067</c:v>
                </c:pt>
                <c:pt idx="7">
                  <c:v>-7.1541580945284338</c:v>
                </c:pt>
                <c:pt idx="8">
                  <c:v>-10.27409897904792</c:v>
                </c:pt>
                <c:pt idx="9">
                  <c:v>-13.127924471343213</c:v>
                </c:pt>
                <c:pt idx="10">
                  <c:v>-15.740740740740762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42296"/>
        <c:axId val="369142688"/>
      </c:scatterChart>
      <c:valAx>
        <c:axId val="369142296"/>
        <c:scaling>
          <c:orientation val="minMax"/>
          <c:max val="0.2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369142688"/>
        <c:crosses val="autoZero"/>
        <c:crossBetween val="midCat"/>
      </c:valAx>
      <c:valAx>
        <c:axId val="36914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NPV</a:t>
                </a:r>
              </a:p>
            </c:rich>
          </c:tx>
          <c:layout>
            <c:manualLayout>
              <c:xMode val="edge"/>
              <c:yMode val="edge"/>
              <c:x val="2.4205766746175559E-2"/>
              <c:y val="0.41558617249295055"/>
            </c:manualLayout>
          </c:layout>
          <c:overlay val="0"/>
          <c:spPr>
            <a:noFill/>
            <a:ln w="25400">
              <a:noFill/>
            </a:ln>
          </c:spPr>
        </c:title>
        <c:numFmt formatCode="#\ ##0.0;[Red]\-#\ 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369142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55775746195169"/>
          <c:y val="0.13297872340425532"/>
          <c:w val="0.79368101773152311"/>
          <c:h val="0.7393617021276596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'Opp 3'!$G$3:$G$13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'Opp 3'!$H$3:$H$13</c:f>
              <c:numCache>
                <c:formatCode>#,##0_);[Red]\(#,##0\)</c:formatCode>
                <c:ptCount val="11"/>
                <c:pt idx="0">
                  <c:v>-696145.12471655384</c:v>
                </c:pt>
                <c:pt idx="1">
                  <c:v>272727.27272727713</c:v>
                </c:pt>
                <c:pt idx="2">
                  <c:v>1472222.2222222202</c:v>
                </c:pt>
                <c:pt idx="3">
                  <c:v>1994082.8402366899</c:v>
                </c:pt>
                <c:pt idx="4">
                  <c:v>2081632.6530612223</c:v>
                </c:pt>
                <c:pt idx="5">
                  <c:v>1888888.8888888918</c:v>
                </c:pt>
                <c:pt idx="6">
                  <c:v>1515625</c:v>
                </c:pt>
                <c:pt idx="7">
                  <c:v>1027681.6608996503</c:v>
                </c:pt>
                <c:pt idx="8">
                  <c:v>469135.80246913806</c:v>
                </c:pt>
                <c:pt idx="9">
                  <c:v>-130193.90581717342</c:v>
                </c:pt>
                <c:pt idx="10">
                  <c:v>-750000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70264"/>
        <c:axId val="490570656"/>
      </c:scatterChart>
      <c:valAx>
        <c:axId val="490570264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490570656"/>
        <c:crosses val="autoZero"/>
        <c:crossBetween val="midCat"/>
      </c:valAx>
      <c:valAx>
        <c:axId val="490570656"/>
        <c:scaling>
          <c:orientation val="minMax"/>
          <c:max val="250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490570264"/>
        <c:crosses val="autoZero"/>
        <c:crossBetween val="midCat"/>
        <c:majorUnit val="5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061703173723"/>
          <c:y val="0.11792452830188679"/>
          <c:w val="0.74942696979833379"/>
          <c:h val="0.65566037735849059"/>
        </c:manualLayout>
      </c:layout>
      <c:lineChart>
        <c:grouping val="standard"/>
        <c:varyColors val="0"/>
        <c:ser>
          <c:idx val="0"/>
          <c:order val="0"/>
          <c:tx>
            <c:v>Nåverdi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'Opp 4'!$A$26:$A$28</c:f>
              <c:numCache>
                <c:formatCode>0.00%</c:formatCode>
                <c:ptCount val="3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</c:numCache>
            </c:numRef>
          </c:cat>
          <c:val>
            <c:numRef>
              <c:f>'Opp 4'!$B$26:$B$28</c:f>
              <c:numCache>
                <c:formatCode>_(* #,##0.00_);_(* \(#,##0.00\);_(* "-"??_);_(@_)</c:formatCode>
                <c:ptCount val="3"/>
                <c:pt idx="0">
                  <c:v>0.62208208975524093</c:v>
                </c:pt>
                <c:pt idx="1">
                  <c:v>-0.13742603609853055</c:v>
                </c:pt>
                <c:pt idx="2">
                  <c:v>-0.8397102550092238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71832"/>
        <c:axId val="491859712"/>
      </c:lineChart>
      <c:catAx>
        <c:axId val="49057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Avkastningskrav</a:t>
                </a:r>
              </a:p>
            </c:rich>
          </c:tx>
          <c:layout>
            <c:manualLayout>
              <c:xMode val="edge"/>
              <c:yMode val="edge"/>
              <c:x val="0.44138030123092054"/>
              <c:y val="0.820754716981132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49185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Nåverdi</a:t>
                </a:r>
              </a:p>
            </c:rich>
          </c:tx>
          <c:layout>
            <c:manualLayout>
              <c:xMode val="edge"/>
              <c:yMode val="edge"/>
              <c:x val="3.6781691769243376E-2"/>
              <c:y val="0.320754716981132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490571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7</xdr:row>
      <xdr:rowOff>0</xdr:rowOff>
    </xdr:from>
    <xdr:to>
      <xdr:col>11</xdr:col>
      <xdr:colOff>428625</xdr:colOff>
      <xdr:row>19</xdr:row>
      <xdr:rowOff>123825</xdr:rowOff>
    </xdr:to>
    <xdr:graphicFrame macro="">
      <xdr:nvGraphicFramePr>
        <xdr:cNvPr id="2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24</xdr:row>
      <xdr:rowOff>57150</xdr:rowOff>
    </xdr:from>
    <xdr:to>
      <xdr:col>10</xdr:col>
      <xdr:colOff>552450</xdr:colOff>
      <xdr:row>37</xdr:row>
      <xdr:rowOff>152400</xdr:rowOff>
    </xdr:to>
    <xdr:graphicFrame macro="">
      <xdr:nvGraphicFramePr>
        <xdr:cNvPr id="3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40</xdr:row>
          <xdr:rowOff>104775</xdr:rowOff>
        </xdr:from>
        <xdr:to>
          <xdr:col>8</xdr:col>
          <xdr:colOff>381000</xdr:colOff>
          <xdr:row>43</xdr:row>
          <xdr:rowOff>19050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46</xdr:row>
          <xdr:rowOff>104775</xdr:rowOff>
        </xdr:from>
        <xdr:to>
          <xdr:col>4</xdr:col>
          <xdr:colOff>571500</xdr:colOff>
          <xdr:row>48</xdr:row>
          <xdr:rowOff>171450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569119</xdr:colOff>
      <xdr:row>13</xdr:row>
      <xdr:rowOff>152400</xdr:rowOff>
    </xdr:from>
    <xdr:to>
      <xdr:col>5</xdr:col>
      <xdr:colOff>838200</xdr:colOff>
      <xdr:row>24</xdr:row>
      <xdr:rowOff>161925</xdr:rowOff>
    </xdr:to>
    <xdr:graphicFrame macro="">
      <xdr:nvGraphicFramePr>
        <xdr:cNvPr id="6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23</xdr:row>
      <xdr:rowOff>133350</xdr:rowOff>
    </xdr:from>
    <xdr:to>
      <xdr:col>7</xdr:col>
      <xdr:colOff>38100</xdr:colOff>
      <xdr:row>36</xdr:row>
      <xdr:rowOff>47625</xdr:rowOff>
    </xdr:to>
    <xdr:graphicFrame macro="">
      <xdr:nvGraphicFramePr>
        <xdr:cNvPr id="7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2</xdr:row>
          <xdr:rowOff>28575</xdr:rowOff>
        </xdr:from>
        <xdr:to>
          <xdr:col>10</xdr:col>
          <xdr:colOff>314325</xdr:colOff>
          <xdr:row>8</xdr:row>
          <xdr:rowOff>19050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</xdr:row>
          <xdr:rowOff>85725</xdr:rowOff>
        </xdr:from>
        <xdr:to>
          <xdr:col>17</xdr:col>
          <xdr:colOff>419100</xdr:colOff>
          <xdr:row>9</xdr:row>
          <xdr:rowOff>114300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-dokument2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-dok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zoomScale="80" zoomScaleNormal="80" workbookViewId="0">
      <selection activeCell="B1" sqref="B1"/>
    </sheetView>
  </sheetViews>
  <sheetFormatPr baseColWidth="10" defaultRowHeight="15" x14ac:dyDescent="0.2"/>
  <cols>
    <col min="1" max="1" width="16.5703125" style="47" customWidth="1"/>
    <col min="2" max="2" width="14.42578125" style="47" customWidth="1"/>
    <col min="3" max="3" width="14.140625" style="47" customWidth="1"/>
    <col min="4" max="4" width="14.28515625" style="47" customWidth="1"/>
    <col min="5" max="5" width="13.140625" style="47" customWidth="1"/>
    <col min="6" max="6" width="13.28515625" style="47" customWidth="1"/>
    <col min="7" max="7" width="15.42578125" style="47" customWidth="1"/>
    <col min="8" max="8" width="11" style="47" customWidth="1"/>
    <col min="9" max="9" width="12.7109375" style="47" customWidth="1"/>
    <col min="10" max="10" width="11.85546875" style="47" customWidth="1"/>
    <col min="11" max="207" width="8.7109375" style="47" customWidth="1"/>
    <col min="208" max="16384" width="11.42578125" style="47"/>
  </cols>
  <sheetData>
    <row r="2" spans="1:12" x14ac:dyDescent="0.2">
      <c r="A2" s="49" t="s">
        <v>115</v>
      </c>
    </row>
    <row r="3" spans="1:12" x14ac:dyDescent="0.2">
      <c r="B3" s="50"/>
      <c r="C3" s="51">
        <v>0</v>
      </c>
      <c r="D3" s="51">
        <v>1</v>
      </c>
      <c r="E3" s="51">
        <v>2</v>
      </c>
      <c r="F3" s="51">
        <v>3</v>
      </c>
      <c r="G3" s="51">
        <v>4</v>
      </c>
      <c r="H3" s="51">
        <v>5</v>
      </c>
      <c r="I3" s="52" t="s">
        <v>56</v>
      </c>
      <c r="J3" s="53" t="s">
        <v>57</v>
      </c>
      <c r="K3" s="54"/>
    </row>
    <row r="4" spans="1:12" x14ac:dyDescent="0.2">
      <c r="A4" s="46" t="s">
        <v>58</v>
      </c>
      <c r="B4" s="55" t="s">
        <v>59</v>
      </c>
      <c r="C4" s="56">
        <v>-800</v>
      </c>
      <c r="D4" s="56">
        <v>900</v>
      </c>
      <c r="E4" s="56"/>
      <c r="F4" s="56"/>
      <c r="G4" s="56"/>
      <c r="H4" s="56"/>
      <c r="I4" s="57">
        <f>C4+NPV($A$5,D4)</f>
        <v>-17.391304347826008</v>
      </c>
      <c r="J4" s="38">
        <f>IRR(C4:D4)</f>
        <v>0.125</v>
      </c>
      <c r="K4" s="58"/>
      <c r="L4" s="59"/>
    </row>
    <row r="5" spans="1:12" x14ac:dyDescent="0.2">
      <c r="A5" s="39">
        <v>0.15</v>
      </c>
      <c r="B5" s="55" t="s">
        <v>60</v>
      </c>
      <c r="C5" s="56">
        <v>-1200</v>
      </c>
      <c r="D5" s="56">
        <v>300</v>
      </c>
      <c r="E5" s="56">
        <v>400</v>
      </c>
      <c r="F5" s="56">
        <v>700</v>
      </c>
      <c r="G5" s="56">
        <v>300</v>
      </c>
      <c r="H5" s="56">
        <v>200</v>
      </c>
      <c r="I5" s="57">
        <f>C5+NPV($A$5,D5:H5)</f>
        <v>94.549715576065864</v>
      </c>
      <c r="J5" s="40">
        <f>IRR(C5:H5)</f>
        <v>0.1836460582993289</v>
      </c>
      <c r="K5" s="58"/>
      <c r="L5" s="59"/>
    </row>
    <row r="6" spans="1:12" x14ac:dyDescent="0.2">
      <c r="B6" s="55" t="s">
        <v>61</v>
      </c>
      <c r="C6" s="56">
        <v>-25</v>
      </c>
      <c r="D6" s="56">
        <v>9</v>
      </c>
      <c r="E6" s="56">
        <v>9</v>
      </c>
      <c r="F6" s="56">
        <v>9</v>
      </c>
      <c r="G6" s="56">
        <v>9</v>
      </c>
      <c r="H6" s="56"/>
      <c r="I6" s="57">
        <f>C6+NPV($A$5,D6:G6)</f>
        <v>0.69480526441801516</v>
      </c>
      <c r="J6" s="40">
        <f>IRR(C6:G6)</f>
        <v>0.16367489168913107</v>
      </c>
      <c r="K6" s="58"/>
      <c r="L6" s="59"/>
    </row>
    <row r="7" spans="1:12" x14ac:dyDescent="0.2">
      <c r="B7" s="55" t="s">
        <v>62</v>
      </c>
      <c r="C7" s="56">
        <v>-1500</v>
      </c>
      <c r="D7" s="56">
        <v>300</v>
      </c>
      <c r="E7" s="56">
        <v>900</v>
      </c>
      <c r="F7" s="56">
        <v>200</v>
      </c>
      <c r="G7" s="56"/>
      <c r="H7" s="56"/>
      <c r="I7" s="57">
        <f>C7+NPV($A$5,D7:F7)</f>
        <v>-427.09788772910315</v>
      </c>
      <c r="J7" s="40">
        <f>IRR(C7:F7)</f>
        <v>-3.5029758697372682E-2</v>
      </c>
      <c r="K7" s="58"/>
      <c r="L7" s="59"/>
    </row>
    <row r="8" spans="1:12" x14ac:dyDescent="0.2">
      <c r="B8" s="54"/>
      <c r="C8" s="56"/>
      <c r="D8" s="56"/>
      <c r="E8" s="56"/>
      <c r="F8" s="56"/>
      <c r="G8" s="56"/>
      <c r="H8" s="56"/>
      <c r="I8" s="58"/>
      <c r="J8" s="58"/>
      <c r="K8" s="58"/>
      <c r="L8" s="59"/>
    </row>
  </sheetData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A3" sqref="A3"/>
    </sheetView>
  </sheetViews>
  <sheetFormatPr baseColWidth="10" defaultRowHeight="15" x14ac:dyDescent="0.25"/>
  <cols>
    <col min="1" max="1" width="18.5703125" customWidth="1"/>
    <col min="2" max="2" width="8.85546875" customWidth="1"/>
    <col min="3" max="3" width="10.28515625" customWidth="1"/>
    <col min="4" max="4" width="11" customWidth="1"/>
    <col min="5" max="5" width="9.140625" customWidth="1"/>
  </cols>
  <sheetData>
    <row r="1" spans="1:5" x14ac:dyDescent="0.25">
      <c r="A1" s="2" t="s">
        <v>117</v>
      </c>
    </row>
    <row r="2" spans="1:5" x14ac:dyDescent="0.25">
      <c r="D2" t="s">
        <v>42</v>
      </c>
    </row>
    <row r="3" spans="1:5" x14ac:dyDescent="0.25">
      <c r="A3" t="s">
        <v>40</v>
      </c>
      <c r="B3" s="29">
        <v>0.08</v>
      </c>
      <c r="D3">
        <v>100</v>
      </c>
      <c r="E3" t="s">
        <v>47</v>
      </c>
    </row>
    <row r="4" spans="1:5" x14ac:dyDescent="0.25">
      <c r="A4" t="s">
        <v>41</v>
      </c>
      <c r="B4" s="29">
        <v>5.0000000000000001E-3</v>
      </c>
    </row>
    <row r="5" spans="1:5" x14ac:dyDescent="0.25">
      <c r="B5" s="36"/>
      <c r="D5" t="s">
        <v>45</v>
      </c>
    </row>
    <row r="6" spans="1:5" x14ac:dyDescent="0.25">
      <c r="A6" t="s">
        <v>43</v>
      </c>
      <c r="B6" s="29">
        <v>0.06</v>
      </c>
      <c r="D6" s="24">
        <v>0.41860465116279078</v>
      </c>
      <c r="E6" t="s">
        <v>53</v>
      </c>
    </row>
    <row r="7" spans="1:5" x14ac:dyDescent="0.25">
      <c r="A7" t="s">
        <v>44</v>
      </c>
      <c r="B7" s="29">
        <v>3.6999999999999998E-2</v>
      </c>
      <c r="E7" t="s">
        <v>54</v>
      </c>
    </row>
    <row r="8" spans="1:5" x14ac:dyDescent="0.25">
      <c r="B8" s="28"/>
    </row>
    <row r="10" spans="1:5" x14ac:dyDescent="0.25">
      <c r="A10" t="s">
        <v>48</v>
      </c>
      <c r="B10" s="34">
        <f>D6*D3*B3+B4*D3</f>
        <v>3.8488372093023266</v>
      </c>
      <c r="C10" t="s">
        <v>46</v>
      </c>
    </row>
    <row r="11" spans="1:5" x14ac:dyDescent="0.25">
      <c r="B11" s="34"/>
      <c r="D11" t="s">
        <v>51</v>
      </c>
      <c r="E11" s="35">
        <f>B10-B14</f>
        <v>0</v>
      </c>
    </row>
    <row r="12" spans="1:5" x14ac:dyDescent="0.25">
      <c r="A12" t="s">
        <v>49</v>
      </c>
      <c r="B12" s="34">
        <f>D3*B6</f>
        <v>6</v>
      </c>
      <c r="C12" t="s">
        <v>46</v>
      </c>
    </row>
    <row r="13" spans="1:5" x14ac:dyDescent="0.25">
      <c r="A13" s="32" t="s">
        <v>50</v>
      </c>
      <c r="B13" s="37">
        <f>(1-D6)*D3*B7</f>
        <v>2.1511627906976738</v>
      </c>
      <c r="C13" s="32" t="s">
        <v>46</v>
      </c>
    </row>
    <row r="14" spans="1:5" x14ac:dyDescent="0.25">
      <c r="A14" s="33" t="s">
        <v>52</v>
      </c>
      <c r="B14" s="34">
        <f>B12-B13</f>
        <v>3.8488372093023262</v>
      </c>
      <c r="C14" t="s">
        <v>46</v>
      </c>
    </row>
  </sheetData>
  <dataValidations count="1">
    <dataValidation type="decimal" allowBlank="1" showInputMessage="1" showErrorMessage="1" errorTitle="Ulovlig verdi" error="Tallet må være mellom 0 og 100%" sqref="D6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9217" r:id="rId4">
          <objectPr defaultSize="0" r:id="rId5">
            <anchor moveWithCells="1">
              <from>
                <xdr:col>7</xdr:col>
                <xdr:colOff>247650</xdr:colOff>
                <xdr:row>1</xdr:row>
                <xdr:rowOff>85725</xdr:rowOff>
              </from>
              <to>
                <xdr:col>17</xdr:col>
                <xdr:colOff>419100</xdr:colOff>
                <xdr:row>9</xdr:row>
                <xdr:rowOff>114300</xdr:rowOff>
              </to>
            </anchor>
          </objectPr>
        </oleObject>
      </mc:Choice>
      <mc:Fallback>
        <oleObject progId="Word.Document.12" shapeId="921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51"/>
  <sheetViews>
    <sheetView topLeftCell="A19" zoomScale="80" zoomScaleNormal="80" workbookViewId="0">
      <selection activeCell="A5" sqref="A5"/>
    </sheetView>
  </sheetViews>
  <sheetFormatPr baseColWidth="10" defaultRowHeight="15" x14ac:dyDescent="0.2"/>
  <cols>
    <col min="1" max="1" width="16.5703125" style="47" customWidth="1"/>
    <col min="2" max="2" width="14.42578125" style="47" customWidth="1"/>
    <col min="3" max="3" width="14.140625" style="47" customWidth="1"/>
    <col min="4" max="4" width="14.28515625" style="47" customWidth="1"/>
    <col min="5" max="5" width="13.140625" style="47" customWidth="1"/>
    <col min="6" max="6" width="13.28515625" style="47" customWidth="1"/>
    <col min="7" max="7" width="15.42578125" style="47" customWidth="1"/>
    <col min="8" max="8" width="11" style="47" customWidth="1"/>
    <col min="9" max="9" width="12.7109375" style="47" customWidth="1"/>
    <col min="10" max="10" width="11.85546875" style="47" customWidth="1"/>
    <col min="11" max="207" width="8.7109375" style="47" customWidth="1"/>
    <col min="208" max="16384" width="11.42578125" style="47"/>
  </cols>
  <sheetData>
    <row r="2" spans="1:12" x14ac:dyDescent="0.2">
      <c r="B2" s="54"/>
      <c r="C2" s="56"/>
      <c r="D2" s="56"/>
      <c r="E2" s="56"/>
      <c r="F2" s="56"/>
      <c r="G2" s="56"/>
      <c r="H2" s="56"/>
      <c r="I2" s="58"/>
      <c r="J2" s="58"/>
      <c r="K2" s="58"/>
      <c r="L2" s="59"/>
    </row>
    <row r="3" spans="1:12" x14ac:dyDescent="0.2">
      <c r="B3" s="60"/>
      <c r="C3" s="60"/>
      <c r="D3" s="60"/>
      <c r="E3" s="60"/>
      <c r="F3" s="60"/>
      <c r="G3" s="60"/>
      <c r="H3" s="60"/>
      <c r="I3" s="60"/>
      <c r="J3" s="60"/>
    </row>
    <row r="4" spans="1:12" x14ac:dyDescent="0.2">
      <c r="A4" s="47" t="s">
        <v>116</v>
      </c>
      <c r="B4" s="60"/>
      <c r="C4" s="60"/>
      <c r="D4" s="60"/>
      <c r="E4" s="60"/>
      <c r="F4" s="60"/>
      <c r="G4" s="60"/>
      <c r="H4" s="60"/>
      <c r="I4" s="60"/>
      <c r="J4" s="60"/>
    </row>
    <row r="5" spans="1:12" x14ac:dyDescent="0.2">
      <c r="B5" s="58">
        <v>0</v>
      </c>
      <c r="C5" s="58">
        <v>1</v>
      </c>
      <c r="D5" s="58">
        <v>2</v>
      </c>
      <c r="E5" s="58">
        <v>3</v>
      </c>
      <c r="F5" s="58">
        <v>4</v>
      </c>
      <c r="G5" s="58">
        <v>5</v>
      </c>
      <c r="H5" s="60"/>
      <c r="I5" s="61" t="s">
        <v>57</v>
      </c>
      <c r="J5" s="60"/>
    </row>
    <row r="6" spans="1:12" x14ac:dyDescent="0.2">
      <c r="A6" s="47" t="s">
        <v>64</v>
      </c>
      <c r="B6" s="58">
        <v>-120</v>
      </c>
      <c r="C6" s="58">
        <v>32</v>
      </c>
      <c r="D6" s="58">
        <v>45</v>
      </c>
      <c r="E6" s="58">
        <v>56</v>
      </c>
      <c r="F6" s="58">
        <v>24</v>
      </c>
      <c r="G6" s="58">
        <v>12</v>
      </c>
      <c r="H6" s="60"/>
      <c r="I6" s="41">
        <f>IRR(B6:G6)</f>
        <v>0.14359822099905561</v>
      </c>
      <c r="J6" s="60"/>
    </row>
    <row r="7" spans="1:12" x14ac:dyDescent="0.2">
      <c r="B7" s="60"/>
      <c r="C7" s="60"/>
      <c r="D7" s="60"/>
      <c r="E7" s="60"/>
      <c r="F7" s="60"/>
      <c r="G7" s="60"/>
      <c r="H7" s="60"/>
      <c r="I7" s="60"/>
      <c r="J7" s="60"/>
    </row>
    <row r="8" spans="1:12" x14ac:dyDescent="0.2">
      <c r="B8" s="54" t="s">
        <v>58</v>
      </c>
      <c r="C8" s="61" t="s">
        <v>56</v>
      </c>
      <c r="D8" s="60"/>
      <c r="G8" s="60"/>
      <c r="H8" s="60"/>
      <c r="I8" s="60"/>
      <c r="J8" s="60"/>
    </row>
    <row r="9" spans="1:12" x14ac:dyDescent="0.2">
      <c r="B9" s="42">
        <v>0</v>
      </c>
      <c r="C9" s="60">
        <f t="shared" ref="C9:C19" si="0">$B$6+NPV(B9,$C$6:$G$6)</f>
        <v>49</v>
      </c>
      <c r="D9" s="60"/>
      <c r="E9" s="60"/>
      <c r="F9" s="60"/>
      <c r="G9" s="60"/>
      <c r="H9" s="60"/>
      <c r="I9" s="60"/>
      <c r="J9" s="60"/>
    </row>
    <row r="10" spans="1:12" x14ac:dyDescent="0.2">
      <c r="B10" s="42">
        <v>0.02</v>
      </c>
      <c r="C10" s="60">
        <f t="shared" si="0"/>
        <v>40.436254852547023</v>
      </c>
      <c r="D10" s="60"/>
      <c r="E10" s="60"/>
      <c r="F10" s="60"/>
      <c r="G10" s="60"/>
      <c r="H10" s="60"/>
      <c r="I10" s="60"/>
      <c r="J10" s="60"/>
    </row>
    <row r="11" spans="1:12" x14ac:dyDescent="0.2">
      <c r="B11" s="42">
        <v>0.04</v>
      </c>
      <c r="C11" s="60">
        <f t="shared" si="0"/>
        <v>32.53648230642645</v>
      </c>
      <c r="D11" s="60"/>
      <c r="E11" s="60"/>
      <c r="F11" s="60"/>
      <c r="G11" s="60"/>
      <c r="H11" s="60"/>
      <c r="I11" s="60"/>
      <c r="J11" s="60"/>
    </row>
    <row r="12" spans="1:12" x14ac:dyDescent="0.2">
      <c r="B12" s="42">
        <v>0.06</v>
      </c>
      <c r="C12" s="60">
        <f t="shared" si="0"/>
        <v>25.23454488783787</v>
      </c>
      <c r="D12" s="60"/>
      <c r="E12" s="60"/>
      <c r="F12" s="60"/>
      <c r="G12" s="60"/>
      <c r="H12" s="60"/>
      <c r="I12" s="60"/>
      <c r="J12" s="60"/>
    </row>
    <row r="13" spans="1:12" x14ac:dyDescent="0.2">
      <c r="B13" s="42">
        <v>0.08</v>
      </c>
      <c r="C13" s="60">
        <f t="shared" si="0"/>
        <v>18.472196871859268</v>
      </c>
      <c r="D13" s="60"/>
      <c r="E13" s="60"/>
      <c r="F13" s="60"/>
      <c r="G13" s="60"/>
      <c r="H13" s="60"/>
      <c r="I13" s="60"/>
      <c r="J13" s="60"/>
    </row>
    <row r="14" spans="1:12" x14ac:dyDescent="0.2">
      <c r="B14" s="42">
        <v>0.1</v>
      </c>
      <c r="C14" s="60">
        <f t="shared" si="0"/>
        <v>12.197999391497092</v>
      </c>
      <c r="D14" s="60"/>
      <c r="E14" s="60"/>
      <c r="F14" s="60"/>
      <c r="G14" s="60"/>
      <c r="H14" s="60"/>
      <c r="I14" s="60"/>
      <c r="J14" s="60"/>
    </row>
    <row r="15" spans="1:12" x14ac:dyDescent="0.2">
      <c r="B15" s="42">
        <v>0.12</v>
      </c>
      <c r="C15" s="60">
        <f t="shared" si="0"/>
        <v>6.3664030891146126</v>
      </c>
      <c r="D15" s="60"/>
      <c r="E15" s="60"/>
      <c r="F15" s="60"/>
      <c r="G15" s="60"/>
      <c r="H15" s="60"/>
      <c r="I15" s="60"/>
      <c r="J15" s="60"/>
    </row>
    <row r="16" spans="1:12" x14ac:dyDescent="0.2">
      <c r="B16" s="42">
        <v>0.14000000000000001</v>
      </c>
      <c r="C16" s="60">
        <f t="shared" si="0"/>
        <v>0.93696975627513268</v>
      </c>
      <c r="D16" s="60"/>
      <c r="E16" s="60"/>
      <c r="F16" s="60"/>
      <c r="G16" s="60"/>
      <c r="H16" s="60"/>
      <c r="I16" s="60"/>
      <c r="J16" s="60"/>
    </row>
    <row r="17" spans="1:13" x14ac:dyDescent="0.2">
      <c r="B17" s="42">
        <v>0.16</v>
      </c>
      <c r="C17" s="60">
        <f t="shared" si="0"/>
        <v>-4.1262902921723139</v>
      </c>
      <c r="D17" s="60"/>
      <c r="E17" s="60"/>
      <c r="F17" s="60"/>
      <c r="G17" s="60"/>
      <c r="H17" s="60"/>
      <c r="I17" s="60"/>
      <c r="J17" s="60"/>
    </row>
    <row r="18" spans="1:13" x14ac:dyDescent="0.2">
      <c r="B18" s="42">
        <v>0.18</v>
      </c>
      <c r="C18" s="60">
        <f t="shared" si="0"/>
        <v>-8.8554841244806966</v>
      </c>
      <c r="D18" s="60"/>
      <c r="E18" s="60"/>
      <c r="F18" s="60"/>
      <c r="G18" s="60"/>
      <c r="H18" s="60"/>
      <c r="I18" s="60"/>
      <c r="J18" s="60"/>
    </row>
    <row r="19" spans="1:13" x14ac:dyDescent="0.2">
      <c r="B19" s="42">
        <v>0.2</v>
      </c>
      <c r="C19" s="60">
        <f t="shared" si="0"/>
        <v>-13.279320987654316</v>
      </c>
      <c r="D19" s="60"/>
      <c r="E19" s="60"/>
      <c r="F19" s="60"/>
      <c r="G19" s="60"/>
      <c r="H19" s="60"/>
      <c r="I19" s="60"/>
      <c r="J19" s="60"/>
    </row>
    <row r="21" spans="1:13" x14ac:dyDescent="0.2">
      <c r="B21" s="42"/>
      <c r="C21" s="62"/>
      <c r="D21" s="60"/>
      <c r="E21" s="60"/>
      <c r="F21" s="60"/>
      <c r="G21" s="60"/>
      <c r="H21" s="60"/>
      <c r="I21" s="60"/>
      <c r="J21" s="60"/>
    </row>
    <row r="22" spans="1:13" x14ac:dyDescent="0.2">
      <c r="B22" s="60"/>
      <c r="C22" s="60"/>
      <c r="D22" s="60"/>
      <c r="E22" s="60"/>
      <c r="F22" s="60"/>
      <c r="G22" s="60"/>
      <c r="H22" s="60"/>
      <c r="I22" s="60"/>
      <c r="J22" s="60"/>
    </row>
    <row r="23" spans="1:13" x14ac:dyDescent="0.2">
      <c r="A23" s="47" t="s">
        <v>65</v>
      </c>
      <c r="B23" s="54">
        <v>0</v>
      </c>
      <c r="C23" s="54">
        <v>1</v>
      </c>
      <c r="D23" s="54">
        <v>2</v>
      </c>
      <c r="E23" s="54">
        <v>3</v>
      </c>
      <c r="G23" s="63" t="s">
        <v>57</v>
      </c>
    </row>
    <row r="24" spans="1:13" x14ac:dyDescent="0.2">
      <c r="A24" s="60"/>
      <c r="B24" s="58">
        <v>-50</v>
      </c>
      <c r="C24" s="58">
        <v>55</v>
      </c>
      <c r="D24" s="58">
        <v>-200</v>
      </c>
      <c r="E24" s="58">
        <v>220</v>
      </c>
      <c r="F24" s="60"/>
      <c r="G24" s="43">
        <f>IRR(B24:E24)</f>
        <v>0.10000000000000009</v>
      </c>
      <c r="H24" s="60"/>
      <c r="I24" s="60"/>
      <c r="J24" s="60"/>
      <c r="K24" s="60"/>
      <c r="L24" s="60"/>
      <c r="M24" s="60"/>
    </row>
    <row r="25" spans="1:13" x14ac:dyDescent="0.2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3" x14ac:dyDescent="0.2">
      <c r="A26" s="60"/>
      <c r="B26" s="54" t="s">
        <v>58</v>
      </c>
      <c r="C26" s="61" t="s">
        <v>56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3" x14ac:dyDescent="0.2">
      <c r="A27" s="60"/>
      <c r="B27" s="42">
        <v>0</v>
      </c>
      <c r="C27" s="64">
        <f t="shared" ref="C27:C37" si="1">$B$24+NPV(B27,$C$24:$E$24)</f>
        <v>25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1:13" x14ac:dyDescent="0.2">
      <c r="A28" s="60"/>
      <c r="B28" s="42">
        <v>0.02</v>
      </c>
      <c r="C28" s="64">
        <f t="shared" si="1"/>
        <v>18.998725980203716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3" x14ac:dyDescent="0.2">
      <c r="A29" s="60"/>
      <c r="B29" s="42">
        <v>0.04</v>
      </c>
      <c r="C29" s="64">
        <f t="shared" si="1"/>
        <v>13.552571688666362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 x14ac:dyDescent="0.2">
      <c r="A30" s="60"/>
      <c r="B30" s="42">
        <v>0.06</v>
      </c>
      <c r="C30" s="64">
        <f t="shared" si="1"/>
        <v>8.6037467170885762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 x14ac:dyDescent="0.2">
      <c r="A31" s="60"/>
      <c r="B31" s="42">
        <v>0.08</v>
      </c>
      <c r="C31" s="64">
        <f t="shared" si="1"/>
        <v>4.1012548900066079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1:13" x14ac:dyDescent="0.2">
      <c r="A32" s="60"/>
      <c r="B32" s="42">
        <v>0.1</v>
      </c>
      <c r="C32" s="64">
        <f t="shared" si="1"/>
        <v>0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x14ac:dyDescent="0.2">
      <c r="A33" s="60"/>
      <c r="B33" s="42">
        <v>0.12</v>
      </c>
      <c r="C33" s="64">
        <f t="shared" si="1"/>
        <v>-3.7399781341108067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spans="1:13" x14ac:dyDescent="0.2">
      <c r="A34" s="60"/>
      <c r="B34" s="42">
        <v>0.14000000000000001</v>
      </c>
      <c r="C34" s="64">
        <f t="shared" si="1"/>
        <v>-7.1541580945284338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spans="1:13" x14ac:dyDescent="0.2">
      <c r="A35" s="60"/>
      <c r="B35" s="42">
        <v>0.16</v>
      </c>
      <c r="C35" s="64">
        <f t="shared" si="1"/>
        <v>-10.27409897904792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1:13" x14ac:dyDescent="0.2">
      <c r="A36" s="60"/>
      <c r="B36" s="42">
        <v>0.18</v>
      </c>
      <c r="C36" s="64">
        <f t="shared" si="1"/>
        <v>-13.127924471343213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spans="1:13" x14ac:dyDescent="0.2">
      <c r="A37" s="60"/>
      <c r="B37" s="42">
        <v>0.2</v>
      </c>
      <c r="C37" s="64">
        <f t="shared" si="1"/>
        <v>-15.740740740740762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</row>
    <row r="38" spans="1:13" x14ac:dyDescent="0.2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</row>
    <row r="39" spans="1:13" x14ac:dyDescent="0.2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spans="1:13" x14ac:dyDescent="0.2">
      <c r="B40" s="47" t="s">
        <v>66</v>
      </c>
    </row>
    <row r="45" spans="1:13" x14ac:dyDescent="0.2">
      <c r="B45" s="47" t="s">
        <v>67</v>
      </c>
    </row>
    <row r="51" spans="2:2" x14ac:dyDescent="0.2">
      <c r="B51" s="47" t="s">
        <v>68</v>
      </c>
    </row>
  </sheetData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09" r:id="rId4">
          <objectPr defaultSize="0" autoPict="0" r:id="rId5">
            <anchor moveWithCells="1">
              <from>
                <xdr:col>1</xdr:col>
                <xdr:colOff>142875</xdr:colOff>
                <xdr:row>40</xdr:row>
                <xdr:rowOff>104775</xdr:rowOff>
              </from>
              <to>
                <xdr:col>8</xdr:col>
                <xdr:colOff>381000</xdr:colOff>
                <xdr:row>43</xdr:row>
                <xdr:rowOff>19050</xdr:rowOff>
              </to>
            </anchor>
          </objectPr>
        </oleObject>
      </mc:Choice>
      <mc:Fallback>
        <oleObject progId="Equation.3" shapeId="17409" r:id="rId4"/>
      </mc:Fallback>
    </mc:AlternateContent>
    <mc:AlternateContent xmlns:mc="http://schemas.openxmlformats.org/markup-compatibility/2006">
      <mc:Choice Requires="x14">
        <oleObject progId="Equation.3" shapeId="17410" r:id="rId6">
          <objectPr defaultSize="0" autoPict="0" r:id="rId7">
            <anchor moveWithCells="1">
              <from>
                <xdr:col>1</xdr:col>
                <xdr:colOff>161925</xdr:colOff>
                <xdr:row>46</xdr:row>
                <xdr:rowOff>104775</xdr:rowOff>
              </from>
              <to>
                <xdr:col>4</xdr:col>
                <xdr:colOff>571500</xdr:colOff>
                <xdr:row>48</xdr:row>
                <xdr:rowOff>171450</xdr:rowOff>
              </to>
            </anchor>
          </objectPr>
        </oleObject>
      </mc:Choice>
      <mc:Fallback>
        <oleObject progId="Equation.3" shapeId="1741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80" zoomScaleNormal="80" workbookViewId="0">
      <selection activeCell="A4" sqref="A4"/>
    </sheetView>
  </sheetViews>
  <sheetFormatPr baseColWidth="10" defaultRowHeight="15" x14ac:dyDescent="0.2"/>
  <cols>
    <col min="1" max="1" width="16.5703125" style="47" customWidth="1"/>
    <col min="2" max="2" width="14.42578125" style="47" customWidth="1"/>
    <col min="3" max="3" width="14.140625" style="47" customWidth="1"/>
    <col min="4" max="4" width="14.28515625" style="47" customWidth="1"/>
    <col min="5" max="5" width="13.140625" style="47" customWidth="1"/>
    <col min="6" max="6" width="13.28515625" style="47" customWidth="1"/>
    <col min="7" max="7" width="15.42578125" style="47" customWidth="1"/>
    <col min="8" max="8" width="11" style="47" customWidth="1"/>
    <col min="9" max="9" width="12.7109375" style="47" customWidth="1"/>
    <col min="10" max="10" width="11.85546875" style="47" customWidth="1"/>
    <col min="11" max="207" width="8.7109375" style="47" customWidth="1"/>
    <col min="208" max="16384" width="11.42578125" style="47"/>
  </cols>
  <sheetData>
    <row r="3" spans="1:9" x14ac:dyDescent="0.2">
      <c r="A3" s="47" t="s">
        <v>55</v>
      </c>
      <c r="G3" s="42">
        <v>0.05</v>
      </c>
      <c r="H3" s="60">
        <f t="shared" ref="H3:H13" si="0">$C$8+NPV(G3,$D$8:$E$8)</f>
        <v>-696145.12471655384</v>
      </c>
    </row>
    <row r="4" spans="1:9" x14ac:dyDescent="0.2">
      <c r="B4" s="59"/>
      <c r="C4" s="59"/>
      <c r="D4" s="59"/>
      <c r="E4" s="59"/>
      <c r="F4" s="59"/>
      <c r="G4" s="42">
        <v>0.1</v>
      </c>
      <c r="H4" s="60">
        <f t="shared" si="0"/>
        <v>272727.27272727713</v>
      </c>
    </row>
    <row r="5" spans="1:9" x14ac:dyDescent="0.2">
      <c r="B5" s="59"/>
      <c r="C5" s="56">
        <v>1</v>
      </c>
      <c r="D5" s="56">
        <v>2</v>
      </c>
      <c r="E5" s="56">
        <v>3</v>
      </c>
      <c r="F5" s="59"/>
      <c r="G5" s="42">
        <v>0.2</v>
      </c>
      <c r="H5" s="60">
        <f t="shared" si="0"/>
        <v>1472222.2222222202</v>
      </c>
    </row>
    <row r="6" spans="1:9" x14ac:dyDescent="0.2">
      <c r="B6" s="59" t="s">
        <v>70</v>
      </c>
      <c r="C6" s="59">
        <v>-23000000</v>
      </c>
      <c r="D6" s="59">
        <v>-20000000</v>
      </c>
      <c r="E6" s="59">
        <v>55000000</v>
      </c>
      <c r="F6" s="59"/>
      <c r="G6" s="42">
        <v>0.3</v>
      </c>
      <c r="H6" s="60">
        <f t="shared" si="0"/>
        <v>1994082.8402366899</v>
      </c>
    </row>
    <row r="7" spans="1:9" x14ac:dyDescent="0.2">
      <c r="B7" s="59" t="s">
        <v>71</v>
      </c>
      <c r="C7" s="59">
        <v>-50000000</v>
      </c>
      <c r="D7" s="59">
        <v>60000000</v>
      </c>
      <c r="E7" s="59"/>
      <c r="F7" s="59"/>
      <c r="G7" s="42">
        <v>0.4</v>
      </c>
      <c r="H7" s="60">
        <f t="shared" si="0"/>
        <v>2081632.6530612223</v>
      </c>
    </row>
    <row r="8" spans="1:9" x14ac:dyDescent="0.2">
      <c r="B8" s="59" t="s">
        <v>72</v>
      </c>
      <c r="C8" s="59">
        <f>C7-C6</f>
        <v>-27000000</v>
      </c>
      <c r="D8" s="59">
        <f>D7-D6</f>
        <v>80000000</v>
      </c>
      <c r="E8" s="59">
        <f>E7-E6</f>
        <v>-55000000</v>
      </c>
      <c r="F8" s="59"/>
      <c r="G8" s="42">
        <v>0.5</v>
      </c>
      <c r="H8" s="60">
        <f t="shared" si="0"/>
        <v>1888888.8888888918</v>
      </c>
    </row>
    <row r="9" spans="1:9" x14ac:dyDescent="0.2">
      <c r="B9" s="59"/>
      <c r="C9" s="59"/>
      <c r="D9" s="59"/>
      <c r="E9" s="59"/>
      <c r="F9" s="59"/>
      <c r="G9" s="42">
        <v>0.6</v>
      </c>
      <c r="H9" s="60">
        <f t="shared" si="0"/>
        <v>1515625</v>
      </c>
    </row>
    <row r="10" spans="1:9" x14ac:dyDescent="0.2">
      <c r="B10" s="59" t="s">
        <v>73</v>
      </c>
      <c r="C10" s="59"/>
      <c r="D10" s="59"/>
      <c r="E10" s="59"/>
      <c r="F10" s="59"/>
      <c r="G10" s="42">
        <v>0.7</v>
      </c>
      <c r="H10" s="60">
        <f t="shared" si="0"/>
        <v>1027681.6608996503</v>
      </c>
    </row>
    <row r="11" spans="1:9" x14ac:dyDescent="0.2">
      <c r="B11" s="59"/>
      <c r="C11" s="59"/>
      <c r="D11" s="48">
        <f>IRR(C8:E8)</f>
        <v>8.4303507601347638E-2</v>
      </c>
      <c r="E11" s="59"/>
      <c r="F11" s="59"/>
      <c r="G11" s="42">
        <v>0.8</v>
      </c>
      <c r="H11" s="60">
        <f t="shared" si="0"/>
        <v>469135.80246913806</v>
      </c>
    </row>
    <row r="12" spans="1:9" x14ac:dyDescent="0.2">
      <c r="D12" s="48">
        <f>IRR(C8:E8,0.8)</f>
        <v>0.87865945536161472</v>
      </c>
      <c r="G12" s="42">
        <v>0.9</v>
      </c>
      <c r="H12" s="60">
        <f t="shared" si="0"/>
        <v>-130193.90581717342</v>
      </c>
    </row>
    <row r="13" spans="1:9" x14ac:dyDescent="0.2">
      <c r="G13" s="42">
        <v>1</v>
      </c>
      <c r="H13" s="60">
        <f t="shared" si="0"/>
        <v>-750000</v>
      </c>
      <c r="I13" s="42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2" zoomScale="80" zoomScaleNormal="80" workbookViewId="0">
      <selection activeCell="A3" sqref="A3"/>
    </sheetView>
  </sheetViews>
  <sheetFormatPr baseColWidth="10" defaultRowHeight="15" x14ac:dyDescent="0.2"/>
  <cols>
    <col min="1" max="1" width="16.5703125" style="47" customWidth="1"/>
    <col min="2" max="2" width="14.42578125" style="47" customWidth="1"/>
    <col min="3" max="3" width="14.140625" style="47" customWidth="1"/>
    <col min="4" max="4" width="14.28515625" style="47" customWidth="1"/>
    <col min="5" max="5" width="13.140625" style="47" customWidth="1"/>
    <col min="6" max="6" width="13.28515625" style="47" customWidth="1"/>
    <col min="7" max="7" width="15.42578125" style="47" customWidth="1"/>
    <col min="8" max="8" width="11" style="47" customWidth="1"/>
    <col min="9" max="9" width="12.7109375" style="47" customWidth="1"/>
    <col min="10" max="10" width="11.85546875" style="47" customWidth="1"/>
    <col min="11" max="207" width="8.7109375" style="47" customWidth="1"/>
    <col min="208" max="16384" width="11.42578125" style="47"/>
  </cols>
  <sheetData>
    <row r="1" spans="1:9" x14ac:dyDescent="0.2">
      <c r="B1" s="60"/>
      <c r="C1" s="60"/>
      <c r="D1" s="60"/>
      <c r="E1" s="60"/>
      <c r="F1" s="60"/>
      <c r="G1" s="60"/>
      <c r="H1" s="60"/>
      <c r="I1" s="59"/>
    </row>
    <row r="2" spans="1:9" x14ac:dyDescent="0.2">
      <c r="A2" s="47" t="s">
        <v>63</v>
      </c>
      <c r="B2" s="60"/>
      <c r="C2" s="60"/>
      <c r="D2" s="60"/>
      <c r="E2" s="60"/>
      <c r="F2" s="60"/>
      <c r="G2" s="60"/>
      <c r="H2" s="60"/>
      <c r="I2" s="59"/>
    </row>
    <row r="3" spans="1:9" x14ac:dyDescent="0.2">
      <c r="C3" s="47" t="s">
        <v>74</v>
      </c>
      <c r="E3" s="47">
        <v>32</v>
      </c>
    </row>
    <row r="4" spans="1:9" x14ac:dyDescent="0.2">
      <c r="A4" s="47" t="s">
        <v>75</v>
      </c>
      <c r="C4" s="47" t="s">
        <v>76</v>
      </c>
      <c r="E4" s="65">
        <v>0.25</v>
      </c>
    </row>
    <row r="5" spans="1:9" x14ac:dyDescent="0.2">
      <c r="C5" s="47" t="s">
        <v>77</v>
      </c>
      <c r="E5" s="65">
        <v>0.28000000000000003</v>
      </c>
    </row>
    <row r="6" spans="1:9" x14ac:dyDescent="0.2">
      <c r="A6" s="47" t="s">
        <v>78</v>
      </c>
      <c r="C6" s="47" t="s">
        <v>79</v>
      </c>
      <c r="E6" s="47">
        <v>16</v>
      </c>
    </row>
    <row r="7" spans="1:9" x14ac:dyDescent="0.2">
      <c r="C7" s="47" t="s">
        <v>80</v>
      </c>
      <c r="E7" s="65">
        <v>0.1</v>
      </c>
    </row>
    <row r="9" spans="1:9" x14ac:dyDescent="0.2">
      <c r="A9" s="47" t="s">
        <v>1</v>
      </c>
      <c r="B9" s="54">
        <v>0</v>
      </c>
      <c r="C9" s="54">
        <v>1</v>
      </c>
      <c r="D9" s="54">
        <v>2</v>
      </c>
      <c r="E9" s="54">
        <v>3</v>
      </c>
      <c r="F9" s="54">
        <v>4</v>
      </c>
      <c r="G9" s="54">
        <v>5</v>
      </c>
    </row>
    <row r="10" spans="1:9" x14ac:dyDescent="0.2">
      <c r="A10" s="47" t="s">
        <v>81</v>
      </c>
      <c r="B10" s="59">
        <f>-$E$3</f>
        <v>-32</v>
      </c>
    </row>
    <row r="11" spans="1:9" x14ac:dyDescent="0.2">
      <c r="A11" s="47" t="s">
        <v>4</v>
      </c>
      <c r="B11" s="59">
        <f>$E$6</f>
        <v>16</v>
      </c>
    </row>
    <row r="12" spans="1:9" x14ac:dyDescent="0.2">
      <c r="A12" s="47" t="s">
        <v>82</v>
      </c>
      <c r="B12" s="59">
        <f>B10+B11</f>
        <v>-16</v>
      </c>
    </row>
    <row r="13" spans="1:9" x14ac:dyDescent="0.2">
      <c r="A13" s="47" t="s">
        <v>83</v>
      </c>
      <c r="C13" s="66">
        <v>30</v>
      </c>
      <c r="D13" s="66">
        <v>34</v>
      </c>
      <c r="E13" s="66">
        <v>41</v>
      </c>
      <c r="F13" s="66">
        <v>37</v>
      </c>
      <c r="G13" s="59"/>
    </row>
    <row r="14" spans="1:9" x14ac:dyDescent="0.2">
      <c r="A14" s="47" t="s">
        <v>84</v>
      </c>
      <c r="C14" s="66">
        <v>20</v>
      </c>
      <c r="D14" s="66">
        <v>22</v>
      </c>
      <c r="E14" s="66">
        <v>27</v>
      </c>
      <c r="F14" s="66">
        <v>25</v>
      </c>
      <c r="G14" s="59"/>
    </row>
    <row r="15" spans="1:9" x14ac:dyDescent="0.2">
      <c r="A15" s="47" t="s">
        <v>85</v>
      </c>
      <c r="C15" s="66">
        <f>C13-C14</f>
        <v>10</v>
      </c>
      <c r="D15" s="66">
        <f>D13-D14</f>
        <v>12</v>
      </c>
      <c r="E15" s="66">
        <f>E13-E14</f>
        <v>14</v>
      </c>
      <c r="F15" s="66">
        <f>F13-F14</f>
        <v>12</v>
      </c>
      <c r="G15" s="59"/>
    </row>
    <row r="16" spans="1:9" x14ac:dyDescent="0.2">
      <c r="A16" s="47" t="s">
        <v>9</v>
      </c>
      <c r="C16" s="66">
        <f>$E$7*C18</f>
        <v>1.6</v>
      </c>
      <c r="D16" s="66">
        <f>$E$7*D18</f>
        <v>1.2000000000000002</v>
      </c>
      <c r="E16" s="66">
        <f>$E$7*E18</f>
        <v>0.8</v>
      </c>
      <c r="F16" s="66">
        <f>$E$7*F18</f>
        <v>0.4</v>
      </c>
      <c r="G16" s="59"/>
    </row>
    <row r="17" spans="1:8" x14ac:dyDescent="0.2">
      <c r="A17" s="47" t="s">
        <v>10</v>
      </c>
      <c r="C17" s="66">
        <f>$B$11/4</f>
        <v>4</v>
      </c>
      <c r="D17" s="66">
        <f>$B$11/4</f>
        <v>4</v>
      </c>
      <c r="E17" s="66">
        <f>$B$11/4</f>
        <v>4</v>
      </c>
      <c r="F17" s="66">
        <f>$B$11/4</f>
        <v>4</v>
      </c>
      <c r="G17" s="59"/>
    </row>
    <row r="18" spans="1:8" x14ac:dyDescent="0.2">
      <c r="A18" s="47" t="s">
        <v>86</v>
      </c>
      <c r="C18" s="66">
        <f>$B$11</f>
        <v>16</v>
      </c>
      <c r="D18" s="66">
        <f>C18-C17</f>
        <v>12</v>
      </c>
      <c r="E18" s="66">
        <f>D18-D17</f>
        <v>8</v>
      </c>
      <c r="F18" s="66">
        <f>E18-E17</f>
        <v>4</v>
      </c>
      <c r="G18" s="59"/>
    </row>
    <row r="19" spans="1:8" x14ac:dyDescent="0.2">
      <c r="A19" s="47" t="s">
        <v>87</v>
      </c>
      <c r="C19" s="66">
        <f>$E$3</f>
        <v>32</v>
      </c>
      <c r="D19" s="66">
        <f>C19-C20</f>
        <v>24</v>
      </c>
      <c r="E19" s="66">
        <f>D19-D20</f>
        <v>18</v>
      </c>
      <c r="F19" s="66">
        <f>E19-E20</f>
        <v>13.5</v>
      </c>
      <c r="G19" s="66">
        <f>F19-F20</f>
        <v>10.125</v>
      </c>
      <c r="H19" s="47" t="s">
        <v>88</v>
      </c>
    </row>
    <row r="20" spans="1:8" x14ac:dyDescent="0.2">
      <c r="A20" s="47" t="s">
        <v>0</v>
      </c>
      <c r="C20" s="66">
        <f>$E$4*C19</f>
        <v>8</v>
      </c>
      <c r="D20" s="66">
        <f>$E$4*D19</f>
        <v>6</v>
      </c>
      <c r="E20" s="66">
        <f>$E$4*E19</f>
        <v>4.5</v>
      </c>
      <c r="F20" s="66">
        <f>$E$4*F19</f>
        <v>3.375</v>
      </c>
      <c r="G20" s="66">
        <f>$E$4*G19</f>
        <v>2.53125</v>
      </c>
      <c r="H20" s="66">
        <f>G20*$E$4</f>
        <v>0.6328125</v>
      </c>
    </row>
    <row r="21" spans="1:8" x14ac:dyDescent="0.2">
      <c r="A21" s="47" t="s">
        <v>89</v>
      </c>
      <c r="C21" s="66">
        <f>C15-C16-C20</f>
        <v>0.40000000000000036</v>
      </c>
      <c r="D21" s="66">
        <f>D15-D16-D20</f>
        <v>4.8000000000000007</v>
      </c>
      <c r="E21" s="66">
        <f>E15-E16-E20</f>
        <v>8.6999999999999993</v>
      </c>
      <c r="F21" s="66">
        <f>F15-F16-F20</f>
        <v>8.2249999999999996</v>
      </c>
      <c r="G21" s="59"/>
    </row>
    <row r="22" spans="1:8" x14ac:dyDescent="0.2">
      <c r="A22" s="47" t="s">
        <v>12</v>
      </c>
      <c r="C22" s="66">
        <f>$E$5*C21</f>
        <v>0.11200000000000011</v>
      </c>
      <c r="D22" s="66">
        <f>$E$5*D21</f>
        <v>1.3440000000000003</v>
      </c>
      <c r="E22" s="66">
        <f>$E$5*E21</f>
        <v>2.4359999999999999</v>
      </c>
      <c r="F22" s="66">
        <f>$E$5*F21</f>
        <v>2.3029999999999999</v>
      </c>
      <c r="H22" s="47" t="s">
        <v>90</v>
      </c>
    </row>
    <row r="23" spans="1:8" x14ac:dyDescent="0.2">
      <c r="A23" s="47" t="s">
        <v>91</v>
      </c>
      <c r="B23" s="59">
        <f>B12</f>
        <v>-16</v>
      </c>
      <c r="C23" s="66">
        <f>C15-C16-C17-C22</f>
        <v>4.2880000000000003</v>
      </c>
      <c r="D23" s="66">
        <f>D15-D16-D17-D22</f>
        <v>5.4560000000000004</v>
      </c>
      <c r="E23" s="66">
        <f>E15-E16-E17-E22</f>
        <v>6.7639999999999993</v>
      </c>
      <c r="F23" s="66">
        <f>F15-F16-F17-F22</f>
        <v>5.2969999999999997</v>
      </c>
      <c r="G23" s="59"/>
      <c r="H23" s="67">
        <v>0.15629999999999999</v>
      </c>
    </row>
    <row r="25" spans="1:8" x14ac:dyDescent="0.2">
      <c r="A25" s="59" t="s">
        <v>58</v>
      </c>
      <c r="B25" s="47" t="s">
        <v>92</v>
      </c>
      <c r="H25" s="65"/>
    </row>
    <row r="26" spans="1:8" x14ac:dyDescent="0.2">
      <c r="A26" s="67">
        <v>0.14000000000000001</v>
      </c>
      <c r="B26" s="66">
        <f>$B$23+NPV(A26,$C$23:$F$23)+$H$20/(((1+A26)^4)*(A26+$E$4))</f>
        <v>0.62208208975524093</v>
      </c>
    </row>
    <row r="27" spans="1:8" x14ac:dyDescent="0.2">
      <c r="A27" s="67">
        <v>0.16</v>
      </c>
      <c r="B27" s="66">
        <f>$B$23+NPV(A27,$C$23:$F$23)+$H$20/(((1+A27)^4)*(A27+$E$4))</f>
        <v>-0.13742603609853055</v>
      </c>
    </row>
    <row r="28" spans="1:8" x14ac:dyDescent="0.2">
      <c r="A28" s="67">
        <v>0.18</v>
      </c>
      <c r="B28" s="66">
        <f>$B$23+NPV(A28,$C$23:$F$23)+$H$20/(((1+A28)^4)*(A28+$E$4))</f>
        <v>-0.8397102550092238</v>
      </c>
    </row>
    <row r="29" spans="1:8" x14ac:dyDescent="0.2">
      <c r="A29" s="67"/>
      <c r="B29" s="66"/>
    </row>
    <row r="30" spans="1:8" x14ac:dyDescent="0.2">
      <c r="A30" s="67"/>
      <c r="B30" s="66"/>
      <c r="C30" s="66"/>
    </row>
    <row r="31" spans="1:8" x14ac:dyDescent="0.2">
      <c r="A31" s="67" t="s">
        <v>93</v>
      </c>
      <c r="B31" s="66"/>
      <c r="C31" s="66"/>
    </row>
    <row r="32" spans="1:8" x14ac:dyDescent="0.2">
      <c r="A32" s="67">
        <v>0.15625936532091503</v>
      </c>
      <c r="B32" s="66">
        <f>$B$23+NPV(A32,$C$23:$F$23)+$H$20/(((1+A32)^4)*(A32+$E$4))</f>
        <v>8.0069626825718387E-5</v>
      </c>
      <c r="C32" s="66"/>
    </row>
    <row r="33" spans="1:9" x14ac:dyDescent="0.2">
      <c r="B33" s="67"/>
      <c r="C33" s="66"/>
    </row>
    <row r="34" spans="1:9" x14ac:dyDescent="0.2">
      <c r="B34" s="67"/>
      <c r="C34" s="66"/>
    </row>
    <row r="35" spans="1:9" x14ac:dyDescent="0.2">
      <c r="B35" s="67"/>
      <c r="C35" s="66"/>
    </row>
    <row r="36" spans="1:9" x14ac:dyDescent="0.2">
      <c r="B36" s="67"/>
      <c r="C36" s="66"/>
    </row>
    <row r="37" spans="1:9" x14ac:dyDescent="0.2">
      <c r="B37" s="67"/>
      <c r="C37" s="66"/>
    </row>
    <row r="38" spans="1:9" x14ac:dyDescent="0.2">
      <c r="A38" s="46" t="s">
        <v>94</v>
      </c>
      <c r="B38" s="67"/>
      <c r="C38" s="66"/>
      <c r="D38" s="67"/>
      <c r="E38" s="59"/>
      <c r="F38" s="59"/>
      <c r="G38" s="59"/>
      <c r="H38" s="59"/>
      <c r="I38" s="59"/>
    </row>
    <row r="39" spans="1:9" x14ac:dyDescent="0.2">
      <c r="B39" s="48">
        <v>0.15629999999999999</v>
      </c>
      <c r="C39" s="66"/>
      <c r="D39" s="67"/>
      <c r="E39" s="59"/>
      <c r="F39" s="59"/>
      <c r="G39" s="59"/>
      <c r="H39" s="59"/>
      <c r="I39" s="59"/>
    </row>
    <row r="40" spans="1:9" x14ac:dyDescent="0.2">
      <c r="B40" s="67"/>
      <c r="C40" s="66"/>
      <c r="D40" s="67"/>
      <c r="E40" s="59"/>
      <c r="F40" s="59"/>
      <c r="G40" s="59"/>
      <c r="H40" s="59"/>
      <c r="I40" s="59"/>
    </row>
    <row r="41" spans="1:9" x14ac:dyDescent="0.2">
      <c r="A41" s="47" t="s">
        <v>95</v>
      </c>
      <c r="B41" s="67"/>
      <c r="C41" s="66"/>
      <c r="D41" s="47" t="s">
        <v>96</v>
      </c>
    </row>
    <row r="42" spans="1:9" x14ac:dyDescent="0.2">
      <c r="D42" s="68" t="s">
        <v>97</v>
      </c>
      <c r="E42" s="67">
        <f>$E$7*(1-$E$5)</f>
        <v>7.1999999999999995E-2</v>
      </c>
    </row>
    <row r="44" spans="1:9" x14ac:dyDescent="0.2">
      <c r="A44" s="47" t="s">
        <v>98</v>
      </c>
    </row>
    <row r="45" spans="1:9" x14ac:dyDescent="0.2">
      <c r="A45" s="68" t="s">
        <v>97</v>
      </c>
      <c r="B45" s="67">
        <f>($B$12/$B$10)*$B$39+(-$B$11/$B$10)*$E$42</f>
        <v>0.11415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0" zoomScaleNormal="80" workbookViewId="0">
      <selection activeCell="B19" sqref="B19"/>
    </sheetView>
  </sheetViews>
  <sheetFormatPr baseColWidth="10" defaultRowHeight="15" x14ac:dyDescent="0.2"/>
  <cols>
    <col min="1" max="1" width="24.42578125" style="47" customWidth="1"/>
    <col min="2" max="2" width="14.42578125" style="47" customWidth="1"/>
    <col min="3" max="3" width="14.140625" style="47" customWidth="1"/>
    <col min="4" max="4" width="14.28515625" style="47" customWidth="1"/>
    <col min="5" max="5" width="13.140625" style="47" customWidth="1"/>
    <col min="6" max="6" width="13.28515625" style="47" customWidth="1"/>
    <col min="7" max="7" width="15.42578125" style="47" customWidth="1"/>
    <col min="8" max="8" width="11" style="47" customWidth="1"/>
    <col min="9" max="9" width="12.7109375" style="47" customWidth="1"/>
    <col min="10" max="10" width="11.85546875" style="47" customWidth="1"/>
    <col min="11" max="207" width="8.7109375" style="47" customWidth="1"/>
    <col min="208" max="16384" width="11.42578125" style="47"/>
  </cols>
  <sheetData>
    <row r="1" spans="1:9" x14ac:dyDescent="0.2">
      <c r="B1" s="60"/>
      <c r="C1" s="60"/>
      <c r="D1" s="60"/>
      <c r="E1" s="60"/>
      <c r="F1" s="60"/>
      <c r="G1" s="60"/>
      <c r="H1" s="60"/>
      <c r="I1" s="59"/>
    </row>
    <row r="2" spans="1:9" x14ac:dyDescent="0.2">
      <c r="A2" s="47" t="s">
        <v>69</v>
      </c>
    </row>
    <row r="3" spans="1:9" x14ac:dyDescent="0.2">
      <c r="D3" s="46" t="s">
        <v>99</v>
      </c>
    </row>
    <row r="4" spans="1:9" x14ac:dyDescent="0.2">
      <c r="A4" s="47" t="s">
        <v>100</v>
      </c>
    </row>
    <row r="5" spans="1:9" x14ac:dyDescent="0.2">
      <c r="A5" s="47" t="s">
        <v>101</v>
      </c>
      <c r="B5" s="54">
        <v>0</v>
      </c>
      <c r="C5" s="54">
        <v>1</v>
      </c>
      <c r="D5" s="54">
        <v>2</v>
      </c>
      <c r="E5" s="54">
        <v>3</v>
      </c>
      <c r="F5" s="54">
        <v>4</v>
      </c>
      <c r="G5" s="54">
        <v>5</v>
      </c>
      <c r="H5" s="54">
        <v>6</v>
      </c>
    </row>
    <row r="6" spans="1:9" x14ac:dyDescent="0.2">
      <c r="A6" s="47" t="s">
        <v>3</v>
      </c>
      <c r="B6" s="60">
        <v>-2000</v>
      </c>
      <c r="C6" s="60"/>
      <c r="D6" s="60"/>
      <c r="E6" s="60"/>
      <c r="F6" s="60"/>
      <c r="G6" s="60"/>
      <c r="H6" s="60">
        <v>300</v>
      </c>
    </row>
    <row r="7" spans="1:9" x14ac:dyDescent="0.2">
      <c r="A7" s="47" t="s">
        <v>102</v>
      </c>
      <c r="B7" s="60"/>
      <c r="C7" s="60">
        <v>1000</v>
      </c>
      <c r="D7" s="60">
        <v>2000</v>
      </c>
      <c r="E7" s="60">
        <v>3000</v>
      </c>
      <c r="F7" s="60">
        <v>3000</v>
      </c>
      <c r="G7" s="60">
        <v>3000</v>
      </c>
      <c r="H7" s="60"/>
    </row>
    <row r="8" spans="1:9" x14ac:dyDescent="0.2">
      <c r="A8" s="47" t="s">
        <v>103</v>
      </c>
      <c r="B8" s="60"/>
      <c r="C8" s="60">
        <f>-0.75*C7</f>
        <v>-750</v>
      </c>
      <c r="D8" s="60">
        <f>-0.75*D7</f>
        <v>-1500</v>
      </c>
      <c r="E8" s="60">
        <f>-0.75*E7</f>
        <v>-2250</v>
      </c>
      <c r="F8" s="60">
        <f>-0.75*F7</f>
        <v>-2250</v>
      </c>
      <c r="G8" s="60">
        <f>-0.75*G7</f>
        <v>-2250</v>
      </c>
      <c r="H8" s="60"/>
    </row>
    <row r="9" spans="1:9" x14ac:dyDescent="0.2">
      <c r="A9" s="47" t="s">
        <v>104</v>
      </c>
      <c r="B9" s="60"/>
      <c r="C9" s="60">
        <f>-0.07*C7</f>
        <v>-70</v>
      </c>
      <c r="D9" s="60">
        <f>-0.05*D7</f>
        <v>-100</v>
      </c>
      <c r="E9" s="60">
        <f>-0.05*E7</f>
        <v>-150</v>
      </c>
      <c r="F9" s="60">
        <f>-0.05*F7</f>
        <v>-150</v>
      </c>
      <c r="G9" s="60">
        <f>-0.05*G7</f>
        <v>-150</v>
      </c>
      <c r="H9" s="60"/>
    </row>
    <row r="10" spans="1:9" x14ac:dyDescent="0.2">
      <c r="A10" s="47" t="s">
        <v>105</v>
      </c>
      <c r="B10" s="60"/>
      <c r="C10" s="44">
        <f>-B6+C11</f>
        <v>1400</v>
      </c>
      <c r="D10" s="44">
        <f>C10+D11</f>
        <v>980</v>
      </c>
      <c r="E10" s="44">
        <f>D10+E11</f>
        <v>686</v>
      </c>
      <c r="F10" s="44">
        <f>E10+F11</f>
        <v>480.20000000000005</v>
      </c>
      <c r="G10" s="44">
        <f>F10+G11</f>
        <v>336.14000000000004</v>
      </c>
      <c r="H10" s="44">
        <f>G10+H11</f>
        <v>235.29800000000003</v>
      </c>
      <c r="I10" s="45"/>
    </row>
    <row r="11" spans="1:9" x14ac:dyDescent="0.2">
      <c r="A11" s="47" t="s">
        <v>0</v>
      </c>
      <c r="B11" s="60"/>
      <c r="C11" s="60">
        <f>0.3*B6</f>
        <v>-600</v>
      </c>
      <c r="D11" s="60">
        <f>-0.3*C10</f>
        <v>-420</v>
      </c>
      <c r="E11" s="60">
        <f>-0.3*D10</f>
        <v>-294</v>
      </c>
      <c r="F11" s="60">
        <f>-0.3*E10</f>
        <v>-205.79999999999998</v>
      </c>
      <c r="G11" s="60">
        <f>-0.3*F10</f>
        <v>-144.06</v>
      </c>
      <c r="H11" s="60">
        <f>-0.3*G10</f>
        <v>-100.84200000000001</v>
      </c>
      <c r="I11" s="60"/>
    </row>
    <row r="12" spans="1:9" x14ac:dyDescent="0.2">
      <c r="A12" s="47" t="s">
        <v>11</v>
      </c>
      <c r="B12" s="60"/>
      <c r="C12" s="60">
        <f t="shared" ref="C12:H12" si="0">C7+C8+C9+C11</f>
        <v>-420</v>
      </c>
      <c r="D12" s="60">
        <f t="shared" si="0"/>
        <v>-20</v>
      </c>
      <c r="E12" s="60">
        <f t="shared" si="0"/>
        <v>306</v>
      </c>
      <c r="F12" s="60">
        <f t="shared" si="0"/>
        <v>394.20000000000005</v>
      </c>
      <c r="G12" s="60">
        <f t="shared" si="0"/>
        <v>455.94</v>
      </c>
      <c r="H12" s="60">
        <f t="shared" si="0"/>
        <v>-100.84200000000001</v>
      </c>
    </row>
    <row r="13" spans="1:9" x14ac:dyDescent="0.2">
      <c r="A13" s="46" t="s">
        <v>106</v>
      </c>
      <c r="B13" s="60"/>
      <c r="C13" s="60">
        <f t="shared" ref="C13:H13" si="1">-0.36*C12</f>
        <v>151.19999999999999</v>
      </c>
      <c r="D13" s="60">
        <f t="shared" si="1"/>
        <v>7.1999999999999993</v>
      </c>
      <c r="E13" s="60">
        <f t="shared" si="1"/>
        <v>-110.16</v>
      </c>
      <c r="F13" s="60">
        <f t="shared" si="1"/>
        <v>-141.91200000000001</v>
      </c>
      <c r="G13" s="60">
        <f t="shared" si="1"/>
        <v>-164.13839999999999</v>
      </c>
      <c r="H13" s="60">
        <f t="shared" si="1"/>
        <v>36.30312</v>
      </c>
    </row>
    <row r="14" spans="1:9" x14ac:dyDescent="0.2">
      <c r="A14" s="47" t="s">
        <v>107</v>
      </c>
      <c r="H14" s="69">
        <f>-0.36*(H6-H10)</f>
        <v>-23.292719999999989</v>
      </c>
    </row>
    <row r="15" spans="1:9" x14ac:dyDescent="0.2">
      <c r="A15" s="70" t="s">
        <v>108</v>
      </c>
      <c r="B15" s="71"/>
      <c r="C15" s="71">
        <v>-200</v>
      </c>
      <c r="D15" s="71">
        <v>-100</v>
      </c>
      <c r="E15" s="71"/>
      <c r="F15" s="71"/>
      <c r="G15" s="71"/>
      <c r="H15" s="71">
        <v>300</v>
      </c>
    </row>
    <row r="16" spans="1:9" x14ac:dyDescent="0.2">
      <c r="A16" s="47" t="s">
        <v>13</v>
      </c>
      <c r="B16" s="60">
        <f>B6</f>
        <v>-2000</v>
      </c>
      <c r="C16" s="60">
        <f>C7+C8+C9+C13+C15</f>
        <v>131.19999999999999</v>
      </c>
      <c r="D16" s="60">
        <f>D7+D8+D9+D13+D15</f>
        <v>307.2</v>
      </c>
      <c r="E16" s="60">
        <f>E7+E8+E9+E13+E15</f>
        <v>489.84000000000003</v>
      </c>
      <c r="F16" s="60">
        <f>F7+F8+F9+F13+F15</f>
        <v>458.08799999999997</v>
      </c>
      <c r="G16" s="60">
        <f>G7+G8+G9+G13+G15</f>
        <v>435.86160000000001</v>
      </c>
      <c r="H16" s="60">
        <f>H6+H7+H8+H9+H13+H14+H15</f>
        <v>613.0104</v>
      </c>
    </row>
    <row r="17" spans="1:9" x14ac:dyDescent="0.2">
      <c r="A17" s="47" t="s">
        <v>109</v>
      </c>
      <c r="B17" s="60">
        <f>B16</f>
        <v>-2000</v>
      </c>
      <c r="C17" s="60">
        <f t="shared" ref="C17:H17" si="2">C16/1.1^C5</f>
        <v>119.27272727272725</v>
      </c>
      <c r="D17" s="60">
        <f t="shared" si="2"/>
        <v>253.88429752066111</v>
      </c>
      <c r="E17" s="60">
        <f t="shared" si="2"/>
        <v>368.02404207362878</v>
      </c>
      <c r="F17" s="60">
        <f t="shared" si="2"/>
        <v>312.88026774127439</v>
      </c>
      <c r="G17" s="60">
        <f t="shared" si="2"/>
        <v>270.63576134268015</v>
      </c>
      <c r="H17" s="60">
        <f t="shared" si="2"/>
        <v>346.02838965183798</v>
      </c>
    </row>
    <row r="18" spans="1:9" x14ac:dyDescent="0.2">
      <c r="B18" s="60"/>
      <c r="C18" s="60"/>
      <c r="D18" s="60"/>
      <c r="E18" s="60"/>
      <c r="F18" s="60"/>
      <c r="G18" s="60"/>
      <c r="H18" s="60"/>
    </row>
    <row r="19" spans="1:9" x14ac:dyDescent="0.2">
      <c r="A19" s="50" t="s">
        <v>110</v>
      </c>
      <c r="B19" s="72">
        <f>SUM(B17:H17)</f>
        <v>-329.2745143971905</v>
      </c>
      <c r="C19" s="60"/>
      <c r="D19" s="60"/>
      <c r="E19" s="60"/>
      <c r="F19" s="60"/>
      <c r="G19" s="60"/>
      <c r="H19" s="60"/>
    </row>
    <row r="20" spans="1:9" x14ac:dyDescent="0.2">
      <c r="B20" s="60"/>
      <c r="C20" s="60"/>
      <c r="D20" s="46" t="s">
        <v>111</v>
      </c>
      <c r="E20" s="60"/>
      <c r="F20" s="60"/>
      <c r="G20" s="60"/>
      <c r="H20" s="60"/>
    </row>
    <row r="21" spans="1:9" x14ac:dyDescent="0.2">
      <c r="A21" s="47" t="s">
        <v>112</v>
      </c>
      <c r="B21" s="67">
        <f>IRR(B16:H16)</f>
        <v>5.03388687502071E-2</v>
      </c>
      <c r="D21" s="46" t="s">
        <v>113</v>
      </c>
    </row>
    <row r="22" spans="1:9" x14ac:dyDescent="0.2">
      <c r="D22" s="46" t="s">
        <v>114</v>
      </c>
    </row>
    <row r="23" spans="1:9" x14ac:dyDescent="0.2">
      <c r="B23" s="59"/>
      <c r="C23" s="59"/>
      <c r="D23" s="59"/>
      <c r="E23" s="59"/>
      <c r="F23" s="59"/>
      <c r="G23" s="59"/>
      <c r="H23" s="59"/>
      <c r="I23" s="59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7" zoomScale="115" zoomScaleNormal="115" workbookViewId="0">
      <selection activeCell="A2" sqref="A2"/>
    </sheetView>
  </sheetViews>
  <sheetFormatPr baseColWidth="10" defaultRowHeight="12.75" x14ac:dyDescent="0.2"/>
  <cols>
    <col min="1" max="1" width="19" style="5" customWidth="1"/>
    <col min="2" max="2" width="9.7109375" style="5" customWidth="1"/>
    <col min="3" max="3" width="10.28515625" style="5" customWidth="1"/>
    <col min="4" max="7" width="11.42578125" style="5"/>
    <col min="8" max="8" width="11.140625" style="5" customWidth="1"/>
    <col min="9" max="9" width="10.28515625" style="5" customWidth="1"/>
    <col min="10" max="256" width="11.42578125" style="5"/>
    <col min="257" max="257" width="20.140625" style="5" customWidth="1"/>
    <col min="258" max="512" width="11.42578125" style="5"/>
    <col min="513" max="513" width="20.140625" style="5" customWidth="1"/>
    <col min="514" max="768" width="11.42578125" style="5"/>
    <col min="769" max="769" width="20.140625" style="5" customWidth="1"/>
    <col min="770" max="1024" width="11.42578125" style="5"/>
    <col min="1025" max="1025" width="20.140625" style="5" customWidth="1"/>
    <col min="1026" max="1280" width="11.42578125" style="5"/>
    <col min="1281" max="1281" width="20.140625" style="5" customWidth="1"/>
    <col min="1282" max="1536" width="11.42578125" style="5"/>
    <col min="1537" max="1537" width="20.140625" style="5" customWidth="1"/>
    <col min="1538" max="1792" width="11.42578125" style="5"/>
    <col min="1793" max="1793" width="20.140625" style="5" customWidth="1"/>
    <col min="1794" max="2048" width="11.42578125" style="5"/>
    <col min="2049" max="2049" width="20.140625" style="5" customWidth="1"/>
    <col min="2050" max="2304" width="11.42578125" style="5"/>
    <col min="2305" max="2305" width="20.140625" style="5" customWidth="1"/>
    <col min="2306" max="2560" width="11.42578125" style="5"/>
    <col min="2561" max="2561" width="20.140625" style="5" customWidth="1"/>
    <col min="2562" max="2816" width="11.42578125" style="5"/>
    <col min="2817" max="2817" width="20.140625" style="5" customWidth="1"/>
    <col min="2818" max="3072" width="11.42578125" style="5"/>
    <col min="3073" max="3073" width="20.140625" style="5" customWidth="1"/>
    <col min="3074" max="3328" width="11.42578125" style="5"/>
    <col min="3329" max="3329" width="20.140625" style="5" customWidth="1"/>
    <col min="3330" max="3584" width="11.42578125" style="5"/>
    <col min="3585" max="3585" width="20.140625" style="5" customWidth="1"/>
    <col min="3586" max="3840" width="11.42578125" style="5"/>
    <col min="3841" max="3841" width="20.140625" style="5" customWidth="1"/>
    <col min="3842" max="4096" width="11.42578125" style="5"/>
    <col min="4097" max="4097" width="20.140625" style="5" customWidth="1"/>
    <col min="4098" max="4352" width="11.42578125" style="5"/>
    <col min="4353" max="4353" width="20.140625" style="5" customWidth="1"/>
    <col min="4354" max="4608" width="11.42578125" style="5"/>
    <col min="4609" max="4609" width="20.140625" style="5" customWidth="1"/>
    <col min="4610" max="4864" width="11.42578125" style="5"/>
    <col min="4865" max="4865" width="20.140625" style="5" customWidth="1"/>
    <col min="4866" max="5120" width="11.42578125" style="5"/>
    <col min="5121" max="5121" width="20.140625" style="5" customWidth="1"/>
    <col min="5122" max="5376" width="11.42578125" style="5"/>
    <col min="5377" max="5377" width="20.140625" style="5" customWidth="1"/>
    <col min="5378" max="5632" width="11.42578125" style="5"/>
    <col min="5633" max="5633" width="20.140625" style="5" customWidth="1"/>
    <col min="5634" max="5888" width="11.42578125" style="5"/>
    <col min="5889" max="5889" width="20.140625" style="5" customWidth="1"/>
    <col min="5890" max="6144" width="11.42578125" style="5"/>
    <col min="6145" max="6145" width="20.140625" style="5" customWidth="1"/>
    <col min="6146" max="6400" width="11.42578125" style="5"/>
    <col min="6401" max="6401" width="20.140625" style="5" customWidth="1"/>
    <col min="6402" max="6656" width="11.42578125" style="5"/>
    <col min="6657" max="6657" width="20.140625" style="5" customWidth="1"/>
    <col min="6658" max="6912" width="11.42578125" style="5"/>
    <col min="6913" max="6913" width="20.140625" style="5" customWidth="1"/>
    <col min="6914" max="7168" width="11.42578125" style="5"/>
    <col min="7169" max="7169" width="20.140625" style="5" customWidth="1"/>
    <col min="7170" max="7424" width="11.42578125" style="5"/>
    <col min="7425" max="7425" width="20.140625" style="5" customWidth="1"/>
    <col min="7426" max="7680" width="11.42578125" style="5"/>
    <col min="7681" max="7681" width="20.140625" style="5" customWidth="1"/>
    <col min="7682" max="7936" width="11.42578125" style="5"/>
    <col min="7937" max="7937" width="20.140625" style="5" customWidth="1"/>
    <col min="7938" max="8192" width="11.42578125" style="5"/>
    <col min="8193" max="8193" width="20.140625" style="5" customWidth="1"/>
    <col min="8194" max="8448" width="11.42578125" style="5"/>
    <col min="8449" max="8449" width="20.140625" style="5" customWidth="1"/>
    <col min="8450" max="8704" width="11.42578125" style="5"/>
    <col min="8705" max="8705" width="20.140625" style="5" customWidth="1"/>
    <col min="8706" max="8960" width="11.42578125" style="5"/>
    <col min="8961" max="8961" width="20.140625" style="5" customWidth="1"/>
    <col min="8962" max="9216" width="11.42578125" style="5"/>
    <col min="9217" max="9217" width="20.140625" style="5" customWidth="1"/>
    <col min="9218" max="9472" width="11.42578125" style="5"/>
    <col min="9473" max="9473" width="20.140625" style="5" customWidth="1"/>
    <col min="9474" max="9728" width="11.42578125" style="5"/>
    <col min="9729" max="9729" width="20.140625" style="5" customWidth="1"/>
    <col min="9730" max="9984" width="11.42578125" style="5"/>
    <col min="9985" max="9985" width="20.140625" style="5" customWidth="1"/>
    <col min="9986" max="10240" width="11.42578125" style="5"/>
    <col min="10241" max="10241" width="20.140625" style="5" customWidth="1"/>
    <col min="10242" max="10496" width="11.42578125" style="5"/>
    <col min="10497" max="10497" width="20.140625" style="5" customWidth="1"/>
    <col min="10498" max="10752" width="11.42578125" style="5"/>
    <col min="10753" max="10753" width="20.140625" style="5" customWidth="1"/>
    <col min="10754" max="11008" width="11.42578125" style="5"/>
    <col min="11009" max="11009" width="20.140625" style="5" customWidth="1"/>
    <col min="11010" max="11264" width="11.42578125" style="5"/>
    <col min="11265" max="11265" width="20.140625" style="5" customWidth="1"/>
    <col min="11266" max="11520" width="11.42578125" style="5"/>
    <col min="11521" max="11521" width="20.140625" style="5" customWidth="1"/>
    <col min="11522" max="11776" width="11.42578125" style="5"/>
    <col min="11777" max="11777" width="20.140625" style="5" customWidth="1"/>
    <col min="11778" max="12032" width="11.42578125" style="5"/>
    <col min="12033" max="12033" width="20.140625" style="5" customWidth="1"/>
    <col min="12034" max="12288" width="11.42578125" style="5"/>
    <col min="12289" max="12289" width="20.140625" style="5" customWidth="1"/>
    <col min="12290" max="12544" width="11.42578125" style="5"/>
    <col min="12545" max="12545" width="20.140625" style="5" customWidth="1"/>
    <col min="12546" max="12800" width="11.42578125" style="5"/>
    <col min="12801" max="12801" width="20.140625" style="5" customWidth="1"/>
    <col min="12802" max="13056" width="11.42578125" style="5"/>
    <col min="13057" max="13057" width="20.140625" style="5" customWidth="1"/>
    <col min="13058" max="13312" width="11.42578125" style="5"/>
    <col min="13313" max="13313" width="20.140625" style="5" customWidth="1"/>
    <col min="13314" max="13568" width="11.42578125" style="5"/>
    <col min="13569" max="13569" width="20.140625" style="5" customWidth="1"/>
    <col min="13570" max="13824" width="11.42578125" style="5"/>
    <col min="13825" max="13825" width="20.140625" style="5" customWidth="1"/>
    <col min="13826" max="14080" width="11.42578125" style="5"/>
    <col min="14081" max="14081" width="20.140625" style="5" customWidth="1"/>
    <col min="14082" max="14336" width="11.42578125" style="5"/>
    <col min="14337" max="14337" width="20.140625" style="5" customWidth="1"/>
    <col min="14338" max="14592" width="11.42578125" style="5"/>
    <col min="14593" max="14593" width="20.140625" style="5" customWidth="1"/>
    <col min="14594" max="14848" width="11.42578125" style="5"/>
    <col min="14849" max="14849" width="20.140625" style="5" customWidth="1"/>
    <col min="14850" max="15104" width="11.42578125" style="5"/>
    <col min="15105" max="15105" width="20.140625" style="5" customWidth="1"/>
    <col min="15106" max="15360" width="11.42578125" style="5"/>
    <col min="15361" max="15361" width="20.140625" style="5" customWidth="1"/>
    <col min="15362" max="15616" width="11.42578125" style="5"/>
    <col min="15617" max="15617" width="20.140625" style="5" customWidth="1"/>
    <col min="15618" max="15872" width="11.42578125" style="5"/>
    <col min="15873" max="15873" width="20.140625" style="5" customWidth="1"/>
    <col min="15874" max="16128" width="11.42578125" style="5"/>
    <col min="16129" max="16129" width="20.140625" style="5" customWidth="1"/>
    <col min="16130" max="16384" width="11.42578125" style="5"/>
  </cols>
  <sheetData>
    <row r="1" spans="1:15" x14ac:dyDescent="0.2">
      <c r="A1" s="4" t="s">
        <v>35</v>
      </c>
    </row>
    <row r="3" spans="1:15" x14ac:dyDescent="0.2">
      <c r="B3" s="6"/>
      <c r="D3" s="6" t="s">
        <v>2</v>
      </c>
      <c r="E3" s="5" t="s">
        <v>3</v>
      </c>
      <c r="F3" s="5" t="s">
        <v>4</v>
      </c>
      <c r="G3" s="5" t="s">
        <v>5</v>
      </c>
    </row>
    <row r="4" spans="1:15" ht="15" x14ac:dyDescent="0.25">
      <c r="B4" s="7"/>
      <c r="D4" s="7">
        <v>0.28000000000000003</v>
      </c>
      <c r="E4" s="8">
        <v>49000</v>
      </c>
      <c r="F4" s="8">
        <v>21000</v>
      </c>
      <c r="G4" s="9">
        <v>0.1</v>
      </c>
      <c r="K4" s="10"/>
      <c r="L4" s="10"/>
      <c r="M4" s="10"/>
      <c r="N4" s="10"/>
      <c r="O4" s="10"/>
    </row>
    <row r="5" spans="1:15" x14ac:dyDescent="0.2">
      <c r="K5" s="10"/>
      <c r="L5" s="10"/>
      <c r="M5" s="10"/>
      <c r="N5" s="10"/>
      <c r="O5" s="10"/>
    </row>
    <row r="6" spans="1:15" ht="15.75" x14ac:dyDescent="0.25">
      <c r="A6" s="11"/>
      <c r="B6" s="10"/>
      <c r="C6" s="10"/>
      <c r="D6" s="10"/>
      <c r="E6" s="10"/>
      <c r="F6" s="10"/>
      <c r="G6" s="10"/>
      <c r="H6" s="10"/>
      <c r="K6" s="10"/>
      <c r="L6" s="10"/>
      <c r="M6" s="10"/>
      <c r="N6" s="10"/>
      <c r="O6" s="10"/>
    </row>
    <row r="7" spans="1:15" x14ac:dyDescent="0.2">
      <c r="A7" s="12" t="s">
        <v>1</v>
      </c>
      <c r="B7" s="8">
        <v>0</v>
      </c>
      <c r="C7" s="8">
        <v>1</v>
      </c>
      <c r="D7" s="8">
        <v>2</v>
      </c>
      <c r="E7" s="8">
        <v>3</v>
      </c>
      <c r="F7" s="8">
        <v>4</v>
      </c>
      <c r="G7" s="8">
        <v>5</v>
      </c>
      <c r="H7" s="8">
        <v>6</v>
      </c>
      <c r="I7" s="6">
        <v>7</v>
      </c>
      <c r="K7" s="10"/>
      <c r="L7" s="10"/>
      <c r="M7" s="10"/>
      <c r="N7" s="10"/>
      <c r="O7" s="10"/>
    </row>
    <row r="8" spans="1:15" x14ac:dyDescent="0.2">
      <c r="A8" s="12" t="s">
        <v>6</v>
      </c>
      <c r="B8" s="10"/>
      <c r="C8" s="10">
        <v>22000</v>
      </c>
      <c r="D8" s="10">
        <v>29000</v>
      </c>
      <c r="E8" s="10">
        <v>31000</v>
      </c>
      <c r="F8" s="10">
        <v>35000</v>
      </c>
      <c r="G8" s="10">
        <v>33000</v>
      </c>
      <c r="H8" s="10">
        <v>27000</v>
      </c>
      <c r="I8" s="10">
        <v>20000</v>
      </c>
      <c r="J8" s="10"/>
      <c r="K8" s="10"/>
      <c r="L8" s="10"/>
      <c r="M8" s="10"/>
      <c r="N8" s="10"/>
      <c r="O8" s="10"/>
    </row>
    <row r="9" spans="1:15" x14ac:dyDescent="0.2">
      <c r="A9" s="12" t="s">
        <v>7</v>
      </c>
      <c r="B9" s="10"/>
      <c r="C9" s="10">
        <v>-10000</v>
      </c>
      <c r="D9" s="10">
        <v>-15000</v>
      </c>
      <c r="E9" s="10">
        <v>-17000</v>
      </c>
      <c r="F9" s="10">
        <v>-20000</v>
      </c>
      <c r="G9" s="10">
        <v>-18000</v>
      </c>
      <c r="H9" s="10">
        <v>-12000</v>
      </c>
      <c r="I9" s="10">
        <v>-9000</v>
      </c>
      <c r="J9" s="10"/>
      <c r="K9" s="10"/>
      <c r="L9" s="10"/>
      <c r="M9" s="10"/>
      <c r="N9" s="10"/>
      <c r="O9" s="10"/>
    </row>
    <row r="10" spans="1:15" x14ac:dyDescent="0.2">
      <c r="A10" s="12" t="s">
        <v>0</v>
      </c>
      <c r="B10" s="10"/>
      <c r="C10" s="10">
        <f>-$E$4/7</f>
        <v>-7000</v>
      </c>
      <c r="D10" s="10">
        <f t="shared" ref="D10:I10" si="0">-$E$4/7</f>
        <v>-7000</v>
      </c>
      <c r="E10" s="10">
        <f t="shared" si="0"/>
        <v>-7000</v>
      </c>
      <c r="F10" s="10">
        <f t="shared" si="0"/>
        <v>-7000</v>
      </c>
      <c r="G10" s="10">
        <f t="shared" si="0"/>
        <v>-7000</v>
      </c>
      <c r="H10" s="10">
        <f t="shared" si="0"/>
        <v>-7000</v>
      </c>
      <c r="I10" s="10">
        <f t="shared" si="0"/>
        <v>-7000</v>
      </c>
      <c r="J10" s="10"/>
      <c r="K10" s="10"/>
      <c r="L10" s="10"/>
      <c r="M10" s="10"/>
      <c r="N10" s="10"/>
      <c r="O10" s="10"/>
    </row>
    <row r="11" spans="1:15" x14ac:dyDescent="0.2">
      <c r="A11" s="12" t="s">
        <v>8</v>
      </c>
      <c r="C11" s="10">
        <f>F4</f>
        <v>21000</v>
      </c>
      <c r="D11" s="10">
        <f>C11+C13</f>
        <v>18000</v>
      </c>
      <c r="E11" s="10">
        <f t="shared" ref="E11:I11" si="1">D11+D13</f>
        <v>15000</v>
      </c>
      <c r="F11" s="10">
        <f t="shared" si="1"/>
        <v>12000</v>
      </c>
      <c r="G11" s="10">
        <f t="shared" si="1"/>
        <v>9000</v>
      </c>
      <c r="H11" s="10">
        <f t="shared" si="1"/>
        <v>6000</v>
      </c>
      <c r="I11" s="10">
        <f t="shared" si="1"/>
        <v>3000</v>
      </c>
      <c r="J11" s="13"/>
      <c r="K11" s="10"/>
      <c r="L11" s="10"/>
      <c r="M11" s="10"/>
      <c r="N11" s="10"/>
      <c r="O11" s="10"/>
    </row>
    <row r="12" spans="1:15" x14ac:dyDescent="0.2">
      <c r="A12" s="12" t="s">
        <v>9</v>
      </c>
      <c r="B12" s="10"/>
      <c r="C12" s="10">
        <f>-$G$4*C11</f>
        <v>-2100</v>
      </c>
      <c r="D12" s="10">
        <f t="shared" ref="D12:I12" si="2">-$G$4*D11</f>
        <v>-1800</v>
      </c>
      <c r="E12" s="10">
        <f t="shared" si="2"/>
        <v>-1500</v>
      </c>
      <c r="F12" s="10">
        <f t="shared" si="2"/>
        <v>-1200</v>
      </c>
      <c r="G12" s="10">
        <f t="shared" si="2"/>
        <v>-900</v>
      </c>
      <c r="H12" s="10">
        <f t="shared" si="2"/>
        <v>-600</v>
      </c>
      <c r="I12" s="10">
        <f t="shared" si="2"/>
        <v>-300</v>
      </c>
      <c r="J12" s="10"/>
      <c r="K12" s="10"/>
      <c r="L12" s="10"/>
      <c r="M12" s="10"/>
      <c r="N12" s="10"/>
      <c r="O12" s="10"/>
    </row>
    <row r="13" spans="1:15" x14ac:dyDescent="0.2">
      <c r="A13" s="12" t="s">
        <v>10</v>
      </c>
      <c r="B13" s="10"/>
      <c r="C13" s="10">
        <f>-$F$4/7</f>
        <v>-3000</v>
      </c>
      <c r="D13" s="10">
        <f t="shared" ref="D13:I13" si="3">-$F$4/7</f>
        <v>-3000</v>
      </c>
      <c r="E13" s="10">
        <f t="shared" si="3"/>
        <v>-3000</v>
      </c>
      <c r="F13" s="10">
        <f t="shared" si="3"/>
        <v>-3000</v>
      </c>
      <c r="G13" s="10">
        <f t="shared" si="3"/>
        <v>-3000</v>
      </c>
      <c r="H13" s="10">
        <f t="shared" si="3"/>
        <v>-3000</v>
      </c>
      <c r="I13" s="10">
        <f t="shared" si="3"/>
        <v>-3000</v>
      </c>
      <c r="J13" s="10"/>
      <c r="K13" s="10"/>
      <c r="L13" s="10"/>
      <c r="M13" s="10"/>
      <c r="N13" s="10"/>
      <c r="O13" s="10"/>
    </row>
    <row r="14" spans="1:15" x14ac:dyDescent="0.2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2">
      <c r="A15" s="12" t="s">
        <v>11</v>
      </c>
      <c r="B15" s="10"/>
      <c r="C15" s="10">
        <f>C8+C9+C10+C12</f>
        <v>2900</v>
      </c>
      <c r="D15" s="10">
        <f t="shared" ref="D15:I15" si="4">D8+D9+D10+D12</f>
        <v>5200</v>
      </c>
      <c r="E15" s="10">
        <f t="shared" si="4"/>
        <v>5500</v>
      </c>
      <c r="F15" s="10">
        <f t="shared" si="4"/>
        <v>6800</v>
      </c>
      <c r="G15" s="10">
        <f t="shared" si="4"/>
        <v>7100</v>
      </c>
      <c r="H15" s="10">
        <f t="shared" si="4"/>
        <v>7400</v>
      </c>
      <c r="I15" s="10">
        <f t="shared" si="4"/>
        <v>3700</v>
      </c>
      <c r="J15" s="10"/>
      <c r="K15" s="10"/>
      <c r="L15" s="10"/>
      <c r="M15" s="10"/>
      <c r="N15" s="10"/>
      <c r="O15" s="10"/>
    </row>
    <row r="16" spans="1:15" x14ac:dyDescent="0.2">
      <c r="A16" s="12" t="s">
        <v>12</v>
      </c>
      <c r="B16" s="10"/>
      <c r="C16" s="10">
        <f t="shared" ref="C16:I16" si="5">-$D$4*C15</f>
        <v>-812.00000000000011</v>
      </c>
      <c r="D16" s="10">
        <f t="shared" si="5"/>
        <v>-1456.0000000000002</v>
      </c>
      <c r="E16" s="10">
        <f t="shared" si="5"/>
        <v>-1540.0000000000002</v>
      </c>
      <c r="F16" s="10">
        <f t="shared" si="5"/>
        <v>-1904.0000000000002</v>
      </c>
      <c r="G16" s="10">
        <f t="shared" si="5"/>
        <v>-1988.0000000000002</v>
      </c>
      <c r="H16" s="10">
        <f t="shared" si="5"/>
        <v>-2072</v>
      </c>
      <c r="I16" s="10">
        <f t="shared" si="5"/>
        <v>-1036</v>
      </c>
      <c r="J16" s="10"/>
      <c r="K16" s="10"/>
      <c r="L16" s="10"/>
      <c r="M16" s="10"/>
      <c r="N16" s="10"/>
      <c r="O16" s="10"/>
    </row>
    <row r="17" spans="1:15" x14ac:dyDescent="0.2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">
      <c r="A18" s="12" t="s">
        <v>3</v>
      </c>
      <c r="B18" s="10">
        <f>-E4</f>
        <v>-49000</v>
      </c>
      <c r="L18" s="10"/>
      <c r="M18" s="10"/>
      <c r="N18" s="10"/>
      <c r="O18" s="10"/>
    </row>
    <row r="19" spans="1:15" x14ac:dyDescent="0.2">
      <c r="A19" s="12" t="s">
        <v>4</v>
      </c>
      <c r="B19" s="10">
        <f>F4</f>
        <v>21000</v>
      </c>
      <c r="L19" s="10"/>
      <c r="M19" s="10"/>
      <c r="N19" s="10"/>
      <c r="O19" s="10"/>
    </row>
    <row r="20" spans="1:15" x14ac:dyDescent="0.2">
      <c r="L20" s="10"/>
      <c r="M20" s="10"/>
      <c r="N20" s="10"/>
      <c r="O20" s="10"/>
    </row>
    <row r="21" spans="1:15" x14ac:dyDescent="0.2">
      <c r="A21" s="12" t="s">
        <v>13</v>
      </c>
      <c r="B21" s="10">
        <f>B18+B19</f>
        <v>-28000</v>
      </c>
      <c r="C21" s="10">
        <f>C8+C9+C12+C13+C16</f>
        <v>6088</v>
      </c>
      <c r="D21" s="10">
        <f t="shared" ref="D21:I21" si="6">D8+D9+D12+D13+D16</f>
        <v>7744</v>
      </c>
      <c r="E21" s="10">
        <f t="shared" si="6"/>
        <v>7960</v>
      </c>
      <c r="F21" s="10">
        <f t="shared" si="6"/>
        <v>8896</v>
      </c>
      <c r="G21" s="10">
        <f t="shared" si="6"/>
        <v>9112</v>
      </c>
      <c r="H21" s="10">
        <f t="shared" si="6"/>
        <v>9328</v>
      </c>
      <c r="I21" s="10">
        <f t="shared" si="6"/>
        <v>6664</v>
      </c>
      <c r="J21" s="10"/>
      <c r="K21" s="10"/>
      <c r="L21" s="10"/>
      <c r="M21" s="10"/>
      <c r="N21" s="10"/>
      <c r="O21" s="10"/>
    </row>
    <row r="22" spans="1:15" ht="15" x14ac:dyDescent="0.25">
      <c r="A22" s="12"/>
      <c r="B22" s="14"/>
      <c r="C22" s="14"/>
      <c r="D22" s="14"/>
      <c r="E22" s="14"/>
      <c r="F22" s="14"/>
      <c r="G22" s="14"/>
      <c r="H22" s="14"/>
      <c r="I22" s="14"/>
      <c r="J22" s="10"/>
      <c r="K22" s="10"/>
      <c r="L22" s="10"/>
      <c r="M22" s="10"/>
      <c r="N22" s="10"/>
      <c r="O22" s="10"/>
    </row>
    <row r="23" spans="1:15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5.75" x14ac:dyDescent="0.25">
      <c r="A24" s="12" t="s">
        <v>14</v>
      </c>
      <c r="B24" s="15">
        <f>IRR(B21:I21)</f>
        <v>0.19991768196263093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"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">
      <c r="A29" s="1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">
      <c r="A30" s="12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">
      <c r="A31" s="1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2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2">
      <c r="A33" s="18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2">
      <c r="A34" s="1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2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2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15.75" x14ac:dyDescent="0.25">
      <c r="A37" s="20"/>
      <c r="B37" s="2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2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">
      <c r="A39" s="12"/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topLeftCell="A4" workbookViewId="0"/>
  </sheetViews>
  <sheetFormatPr baseColWidth="10" defaultRowHeight="15" x14ac:dyDescent="0.25"/>
  <cols>
    <col min="1" max="1" width="19.85546875" customWidth="1"/>
    <col min="3" max="3" width="5.28515625" customWidth="1"/>
    <col min="4" max="4" width="8" customWidth="1"/>
    <col min="5" max="5" width="11.28515625" customWidth="1"/>
    <col min="6" max="6" width="9.28515625" customWidth="1"/>
    <col min="7" max="7" width="10" customWidth="1"/>
    <col min="8" max="8" width="11.28515625" customWidth="1"/>
    <col min="9" max="9" width="15.7109375" customWidth="1"/>
  </cols>
  <sheetData>
    <row r="1" spans="1:59" x14ac:dyDescent="0.25">
      <c r="A1" s="2" t="s">
        <v>36</v>
      </c>
    </row>
    <row r="2" spans="1:59" x14ac:dyDescent="0.25">
      <c r="B2" s="1"/>
      <c r="C2" s="1"/>
      <c r="D2" s="1" t="s">
        <v>31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25">
      <c r="A3" t="s">
        <v>4</v>
      </c>
      <c r="B3" s="25">
        <v>2500000</v>
      </c>
      <c r="C3" s="1"/>
      <c r="D3" s="1"/>
      <c r="E3" s="1"/>
      <c r="F3" s="1"/>
      <c r="G3" s="1"/>
      <c r="H3" s="1"/>
      <c r="I3" t="s">
        <v>30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x14ac:dyDescent="0.25">
      <c r="A4" t="s">
        <v>29</v>
      </c>
      <c r="B4" s="26">
        <v>7.0000000000000007E-2</v>
      </c>
      <c r="C4" s="1"/>
      <c r="D4" s="1" t="s">
        <v>28</v>
      </c>
      <c r="E4" s="1" t="s">
        <v>8</v>
      </c>
      <c r="F4" s="1" t="s">
        <v>9</v>
      </c>
      <c r="G4" s="1" t="s">
        <v>10</v>
      </c>
      <c r="H4" s="1" t="s">
        <v>27</v>
      </c>
      <c r="I4" s="1">
        <f>B16</f>
        <v>2495000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x14ac:dyDescent="0.25">
      <c r="A5" t="s">
        <v>26</v>
      </c>
      <c r="B5" s="25">
        <v>15</v>
      </c>
      <c r="C5" s="1"/>
      <c r="D5" s="1">
        <v>1</v>
      </c>
      <c r="E5" s="1">
        <f>B3</f>
        <v>2500000</v>
      </c>
      <c r="F5" s="1">
        <f t="shared" ref="F5:F36" si="0">$B$11*E5</f>
        <v>43750.000000000007</v>
      </c>
      <c r="G5" s="1">
        <f t="shared" ref="G5:G36" si="1">$B$3/$B$12</f>
        <v>41666.666666666664</v>
      </c>
      <c r="H5" s="1">
        <f t="shared" ref="H5:H36" si="2">E5-G5</f>
        <v>2458333.3333333335</v>
      </c>
      <c r="I5" s="1">
        <f t="shared" ref="I5:I36" si="3">-(F5+G5+$B$8)</f>
        <v>-85471.666666666672</v>
      </c>
      <c r="J5" s="1" t="s">
        <v>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x14ac:dyDescent="0.25">
      <c r="A6" t="s">
        <v>24</v>
      </c>
      <c r="B6" s="25">
        <v>4</v>
      </c>
      <c r="C6" s="1"/>
      <c r="D6" s="1">
        <v>2</v>
      </c>
      <c r="E6" s="1">
        <f t="shared" ref="E6:E37" si="4">H5</f>
        <v>2458333.3333333335</v>
      </c>
      <c r="F6" s="1">
        <f t="shared" si="0"/>
        <v>43020.833333333343</v>
      </c>
      <c r="G6" s="1">
        <f t="shared" si="1"/>
        <v>41666.666666666664</v>
      </c>
      <c r="H6" s="1">
        <f t="shared" si="2"/>
        <v>2416666.666666667</v>
      </c>
      <c r="I6" s="1">
        <f t="shared" si="3"/>
        <v>-84742.5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x14ac:dyDescent="0.25">
      <c r="A7" t="s">
        <v>23</v>
      </c>
      <c r="B7" s="25">
        <v>5000</v>
      </c>
      <c r="C7" s="1"/>
      <c r="D7" s="1">
        <v>3</v>
      </c>
      <c r="E7" s="1">
        <f t="shared" si="4"/>
        <v>2416666.666666667</v>
      </c>
      <c r="F7" s="1">
        <f t="shared" si="0"/>
        <v>42291.666666666679</v>
      </c>
      <c r="G7" s="1">
        <f t="shared" si="1"/>
        <v>41666.666666666664</v>
      </c>
      <c r="H7" s="1">
        <f t="shared" si="2"/>
        <v>2375000.0000000005</v>
      </c>
      <c r="I7" s="1">
        <f t="shared" si="3"/>
        <v>-84013.333333333343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x14ac:dyDescent="0.25">
      <c r="A8" t="s">
        <v>22</v>
      </c>
      <c r="B8" s="25">
        <v>55</v>
      </c>
      <c r="C8" s="1"/>
      <c r="D8" s="1">
        <v>4</v>
      </c>
      <c r="E8" s="1">
        <f t="shared" si="4"/>
        <v>2375000.0000000005</v>
      </c>
      <c r="F8" s="1">
        <f t="shared" si="0"/>
        <v>41562.500000000015</v>
      </c>
      <c r="G8" s="1">
        <f t="shared" si="1"/>
        <v>41666.666666666664</v>
      </c>
      <c r="H8" s="1">
        <f t="shared" si="2"/>
        <v>2333333.333333334</v>
      </c>
      <c r="I8" s="1">
        <f t="shared" si="3"/>
        <v>-83284.166666666686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B9" s="1"/>
      <c r="C9" s="1"/>
      <c r="D9" s="1">
        <v>5</v>
      </c>
      <c r="E9" s="1">
        <f t="shared" si="4"/>
        <v>2333333.333333334</v>
      </c>
      <c r="F9" s="1">
        <f t="shared" si="0"/>
        <v>40833.33333333335</v>
      </c>
      <c r="G9" s="1">
        <f t="shared" si="1"/>
        <v>41666.666666666664</v>
      </c>
      <c r="H9" s="1">
        <f t="shared" si="2"/>
        <v>2291666.6666666674</v>
      </c>
      <c r="I9" s="1">
        <f t="shared" si="3"/>
        <v>-82555.000000000015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x14ac:dyDescent="0.25">
      <c r="B10" s="1"/>
      <c r="C10" s="1"/>
      <c r="D10" s="1">
        <v>6</v>
      </c>
      <c r="E10" s="1">
        <f t="shared" si="4"/>
        <v>2291666.6666666674</v>
      </c>
      <c r="F10" s="1">
        <f t="shared" si="0"/>
        <v>40104.166666666686</v>
      </c>
      <c r="G10" s="1">
        <f t="shared" si="1"/>
        <v>41666.666666666664</v>
      </c>
      <c r="H10" s="1">
        <f t="shared" si="2"/>
        <v>2250000.0000000009</v>
      </c>
      <c r="I10" s="1">
        <f t="shared" si="3"/>
        <v>-81825.833333333343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x14ac:dyDescent="0.25">
      <c r="A11" t="s">
        <v>21</v>
      </c>
      <c r="B11" s="24">
        <f>B4/B6</f>
        <v>1.7500000000000002E-2</v>
      </c>
      <c r="C11" s="1"/>
      <c r="D11" s="1">
        <v>7</v>
      </c>
      <c r="E11" s="1">
        <f t="shared" si="4"/>
        <v>2250000.0000000009</v>
      </c>
      <c r="F11" s="1">
        <f t="shared" si="0"/>
        <v>39375.000000000022</v>
      </c>
      <c r="G11" s="1">
        <f t="shared" si="1"/>
        <v>41666.666666666664</v>
      </c>
      <c r="H11" s="1">
        <f t="shared" si="2"/>
        <v>2208333.3333333344</v>
      </c>
      <c r="I11" s="1">
        <f t="shared" si="3"/>
        <v>-81096.666666666686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x14ac:dyDescent="0.25">
      <c r="A12" t="s">
        <v>20</v>
      </c>
      <c r="B12" s="1">
        <f>B5*B6</f>
        <v>60</v>
      </c>
      <c r="C12" s="1"/>
      <c r="D12" s="1">
        <v>8</v>
      </c>
      <c r="E12" s="1">
        <f t="shared" si="4"/>
        <v>2208333.3333333344</v>
      </c>
      <c r="F12" s="1">
        <f t="shared" si="0"/>
        <v>38645.833333333358</v>
      </c>
      <c r="G12" s="1">
        <f t="shared" si="1"/>
        <v>41666.666666666664</v>
      </c>
      <c r="H12" s="1">
        <f t="shared" si="2"/>
        <v>2166666.6666666679</v>
      </c>
      <c r="I12" s="1">
        <f t="shared" si="3"/>
        <v>-80367.500000000029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x14ac:dyDescent="0.25">
      <c r="A13" t="s">
        <v>19</v>
      </c>
      <c r="B13" s="3">
        <f>-PMT(B11,B12,B3)</f>
        <v>67633.399514284334</v>
      </c>
      <c r="C13" s="1"/>
      <c r="D13" s="1">
        <v>9</v>
      </c>
      <c r="E13" s="1">
        <f t="shared" si="4"/>
        <v>2166666.6666666679</v>
      </c>
      <c r="F13" s="1">
        <f t="shared" si="0"/>
        <v>37916.666666666693</v>
      </c>
      <c r="G13" s="1">
        <f t="shared" si="1"/>
        <v>41666.666666666664</v>
      </c>
      <c r="H13" s="1">
        <f t="shared" si="2"/>
        <v>2125000.0000000014</v>
      </c>
      <c r="I13" s="1">
        <f t="shared" si="3"/>
        <v>-79638.333333333358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x14ac:dyDescent="0.25">
      <c r="A14" t="s">
        <v>18</v>
      </c>
      <c r="B14" s="1">
        <f>B13+B8</f>
        <v>67688.399514284334</v>
      </c>
      <c r="C14" s="1"/>
      <c r="D14" s="1">
        <v>10</v>
      </c>
      <c r="E14" s="1">
        <f t="shared" si="4"/>
        <v>2125000.0000000014</v>
      </c>
      <c r="F14" s="1">
        <f t="shared" si="0"/>
        <v>37187.500000000029</v>
      </c>
      <c r="G14" s="1">
        <f t="shared" si="1"/>
        <v>41666.666666666664</v>
      </c>
      <c r="H14" s="1">
        <f t="shared" si="2"/>
        <v>2083333.3333333347</v>
      </c>
      <c r="I14" s="1">
        <f t="shared" si="3"/>
        <v>-78909.166666666686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25">
      <c r="B15" s="1"/>
      <c r="C15" s="1"/>
      <c r="D15" s="1">
        <v>11</v>
      </c>
      <c r="E15" s="1">
        <f t="shared" si="4"/>
        <v>2083333.3333333347</v>
      </c>
      <c r="F15" s="1">
        <f t="shared" si="0"/>
        <v>36458.333333333358</v>
      </c>
      <c r="G15" s="1">
        <f t="shared" si="1"/>
        <v>41666.666666666664</v>
      </c>
      <c r="H15" s="1">
        <f t="shared" si="2"/>
        <v>2041666.6666666679</v>
      </c>
      <c r="I15" s="1">
        <f t="shared" si="3"/>
        <v>-78180.000000000029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x14ac:dyDescent="0.25">
      <c r="A16" t="s">
        <v>17</v>
      </c>
      <c r="B16" s="1">
        <f>B3-B7</f>
        <v>2495000</v>
      </c>
      <c r="C16" s="1"/>
      <c r="D16" s="1">
        <v>12</v>
      </c>
      <c r="E16" s="1">
        <f t="shared" si="4"/>
        <v>2041666.6666666679</v>
      </c>
      <c r="F16" s="1">
        <f t="shared" si="0"/>
        <v>35729.166666666693</v>
      </c>
      <c r="G16" s="1">
        <f t="shared" si="1"/>
        <v>41666.666666666664</v>
      </c>
      <c r="H16" s="1">
        <f t="shared" si="2"/>
        <v>2000000.0000000012</v>
      </c>
      <c r="I16" s="1">
        <f t="shared" si="3"/>
        <v>-77450.833333333358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x14ac:dyDescent="0.25">
      <c r="B17" s="1"/>
      <c r="C17" s="1"/>
      <c r="D17" s="1">
        <v>13</v>
      </c>
      <c r="E17" s="1">
        <f t="shared" si="4"/>
        <v>2000000.0000000012</v>
      </c>
      <c r="F17" s="1">
        <f t="shared" si="0"/>
        <v>35000.000000000022</v>
      </c>
      <c r="G17" s="1">
        <f t="shared" si="1"/>
        <v>41666.666666666664</v>
      </c>
      <c r="H17" s="1">
        <f t="shared" si="2"/>
        <v>1958333.3333333344</v>
      </c>
      <c r="I17" s="1">
        <f t="shared" si="3"/>
        <v>-76721.666666666686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 x14ac:dyDescent="0.25">
      <c r="A18" t="s">
        <v>16</v>
      </c>
      <c r="B18" s="23">
        <f>IRR(I4:I64)</f>
        <v>1.7628391251997666E-2</v>
      </c>
      <c r="C18" s="1"/>
      <c r="D18" s="1">
        <v>14</v>
      </c>
      <c r="E18" s="1">
        <f t="shared" si="4"/>
        <v>1958333.3333333344</v>
      </c>
      <c r="F18" s="1">
        <f t="shared" si="0"/>
        <v>34270.833333333358</v>
      </c>
      <c r="G18" s="1">
        <f t="shared" si="1"/>
        <v>41666.666666666664</v>
      </c>
      <c r="H18" s="1">
        <f t="shared" si="2"/>
        <v>1916666.6666666677</v>
      </c>
      <c r="I18" s="1">
        <f t="shared" si="3"/>
        <v>-75992.500000000029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x14ac:dyDescent="0.25">
      <c r="B19" s="1"/>
      <c r="C19" s="1"/>
      <c r="D19" s="1">
        <v>15</v>
      </c>
      <c r="E19" s="1">
        <f t="shared" si="4"/>
        <v>1916666.6666666677</v>
      </c>
      <c r="F19" s="1">
        <f t="shared" si="0"/>
        <v>33541.666666666686</v>
      </c>
      <c r="G19" s="1">
        <f t="shared" si="1"/>
        <v>41666.666666666664</v>
      </c>
      <c r="H19" s="1">
        <f t="shared" si="2"/>
        <v>1875000.0000000009</v>
      </c>
      <c r="I19" s="1">
        <f t="shared" si="3"/>
        <v>-75263.333333333343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 ht="18.75" customHeight="1" x14ac:dyDescent="0.35">
      <c r="A20" t="s">
        <v>15</v>
      </c>
      <c r="B20" s="22">
        <f>(1+B18)^B6-1</f>
        <v>7.2400135456702985E-2</v>
      </c>
      <c r="C20" s="1"/>
      <c r="D20" s="1">
        <v>16</v>
      </c>
      <c r="E20" s="1">
        <f t="shared" si="4"/>
        <v>1875000.0000000009</v>
      </c>
      <c r="F20" s="1">
        <f t="shared" si="0"/>
        <v>32812.500000000022</v>
      </c>
      <c r="G20" s="1">
        <f t="shared" si="1"/>
        <v>41666.666666666664</v>
      </c>
      <c r="H20" s="1">
        <f t="shared" si="2"/>
        <v>1833333.3333333342</v>
      </c>
      <c r="I20" s="1">
        <f t="shared" si="3"/>
        <v>-74534.166666666686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x14ac:dyDescent="0.25">
      <c r="B21" s="1"/>
      <c r="C21" s="1"/>
      <c r="D21" s="1">
        <v>17</v>
      </c>
      <c r="E21" s="1">
        <f t="shared" si="4"/>
        <v>1833333.3333333342</v>
      </c>
      <c r="F21" s="1">
        <f t="shared" si="0"/>
        <v>32083.33333333335</v>
      </c>
      <c r="G21" s="1">
        <f t="shared" si="1"/>
        <v>41666.666666666664</v>
      </c>
      <c r="H21" s="1">
        <f t="shared" si="2"/>
        <v>1791666.6666666674</v>
      </c>
      <c r="I21" s="1">
        <f t="shared" si="3"/>
        <v>-73805.000000000015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x14ac:dyDescent="0.25">
      <c r="B22" s="1"/>
      <c r="C22" s="1"/>
      <c r="D22" s="1">
        <v>18</v>
      </c>
      <c r="E22" s="1">
        <f t="shared" si="4"/>
        <v>1791666.6666666674</v>
      </c>
      <c r="F22" s="1">
        <f t="shared" si="0"/>
        <v>31354.166666666682</v>
      </c>
      <c r="G22" s="1">
        <f t="shared" si="1"/>
        <v>41666.666666666664</v>
      </c>
      <c r="H22" s="1">
        <f t="shared" si="2"/>
        <v>1750000.0000000007</v>
      </c>
      <c r="I22" s="1">
        <f t="shared" si="3"/>
        <v>-73075.833333333343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x14ac:dyDescent="0.25">
      <c r="B23" s="1"/>
      <c r="C23" s="1"/>
      <c r="D23" s="1">
        <v>19</v>
      </c>
      <c r="E23" s="1">
        <f t="shared" si="4"/>
        <v>1750000.0000000007</v>
      </c>
      <c r="F23" s="1">
        <f t="shared" si="0"/>
        <v>30625.000000000015</v>
      </c>
      <c r="G23" s="1">
        <f t="shared" si="1"/>
        <v>41666.666666666664</v>
      </c>
      <c r="H23" s="1">
        <f t="shared" si="2"/>
        <v>1708333.333333334</v>
      </c>
      <c r="I23" s="1">
        <f t="shared" si="3"/>
        <v>-72346.666666666686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x14ac:dyDescent="0.25">
      <c r="B24" s="1"/>
      <c r="C24" s="1"/>
      <c r="D24" s="1">
        <v>20</v>
      </c>
      <c r="E24" s="1">
        <f t="shared" si="4"/>
        <v>1708333.333333334</v>
      </c>
      <c r="F24" s="1">
        <f t="shared" si="0"/>
        <v>29895.833333333347</v>
      </c>
      <c r="G24" s="1">
        <f t="shared" si="1"/>
        <v>41666.666666666664</v>
      </c>
      <c r="H24" s="1">
        <f t="shared" si="2"/>
        <v>1666666.6666666672</v>
      </c>
      <c r="I24" s="1">
        <f t="shared" si="3"/>
        <v>-71617.500000000015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 x14ac:dyDescent="0.25">
      <c r="B25" s="1"/>
      <c r="C25" s="1"/>
      <c r="D25" s="1">
        <v>21</v>
      </c>
      <c r="E25" s="1">
        <f t="shared" si="4"/>
        <v>1666666.6666666672</v>
      </c>
      <c r="F25" s="1">
        <f t="shared" si="0"/>
        <v>29166.666666666679</v>
      </c>
      <c r="G25" s="1">
        <f t="shared" si="1"/>
        <v>41666.666666666664</v>
      </c>
      <c r="H25" s="1">
        <f t="shared" si="2"/>
        <v>1625000.0000000005</v>
      </c>
      <c r="I25" s="1">
        <f t="shared" si="3"/>
        <v>-70888.333333333343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B26" s="1"/>
      <c r="C26" s="1"/>
      <c r="D26" s="1">
        <v>22</v>
      </c>
      <c r="E26" s="1">
        <f t="shared" si="4"/>
        <v>1625000.0000000005</v>
      </c>
      <c r="F26" s="1">
        <f t="shared" si="0"/>
        <v>28437.500000000011</v>
      </c>
      <c r="G26" s="1">
        <f t="shared" si="1"/>
        <v>41666.666666666664</v>
      </c>
      <c r="H26" s="1">
        <f t="shared" si="2"/>
        <v>1583333.3333333337</v>
      </c>
      <c r="I26" s="1">
        <f t="shared" si="3"/>
        <v>-70159.166666666672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x14ac:dyDescent="0.25">
      <c r="B27" s="1"/>
      <c r="C27" s="1"/>
      <c r="D27" s="1">
        <v>23</v>
      </c>
      <c r="E27" s="1">
        <f t="shared" si="4"/>
        <v>1583333.3333333337</v>
      </c>
      <c r="F27" s="1">
        <f t="shared" si="0"/>
        <v>27708.333333333343</v>
      </c>
      <c r="G27" s="1">
        <f t="shared" si="1"/>
        <v>41666.666666666664</v>
      </c>
      <c r="H27" s="1">
        <f t="shared" si="2"/>
        <v>1541666.666666667</v>
      </c>
      <c r="I27" s="1">
        <f t="shared" si="3"/>
        <v>-69430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x14ac:dyDescent="0.25">
      <c r="B28" s="1"/>
      <c r="C28" s="1"/>
      <c r="D28" s="1">
        <v>24</v>
      </c>
      <c r="E28" s="1">
        <f t="shared" si="4"/>
        <v>1541666.666666667</v>
      </c>
      <c r="F28" s="1">
        <f t="shared" si="0"/>
        <v>26979.166666666675</v>
      </c>
      <c r="G28" s="1">
        <f t="shared" si="1"/>
        <v>41666.666666666664</v>
      </c>
      <c r="H28" s="1">
        <f t="shared" si="2"/>
        <v>1500000.0000000002</v>
      </c>
      <c r="I28" s="1">
        <f t="shared" si="3"/>
        <v>-68700.833333333343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x14ac:dyDescent="0.25">
      <c r="B29" s="1"/>
      <c r="C29" s="1"/>
      <c r="D29" s="1">
        <v>25</v>
      </c>
      <c r="E29" s="1">
        <f t="shared" si="4"/>
        <v>1500000.0000000002</v>
      </c>
      <c r="F29" s="1">
        <f t="shared" si="0"/>
        <v>26250.000000000007</v>
      </c>
      <c r="G29" s="1">
        <f t="shared" si="1"/>
        <v>41666.666666666664</v>
      </c>
      <c r="H29" s="1">
        <f t="shared" si="2"/>
        <v>1458333.3333333335</v>
      </c>
      <c r="I29" s="1">
        <f t="shared" si="3"/>
        <v>-67971.666666666672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x14ac:dyDescent="0.25">
      <c r="B30" s="1"/>
      <c r="C30" s="1"/>
      <c r="D30" s="1">
        <v>26</v>
      </c>
      <c r="E30" s="1">
        <f t="shared" si="4"/>
        <v>1458333.3333333335</v>
      </c>
      <c r="F30" s="1">
        <f t="shared" si="0"/>
        <v>25520.833333333339</v>
      </c>
      <c r="G30" s="1">
        <f t="shared" si="1"/>
        <v>41666.666666666664</v>
      </c>
      <c r="H30" s="1">
        <f t="shared" si="2"/>
        <v>1416666.6666666667</v>
      </c>
      <c r="I30" s="1">
        <f t="shared" si="3"/>
        <v>-67242.5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x14ac:dyDescent="0.25">
      <c r="B31" s="1"/>
      <c r="C31" s="1"/>
      <c r="D31" s="1">
        <v>27</v>
      </c>
      <c r="E31" s="1">
        <f t="shared" si="4"/>
        <v>1416666.6666666667</v>
      </c>
      <c r="F31" s="1">
        <f t="shared" si="0"/>
        <v>24791.666666666672</v>
      </c>
      <c r="G31" s="1">
        <f t="shared" si="1"/>
        <v>41666.666666666664</v>
      </c>
      <c r="H31" s="1">
        <f t="shared" si="2"/>
        <v>1375000</v>
      </c>
      <c r="I31" s="1">
        <f t="shared" si="3"/>
        <v>-66513.333333333343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x14ac:dyDescent="0.25">
      <c r="B32" s="1"/>
      <c r="C32" s="1"/>
      <c r="D32" s="1">
        <v>28</v>
      </c>
      <c r="E32" s="1">
        <f t="shared" si="4"/>
        <v>1375000</v>
      </c>
      <c r="F32" s="1">
        <f t="shared" si="0"/>
        <v>24062.500000000004</v>
      </c>
      <c r="G32" s="1">
        <f t="shared" si="1"/>
        <v>41666.666666666664</v>
      </c>
      <c r="H32" s="1">
        <f t="shared" si="2"/>
        <v>1333333.3333333333</v>
      </c>
      <c r="I32" s="1">
        <f t="shared" si="3"/>
        <v>-65784.166666666672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2:59" x14ac:dyDescent="0.25">
      <c r="B33" s="1"/>
      <c r="C33" s="1"/>
      <c r="D33" s="1">
        <v>29</v>
      </c>
      <c r="E33" s="1">
        <f t="shared" si="4"/>
        <v>1333333.3333333333</v>
      </c>
      <c r="F33" s="1">
        <f t="shared" si="0"/>
        <v>23333.333333333336</v>
      </c>
      <c r="G33" s="1">
        <f t="shared" si="1"/>
        <v>41666.666666666664</v>
      </c>
      <c r="H33" s="1">
        <f t="shared" si="2"/>
        <v>1291666.6666666665</v>
      </c>
      <c r="I33" s="1">
        <f t="shared" si="3"/>
        <v>-65055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2:59" x14ac:dyDescent="0.25">
      <c r="B34" s="1"/>
      <c r="C34" s="1"/>
      <c r="D34" s="1">
        <v>30</v>
      </c>
      <c r="E34" s="1">
        <f t="shared" si="4"/>
        <v>1291666.6666666665</v>
      </c>
      <c r="F34" s="1">
        <f t="shared" si="0"/>
        <v>22604.166666666668</v>
      </c>
      <c r="G34" s="1">
        <f t="shared" si="1"/>
        <v>41666.666666666664</v>
      </c>
      <c r="H34" s="1">
        <f t="shared" si="2"/>
        <v>1249999.9999999998</v>
      </c>
      <c r="I34" s="1">
        <f t="shared" si="3"/>
        <v>-64325.833333333328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2:59" x14ac:dyDescent="0.25">
      <c r="B35" s="1"/>
      <c r="C35" s="1"/>
      <c r="D35" s="1">
        <v>31</v>
      </c>
      <c r="E35" s="1">
        <f t="shared" si="4"/>
        <v>1249999.9999999998</v>
      </c>
      <c r="F35" s="1">
        <f t="shared" si="0"/>
        <v>21874.999999999996</v>
      </c>
      <c r="G35" s="1">
        <f t="shared" si="1"/>
        <v>41666.666666666664</v>
      </c>
      <c r="H35" s="1">
        <f t="shared" si="2"/>
        <v>1208333.333333333</v>
      </c>
      <c r="I35" s="1">
        <f t="shared" si="3"/>
        <v>-63596.666666666657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2:59" x14ac:dyDescent="0.25">
      <c r="B36" s="1"/>
      <c r="C36" s="1"/>
      <c r="D36" s="1">
        <v>32</v>
      </c>
      <c r="E36" s="1">
        <f t="shared" si="4"/>
        <v>1208333.333333333</v>
      </c>
      <c r="F36" s="1">
        <f t="shared" si="0"/>
        <v>21145.833333333328</v>
      </c>
      <c r="G36" s="1">
        <f t="shared" si="1"/>
        <v>41666.666666666664</v>
      </c>
      <c r="H36" s="1">
        <f t="shared" si="2"/>
        <v>1166666.6666666663</v>
      </c>
      <c r="I36" s="1">
        <f t="shared" si="3"/>
        <v>-62867.499999999993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2:59" x14ac:dyDescent="0.25">
      <c r="B37" s="1"/>
      <c r="C37" s="1"/>
      <c r="D37" s="1">
        <v>33</v>
      </c>
      <c r="E37" s="1">
        <f t="shared" si="4"/>
        <v>1166666.6666666663</v>
      </c>
      <c r="F37" s="1">
        <f t="shared" ref="F37:F64" si="5">$B$11*E37</f>
        <v>20416.666666666661</v>
      </c>
      <c r="G37" s="1">
        <f t="shared" ref="G37:G64" si="6">$B$3/$B$12</f>
        <v>41666.666666666664</v>
      </c>
      <c r="H37" s="1">
        <f t="shared" ref="H37:H64" si="7">E37-G37</f>
        <v>1124999.9999999995</v>
      </c>
      <c r="I37" s="1">
        <f t="shared" ref="I37:I64" si="8">-(F37+G37+$B$8)</f>
        <v>-62138.333333333328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2:59" x14ac:dyDescent="0.25">
      <c r="B38" s="1"/>
      <c r="C38" s="1"/>
      <c r="D38" s="1">
        <v>34</v>
      </c>
      <c r="E38" s="1">
        <f t="shared" ref="E38:E64" si="9">H37</f>
        <v>1124999.9999999995</v>
      </c>
      <c r="F38" s="1">
        <f t="shared" si="5"/>
        <v>19687.499999999993</v>
      </c>
      <c r="G38" s="1">
        <f t="shared" si="6"/>
        <v>41666.666666666664</v>
      </c>
      <c r="H38" s="1">
        <f t="shared" si="7"/>
        <v>1083333.3333333328</v>
      </c>
      <c r="I38" s="1">
        <f t="shared" si="8"/>
        <v>-61409.166666666657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2:59" x14ac:dyDescent="0.25">
      <c r="B39" s="1"/>
      <c r="C39" s="1"/>
      <c r="D39" s="1">
        <v>35</v>
      </c>
      <c r="E39" s="1">
        <f t="shared" si="9"/>
        <v>1083333.3333333328</v>
      </c>
      <c r="F39" s="1">
        <f t="shared" si="5"/>
        <v>18958.333333333325</v>
      </c>
      <c r="G39" s="1">
        <f t="shared" si="6"/>
        <v>41666.666666666664</v>
      </c>
      <c r="H39" s="1">
        <f t="shared" si="7"/>
        <v>1041666.6666666662</v>
      </c>
      <c r="I39" s="1">
        <f t="shared" si="8"/>
        <v>-60679.999999999985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2:59" x14ac:dyDescent="0.25">
      <c r="B40" s="1"/>
      <c r="C40" s="1"/>
      <c r="D40" s="1">
        <v>36</v>
      </c>
      <c r="E40" s="1">
        <f t="shared" si="9"/>
        <v>1041666.6666666662</v>
      </c>
      <c r="F40" s="1">
        <f t="shared" si="5"/>
        <v>18229.166666666661</v>
      </c>
      <c r="G40" s="1">
        <f t="shared" si="6"/>
        <v>41666.666666666664</v>
      </c>
      <c r="H40" s="1">
        <f t="shared" si="7"/>
        <v>999999.99999999953</v>
      </c>
      <c r="I40" s="1">
        <f t="shared" si="8"/>
        <v>-59950.833333333328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2:59" x14ac:dyDescent="0.25">
      <c r="B41" s="1"/>
      <c r="C41" s="1"/>
      <c r="D41" s="1">
        <v>37</v>
      </c>
      <c r="E41" s="1">
        <f t="shared" si="9"/>
        <v>999999.99999999953</v>
      </c>
      <c r="F41" s="1">
        <f t="shared" si="5"/>
        <v>17499.999999999993</v>
      </c>
      <c r="G41" s="1">
        <f t="shared" si="6"/>
        <v>41666.666666666664</v>
      </c>
      <c r="H41" s="1">
        <f t="shared" si="7"/>
        <v>958333.33333333291</v>
      </c>
      <c r="I41" s="1">
        <f t="shared" si="8"/>
        <v>-59221.666666666657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spans="2:59" x14ac:dyDescent="0.25">
      <c r="B42" s="1"/>
      <c r="C42" s="1"/>
      <c r="D42" s="1">
        <v>38</v>
      </c>
      <c r="E42" s="1">
        <f t="shared" si="9"/>
        <v>958333.33333333291</v>
      </c>
      <c r="F42" s="1">
        <f t="shared" si="5"/>
        <v>16770.833333333328</v>
      </c>
      <c r="G42" s="1">
        <f t="shared" si="6"/>
        <v>41666.666666666664</v>
      </c>
      <c r="H42" s="1">
        <f t="shared" si="7"/>
        <v>916666.66666666628</v>
      </c>
      <c r="I42" s="1">
        <f t="shared" si="8"/>
        <v>-58492.499999999993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2:59" x14ac:dyDescent="0.25">
      <c r="B43" s="1"/>
      <c r="C43" s="1"/>
      <c r="D43" s="1">
        <v>39</v>
      </c>
      <c r="E43" s="1">
        <f t="shared" si="9"/>
        <v>916666.66666666628</v>
      </c>
      <c r="F43" s="1">
        <f t="shared" si="5"/>
        <v>16041.666666666661</v>
      </c>
      <c r="G43" s="1">
        <f t="shared" si="6"/>
        <v>41666.666666666664</v>
      </c>
      <c r="H43" s="1">
        <f t="shared" si="7"/>
        <v>874999.99999999965</v>
      </c>
      <c r="I43" s="1">
        <f t="shared" si="8"/>
        <v>-57763.333333333328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2:59" x14ac:dyDescent="0.25">
      <c r="B44" s="1"/>
      <c r="C44" s="1"/>
      <c r="D44" s="1">
        <v>40</v>
      </c>
      <c r="E44" s="1">
        <f t="shared" si="9"/>
        <v>874999.99999999965</v>
      </c>
      <c r="F44" s="1">
        <f t="shared" si="5"/>
        <v>15312.499999999995</v>
      </c>
      <c r="G44" s="1">
        <f t="shared" si="6"/>
        <v>41666.666666666664</v>
      </c>
      <c r="H44" s="1">
        <f t="shared" si="7"/>
        <v>833333.33333333302</v>
      </c>
      <c r="I44" s="1">
        <f t="shared" si="8"/>
        <v>-57034.166666666657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spans="2:59" x14ac:dyDescent="0.25">
      <c r="B45" s="1"/>
      <c r="C45" s="1"/>
      <c r="D45" s="1">
        <v>41</v>
      </c>
      <c r="E45" s="1">
        <f t="shared" si="9"/>
        <v>833333.33333333302</v>
      </c>
      <c r="F45" s="1">
        <f t="shared" si="5"/>
        <v>14583.333333333328</v>
      </c>
      <c r="G45" s="1">
        <f t="shared" si="6"/>
        <v>41666.666666666664</v>
      </c>
      <c r="H45" s="1">
        <f t="shared" si="7"/>
        <v>791666.6666666664</v>
      </c>
      <c r="I45" s="1">
        <f t="shared" si="8"/>
        <v>-56304.999999999993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2:59" x14ac:dyDescent="0.25">
      <c r="B46" s="1"/>
      <c r="C46" s="1"/>
      <c r="D46" s="1">
        <v>42</v>
      </c>
      <c r="E46" s="1">
        <f t="shared" si="9"/>
        <v>791666.6666666664</v>
      </c>
      <c r="F46" s="1">
        <f t="shared" si="5"/>
        <v>13854.166666666662</v>
      </c>
      <c r="G46" s="1">
        <f t="shared" si="6"/>
        <v>41666.666666666664</v>
      </c>
      <c r="H46" s="1">
        <f t="shared" si="7"/>
        <v>749999.99999999977</v>
      </c>
      <c r="I46" s="1">
        <f t="shared" si="8"/>
        <v>-55575.833333333328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2:59" x14ac:dyDescent="0.25">
      <c r="B47" s="1"/>
      <c r="C47" s="1"/>
      <c r="D47" s="1">
        <v>43</v>
      </c>
      <c r="E47" s="1">
        <f t="shared" si="9"/>
        <v>749999.99999999977</v>
      </c>
      <c r="F47" s="1">
        <f t="shared" si="5"/>
        <v>13124.999999999996</v>
      </c>
      <c r="G47" s="1">
        <f t="shared" si="6"/>
        <v>41666.666666666664</v>
      </c>
      <c r="H47" s="1">
        <f t="shared" si="7"/>
        <v>708333.33333333314</v>
      </c>
      <c r="I47" s="1">
        <f t="shared" si="8"/>
        <v>-54846.666666666657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2:59" x14ac:dyDescent="0.25">
      <c r="B48" s="1"/>
      <c r="C48" s="1"/>
      <c r="D48" s="1">
        <v>44</v>
      </c>
      <c r="E48" s="1">
        <f t="shared" si="9"/>
        <v>708333.33333333314</v>
      </c>
      <c r="F48" s="1">
        <f t="shared" si="5"/>
        <v>12395.83333333333</v>
      </c>
      <c r="G48" s="1">
        <f t="shared" si="6"/>
        <v>41666.666666666664</v>
      </c>
      <c r="H48" s="1">
        <f t="shared" si="7"/>
        <v>666666.66666666651</v>
      </c>
      <c r="I48" s="1">
        <f t="shared" si="8"/>
        <v>-54117.499999999993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2:59" x14ac:dyDescent="0.25">
      <c r="B49" s="1"/>
      <c r="C49" s="1"/>
      <c r="D49" s="1">
        <v>45</v>
      </c>
      <c r="E49" s="1">
        <f t="shared" si="9"/>
        <v>666666.66666666651</v>
      </c>
      <c r="F49" s="1">
        <f t="shared" si="5"/>
        <v>11666.666666666664</v>
      </c>
      <c r="G49" s="1">
        <f t="shared" si="6"/>
        <v>41666.666666666664</v>
      </c>
      <c r="H49" s="1">
        <f t="shared" si="7"/>
        <v>624999.99999999988</v>
      </c>
      <c r="I49" s="1">
        <f t="shared" si="8"/>
        <v>-53388.333333333328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2:59" x14ac:dyDescent="0.25">
      <c r="B50" s="1"/>
      <c r="C50" s="1"/>
      <c r="D50" s="1">
        <v>46</v>
      </c>
      <c r="E50" s="1">
        <f t="shared" si="9"/>
        <v>624999.99999999988</v>
      </c>
      <c r="F50" s="1">
        <f t="shared" si="5"/>
        <v>10937.499999999998</v>
      </c>
      <c r="G50" s="1">
        <f t="shared" si="6"/>
        <v>41666.666666666664</v>
      </c>
      <c r="H50" s="1">
        <f t="shared" si="7"/>
        <v>583333.33333333326</v>
      </c>
      <c r="I50" s="1">
        <f t="shared" si="8"/>
        <v>-52659.166666666664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2:59" x14ac:dyDescent="0.25">
      <c r="B51" s="1"/>
      <c r="C51" s="1"/>
      <c r="D51" s="1">
        <v>47</v>
      </c>
      <c r="E51" s="1">
        <f t="shared" si="9"/>
        <v>583333.33333333326</v>
      </c>
      <c r="F51" s="1">
        <f t="shared" si="5"/>
        <v>10208.333333333332</v>
      </c>
      <c r="G51" s="1">
        <f t="shared" si="6"/>
        <v>41666.666666666664</v>
      </c>
      <c r="H51" s="1">
        <f t="shared" si="7"/>
        <v>541666.66666666663</v>
      </c>
      <c r="I51" s="1">
        <f t="shared" si="8"/>
        <v>-51930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2:59" x14ac:dyDescent="0.25">
      <c r="B52" s="1"/>
      <c r="C52" s="1"/>
      <c r="D52" s="1">
        <v>48</v>
      </c>
      <c r="E52" s="1">
        <f t="shared" si="9"/>
        <v>541666.66666666663</v>
      </c>
      <c r="F52" s="1">
        <f t="shared" si="5"/>
        <v>9479.1666666666661</v>
      </c>
      <c r="G52" s="1">
        <f t="shared" si="6"/>
        <v>41666.666666666664</v>
      </c>
      <c r="H52" s="1">
        <f t="shared" si="7"/>
        <v>499999.99999999994</v>
      </c>
      <c r="I52" s="1">
        <f t="shared" si="8"/>
        <v>-51200.833333333328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2:59" x14ac:dyDescent="0.25">
      <c r="B53" s="1"/>
      <c r="C53" s="1"/>
      <c r="D53" s="1">
        <v>49</v>
      </c>
      <c r="E53" s="1">
        <f t="shared" si="9"/>
        <v>499999.99999999994</v>
      </c>
      <c r="F53" s="1">
        <f t="shared" si="5"/>
        <v>8750</v>
      </c>
      <c r="G53" s="1">
        <f t="shared" si="6"/>
        <v>41666.666666666664</v>
      </c>
      <c r="H53" s="1">
        <f t="shared" si="7"/>
        <v>458333.33333333326</v>
      </c>
      <c r="I53" s="1">
        <f t="shared" si="8"/>
        <v>-50471.666666666664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2:59" x14ac:dyDescent="0.25">
      <c r="B54" s="1"/>
      <c r="C54" s="1"/>
      <c r="D54" s="1">
        <v>50</v>
      </c>
      <c r="E54" s="1">
        <f t="shared" si="9"/>
        <v>458333.33333333326</v>
      </c>
      <c r="F54" s="1">
        <f t="shared" si="5"/>
        <v>8020.833333333333</v>
      </c>
      <c r="G54" s="1">
        <f t="shared" si="6"/>
        <v>41666.666666666664</v>
      </c>
      <c r="H54" s="1">
        <f t="shared" si="7"/>
        <v>416666.66666666657</v>
      </c>
      <c r="I54" s="1">
        <f t="shared" si="8"/>
        <v>-49742.5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2:59" x14ac:dyDescent="0.25">
      <c r="B55" s="1"/>
      <c r="C55" s="1"/>
      <c r="D55" s="1">
        <v>51</v>
      </c>
      <c r="E55" s="1">
        <f t="shared" si="9"/>
        <v>416666.66666666657</v>
      </c>
      <c r="F55" s="1">
        <f t="shared" si="5"/>
        <v>7291.6666666666661</v>
      </c>
      <c r="G55" s="1">
        <f t="shared" si="6"/>
        <v>41666.666666666664</v>
      </c>
      <c r="H55" s="1">
        <f t="shared" si="7"/>
        <v>374999.99999999988</v>
      </c>
      <c r="I55" s="1">
        <f t="shared" si="8"/>
        <v>-49013.333333333328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2:59" x14ac:dyDescent="0.25">
      <c r="B56" s="1"/>
      <c r="C56" s="1"/>
      <c r="D56" s="1">
        <v>52</v>
      </c>
      <c r="E56" s="1">
        <f t="shared" si="9"/>
        <v>374999.99999999988</v>
      </c>
      <c r="F56" s="1">
        <f t="shared" si="5"/>
        <v>6562.4999999999982</v>
      </c>
      <c r="G56" s="1">
        <f t="shared" si="6"/>
        <v>41666.666666666664</v>
      </c>
      <c r="H56" s="1">
        <f t="shared" si="7"/>
        <v>333333.3333333332</v>
      </c>
      <c r="I56" s="1">
        <f t="shared" si="8"/>
        <v>-48284.166666666664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2:59" x14ac:dyDescent="0.25">
      <c r="B57" s="1"/>
      <c r="C57" s="1"/>
      <c r="D57" s="1">
        <v>53</v>
      </c>
      <c r="E57" s="1">
        <f t="shared" si="9"/>
        <v>333333.3333333332</v>
      </c>
      <c r="F57" s="1">
        <f t="shared" si="5"/>
        <v>5833.3333333333312</v>
      </c>
      <c r="G57" s="1">
        <f t="shared" si="6"/>
        <v>41666.666666666664</v>
      </c>
      <c r="H57" s="1">
        <f t="shared" si="7"/>
        <v>291666.66666666651</v>
      </c>
      <c r="I57" s="1">
        <f t="shared" si="8"/>
        <v>-47554.999999999993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2:59" x14ac:dyDescent="0.25">
      <c r="B58" s="1"/>
      <c r="C58" s="1"/>
      <c r="D58" s="1">
        <v>54</v>
      </c>
      <c r="E58" s="1">
        <f t="shared" si="9"/>
        <v>291666.66666666651</v>
      </c>
      <c r="F58" s="1">
        <f t="shared" si="5"/>
        <v>5104.1666666666642</v>
      </c>
      <c r="G58" s="1">
        <f t="shared" si="6"/>
        <v>41666.666666666664</v>
      </c>
      <c r="H58" s="1">
        <f t="shared" si="7"/>
        <v>249999.99999999985</v>
      </c>
      <c r="I58" s="1">
        <f t="shared" si="8"/>
        <v>-46825.833333333328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2:59" x14ac:dyDescent="0.25">
      <c r="B59" s="1"/>
      <c r="C59" s="1"/>
      <c r="D59" s="1">
        <v>55</v>
      </c>
      <c r="E59" s="1">
        <f t="shared" si="9"/>
        <v>249999.99999999985</v>
      </c>
      <c r="F59" s="1">
        <f t="shared" si="5"/>
        <v>4374.9999999999982</v>
      </c>
      <c r="G59" s="1">
        <f t="shared" si="6"/>
        <v>41666.666666666664</v>
      </c>
      <c r="H59" s="1">
        <f t="shared" si="7"/>
        <v>208333.3333333332</v>
      </c>
      <c r="I59" s="1">
        <f t="shared" si="8"/>
        <v>-46096.666666666664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2:59" x14ac:dyDescent="0.25">
      <c r="B60" s="1"/>
      <c r="C60" s="1"/>
      <c r="D60" s="1">
        <v>56</v>
      </c>
      <c r="E60" s="1">
        <f t="shared" si="9"/>
        <v>208333.3333333332</v>
      </c>
      <c r="F60" s="1">
        <f t="shared" si="5"/>
        <v>3645.8333333333312</v>
      </c>
      <c r="G60" s="1">
        <f t="shared" si="6"/>
        <v>41666.666666666664</v>
      </c>
      <c r="H60" s="1">
        <f t="shared" si="7"/>
        <v>166666.66666666654</v>
      </c>
      <c r="I60" s="1">
        <f t="shared" si="8"/>
        <v>-45367.499999999993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2:59" x14ac:dyDescent="0.25">
      <c r="B61" s="1"/>
      <c r="C61" s="1"/>
      <c r="D61" s="1">
        <v>57</v>
      </c>
      <c r="E61" s="1">
        <f t="shared" si="9"/>
        <v>166666.66666666654</v>
      </c>
      <c r="F61" s="1">
        <f t="shared" si="5"/>
        <v>2916.6666666666647</v>
      </c>
      <c r="G61" s="1">
        <f t="shared" si="6"/>
        <v>41666.666666666664</v>
      </c>
      <c r="H61" s="1">
        <f t="shared" si="7"/>
        <v>124999.99999999988</v>
      </c>
      <c r="I61" s="1">
        <f t="shared" si="8"/>
        <v>-44638.333333333328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2:59" x14ac:dyDescent="0.25">
      <c r="B62" s="1"/>
      <c r="C62" s="1"/>
      <c r="D62" s="1">
        <v>58</v>
      </c>
      <c r="E62" s="1">
        <f t="shared" si="9"/>
        <v>124999.99999999988</v>
      </c>
      <c r="F62" s="1">
        <f t="shared" si="5"/>
        <v>2187.4999999999982</v>
      </c>
      <c r="G62" s="1">
        <f t="shared" si="6"/>
        <v>41666.666666666664</v>
      </c>
      <c r="H62" s="1">
        <f t="shared" si="7"/>
        <v>83333.333333333227</v>
      </c>
      <c r="I62" s="1">
        <f t="shared" si="8"/>
        <v>-43909.166666666664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2:59" x14ac:dyDescent="0.25">
      <c r="B63" s="1"/>
      <c r="C63" s="1"/>
      <c r="D63" s="1">
        <v>59</v>
      </c>
      <c r="E63" s="1">
        <f t="shared" si="9"/>
        <v>83333.333333333227</v>
      </c>
      <c r="F63" s="1">
        <f t="shared" si="5"/>
        <v>1458.3333333333317</v>
      </c>
      <c r="G63" s="1">
        <f t="shared" si="6"/>
        <v>41666.666666666664</v>
      </c>
      <c r="H63" s="1">
        <f t="shared" si="7"/>
        <v>41666.666666666562</v>
      </c>
      <c r="I63" s="1">
        <f t="shared" si="8"/>
        <v>-43179.999999999993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2:59" x14ac:dyDescent="0.25">
      <c r="B64" s="1"/>
      <c r="C64" s="1"/>
      <c r="D64" s="1">
        <v>60</v>
      </c>
      <c r="E64" s="1">
        <f t="shared" si="9"/>
        <v>41666.666666666562</v>
      </c>
      <c r="F64" s="1">
        <f t="shared" si="5"/>
        <v>729.16666666666492</v>
      </c>
      <c r="G64" s="1">
        <f t="shared" si="6"/>
        <v>41666.666666666664</v>
      </c>
      <c r="H64" s="1">
        <f t="shared" si="7"/>
        <v>-1.0186340659856796E-10</v>
      </c>
      <c r="I64" s="1">
        <f t="shared" si="8"/>
        <v>-42450.833333333328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2:59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2:59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A2" sqref="A2"/>
    </sheetView>
  </sheetViews>
  <sheetFormatPr baseColWidth="10" defaultRowHeight="15" x14ac:dyDescent="0.25"/>
  <cols>
    <col min="1" max="1" width="17.28515625" style="1" customWidth="1"/>
    <col min="2" max="2" width="11.5703125" style="1" customWidth="1"/>
    <col min="3" max="3" width="12.42578125" style="1" customWidth="1"/>
    <col min="4" max="16384" width="11.42578125" style="1"/>
  </cols>
  <sheetData>
    <row r="1" spans="1:3" x14ac:dyDescent="0.25">
      <c r="A1" s="27" t="s">
        <v>38</v>
      </c>
    </row>
    <row r="2" spans="1:3" x14ac:dyDescent="0.25">
      <c r="B2" s="31" t="s">
        <v>37</v>
      </c>
      <c r="C2" s="31" t="s">
        <v>32</v>
      </c>
    </row>
    <row r="3" spans="1:3" x14ac:dyDescent="0.25">
      <c r="B3" s="1">
        <v>25000</v>
      </c>
    </row>
    <row r="4" spans="1:3" x14ac:dyDescent="0.25">
      <c r="B4" s="30">
        <v>-700</v>
      </c>
      <c r="C4" s="30"/>
    </row>
    <row r="5" spans="1:3" x14ac:dyDescent="0.25">
      <c r="B5" s="1">
        <f>SUM(B3:B4)</f>
        <v>24300</v>
      </c>
      <c r="C5" s="1">
        <v>-25000</v>
      </c>
    </row>
    <row r="7" spans="1:3" x14ac:dyDescent="0.25">
      <c r="A7" s="1" t="s">
        <v>33</v>
      </c>
      <c r="B7" s="24">
        <f>IRR(B5:C5)</f>
        <v>2.8806584362139898E-2</v>
      </c>
    </row>
    <row r="8" spans="1:3" x14ac:dyDescent="0.25">
      <c r="A8" s="1" t="s">
        <v>34</v>
      </c>
      <c r="B8" s="24">
        <f>(1+B7)^4-1</f>
        <v>0.12030155890329719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A2" sqref="A2"/>
    </sheetView>
  </sheetViews>
  <sheetFormatPr baseColWidth="10" defaultRowHeight="15" x14ac:dyDescent="0.25"/>
  <sheetData>
    <row r="1" spans="1:1" x14ac:dyDescent="0.25">
      <c r="A1" s="2" t="s">
        <v>39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8193" r:id="rId4">
          <objectPr defaultSize="0" r:id="rId5">
            <anchor moveWithCells="1">
              <from>
                <xdr:col>0</xdr:col>
                <xdr:colOff>323850</xdr:colOff>
                <xdr:row>2</xdr:row>
                <xdr:rowOff>28575</xdr:rowOff>
              </from>
              <to>
                <xdr:col>10</xdr:col>
                <xdr:colOff>314325</xdr:colOff>
                <xdr:row>8</xdr:row>
                <xdr:rowOff>19050</xdr:rowOff>
              </to>
            </anchor>
          </objectPr>
        </oleObject>
      </mc:Choice>
      <mc:Fallback>
        <oleObject progId="Word.Document.12" shapeId="819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Opp 1</vt:lpstr>
      <vt:lpstr>Opp 2</vt:lpstr>
      <vt:lpstr>Opp 3</vt:lpstr>
      <vt:lpstr>Opp 4</vt:lpstr>
      <vt:lpstr>Opp 5</vt:lpstr>
      <vt:lpstr>Opp 6</vt:lpstr>
      <vt:lpstr>Opp 7</vt:lpstr>
      <vt:lpstr>Opp 8</vt:lpstr>
      <vt:lpstr>Opp 9</vt:lpstr>
      <vt:lpstr>Opp 10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sequencer</dc:creator>
  <cp:lastModifiedBy>Helbæk Morten</cp:lastModifiedBy>
  <cp:lastPrinted>2011-08-28T10:31:25Z</cp:lastPrinted>
  <dcterms:created xsi:type="dcterms:W3CDTF">2010-06-22T20:41:53Z</dcterms:created>
  <dcterms:modified xsi:type="dcterms:W3CDTF">2015-10-11T14:20:52Z</dcterms:modified>
</cp:coreProperties>
</file>