
<file path=[Content_Types].xml><?xml version="1.0" encoding="utf-8"?>
<Types xmlns="http://schemas.openxmlformats.org/package/2006/content-types">
  <Default Extension="tmp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edOk_NTNU_2015\Ovinger_2015\"/>
    </mc:Choice>
  </mc:AlternateContent>
  <bookViews>
    <workbookView xWindow="0" yWindow="0" windowWidth="19410" windowHeight="10620"/>
  </bookViews>
  <sheets>
    <sheet name="5.17" sheetId="10" r:id="rId1"/>
    <sheet name="6.9" sheetId="1" r:id="rId2"/>
    <sheet name="6.11" sheetId="11" r:id="rId3"/>
    <sheet name="6.14" sheetId="3" r:id="rId4"/>
    <sheet name="6.21" sheetId="9" r:id="rId5"/>
  </sheets>
  <externalReferences>
    <externalReference r:id="rId6"/>
  </externalReferences>
  <definedNames>
    <definedName name="anscount" hidden="1">1</definedName>
    <definedName name="d_1">'[1]Løsn kap 5'!$E$164</definedName>
    <definedName name="d_2">'[1]Løsn kap 5'!$E$165</definedName>
    <definedName name="rente">'[1]Løsn kap 5'!$B$166</definedName>
    <definedName name="S">'[1]Løsn kap 5'!$B$164</definedName>
    <definedName name="sencount" hidden="1">2</definedName>
    <definedName name="sigma">'[1]Løsn kap 5'!$B$167</definedName>
    <definedName name="T">'[1]Løsn kap 5'!$B$168</definedName>
    <definedName name="X">'[1]Løsn kap 5'!$B$165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9" l="1"/>
  <c r="E8" i="9"/>
  <c r="B28" i="9" s="1"/>
  <c r="B14" i="9"/>
  <c r="C14" i="9"/>
  <c r="D14" i="9"/>
  <c r="G19" i="9"/>
  <c r="G20" i="9"/>
  <c r="B21" i="9"/>
  <c r="C21" i="9"/>
  <c r="B22" i="9"/>
  <c r="B30" i="9" s="1"/>
  <c r="C30" i="9" s="1"/>
  <c r="C22" i="9"/>
  <c r="B32" i="9" s="1"/>
  <c r="C32" i="9" s="1"/>
  <c r="B27" i="9"/>
  <c r="C27" i="9" s="1"/>
  <c r="B31" i="9"/>
  <c r="C31" i="9"/>
  <c r="E42" i="9"/>
  <c r="F63" i="9" s="1"/>
  <c r="I42" i="9"/>
  <c r="F64" i="9" s="1"/>
  <c r="B47" i="9"/>
  <c r="C47" i="9"/>
  <c r="F67" i="9" s="1"/>
  <c r="D47" i="9"/>
  <c r="F73" i="9" s="1"/>
  <c r="B49" i="9"/>
  <c r="B69" i="9" s="1"/>
  <c r="B50" i="9"/>
  <c r="B54" i="9"/>
  <c r="F54" i="9" s="1"/>
  <c r="H54" i="9" s="1"/>
  <c r="C54" i="9"/>
  <c r="G54" i="9"/>
  <c r="B55" i="9"/>
  <c r="D55" i="9" s="1"/>
  <c r="C55" i="9"/>
  <c r="G55" i="9"/>
  <c r="E60" i="9"/>
  <c r="F60" i="9"/>
  <c r="C63" i="9"/>
  <c r="C64" i="9"/>
  <c r="F66" i="9"/>
  <c r="B71" i="9"/>
  <c r="D54" i="9" l="1"/>
  <c r="D56" i="9" s="1"/>
  <c r="B23" i="9"/>
  <c r="C66" i="9" s="1"/>
  <c r="C28" i="9"/>
  <c r="B63" i="9"/>
  <c r="G21" i="9"/>
  <c r="H56" i="9"/>
  <c r="B64" i="9" s="1"/>
  <c r="F55" i="9"/>
  <c r="H55" i="9" s="1"/>
  <c r="B29" i="9"/>
  <c r="C29" i="9" s="1"/>
  <c r="C23" i="9"/>
  <c r="B33" i="9" l="1"/>
  <c r="G23" i="9"/>
  <c r="G24" i="9" s="1"/>
  <c r="D23" i="9" s="1"/>
  <c r="C73" i="9" s="1"/>
  <c r="E64" i="9"/>
  <c r="G64" i="9" s="1"/>
  <c r="H64" i="9" s="1"/>
  <c r="B67" i="9"/>
  <c r="E63" i="9"/>
  <c r="B66" i="9"/>
  <c r="E66" i="9" s="1"/>
  <c r="G66" i="9" s="1"/>
  <c r="G22" i="9"/>
  <c r="C67" i="9"/>
  <c r="C71" i="9"/>
  <c r="E71" i="9" s="1"/>
  <c r="F71" i="9" s="1"/>
  <c r="C33" i="9"/>
  <c r="C69" i="9" s="1"/>
  <c r="E69" i="9" s="1"/>
  <c r="F69" i="9" s="1"/>
  <c r="F78" i="9" s="1"/>
  <c r="H66" i="9" l="1"/>
  <c r="B35" i="9"/>
  <c r="B36" i="9" s="1"/>
  <c r="G63" i="9"/>
  <c r="E67" i="9"/>
  <c r="G67" i="9" s="1"/>
  <c r="H67" i="9" s="1"/>
  <c r="G65" i="9" l="1"/>
  <c r="H63" i="9"/>
  <c r="E68" i="9"/>
  <c r="E70" i="9" s="1"/>
  <c r="E72" i="9" s="1"/>
  <c r="E76" i="9" l="1"/>
  <c r="H65" i="9"/>
  <c r="E73" i="9"/>
  <c r="G73" i="9" s="1"/>
  <c r="H73" i="9" l="1"/>
  <c r="G77" i="9"/>
  <c r="E77" i="9" s="1"/>
  <c r="E74" i="9"/>
  <c r="E75" i="9" s="1"/>
  <c r="F78" i="3"/>
  <c r="F73" i="3"/>
  <c r="E78" i="3"/>
  <c r="E73" i="3"/>
  <c r="E77" i="3"/>
  <c r="G77" i="3"/>
  <c r="G76" i="3"/>
  <c r="G75" i="3"/>
  <c r="F76" i="3"/>
  <c r="F75" i="3"/>
  <c r="E76" i="3"/>
  <c r="E75" i="3"/>
  <c r="G72" i="3"/>
  <c r="E72" i="3"/>
  <c r="E71" i="3"/>
  <c r="E70" i="3"/>
  <c r="G68" i="3"/>
  <c r="F68" i="3"/>
  <c r="E69" i="3"/>
  <c r="E68" i="3"/>
  <c r="D68" i="3"/>
  <c r="C68" i="3"/>
  <c r="B68" i="3"/>
  <c r="F66" i="3"/>
  <c r="F64" i="3"/>
  <c r="E67" i="3"/>
  <c r="E66" i="3"/>
  <c r="E65" i="3"/>
  <c r="E64" i="3"/>
  <c r="C66" i="3"/>
  <c r="D66" i="3" s="1"/>
  <c r="C64" i="3"/>
  <c r="D64" i="3"/>
  <c r="B66" i="3"/>
  <c r="B64" i="3"/>
  <c r="E63" i="3"/>
  <c r="G61" i="3"/>
  <c r="G62" i="3"/>
  <c r="F62" i="3"/>
  <c r="E62" i="3"/>
  <c r="D62" i="3"/>
  <c r="C62" i="3"/>
  <c r="B62" i="3"/>
  <c r="G60" i="3"/>
  <c r="G59" i="3"/>
  <c r="F60" i="3"/>
  <c r="F59" i="3"/>
  <c r="E60" i="3"/>
  <c r="E59" i="3"/>
  <c r="D60" i="3"/>
  <c r="D59" i="3"/>
  <c r="C60" i="3"/>
  <c r="C59" i="3"/>
  <c r="B60" i="3"/>
  <c r="B59" i="3"/>
  <c r="F56" i="3"/>
  <c r="E56" i="3"/>
  <c r="C52" i="3"/>
  <c r="B52" i="3"/>
  <c r="C51" i="3"/>
  <c r="B51" i="3"/>
  <c r="C50" i="3"/>
  <c r="B50" i="3"/>
  <c r="C49" i="3"/>
  <c r="B49" i="3"/>
  <c r="A50" i="3"/>
  <c r="A51" i="3"/>
  <c r="A52" i="3"/>
  <c r="A49" i="3"/>
  <c r="B44" i="3"/>
  <c r="B43" i="3"/>
  <c r="B42" i="3"/>
  <c r="B40" i="3"/>
  <c r="B37" i="3"/>
  <c r="B36" i="3"/>
  <c r="B35" i="3"/>
  <c r="B33" i="3"/>
  <c r="B32" i="3"/>
  <c r="B31" i="3"/>
  <c r="B26" i="3"/>
  <c r="B25" i="3"/>
  <c r="B24" i="3"/>
  <c r="B23" i="3"/>
  <c r="B7" i="3"/>
  <c r="E78" i="9" l="1"/>
  <c r="B29" i="1" l="1"/>
  <c r="B28" i="1"/>
  <c r="B27" i="1"/>
  <c r="B26" i="1"/>
  <c r="B25" i="1"/>
  <c r="B24" i="1"/>
  <c r="B23" i="1"/>
  <c r="B20" i="1"/>
  <c r="D19" i="1"/>
  <c r="B19" i="1"/>
  <c r="B18" i="1"/>
</calcChain>
</file>

<file path=xl/sharedStrings.xml><?xml version="1.0" encoding="utf-8"?>
<sst xmlns="http://schemas.openxmlformats.org/spreadsheetml/2006/main" count="252" uniqueCount="194">
  <si>
    <t xml:space="preserve">Standard forbruk dir matr </t>
  </si>
  <si>
    <t xml:space="preserve"> kg per enhet</t>
  </si>
  <si>
    <t xml:space="preserve">Standard pris dir matr </t>
  </si>
  <si>
    <t xml:space="preserve"> kr per kg</t>
  </si>
  <si>
    <t>Standard tid</t>
  </si>
  <si>
    <t xml:space="preserve"> timer per enhet</t>
  </si>
  <si>
    <t>Standard lønnssats</t>
  </si>
  <si>
    <t xml:space="preserve"> kr per time</t>
  </si>
  <si>
    <t>Budsjettert salg for perioden</t>
  </si>
  <si>
    <t xml:space="preserve"> enheter</t>
  </si>
  <si>
    <t>Budsjetterte indirekte kostnader:</t>
  </si>
  <si>
    <t>Materialavdeling</t>
  </si>
  <si>
    <t>Tilvirkningsavd.</t>
  </si>
  <si>
    <t>Salgs &amp; adm avd.</t>
  </si>
  <si>
    <t>Indir kostn</t>
  </si>
  <si>
    <t>Aktivitetsmål</t>
  </si>
  <si>
    <t xml:space="preserve"> kg</t>
  </si>
  <si>
    <t xml:space="preserve"> timer</t>
  </si>
  <si>
    <t>tilvirkningskost</t>
  </si>
  <si>
    <t>Budsjettert</t>
  </si>
  <si>
    <t>Satser for indirekte kostnader:</t>
  </si>
  <si>
    <t>Tilvirkn.avd.</t>
  </si>
  <si>
    <t>Materialavd.</t>
  </si>
  <si>
    <t xml:space="preserve"> kr/kg</t>
  </si>
  <si>
    <t xml:space="preserve"> kr/t</t>
  </si>
  <si>
    <t>Tilvirkningsmerkost (normalperiode)</t>
  </si>
  <si>
    <t>Salgs &amp; Adm avd.</t>
  </si>
  <si>
    <t>Selvkost for produktet:</t>
  </si>
  <si>
    <t>Dir matr</t>
  </si>
  <si>
    <t>Dir lønn</t>
  </si>
  <si>
    <t>Indir kostn matr.avd</t>
  </si>
  <si>
    <t>Indir kostn tilv.avd</t>
  </si>
  <si>
    <t>Tilv.merkost</t>
  </si>
  <si>
    <t>Indir kostn S&amp;A avd</t>
  </si>
  <si>
    <t xml:space="preserve">Selvkost  </t>
  </si>
  <si>
    <t xml:space="preserve"> per time</t>
  </si>
  <si>
    <t xml:space="preserve"> per enhet</t>
  </si>
  <si>
    <t>Salgsinntekter</t>
  </si>
  <si>
    <t>Direkte material</t>
  </si>
  <si>
    <t>Direkte lønn</t>
  </si>
  <si>
    <t>Produkt:</t>
  </si>
  <si>
    <t>SUM HELE BEDRIFTEN</t>
  </si>
  <si>
    <t>SALG</t>
  </si>
  <si>
    <t>Antall</t>
  </si>
  <si>
    <t>kr</t>
  </si>
  <si>
    <t>Standard</t>
  </si>
  <si>
    <t>Standard kostnad</t>
  </si>
  <si>
    <t>Virkelige kostnader</t>
  </si>
  <si>
    <t>Avvik</t>
  </si>
  <si>
    <t>Mengde</t>
  </si>
  <si>
    <t>Sats</t>
  </si>
  <si>
    <t>Kostnad</t>
  </si>
  <si>
    <t xml:space="preserve">             Sum avvik dir kostn</t>
  </si>
  <si>
    <t>Indir kostn Tilv avd</t>
  </si>
  <si>
    <t>Periodens tilvirkningskost</t>
  </si>
  <si>
    <t>Beh.endringer ViA</t>
  </si>
  <si>
    <t>Tilvkost ferdigvarer</t>
  </si>
  <si>
    <t>Beh.endringer ferdigvarer</t>
  </si>
  <si>
    <t>Tilv.kost solgte varer</t>
  </si>
  <si>
    <t>SELVKOST</t>
  </si>
  <si>
    <t>PRODUKTRESULTAT</t>
  </si>
  <si>
    <t>Sum avvik direkte kostnader</t>
  </si>
  <si>
    <t>Sum dekningsdifferanser</t>
  </si>
  <si>
    <t>PRODUKSJONSRESULTAT</t>
  </si>
  <si>
    <t>Kalkyle</t>
  </si>
  <si>
    <t xml:space="preserve">Direkte lønn </t>
  </si>
  <si>
    <t>Indir var tilv.kostnader</t>
  </si>
  <si>
    <t>Tilvirkningsmerkost per enhet</t>
  </si>
  <si>
    <t>Budsjettert pris per enhet</t>
  </si>
  <si>
    <t>Salgsprovisjon</t>
  </si>
  <si>
    <t>Standard pris</t>
  </si>
  <si>
    <t xml:space="preserve"> per kg</t>
  </si>
  <si>
    <t>Indirekte var kostnader</t>
  </si>
  <si>
    <t>Budsjetterte faste kostnader per måned:</t>
  </si>
  <si>
    <t>Tilvirkningsavdeling</t>
  </si>
  <si>
    <t>Salgs- og adm.avdeling</t>
  </si>
  <si>
    <t>Budsjettert salg og prod for feb:</t>
  </si>
  <si>
    <t xml:space="preserve">Råstoffet settes i sin helhet inn i starten av tilvirkningsprosessen. </t>
  </si>
  <si>
    <t>Varer i arbeid er kommet halvveis i tilvirkningen.</t>
  </si>
  <si>
    <t>Lønnskostnadene påløper jevnt gjennom hele tilvirkningsprosessen</t>
  </si>
  <si>
    <t>Regnskapstall for februar:</t>
  </si>
  <si>
    <t>Antall solgte enheter</t>
  </si>
  <si>
    <t>Antall enheter satt i produksjon</t>
  </si>
  <si>
    <t>Antall enheter ferdig tilvirket</t>
  </si>
  <si>
    <t>Direkte materialer</t>
  </si>
  <si>
    <t>Indirekte variable tilvirkningskostnader</t>
  </si>
  <si>
    <t>Indirekte variable salgs- og adm.kostander</t>
  </si>
  <si>
    <t>Faste tilvirkningskostnader</t>
  </si>
  <si>
    <t>Faste salgs- og adm. kostnader</t>
  </si>
  <si>
    <t xml:space="preserve">  Forbruk:</t>
  </si>
  <si>
    <t xml:space="preserve"> Virk. Sats</t>
  </si>
  <si>
    <t xml:space="preserve"> a) </t>
  </si>
  <si>
    <t>Pris per enhet</t>
  </si>
  <si>
    <t>Tilvirkningsmerkost</t>
  </si>
  <si>
    <t>Var salgskostnader</t>
  </si>
  <si>
    <t>Budsjettert dekningsbidrag</t>
  </si>
  <si>
    <t xml:space="preserve">b) Beholdningsendringer: </t>
  </si>
  <si>
    <t xml:space="preserve">Reduksjon av varer i arbeid </t>
  </si>
  <si>
    <t>enheter</t>
  </si>
  <si>
    <t>Ant enheter påbegynt i perioden</t>
  </si>
  <si>
    <t>Ant enheter ferdig tilvirket</t>
  </si>
  <si>
    <t>Solgte enheter i perioden</t>
  </si>
  <si>
    <t>Enheter ferdig tilvirket</t>
  </si>
  <si>
    <t>Reduksjon av ferdigvarer</t>
  </si>
  <si>
    <t>Standard mengde:</t>
  </si>
  <si>
    <t>Standard tid ferdige varer</t>
  </si>
  <si>
    <t>Standard tid halvfabrikat</t>
  </si>
  <si>
    <t xml:space="preserve"> c) </t>
  </si>
  <si>
    <t>Standardkalkyle</t>
  </si>
  <si>
    <t>Ferdig prod</t>
  </si>
  <si>
    <t>Halvfabrikata</t>
  </si>
  <si>
    <t>VIRKELIG DEKNINGSBIDRAG</t>
  </si>
  <si>
    <t>Indir var kostn tilv.avd</t>
  </si>
  <si>
    <t>Direkte matr</t>
  </si>
  <si>
    <t>Periodens tilvirkningsmerkost</t>
  </si>
  <si>
    <t>Tilv.merkost ferdigvarer</t>
  </si>
  <si>
    <t>Tilv.merkost solgte varer</t>
  </si>
  <si>
    <t>Indir var kostn S&amp;A avd</t>
  </si>
  <si>
    <t>SALGSMERKOST</t>
  </si>
  <si>
    <t>KALKULERT DEKNINGSBIDRAG</t>
  </si>
  <si>
    <t>Faste kostnader:</t>
  </si>
  <si>
    <t>Salgs- og adm. avdeling</t>
  </si>
  <si>
    <t>Avvik FK:</t>
  </si>
  <si>
    <t>Sum budsjettavvik faste kostnader</t>
  </si>
  <si>
    <t>¬</t>
  </si>
  <si>
    <t>Indir kostn Matr avd</t>
  </si>
  <si>
    <t xml:space="preserve">  timer</t>
  </si>
  <si>
    <t>ViA (50 %)</t>
  </si>
  <si>
    <t>Ferdigvarer</t>
  </si>
  <si>
    <t>St mengde</t>
  </si>
  <si>
    <t>Pr enh (timer)</t>
  </si>
  <si>
    <t>Pr enh (kg)</t>
  </si>
  <si>
    <t xml:space="preserve"> Standard tid for de enhetene som er tilvirket i mars:</t>
  </si>
  <si>
    <t xml:space="preserve"> Standard mengde for de enhetene som er tilvirket i mars:</t>
  </si>
  <si>
    <t>Økning ferdigv</t>
  </si>
  <si>
    <t xml:space="preserve">  (ViA betyr halveis tilvirket i tilvirkningsavdelingen)</t>
  </si>
  <si>
    <t>Økning ViA</t>
  </si>
  <si>
    <t>UB ViA</t>
  </si>
  <si>
    <t>IB ViA</t>
  </si>
  <si>
    <t>Tot indir. Kostn</t>
  </si>
  <si>
    <t xml:space="preserve"> Antall Alfa solgt i mars:</t>
  </si>
  <si>
    <t>Faste kostnader</t>
  </si>
  <si>
    <t>Inntekt:</t>
  </si>
  <si>
    <t xml:space="preserve"> Antall Alfa ferdig tilvirket i mars:</t>
  </si>
  <si>
    <t>Variable kostn</t>
  </si>
  <si>
    <t>S &amp; A avd</t>
  </si>
  <si>
    <t>Tilvavd</t>
  </si>
  <si>
    <t>Matravd</t>
  </si>
  <si>
    <t>Gitt i oppgaven:</t>
  </si>
  <si>
    <t>Forbruk</t>
  </si>
  <si>
    <t>UB lønn (forskudd)</t>
  </si>
  <si>
    <t>UB råmatr</t>
  </si>
  <si>
    <t>Betalt lønn</t>
  </si>
  <si>
    <t>kjøp råmatr</t>
  </si>
  <si>
    <t>Tid</t>
  </si>
  <si>
    <t>IB lønn (forskudd)</t>
  </si>
  <si>
    <t>IB råmatr</t>
  </si>
  <si>
    <t xml:space="preserve"> Virkelige (riktige) tall for mars</t>
  </si>
  <si>
    <t>Selvkost</t>
  </si>
  <si>
    <t xml:space="preserve"> (Selvkost)</t>
  </si>
  <si>
    <t>Tilvirkningskost</t>
  </si>
  <si>
    <t>Tilv avd faste</t>
  </si>
  <si>
    <t>Tilv avd var</t>
  </si>
  <si>
    <t>Matr avd faste</t>
  </si>
  <si>
    <t>Matr avd var</t>
  </si>
  <si>
    <t>ViA</t>
  </si>
  <si>
    <t>Standard kalkyle</t>
  </si>
  <si>
    <t>Tot</t>
  </si>
  <si>
    <t>Totalt</t>
  </si>
  <si>
    <t>Till Tilvavd</t>
  </si>
  <si>
    <t>Faste kostn</t>
  </si>
  <si>
    <t>Till Matravd</t>
  </si>
  <si>
    <t>Var kostn</t>
  </si>
  <si>
    <t>a) Standardsatser for indirekte kostnader:</t>
  </si>
  <si>
    <t>Budsj tilvirkningskost:</t>
  </si>
  <si>
    <t>timer</t>
  </si>
  <si>
    <t>kg</t>
  </si>
  <si>
    <t>Budsj tilvkost</t>
  </si>
  <si>
    <t>Aktivitetsmål:</t>
  </si>
  <si>
    <t>Salgspris</t>
  </si>
  <si>
    <t>Budsjettert salg for mars:</t>
  </si>
  <si>
    <t>Salgs- og adm. avd</t>
  </si>
  <si>
    <t>Tilvirknings-avd</t>
  </si>
  <si>
    <t>Material-forvaltavd.</t>
  </si>
  <si>
    <t>Budsjetterte indirektekostnader for mars:</t>
  </si>
  <si>
    <t>Timepris</t>
  </si>
  <si>
    <t>Pris pr kg</t>
  </si>
  <si>
    <t>Mengde (kg)</t>
  </si>
  <si>
    <t>Standardkalkyle (budsjett):</t>
  </si>
  <si>
    <t>Virkelig kostnad</t>
  </si>
  <si>
    <t xml:space="preserve"> Selvkost</t>
  </si>
  <si>
    <t>Oppgave 6.21</t>
  </si>
  <si>
    <t>Oppgave 6.9</t>
  </si>
  <si>
    <t>Oppgave 6.14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</si>
</sst>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kr&quot;\ #,##0;[Red]&quot;kr&quot;\ \-#,##0"/>
    <numFmt numFmtId="43" formatCode="_ * #,##0.00_ ;_ * \-#,##0.00_ ;_ * &quot;-&quot;??_ ;_ @_ "/>
    <numFmt numFmtId="164" formatCode="_ * #,##0_ ;_ * \-#,##0_ ;_ * &quot;-&quot;??_ ;_ @_ "/>
    <numFmt numFmtId="165" formatCode="0.000\ %"/>
    <numFmt numFmtId="166" formatCode="_ * #,##0.00_ ;_ * \-#,##0.00_ ;_ * &quot;-&quot;???_ ;_ @_ "/>
    <numFmt numFmtId="167" formatCode="&quot;kr&quot;\ #,##0"/>
    <numFmt numFmtId="168" formatCode="_ [$kr-414]\ * #,##0.00_ ;_ [$kr-414]\ * \-#,##0.00_ ;_ [$kr-414]\ * &quot;-&quot;??_ ;_ @_ "/>
    <numFmt numFmtId="169" formatCode="_ [$kr-414]\ * #,##0_ ;_ [$kr-414]\ * \-#,##0_ ;_ [$kr-414]\ * &quot;-&quot;??_ ;_ @_ "/>
    <numFmt numFmtId="170" formatCode="&quot;kr&quot;\ 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"/>
      <family val="1"/>
    </font>
    <font>
      <b/>
      <sz val="11"/>
      <color theme="1"/>
      <name val="Times"/>
      <family val="1"/>
    </font>
    <font>
      <sz val="10"/>
      <color theme="1"/>
      <name val="Times"/>
      <family val="1"/>
    </font>
    <font>
      <sz val="12"/>
      <color theme="1"/>
      <name val="Times"/>
      <family val="1"/>
    </font>
    <font>
      <b/>
      <sz val="10"/>
      <color theme="1"/>
      <name val="Times"/>
      <family val="1"/>
    </font>
    <font>
      <b/>
      <sz val="12"/>
      <color theme="1"/>
      <name val="Times"/>
      <family val="1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Symbol"/>
      <family val="1"/>
      <charset val="2"/>
    </font>
    <font>
      <b/>
      <sz val="12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3" fontId="0" fillId="0" borderId="0" xfId="0" applyNumberFormat="1"/>
    <xf numFmtId="43" fontId="0" fillId="0" borderId="0" xfId="1" applyFont="1"/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2" applyNumberFormat="1" applyFont="1"/>
    <xf numFmtId="0" fontId="0" fillId="0" borderId="4" xfId="0" applyBorder="1"/>
    <xf numFmtId="43" fontId="0" fillId="0" borderId="4" xfId="1" applyFont="1" applyBorder="1"/>
    <xf numFmtId="0" fontId="0" fillId="0" borderId="0" xfId="0" applyFill="1" applyBorder="1"/>
    <xf numFmtId="43" fontId="0" fillId="0" borderId="0" xfId="0" applyNumberFormat="1"/>
    <xf numFmtId="166" fontId="0" fillId="0" borderId="4" xfId="0" applyNumberFormat="1" applyBorder="1"/>
    <xf numFmtId="0" fontId="0" fillId="0" borderId="5" xfId="0" applyFill="1" applyBorder="1"/>
    <xf numFmtId="43" fontId="0" fillId="0" borderId="5" xfId="0" applyNumberFormat="1" applyBorder="1"/>
    <xf numFmtId="0" fontId="2" fillId="0" borderId="0" xfId="0" applyFont="1"/>
    <xf numFmtId="167" fontId="0" fillId="0" borderId="0" xfId="0" applyNumberFormat="1"/>
    <xf numFmtId="167" fontId="0" fillId="0" borderId="4" xfId="0" applyNumberFormat="1" applyBorder="1"/>
    <xf numFmtId="0" fontId="0" fillId="0" borderId="0" xfId="0" applyBorder="1"/>
    <xf numFmtId="167" fontId="0" fillId="0" borderId="0" xfId="0" applyNumberFormat="1" applyBorder="1"/>
    <xf numFmtId="6" fontId="0" fillId="0" borderId="0" xfId="0" applyNumberFormat="1"/>
    <xf numFmtId="0" fontId="0" fillId="0" borderId="0" xfId="0" applyFill="1"/>
    <xf numFmtId="0" fontId="3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167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167" fontId="6" fillId="0" borderId="1" xfId="0" applyNumberFormat="1" applyFont="1" applyFill="1" applyBorder="1" applyAlignment="1">
      <alignment vertical="center" wrapText="1"/>
    </xf>
    <xf numFmtId="167" fontId="6" fillId="0" borderId="1" xfId="0" applyNumberFormat="1" applyFont="1" applyFill="1" applyBorder="1" applyAlignment="1">
      <alignment horizontal="right" vertical="center" wrapText="1"/>
    </xf>
    <xf numFmtId="0" fontId="0" fillId="0" borderId="0" xfId="0" applyFill="1" applyAlignment="1">
      <alignment horizontal="center"/>
    </xf>
    <xf numFmtId="0" fontId="6" fillId="0" borderId="5" xfId="0" applyFont="1" applyFill="1" applyBorder="1" applyAlignment="1">
      <alignment vertical="center" wrapText="1"/>
    </xf>
    <xf numFmtId="3" fontId="6" fillId="0" borderId="1" xfId="0" applyNumberFormat="1" applyFont="1" applyFill="1" applyBorder="1" applyAlignment="1">
      <alignment vertical="center" wrapText="1"/>
    </xf>
    <xf numFmtId="6" fontId="6" fillId="0" borderId="1" xfId="0" applyNumberFormat="1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right" vertical="center" wrapText="1"/>
    </xf>
    <xf numFmtId="3" fontId="6" fillId="0" borderId="1" xfId="0" applyNumberFormat="1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vertical="center" wrapText="1"/>
    </xf>
    <xf numFmtId="9" fontId="6" fillId="0" borderId="1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top" wrapText="1"/>
    </xf>
    <xf numFmtId="167" fontId="8" fillId="0" borderId="1" xfId="0" applyNumberFormat="1" applyFont="1" applyFill="1" applyBorder="1" applyAlignment="1">
      <alignment horizontal="right" vertical="center" wrapText="1"/>
    </xf>
    <xf numFmtId="0" fontId="9" fillId="0" borderId="0" xfId="0" applyFont="1" applyFill="1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7" fontId="2" fillId="0" borderId="0" xfId="0" applyNumberFormat="1" applyFont="1"/>
    <xf numFmtId="3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8" fontId="0" fillId="0" borderId="0" xfId="0" applyNumberFormat="1"/>
    <xf numFmtId="168" fontId="0" fillId="0" borderId="4" xfId="0" applyNumberFormat="1" applyBorder="1"/>
    <xf numFmtId="169" fontId="0" fillId="0" borderId="0" xfId="0" applyNumberFormat="1"/>
    <xf numFmtId="0" fontId="0" fillId="0" borderId="0" xfId="0" applyFont="1"/>
    <xf numFmtId="169" fontId="0" fillId="0" borderId="0" xfId="1" applyNumberFormat="1" applyFont="1"/>
    <xf numFmtId="0" fontId="0" fillId="0" borderId="4" xfId="0" applyFont="1" applyBorder="1"/>
    <xf numFmtId="168" fontId="0" fillId="0" borderId="0" xfId="0" applyNumberFormat="1" applyFont="1"/>
    <xf numFmtId="168" fontId="0" fillId="0" borderId="4" xfId="0" applyNumberFormat="1" applyFont="1" applyBorder="1"/>
    <xf numFmtId="164" fontId="0" fillId="0" borderId="4" xfId="0" applyNumberFormat="1" applyBorder="1"/>
    <xf numFmtId="0" fontId="0" fillId="0" borderId="0" xfId="0" applyFont="1" applyBorder="1"/>
    <xf numFmtId="164" fontId="0" fillId="0" borderId="0" xfId="0" applyNumberFormat="1" applyFont="1"/>
    <xf numFmtId="164" fontId="0" fillId="0" borderId="4" xfId="0" applyNumberFormat="1" applyFont="1" applyBorder="1"/>
    <xf numFmtId="168" fontId="6" fillId="0" borderId="1" xfId="0" applyNumberFormat="1" applyFont="1" applyFill="1" applyBorder="1" applyAlignment="1">
      <alignment horizontal="right" vertical="center" wrapText="1"/>
    </xf>
    <xf numFmtId="164" fontId="6" fillId="0" borderId="1" xfId="0" applyNumberFormat="1" applyFont="1" applyFill="1" applyBorder="1" applyAlignment="1">
      <alignment vertical="center" wrapText="1"/>
    </xf>
    <xf numFmtId="0" fontId="10" fillId="0" borderId="0" xfId="0" applyFont="1"/>
    <xf numFmtId="167" fontId="11" fillId="0" borderId="0" xfId="0" applyNumberFormat="1" applyFont="1"/>
    <xf numFmtId="0" fontId="10" fillId="0" borderId="0" xfId="0" applyFont="1" applyAlignment="1">
      <alignment horizontal="center"/>
    </xf>
    <xf numFmtId="167" fontId="10" fillId="0" borderId="0" xfId="0" applyNumberFormat="1" applyFont="1"/>
    <xf numFmtId="0" fontId="10" fillId="0" borderId="6" xfId="0" applyFont="1" applyFill="1" applyBorder="1"/>
    <xf numFmtId="0" fontId="10" fillId="0" borderId="5" xfId="0" applyFont="1" applyFill="1" applyBorder="1"/>
    <xf numFmtId="0" fontId="10" fillId="0" borderId="7" xfId="0" applyFont="1" applyFill="1" applyBorder="1"/>
    <xf numFmtId="0" fontId="10" fillId="0" borderId="6" xfId="0" applyFont="1" applyBorder="1"/>
    <xf numFmtId="0" fontId="10" fillId="0" borderId="5" xfId="0" applyFont="1" applyBorder="1"/>
    <xf numFmtId="0" fontId="10" fillId="0" borderId="7" xfId="0" applyFont="1" applyBorder="1"/>
    <xf numFmtId="0" fontId="10" fillId="0" borderId="1" xfId="0" applyFont="1" applyFill="1" applyBorder="1"/>
    <xf numFmtId="169" fontId="10" fillId="0" borderId="1" xfId="0" applyNumberFormat="1" applyFont="1" applyBorder="1"/>
    <xf numFmtId="0" fontId="11" fillId="0" borderId="6" xfId="0" applyFont="1" applyBorder="1"/>
    <xf numFmtId="0" fontId="12" fillId="0" borderId="1" xfId="0" applyFont="1" applyFill="1" applyBorder="1" applyAlignment="1">
      <alignment horizontal="center" vertical="center" wrapText="1"/>
    </xf>
    <xf numFmtId="169" fontId="13" fillId="0" borderId="1" xfId="0" applyNumberFormat="1" applyFont="1" applyBorder="1"/>
    <xf numFmtId="3" fontId="2" fillId="0" borderId="0" xfId="0" applyNumberFormat="1" applyFont="1" applyAlignment="1">
      <alignment horizontal="center"/>
    </xf>
    <xf numFmtId="3" fontId="0" fillId="0" borderId="4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170" fontId="0" fillId="0" borderId="0" xfId="0" applyNumberFormat="1" applyBorder="1"/>
    <xf numFmtId="170" fontId="2" fillId="0" borderId="0" xfId="0" applyNumberFormat="1" applyFont="1"/>
    <xf numFmtId="170" fontId="0" fillId="0" borderId="4" xfId="0" applyNumberFormat="1" applyBorder="1"/>
    <xf numFmtId="6" fontId="0" fillId="0" borderId="4" xfId="0" applyNumberFormat="1" applyBorder="1"/>
    <xf numFmtId="6" fontId="0" fillId="0" borderId="0" xfId="0" applyNumberFormat="1" applyBorder="1"/>
    <xf numFmtId="170" fontId="0" fillId="0" borderId="0" xfId="0" applyNumberFormat="1"/>
    <xf numFmtId="0" fontId="0" fillId="0" borderId="0" xfId="0" applyBorder="1" applyAlignment="1">
      <alignment horizontal="center"/>
    </xf>
    <xf numFmtId="0" fontId="9" fillId="0" borderId="0" xfId="0" applyFont="1"/>
    <xf numFmtId="6" fontId="0" fillId="0" borderId="5" xfId="0" applyNumberFormat="1" applyBorder="1"/>
    <xf numFmtId="10" fontId="2" fillId="0" borderId="0" xfId="2" applyNumberFormat="1" applyFont="1"/>
    <xf numFmtId="6" fontId="2" fillId="0" borderId="0" xfId="0" applyNumberFormat="1" applyFont="1"/>
    <xf numFmtId="10" fontId="0" fillId="0" borderId="0" xfId="2" applyNumberFormat="1" applyFont="1"/>
    <xf numFmtId="167" fontId="0" fillId="0" borderId="0" xfId="0" applyNumberFormat="1" applyFill="1"/>
    <xf numFmtId="167" fontId="0" fillId="0" borderId="0" xfId="0" applyNumberFormat="1" applyFill="1" applyBorder="1"/>
    <xf numFmtId="3" fontId="0" fillId="0" borderId="0" xfId="0" applyNumberFormat="1" applyFill="1" applyAlignment="1">
      <alignment horizontal="center"/>
    </xf>
    <xf numFmtId="0" fontId="10" fillId="0" borderId="0" xfId="0" applyFont="1" applyFill="1" applyAlignment="1">
      <alignment vertical="center"/>
    </xf>
    <xf numFmtId="6" fontId="10" fillId="0" borderId="0" xfId="0" applyNumberFormat="1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6" fontId="0" fillId="0" borderId="0" xfId="0" applyNumberFormat="1" applyFill="1"/>
    <xf numFmtId="3" fontId="0" fillId="0" borderId="0" xfId="0" applyNumberFormat="1" applyFill="1"/>
    <xf numFmtId="0" fontId="15" fillId="0" borderId="0" xfId="0" applyFont="1" applyFill="1" applyAlignment="1">
      <alignment horizontal="center" vertical="center" wrapText="1"/>
    </xf>
    <xf numFmtId="167" fontId="0" fillId="0" borderId="4" xfId="0" applyNumberFormat="1" applyFill="1" applyBorder="1"/>
    <xf numFmtId="0" fontId="0" fillId="0" borderId="4" xfId="0" applyFill="1" applyBorder="1"/>
    <xf numFmtId="0" fontId="2" fillId="0" borderId="0" xfId="0" applyFont="1" applyFill="1"/>
    <xf numFmtId="0" fontId="16" fillId="0" borderId="0" xfId="0" applyFont="1" applyFill="1"/>
    <xf numFmtId="0" fontId="10" fillId="0" borderId="0" xfId="0" applyFont="1" applyFill="1" applyAlignment="1">
      <alignment horizontal="center" vertical="center" wrapText="1"/>
    </xf>
    <xf numFmtId="6" fontId="10" fillId="0" borderId="0" xfId="0" applyNumberFormat="1" applyFont="1" applyFill="1" applyAlignment="1">
      <alignment horizontal="center" vertical="center" wrapText="1"/>
    </xf>
    <xf numFmtId="6" fontId="0" fillId="0" borderId="0" xfId="0" applyNumberFormat="1" applyFill="1" applyAlignment="1">
      <alignment horizontal="center"/>
    </xf>
    <xf numFmtId="0" fontId="15" fillId="0" borderId="0" xfId="0" applyFont="1" applyFill="1" applyAlignment="1">
      <alignment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</cellXfs>
  <cellStyles count="3">
    <cellStyle name="Komma" xfId="1" builtinId="3"/>
    <cellStyle name="Normal" xfId="0" builtinId="0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230786</xdr:colOff>
      <xdr:row>17</xdr:row>
      <xdr:rowOff>104775</xdr:rowOff>
    </xdr:to>
    <xdr:pic>
      <xdr:nvPicPr>
        <xdr:cNvPr id="2" name="Bilde 1" descr="Skjermutklip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7088786" cy="3152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9</xdr:col>
      <xdr:colOff>382010</xdr:colOff>
      <xdr:row>37</xdr:row>
      <xdr:rowOff>162426</xdr:rowOff>
    </xdr:to>
    <xdr:pic>
      <xdr:nvPicPr>
        <xdr:cNvPr id="4" name="Bilde 3" descr="Skjermutklipp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19500"/>
          <a:ext cx="7240010" cy="35914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515379</xdr:colOff>
      <xdr:row>6</xdr:row>
      <xdr:rowOff>47765</xdr:rowOff>
    </xdr:to>
    <xdr:pic>
      <xdr:nvPicPr>
        <xdr:cNvPr id="2" name="Bilde 1" descr="Skjermutklip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7373379" cy="10002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k_finansmodeller_221206/Regneark/LosningerPaaOppgav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øsn kap 1"/>
      <sheetName val="Løsn kap 2"/>
      <sheetName val="Løsn kap 3"/>
      <sheetName val="Løsn kap 4"/>
      <sheetName val="Løsn kap 5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4">
          <cell r="B164">
            <v>100</v>
          </cell>
          <cell r="E164">
            <v>0.15833333333333335</v>
          </cell>
        </row>
        <row r="165">
          <cell r="B165">
            <v>100</v>
          </cell>
          <cell r="E165">
            <v>8.3333333333333592E-3</v>
          </cell>
        </row>
        <row r="166">
          <cell r="B166">
            <v>0.05</v>
          </cell>
        </row>
        <row r="167">
          <cell r="B167">
            <v>0.3</v>
          </cell>
        </row>
        <row r="168">
          <cell r="B168">
            <v>0.25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2" sqref="K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zoomScale="120" zoomScaleNormal="120" workbookViewId="0">
      <selection activeCell="B2" sqref="B2"/>
    </sheetView>
  </sheetViews>
  <sheetFormatPr baseColWidth="10" defaultRowHeight="15" x14ac:dyDescent="0.25"/>
  <cols>
    <col min="1" max="1" width="19" customWidth="1"/>
    <col min="2" max="2" width="17.140625" customWidth="1"/>
    <col min="3" max="3" width="16" customWidth="1"/>
    <col min="4" max="4" width="16.7109375" customWidth="1"/>
  </cols>
  <sheetData>
    <row r="1" spans="1:4" x14ac:dyDescent="0.25">
      <c r="A1" t="s">
        <v>192</v>
      </c>
    </row>
    <row r="3" spans="1:4" x14ac:dyDescent="0.25">
      <c r="A3" t="s">
        <v>0</v>
      </c>
      <c r="C3">
        <v>23</v>
      </c>
      <c r="D3" t="s">
        <v>1</v>
      </c>
    </row>
    <row r="4" spans="1:4" x14ac:dyDescent="0.25">
      <c r="A4" t="s">
        <v>2</v>
      </c>
      <c r="C4">
        <v>150</v>
      </c>
      <c r="D4" t="s">
        <v>3</v>
      </c>
    </row>
    <row r="6" spans="1:4" x14ac:dyDescent="0.25">
      <c r="A6" t="s">
        <v>4</v>
      </c>
      <c r="C6">
        <v>8</v>
      </c>
      <c r="D6" t="s">
        <v>5</v>
      </c>
    </row>
    <row r="7" spans="1:4" x14ac:dyDescent="0.25">
      <c r="A7" t="s">
        <v>6</v>
      </c>
      <c r="C7">
        <v>550</v>
      </c>
      <c r="D7" t="s">
        <v>7</v>
      </c>
    </row>
    <row r="9" spans="1:4" x14ac:dyDescent="0.25">
      <c r="A9" t="s">
        <v>8</v>
      </c>
      <c r="C9">
        <v>522</v>
      </c>
      <c r="D9" t="s">
        <v>9</v>
      </c>
    </row>
    <row r="11" spans="1:4" x14ac:dyDescent="0.25">
      <c r="A11" t="s">
        <v>10</v>
      </c>
    </row>
    <row r="12" spans="1:4" x14ac:dyDescent="0.25">
      <c r="A12" s="4"/>
      <c r="B12" s="7" t="s">
        <v>11</v>
      </c>
      <c r="C12" s="7" t="s">
        <v>12</v>
      </c>
      <c r="D12" s="7" t="s">
        <v>13</v>
      </c>
    </row>
    <row r="13" spans="1:4" x14ac:dyDescent="0.25">
      <c r="A13" s="4" t="s">
        <v>14</v>
      </c>
      <c r="B13" s="8">
        <v>22000</v>
      </c>
      <c r="C13" s="8">
        <v>328000</v>
      </c>
      <c r="D13" s="8">
        <v>95000</v>
      </c>
    </row>
    <row r="14" spans="1:4" x14ac:dyDescent="0.25">
      <c r="A14" s="5" t="s">
        <v>15</v>
      </c>
      <c r="B14" s="9">
        <v>800</v>
      </c>
      <c r="C14" s="9">
        <v>2800</v>
      </c>
      <c r="D14" s="10" t="s">
        <v>19</v>
      </c>
    </row>
    <row r="15" spans="1:4" x14ac:dyDescent="0.25">
      <c r="A15" s="6"/>
      <c r="B15" s="11" t="s">
        <v>16</v>
      </c>
      <c r="C15" s="11" t="s">
        <v>17</v>
      </c>
      <c r="D15" s="11" t="s">
        <v>18</v>
      </c>
    </row>
    <row r="17" spans="1:4" x14ac:dyDescent="0.25">
      <c r="A17" t="s">
        <v>20</v>
      </c>
    </row>
    <row r="18" spans="1:4" x14ac:dyDescent="0.25">
      <c r="A18" t="s">
        <v>22</v>
      </c>
      <c r="B18" s="12">
        <f>B13/B14</f>
        <v>27.5</v>
      </c>
      <c r="C18" t="s">
        <v>23</v>
      </c>
      <c r="D18" t="s">
        <v>25</v>
      </c>
    </row>
    <row r="19" spans="1:4" x14ac:dyDescent="0.25">
      <c r="A19" t="s">
        <v>21</v>
      </c>
      <c r="B19" s="12">
        <f>C13/C14</f>
        <v>117.14285714285714</v>
      </c>
      <c r="C19" t="s">
        <v>24</v>
      </c>
      <c r="D19" s="13">
        <f>(C3*C4+C6*C7)*C9+B13+C13</f>
        <v>4447700</v>
      </c>
    </row>
    <row r="20" spans="1:4" x14ac:dyDescent="0.25">
      <c r="A20" t="s">
        <v>26</v>
      </c>
      <c r="B20" s="14">
        <f>D13/D19</f>
        <v>2.135935427299503E-2</v>
      </c>
    </row>
    <row r="22" spans="1:4" x14ac:dyDescent="0.25">
      <c r="A22" t="s">
        <v>27</v>
      </c>
    </row>
    <row r="23" spans="1:4" x14ac:dyDescent="0.25">
      <c r="A23" t="s">
        <v>28</v>
      </c>
      <c r="B23" s="2">
        <f>C3*C4</f>
        <v>3450</v>
      </c>
    </row>
    <row r="24" spans="1:4" x14ac:dyDescent="0.25">
      <c r="A24" t="s">
        <v>29</v>
      </c>
      <c r="B24" s="2">
        <f>C6*C7</f>
        <v>4400</v>
      </c>
    </row>
    <row r="25" spans="1:4" x14ac:dyDescent="0.25">
      <c r="A25" t="s">
        <v>30</v>
      </c>
      <c r="B25" s="2">
        <f>B18*C3</f>
        <v>632.5</v>
      </c>
    </row>
    <row r="26" spans="1:4" x14ac:dyDescent="0.25">
      <c r="A26" s="15" t="s">
        <v>31</v>
      </c>
      <c r="B26" s="16">
        <f>B19*C6</f>
        <v>937.14285714285711</v>
      </c>
    </row>
    <row r="27" spans="1:4" x14ac:dyDescent="0.25">
      <c r="A27" s="17" t="s">
        <v>32</v>
      </c>
      <c r="B27" s="18">
        <f>SUM(B23:B26)</f>
        <v>9419.6428571428569</v>
      </c>
    </row>
    <row r="28" spans="1:4" x14ac:dyDescent="0.25">
      <c r="A28" s="15" t="s">
        <v>33</v>
      </c>
      <c r="B28" s="19">
        <f>B20*B27</f>
        <v>201.19748891080138</v>
      </c>
    </row>
    <row r="29" spans="1:4" x14ac:dyDescent="0.25">
      <c r="A29" s="20" t="s">
        <v>34</v>
      </c>
      <c r="B29" s="21">
        <f>SUM(B27:B28)</f>
        <v>9620.8403460536574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2" sqref="C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1" width="29.7109375" customWidth="1"/>
    <col min="2" max="2" width="12.85546875" customWidth="1"/>
    <col min="3" max="3" width="13.42578125" customWidth="1"/>
    <col min="4" max="4" width="14.7109375" customWidth="1"/>
    <col min="5" max="5" width="15.7109375" customWidth="1"/>
    <col min="6" max="6" width="14.140625" customWidth="1"/>
    <col min="7" max="7" width="12.7109375" customWidth="1"/>
    <col min="8" max="8" width="16.140625" customWidth="1"/>
    <col min="9" max="9" width="12" customWidth="1"/>
    <col min="10" max="10" width="11.85546875" customWidth="1"/>
    <col min="11" max="11" width="13.5703125" customWidth="1"/>
  </cols>
  <sheetData>
    <row r="1" spans="1:11" x14ac:dyDescent="0.25">
      <c r="A1" t="s">
        <v>193</v>
      </c>
    </row>
    <row r="3" spans="1:11" x14ac:dyDescent="0.25">
      <c r="A3" s="15" t="s">
        <v>64</v>
      </c>
      <c r="B3" s="59"/>
      <c r="E3" s="15" t="s">
        <v>80</v>
      </c>
      <c r="F3" s="15"/>
      <c r="G3" s="15"/>
    </row>
    <row r="4" spans="1:11" x14ac:dyDescent="0.25">
      <c r="A4" t="s">
        <v>38</v>
      </c>
      <c r="B4" s="58">
        <v>650</v>
      </c>
      <c r="E4" t="s">
        <v>37</v>
      </c>
      <c r="H4" s="60">
        <v>2070000</v>
      </c>
    </row>
    <row r="5" spans="1:11" x14ac:dyDescent="0.25">
      <c r="A5" t="s">
        <v>65</v>
      </c>
      <c r="B5" s="58">
        <v>600</v>
      </c>
      <c r="E5" t="s">
        <v>81</v>
      </c>
      <c r="H5" s="3">
        <v>1150</v>
      </c>
    </row>
    <row r="6" spans="1:11" x14ac:dyDescent="0.25">
      <c r="A6" s="15" t="s">
        <v>66</v>
      </c>
      <c r="B6" s="59">
        <v>50</v>
      </c>
      <c r="E6" t="s">
        <v>82</v>
      </c>
      <c r="H6" s="3">
        <v>1050</v>
      </c>
    </row>
    <row r="7" spans="1:11" x14ac:dyDescent="0.25">
      <c r="A7" s="17" t="s">
        <v>67</v>
      </c>
      <c r="B7" s="58">
        <f>SUM(B4:B6)</f>
        <v>1300</v>
      </c>
      <c r="E7" t="s">
        <v>83</v>
      </c>
      <c r="H7" s="3">
        <v>1100</v>
      </c>
    </row>
    <row r="8" spans="1:11" x14ac:dyDescent="0.25">
      <c r="B8" s="58"/>
      <c r="E8" t="s">
        <v>84</v>
      </c>
      <c r="H8" s="62">
        <v>663960</v>
      </c>
      <c r="I8" t="s">
        <v>89</v>
      </c>
      <c r="J8" s="3">
        <v>5030</v>
      </c>
      <c r="K8" t="s">
        <v>16</v>
      </c>
    </row>
    <row r="9" spans="1:11" x14ac:dyDescent="0.25">
      <c r="A9" t="s">
        <v>68</v>
      </c>
      <c r="B9" s="58">
        <v>1870</v>
      </c>
      <c r="E9" t="s">
        <v>39</v>
      </c>
      <c r="H9" s="62">
        <v>645280</v>
      </c>
      <c r="I9" t="s">
        <v>90</v>
      </c>
      <c r="J9" s="58">
        <v>148</v>
      </c>
      <c r="K9" t="s">
        <v>35</v>
      </c>
    </row>
    <row r="10" spans="1:11" x14ac:dyDescent="0.25">
      <c r="A10" t="s">
        <v>69</v>
      </c>
      <c r="B10" s="58">
        <v>70</v>
      </c>
      <c r="C10" t="s">
        <v>36</v>
      </c>
      <c r="E10" t="s">
        <v>85</v>
      </c>
      <c r="H10" s="62">
        <v>49500</v>
      </c>
    </row>
    <row r="11" spans="1:11" x14ac:dyDescent="0.25">
      <c r="A11" t="s">
        <v>70</v>
      </c>
      <c r="B11" s="58">
        <v>130</v>
      </c>
      <c r="C11" t="s">
        <v>71</v>
      </c>
      <c r="E11" t="s">
        <v>86</v>
      </c>
      <c r="H11" s="62">
        <v>80500</v>
      </c>
    </row>
    <row r="12" spans="1:11" x14ac:dyDescent="0.25">
      <c r="A12" t="s">
        <v>6</v>
      </c>
      <c r="B12" s="58">
        <v>150</v>
      </c>
      <c r="C12" t="s">
        <v>35</v>
      </c>
      <c r="E12" t="s">
        <v>87</v>
      </c>
      <c r="H12" s="60">
        <v>236000</v>
      </c>
      <c r="J12" s="60"/>
    </row>
    <row r="13" spans="1:11" x14ac:dyDescent="0.25">
      <c r="A13" t="s">
        <v>72</v>
      </c>
      <c r="B13" s="58">
        <v>12.5</v>
      </c>
      <c r="C13" t="s">
        <v>35</v>
      </c>
      <c r="E13" t="s">
        <v>88</v>
      </c>
      <c r="H13" s="60">
        <v>161000</v>
      </c>
    </row>
    <row r="15" spans="1:11" x14ac:dyDescent="0.25">
      <c r="A15" t="s">
        <v>73</v>
      </c>
    </row>
    <row r="16" spans="1:11" x14ac:dyDescent="0.25">
      <c r="A16" t="s">
        <v>74</v>
      </c>
      <c r="B16" s="60">
        <v>215000</v>
      </c>
      <c r="E16" s="61" t="s">
        <v>77</v>
      </c>
    </row>
    <row r="17" spans="1:10" x14ac:dyDescent="0.25">
      <c r="A17" t="s">
        <v>75</v>
      </c>
      <c r="B17" s="60">
        <v>165000</v>
      </c>
      <c r="E17" s="61" t="s">
        <v>78</v>
      </c>
    </row>
    <row r="18" spans="1:10" x14ac:dyDescent="0.25">
      <c r="A18" s="22"/>
      <c r="B18" s="22"/>
      <c r="E18" s="61" t="s">
        <v>79</v>
      </c>
    </row>
    <row r="19" spans="1:10" x14ac:dyDescent="0.25">
      <c r="A19" s="61" t="s">
        <v>76</v>
      </c>
      <c r="B19" s="3">
        <v>1000</v>
      </c>
      <c r="C19" t="s">
        <v>9</v>
      </c>
    </row>
    <row r="20" spans="1:10" x14ac:dyDescent="0.25">
      <c r="A20" s="22"/>
      <c r="B20" s="22"/>
    </row>
    <row r="21" spans="1:10" x14ac:dyDescent="0.25">
      <c r="B21" s="22"/>
      <c r="E21" s="3"/>
      <c r="F21" s="3"/>
      <c r="G21" s="3"/>
      <c r="H21" s="3"/>
      <c r="I21" s="3"/>
      <c r="J21" s="3"/>
    </row>
    <row r="22" spans="1:10" x14ac:dyDescent="0.25">
      <c r="A22" t="s">
        <v>91</v>
      </c>
      <c r="B22" s="22"/>
      <c r="E22" s="3"/>
      <c r="F22" s="3"/>
      <c r="G22" s="3"/>
      <c r="H22" s="3"/>
      <c r="I22" s="3"/>
      <c r="J22" s="3"/>
    </row>
    <row r="23" spans="1:10" x14ac:dyDescent="0.25">
      <c r="A23" s="61" t="s">
        <v>92</v>
      </c>
      <c r="B23" s="64">
        <f>B9</f>
        <v>1870</v>
      </c>
      <c r="E23" s="3"/>
      <c r="F23" s="3"/>
      <c r="G23" s="3"/>
      <c r="H23" s="3"/>
      <c r="I23" s="3"/>
      <c r="J23" s="3"/>
    </row>
    <row r="24" spans="1:10" x14ac:dyDescent="0.25">
      <c r="A24" s="61" t="s">
        <v>93</v>
      </c>
      <c r="B24" s="64">
        <f>B7</f>
        <v>1300</v>
      </c>
      <c r="E24" s="3"/>
      <c r="F24" s="3"/>
      <c r="G24" s="3"/>
      <c r="H24" s="3"/>
      <c r="I24" s="3"/>
      <c r="J24" s="3"/>
    </row>
    <row r="25" spans="1:10" x14ac:dyDescent="0.25">
      <c r="A25" s="63" t="s">
        <v>94</v>
      </c>
      <c r="B25" s="65">
        <f>B10</f>
        <v>70</v>
      </c>
      <c r="E25" s="3"/>
      <c r="F25" s="3"/>
      <c r="G25" s="3"/>
      <c r="H25" s="3"/>
      <c r="I25" s="3"/>
      <c r="J25" s="3"/>
    </row>
    <row r="26" spans="1:10" x14ac:dyDescent="0.25">
      <c r="A26" s="61" t="s">
        <v>95</v>
      </c>
      <c r="B26" s="64">
        <f>B23-B24-B25</f>
        <v>500</v>
      </c>
      <c r="E26" s="3"/>
      <c r="F26" s="3"/>
      <c r="G26" s="3"/>
      <c r="H26" s="3"/>
      <c r="I26" s="3"/>
      <c r="J26" s="3"/>
    </row>
    <row r="27" spans="1:10" x14ac:dyDescent="0.25">
      <c r="A27" s="61"/>
      <c r="B27" s="22"/>
      <c r="E27" s="3"/>
      <c r="F27" s="3"/>
      <c r="G27" s="3"/>
      <c r="H27" s="3"/>
      <c r="I27" s="3"/>
      <c r="J27" s="3"/>
    </row>
    <row r="28" spans="1:10" x14ac:dyDescent="0.25">
      <c r="A28" s="61"/>
      <c r="B28" s="22"/>
      <c r="E28" s="3"/>
      <c r="F28" s="3"/>
      <c r="G28" s="3"/>
      <c r="H28" s="3"/>
      <c r="I28" s="3"/>
      <c r="J28" s="3"/>
    </row>
    <row r="29" spans="1:10" x14ac:dyDescent="0.25">
      <c r="A29" s="61" t="s">
        <v>96</v>
      </c>
      <c r="B29" s="22"/>
      <c r="E29" s="3"/>
      <c r="F29" s="3"/>
      <c r="G29" s="3"/>
      <c r="H29" s="3"/>
      <c r="I29" s="3"/>
      <c r="J29" s="3"/>
    </row>
    <row r="30" spans="1:10" x14ac:dyDescent="0.25">
      <c r="A30" s="61"/>
      <c r="B30" s="22"/>
      <c r="E30" s="3"/>
      <c r="F30" s="3"/>
      <c r="G30" s="3"/>
      <c r="H30" s="3"/>
      <c r="I30" s="3"/>
      <c r="J30" s="3"/>
    </row>
    <row r="31" spans="1:10" x14ac:dyDescent="0.25">
      <c r="A31" s="61" t="s">
        <v>99</v>
      </c>
      <c r="B31" s="13">
        <f>H6</f>
        <v>1050</v>
      </c>
      <c r="C31" s="1"/>
      <c r="E31" s="3"/>
      <c r="F31" s="3"/>
      <c r="G31" s="3"/>
      <c r="H31" s="3"/>
      <c r="I31" s="3"/>
      <c r="J31" s="3"/>
    </row>
    <row r="32" spans="1:10" x14ac:dyDescent="0.25">
      <c r="A32" s="63" t="s">
        <v>100</v>
      </c>
      <c r="B32" s="66">
        <f>H7</f>
        <v>1100</v>
      </c>
      <c r="C32" s="1"/>
      <c r="E32" s="3"/>
      <c r="F32" s="3"/>
      <c r="G32" s="3"/>
      <c r="H32" s="3"/>
      <c r="I32" s="3"/>
      <c r="J32" s="3"/>
    </row>
    <row r="33" spans="1:10" x14ac:dyDescent="0.25">
      <c r="A33" s="61" t="s">
        <v>97</v>
      </c>
      <c r="B33" s="13">
        <f>B32-B31</f>
        <v>50</v>
      </c>
      <c r="C33" t="s">
        <v>9</v>
      </c>
      <c r="E33" s="3"/>
      <c r="F33" s="3"/>
      <c r="G33" s="3"/>
      <c r="H33" s="3"/>
      <c r="I33" s="3"/>
      <c r="J33" s="3"/>
    </row>
    <row r="34" spans="1:10" x14ac:dyDescent="0.25">
      <c r="A34" s="22"/>
      <c r="B34" s="22"/>
      <c r="E34" s="3"/>
      <c r="F34" s="3"/>
      <c r="G34" s="3"/>
      <c r="H34" s="3"/>
      <c r="I34" s="3"/>
      <c r="J34" s="3"/>
    </row>
    <row r="35" spans="1:10" x14ac:dyDescent="0.25">
      <c r="A35" s="61" t="s">
        <v>101</v>
      </c>
      <c r="B35" s="13">
        <f>H5</f>
        <v>1150</v>
      </c>
      <c r="C35" s="1"/>
    </row>
    <row r="36" spans="1:10" x14ac:dyDescent="0.25">
      <c r="A36" s="63" t="s">
        <v>102</v>
      </c>
      <c r="B36" s="66">
        <f>H7</f>
        <v>1100</v>
      </c>
      <c r="C36" s="1"/>
    </row>
    <row r="37" spans="1:10" x14ac:dyDescent="0.25">
      <c r="A37" s="61" t="s">
        <v>103</v>
      </c>
      <c r="B37" s="13">
        <f>B35-B36</f>
        <v>50</v>
      </c>
      <c r="C37" t="s">
        <v>98</v>
      </c>
    </row>
    <row r="38" spans="1:10" x14ac:dyDescent="0.25">
      <c r="A38" s="61"/>
      <c r="B38" s="61"/>
      <c r="C38" s="61"/>
    </row>
    <row r="39" spans="1:10" x14ac:dyDescent="0.25">
      <c r="A39" s="61"/>
      <c r="B39" s="61"/>
      <c r="C39" s="61"/>
    </row>
    <row r="40" spans="1:10" x14ac:dyDescent="0.25">
      <c r="A40" s="61" t="s">
        <v>104</v>
      </c>
      <c r="B40" s="68">
        <f>(B4/B11)*H6</f>
        <v>5250</v>
      </c>
      <c r="C40" s="61" t="s">
        <v>16</v>
      </c>
    </row>
    <row r="41" spans="1:10" x14ac:dyDescent="0.25">
      <c r="A41" s="61"/>
      <c r="B41" s="61"/>
      <c r="C41" s="61"/>
    </row>
    <row r="42" spans="1:10" x14ac:dyDescent="0.25">
      <c r="A42" s="61" t="s">
        <v>105</v>
      </c>
      <c r="B42" s="68">
        <f>($B$5/$B$12)*H6</f>
        <v>4200</v>
      </c>
      <c r="C42" s="61" t="s">
        <v>17</v>
      </c>
    </row>
    <row r="43" spans="1:10" x14ac:dyDescent="0.25">
      <c r="A43" s="63" t="s">
        <v>106</v>
      </c>
      <c r="B43" s="69">
        <f>(($B$5/$B$12)/2)*B33</f>
        <v>100</v>
      </c>
      <c r="C43" s="63" t="s">
        <v>17</v>
      </c>
    </row>
    <row r="44" spans="1:10" x14ac:dyDescent="0.25">
      <c r="A44" s="61" t="s">
        <v>4</v>
      </c>
      <c r="B44" s="68">
        <f>B42+B43</f>
        <v>4300</v>
      </c>
      <c r="C44" s="61" t="s">
        <v>17</v>
      </c>
    </row>
    <row r="45" spans="1:10" x14ac:dyDescent="0.25">
      <c r="B45" s="61"/>
      <c r="C45" s="61"/>
    </row>
    <row r="46" spans="1:10" x14ac:dyDescent="0.25">
      <c r="B46" s="61"/>
      <c r="C46" s="61"/>
    </row>
    <row r="47" spans="1:10" x14ac:dyDescent="0.25">
      <c r="A47" t="s">
        <v>107</v>
      </c>
      <c r="B47" s="61"/>
      <c r="C47" s="61"/>
    </row>
    <row r="48" spans="1:10" x14ac:dyDescent="0.25">
      <c r="A48" t="s">
        <v>108</v>
      </c>
      <c r="B48" s="61" t="s">
        <v>109</v>
      </c>
      <c r="C48" s="61" t="s">
        <v>110</v>
      </c>
    </row>
    <row r="49" spans="1:9" x14ac:dyDescent="0.25">
      <c r="A49" t="str">
        <f>A4</f>
        <v>Direkte material</v>
      </c>
      <c r="B49" s="64">
        <f>B4</f>
        <v>650</v>
      </c>
      <c r="C49" s="64">
        <f>B4</f>
        <v>650</v>
      </c>
    </row>
    <row r="50" spans="1:9" x14ac:dyDescent="0.25">
      <c r="A50" t="str">
        <f t="shared" ref="A50:A52" si="0">A5</f>
        <v xml:space="preserve">Direkte lønn </v>
      </c>
      <c r="B50" s="64">
        <f>B5</f>
        <v>600</v>
      </c>
      <c r="C50" s="64">
        <f>B50/2</f>
        <v>300</v>
      </c>
    </row>
    <row r="51" spans="1:9" x14ac:dyDescent="0.25">
      <c r="A51" s="15" t="str">
        <f t="shared" si="0"/>
        <v>Indir var tilv.kostnader</v>
      </c>
      <c r="B51" s="65">
        <f>B6</f>
        <v>50</v>
      </c>
      <c r="C51" s="65">
        <f>B51/2</f>
        <v>25</v>
      </c>
    </row>
    <row r="52" spans="1:9" x14ac:dyDescent="0.25">
      <c r="A52" t="str">
        <f t="shared" si="0"/>
        <v>Tilvirkningsmerkost per enhet</v>
      </c>
      <c r="B52" s="64">
        <f>SUM(B49:B51)</f>
        <v>1300</v>
      </c>
      <c r="C52" s="64">
        <f>SUM(C49:C51)</f>
        <v>975</v>
      </c>
    </row>
    <row r="53" spans="1:9" x14ac:dyDescent="0.25">
      <c r="A53" s="67"/>
      <c r="B53" s="61"/>
      <c r="C53" s="61"/>
      <c r="G53" s="27"/>
    </row>
    <row r="54" spans="1:9" x14ac:dyDescent="0.25">
      <c r="A54" s="28"/>
      <c r="B54" s="28"/>
      <c r="C54" s="28"/>
      <c r="D54" s="28"/>
      <c r="E54" s="28"/>
      <c r="F54" s="28"/>
      <c r="G54" s="28"/>
      <c r="H54" s="28"/>
    </row>
    <row r="55" spans="1:9" ht="15" customHeight="1" x14ac:dyDescent="0.25">
      <c r="A55" s="29"/>
      <c r="B55" s="127" t="s">
        <v>40</v>
      </c>
      <c r="C55" s="128"/>
      <c r="D55" s="129"/>
      <c r="E55" s="127" t="s">
        <v>41</v>
      </c>
      <c r="F55" s="128"/>
      <c r="G55" s="129"/>
      <c r="H55" s="28"/>
    </row>
    <row r="56" spans="1:9" ht="15" customHeight="1" x14ac:dyDescent="0.25">
      <c r="A56" s="30" t="s">
        <v>42</v>
      </c>
      <c r="B56" s="29" t="s">
        <v>43</v>
      </c>
      <c r="C56" s="29"/>
      <c r="D56" s="29" t="s">
        <v>44</v>
      </c>
      <c r="E56" s="31">
        <f>H4</f>
        <v>2070000</v>
      </c>
      <c r="F56" s="31">
        <f>E56</f>
        <v>2070000</v>
      </c>
      <c r="G56" s="29"/>
      <c r="H56" s="28"/>
      <c r="I56" s="1"/>
    </row>
    <row r="57" spans="1:9" x14ac:dyDescent="0.25">
      <c r="A57" s="32"/>
      <c r="B57" s="127" t="s">
        <v>45</v>
      </c>
      <c r="C57" s="128"/>
      <c r="D57" s="129"/>
      <c r="E57" s="130" t="s">
        <v>46</v>
      </c>
      <c r="F57" s="130" t="s">
        <v>47</v>
      </c>
      <c r="G57" s="33" t="s">
        <v>48</v>
      </c>
      <c r="H57" s="28"/>
    </row>
    <row r="58" spans="1:9" x14ac:dyDescent="0.25">
      <c r="A58" s="32"/>
      <c r="B58" s="32" t="s">
        <v>49</v>
      </c>
      <c r="C58" s="32" t="s">
        <v>50</v>
      </c>
      <c r="D58" s="32" t="s">
        <v>51</v>
      </c>
      <c r="E58" s="131"/>
      <c r="F58" s="131"/>
      <c r="G58" s="32"/>
      <c r="H58" s="28"/>
    </row>
    <row r="59" spans="1:9" ht="15.75" x14ac:dyDescent="0.25">
      <c r="A59" s="34" t="s">
        <v>113</v>
      </c>
      <c r="B59" s="35">
        <f>B40</f>
        <v>5250</v>
      </c>
      <c r="C59" s="36">
        <f>B11</f>
        <v>130</v>
      </c>
      <c r="D59" s="36">
        <f>B59*C59</f>
        <v>682500</v>
      </c>
      <c r="E59" s="37">
        <f>D59</f>
        <v>682500</v>
      </c>
      <c r="F59" s="37">
        <f>H8</f>
        <v>663960</v>
      </c>
      <c r="G59" s="37">
        <f>E59-F59</f>
        <v>18540</v>
      </c>
      <c r="H59" s="38"/>
    </row>
    <row r="60" spans="1:9" ht="15.75" x14ac:dyDescent="0.25">
      <c r="A60" s="34" t="s">
        <v>39</v>
      </c>
      <c r="B60" s="35">
        <f>B44</f>
        <v>4300</v>
      </c>
      <c r="C60" s="36">
        <f>B12</f>
        <v>150</v>
      </c>
      <c r="D60" s="36">
        <f>B60*C60</f>
        <v>645000</v>
      </c>
      <c r="E60" s="37">
        <f>D60</f>
        <v>645000</v>
      </c>
      <c r="F60" s="37">
        <f>H9</f>
        <v>645280</v>
      </c>
      <c r="G60" s="37">
        <f>E60-F60</f>
        <v>-280</v>
      </c>
      <c r="H60" s="38"/>
    </row>
    <row r="61" spans="1:9" ht="14.25" customHeight="1" x14ac:dyDescent="0.25">
      <c r="A61" s="34"/>
      <c r="B61" s="39"/>
      <c r="C61" s="39"/>
      <c r="D61" s="132" t="s">
        <v>52</v>
      </c>
      <c r="E61" s="132"/>
      <c r="F61" s="134"/>
      <c r="G61" s="37">
        <f>G59+G60</f>
        <v>18260</v>
      </c>
      <c r="H61" s="38"/>
    </row>
    <row r="62" spans="1:9" ht="15.75" x14ac:dyDescent="0.25">
      <c r="A62" s="34" t="s">
        <v>112</v>
      </c>
      <c r="B62" s="40">
        <f>B60</f>
        <v>4300</v>
      </c>
      <c r="C62" s="70">
        <f>B13</f>
        <v>12.5</v>
      </c>
      <c r="D62" s="36">
        <f>B62*C62</f>
        <v>53750</v>
      </c>
      <c r="E62" s="37">
        <f>D62</f>
        <v>53750</v>
      </c>
      <c r="F62" s="37">
        <f>H10</f>
        <v>49500</v>
      </c>
      <c r="G62" s="37">
        <f t="shared" ref="G62" si="1">E62-F62</f>
        <v>4250</v>
      </c>
      <c r="H62" s="38"/>
      <c r="I62" s="1"/>
    </row>
    <row r="63" spans="1:9" ht="17.25" customHeight="1" x14ac:dyDescent="0.25">
      <c r="A63" s="42" t="s">
        <v>114</v>
      </c>
      <c r="B63" s="43"/>
      <c r="C63" s="43"/>
      <c r="D63" s="43"/>
      <c r="E63" s="37">
        <f>E59+E60+E62</f>
        <v>1381250</v>
      </c>
      <c r="F63" s="37"/>
      <c r="G63" s="44"/>
      <c r="H63" s="28"/>
    </row>
    <row r="64" spans="1:9" ht="15" customHeight="1" x14ac:dyDescent="0.25">
      <c r="A64" s="34" t="s">
        <v>55</v>
      </c>
      <c r="B64" s="71">
        <f>B33</f>
        <v>50</v>
      </c>
      <c r="C64" s="37">
        <f>C52</f>
        <v>975</v>
      </c>
      <c r="D64" s="36">
        <f>B64*C64</f>
        <v>48750</v>
      </c>
      <c r="E64" s="37">
        <f>D64</f>
        <v>48750</v>
      </c>
      <c r="F64" s="37">
        <f>E64</f>
        <v>48750</v>
      </c>
      <c r="G64" s="43"/>
      <c r="H64" s="28"/>
    </row>
    <row r="65" spans="1:9" ht="15" customHeight="1" x14ac:dyDescent="0.25">
      <c r="A65" s="46" t="s">
        <v>115</v>
      </c>
      <c r="B65" s="43"/>
      <c r="C65" s="43"/>
      <c r="D65" s="43"/>
      <c r="E65" s="37">
        <f>E63+E64</f>
        <v>1430000</v>
      </c>
      <c r="F65" s="44"/>
      <c r="G65" s="44"/>
      <c r="H65" s="28"/>
    </row>
    <row r="66" spans="1:9" ht="15.75" x14ac:dyDescent="0.25">
      <c r="A66" s="34" t="s">
        <v>57</v>
      </c>
      <c r="B66" s="45">
        <f>B37</f>
        <v>50</v>
      </c>
      <c r="C66" s="37">
        <f>B52</f>
        <v>1300</v>
      </c>
      <c r="D66" s="36">
        <f>B66*C66</f>
        <v>65000</v>
      </c>
      <c r="E66" s="37">
        <f>D66</f>
        <v>65000</v>
      </c>
      <c r="F66" s="37">
        <f>E66</f>
        <v>65000</v>
      </c>
      <c r="G66" s="43"/>
      <c r="H66" s="28"/>
    </row>
    <row r="67" spans="1:9" ht="15.75" x14ac:dyDescent="0.25">
      <c r="A67" s="46" t="s">
        <v>116</v>
      </c>
      <c r="B67" s="43"/>
      <c r="C67" s="43"/>
      <c r="D67" s="43"/>
      <c r="E67" s="37">
        <f>E65+E66</f>
        <v>1495000</v>
      </c>
      <c r="F67" s="37"/>
      <c r="G67" s="44"/>
      <c r="H67" s="28"/>
    </row>
    <row r="68" spans="1:9" ht="15.75" x14ac:dyDescent="0.25">
      <c r="A68" s="34" t="s">
        <v>117</v>
      </c>
      <c r="B68" s="71">
        <f>H5</f>
        <v>1150</v>
      </c>
      <c r="C68" s="37">
        <f>B10</f>
        <v>70</v>
      </c>
      <c r="D68" s="36">
        <f>B68*C68</f>
        <v>80500</v>
      </c>
      <c r="E68" s="37">
        <f>D68</f>
        <v>80500</v>
      </c>
      <c r="F68" s="37">
        <f>H11</f>
        <v>80500</v>
      </c>
      <c r="G68" s="36">
        <f>E68-F68</f>
        <v>0</v>
      </c>
      <c r="H68" s="38"/>
    </row>
    <row r="69" spans="1:9" ht="15.75" x14ac:dyDescent="0.25">
      <c r="A69" s="46" t="s">
        <v>118</v>
      </c>
      <c r="B69" s="43"/>
      <c r="C69" s="43"/>
      <c r="D69" s="43"/>
      <c r="E69" s="37">
        <f>E67+E68</f>
        <v>1575500</v>
      </c>
      <c r="F69" s="44"/>
      <c r="G69" s="44"/>
      <c r="H69" s="28"/>
    </row>
    <row r="70" spans="1:9" ht="15.75" x14ac:dyDescent="0.25">
      <c r="A70" s="46" t="s">
        <v>119</v>
      </c>
      <c r="B70" s="43"/>
      <c r="C70" s="43"/>
      <c r="D70" s="43"/>
      <c r="E70" s="37">
        <f>E56-E69</f>
        <v>494500</v>
      </c>
      <c r="F70" s="44"/>
      <c r="G70" s="44"/>
      <c r="H70" s="28"/>
    </row>
    <row r="71" spans="1:9" ht="17.25" customHeight="1" x14ac:dyDescent="0.25">
      <c r="A71" s="48"/>
      <c r="B71" s="122" t="s">
        <v>61</v>
      </c>
      <c r="C71" s="123"/>
      <c r="D71" s="124"/>
      <c r="E71" s="37">
        <f>G61</f>
        <v>18260</v>
      </c>
      <c r="F71" s="44"/>
      <c r="G71" s="44"/>
      <c r="H71" s="28"/>
    </row>
    <row r="72" spans="1:9" ht="17.25" customHeight="1" x14ac:dyDescent="0.25">
      <c r="A72" s="49"/>
      <c r="B72" s="122" t="s">
        <v>62</v>
      </c>
      <c r="C72" s="123"/>
      <c r="D72" s="124"/>
      <c r="E72" s="37">
        <f>G72</f>
        <v>4250</v>
      </c>
      <c r="F72" s="85" t="s">
        <v>124</v>
      </c>
      <c r="G72" s="37">
        <f>G62+G68</f>
        <v>4250</v>
      </c>
      <c r="H72" s="28"/>
    </row>
    <row r="73" spans="1:9" ht="15.75" x14ac:dyDescent="0.25">
      <c r="A73" s="48"/>
      <c r="B73" s="125" t="s">
        <v>111</v>
      </c>
      <c r="C73" s="126"/>
      <c r="D73" s="133"/>
      <c r="E73" s="50">
        <f>E70+E71+E72</f>
        <v>517010</v>
      </c>
      <c r="F73" s="37">
        <f>F56-F59-F60-F62-F64-F66-F68</f>
        <v>517010</v>
      </c>
      <c r="G73" s="44"/>
      <c r="H73" s="28"/>
    </row>
    <row r="74" spans="1:9" x14ac:dyDescent="0.25">
      <c r="A74" s="51"/>
      <c r="B74" s="76" t="s">
        <v>120</v>
      </c>
      <c r="C74" s="77"/>
      <c r="D74" s="78"/>
      <c r="E74" s="82"/>
      <c r="F74" s="82"/>
      <c r="G74" s="82" t="s">
        <v>122</v>
      </c>
      <c r="H74" s="28"/>
    </row>
    <row r="75" spans="1:9" x14ac:dyDescent="0.25">
      <c r="B75" s="79" t="s">
        <v>74</v>
      </c>
      <c r="C75" s="80"/>
      <c r="D75" s="81"/>
      <c r="E75" s="83">
        <f>B16</f>
        <v>215000</v>
      </c>
      <c r="F75" s="83">
        <f>H12</f>
        <v>236000</v>
      </c>
      <c r="G75" s="83">
        <f>E75-F75</f>
        <v>-21000</v>
      </c>
      <c r="H75" s="52"/>
      <c r="I75" s="53"/>
    </row>
    <row r="76" spans="1:9" x14ac:dyDescent="0.25">
      <c r="A76" s="22"/>
      <c r="B76" s="79" t="s">
        <v>121</v>
      </c>
      <c r="C76" s="80"/>
      <c r="D76" s="81"/>
      <c r="E76" s="83">
        <f>B17</f>
        <v>165000</v>
      </c>
      <c r="F76" s="83">
        <f>H13</f>
        <v>161000</v>
      </c>
      <c r="G76" s="83">
        <f>E76-F76</f>
        <v>4000</v>
      </c>
      <c r="H76" s="52"/>
      <c r="I76" s="53"/>
    </row>
    <row r="77" spans="1:9" ht="15.75" x14ac:dyDescent="0.25">
      <c r="A77" s="54"/>
      <c r="B77" s="79" t="s">
        <v>123</v>
      </c>
      <c r="C77" s="80"/>
      <c r="D77" s="81"/>
      <c r="E77" s="83">
        <f>-G77</f>
        <v>17000</v>
      </c>
      <c r="F77" s="85" t="s">
        <v>124</v>
      </c>
      <c r="G77" s="83">
        <f>G75+G76</f>
        <v>-17000</v>
      </c>
      <c r="H77" s="52"/>
      <c r="I77" s="56"/>
    </row>
    <row r="78" spans="1:9" ht="15.75" customHeight="1" x14ac:dyDescent="0.25">
      <c r="B78" s="84" t="s">
        <v>63</v>
      </c>
      <c r="C78" s="80"/>
      <c r="D78" s="81"/>
      <c r="E78" s="86">
        <f>E73-E75-E76-E77</f>
        <v>120010</v>
      </c>
      <c r="F78" s="86">
        <f>F73-F75-F76</f>
        <v>120010</v>
      </c>
      <c r="G78" s="83"/>
      <c r="H78" s="52"/>
      <c r="I78" s="56"/>
    </row>
    <row r="79" spans="1:9" ht="15.75" customHeight="1" x14ac:dyDescent="0.25">
      <c r="B79" s="72"/>
      <c r="C79" s="72"/>
      <c r="D79" s="72"/>
      <c r="E79" s="74"/>
      <c r="F79" s="73"/>
      <c r="G79" s="74"/>
      <c r="I79" s="52"/>
    </row>
    <row r="80" spans="1:9" ht="15.75" customHeight="1" x14ac:dyDescent="0.25">
      <c r="A80" s="22"/>
      <c r="B80" s="72"/>
      <c r="C80" s="72"/>
      <c r="D80" s="72"/>
      <c r="E80" s="72"/>
      <c r="F80" s="72"/>
      <c r="G80" s="74"/>
      <c r="H80" s="52"/>
      <c r="I80" s="53"/>
    </row>
    <row r="81" spans="2:9" x14ac:dyDescent="0.25">
      <c r="B81" s="72"/>
      <c r="C81" s="72"/>
      <c r="D81" s="72"/>
      <c r="E81" s="72"/>
      <c r="F81" s="75"/>
      <c r="G81" s="74"/>
      <c r="H81" s="52"/>
      <c r="I81" s="53"/>
    </row>
    <row r="82" spans="2:9" x14ac:dyDescent="0.25">
      <c r="B82" s="72"/>
      <c r="C82" s="72"/>
      <c r="D82" s="72"/>
      <c r="E82" s="72"/>
      <c r="F82" s="75"/>
      <c r="G82" s="74"/>
      <c r="H82" s="52"/>
      <c r="I82" s="56"/>
    </row>
    <row r="83" spans="2:9" x14ac:dyDescent="0.25">
      <c r="B83" s="72"/>
      <c r="C83" s="72"/>
      <c r="D83" s="72"/>
      <c r="E83" s="74"/>
      <c r="F83" s="75"/>
      <c r="G83" s="74"/>
      <c r="H83" s="52"/>
      <c r="I83" s="56"/>
    </row>
    <row r="84" spans="2:9" x14ac:dyDescent="0.25">
      <c r="B84" s="72"/>
      <c r="C84" s="72"/>
      <c r="D84" s="72"/>
      <c r="E84" s="72"/>
      <c r="F84" s="72"/>
      <c r="G84" s="72"/>
    </row>
    <row r="85" spans="2:9" x14ac:dyDescent="0.25">
      <c r="B85" s="72"/>
      <c r="C85" s="72"/>
      <c r="D85" s="72"/>
      <c r="E85" s="72"/>
      <c r="F85" s="72"/>
      <c r="G85" s="72"/>
    </row>
    <row r="86" spans="2:9" x14ac:dyDescent="0.25">
      <c r="B86" s="72"/>
      <c r="C86" s="72"/>
      <c r="D86" s="72"/>
      <c r="E86" s="72"/>
      <c r="F86" s="72"/>
      <c r="G86" s="72"/>
    </row>
    <row r="87" spans="2:9" x14ac:dyDescent="0.25">
      <c r="B87" s="72"/>
      <c r="C87" s="72"/>
      <c r="D87" s="72"/>
      <c r="E87" s="72"/>
      <c r="F87" s="72"/>
      <c r="G87" s="72"/>
    </row>
    <row r="88" spans="2:9" x14ac:dyDescent="0.25">
      <c r="B88" s="72"/>
      <c r="C88" s="72"/>
      <c r="D88" s="72"/>
      <c r="E88" s="72"/>
      <c r="F88" s="72"/>
      <c r="G88" s="72"/>
    </row>
    <row r="89" spans="2:9" x14ac:dyDescent="0.25">
      <c r="B89" s="72"/>
      <c r="C89" s="72"/>
      <c r="D89" s="72"/>
      <c r="E89" s="72"/>
      <c r="F89" s="72"/>
      <c r="G89" s="72"/>
    </row>
    <row r="90" spans="2:9" x14ac:dyDescent="0.25">
      <c r="B90" s="72"/>
      <c r="C90" s="72"/>
      <c r="D90" s="72"/>
      <c r="E90" s="72"/>
      <c r="F90" s="72"/>
      <c r="G90" s="72"/>
    </row>
    <row r="91" spans="2:9" x14ac:dyDescent="0.25">
      <c r="B91" s="72"/>
      <c r="C91" s="72"/>
      <c r="D91" s="72"/>
      <c r="E91" s="72"/>
      <c r="F91" s="72"/>
      <c r="G91" s="72"/>
    </row>
    <row r="92" spans="2:9" x14ac:dyDescent="0.25">
      <c r="B92" s="72"/>
      <c r="C92" s="72"/>
      <c r="D92" s="72"/>
      <c r="E92" s="72"/>
      <c r="F92" s="72"/>
      <c r="G92" s="72"/>
    </row>
    <row r="93" spans="2:9" x14ac:dyDescent="0.25">
      <c r="B93" s="72"/>
      <c r="C93" s="72"/>
      <c r="D93" s="72"/>
      <c r="E93" s="72"/>
      <c r="F93" s="72"/>
      <c r="G93" s="72"/>
    </row>
    <row r="94" spans="2:9" x14ac:dyDescent="0.25">
      <c r="B94" s="72"/>
      <c r="C94" s="72"/>
      <c r="D94" s="72"/>
      <c r="E94" s="72"/>
      <c r="F94" s="72"/>
      <c r="G94" s="72"/>
    </row>
    <row r="95" spans="2:9" x14ac:dyDescent="0.25">
      <c r="B95" s="72"/>
      <c r="C95" s="72"/>
      <c r="D95" s="72"/>
      <c r="E95" s="72"/>
      <c r="F95" s="72"/>
      <c r="G95" s="72"/>
    </row>
    <row r="96" spans="2:9" x14ac:dyDescent="0.25">
      <c r="B96" s="72"/>
      <c r="C96" s="72"/>
      <c r="D96" s="72"/>
      <c r="E96" s="72"/>
      <c r="F96" s="72"/>
      <c r="G96" s="72"/>
    </row>
    <row r="97" spans="2:7" x14ac:dyDescent="0.25">
      <c r="B97" s="72"/>
      <c r="C97" s="72"/>
      <c r="D97" s="72"/>
      <c r="E97" s="72"/>
      <c r="F97" s="72"/>
      <c r="G97" s="72"/>
    </row>
    <row r="98" spans="2:7" x14ac:dyDescent="0.25">
      <c r="B98" s="72"/>
      <c r="C98" s="72"/>
      <c r="D98" s="72"/>
      <c r="E98" s="72"/>
      <c r="F98" s="72"/>
      <c r="G98" s="72"/>
    </row>
    <row r="99" spans="2:7" x14ac:dyDescent="0.25">
      <c r="B99" s="72"/>
      <c r="C99" s="72"/>
      <c r="D99" s="72"/>
      <c r="E99" s="72"/>
      <c r="F99" s="72"/>
      <c r="G99" s="72"/>
    </row>
    <row r="100" spans="2:7" x14ac:dyDescent="0.25">
      <c r="B100" s="72"/>
      <c r="C100" s="72"/>
      <c r="D100" s="72"/>
      <c r="E100" s="72"/>
      <c r="F100" s="72"/>
      <c r="G100" s="72"/>
    </row>
    <row r="101" spans="2:7" x14ac:dyDescent="0.25">
      <c r="B101" s="72"/>
      <c r="C101" s="72"/>
      <c r="D101" s="72"/>
      <c r="E101" s="72"/>
      <c r="F101" s="72"/>
      <c r="G101" s="72"/>
    </row>
    <row r="102" spans="2:7" x14ac:dyDescent="0.25">
      <c r="B102" s="72"/>
      <c r="C102" s="72"/>
      <c r="D102" s="72"/>
      <c r="E102" s="72"/>
      <c r="F102" s="72"/>
      <c r="G102" s="72"/>
    </row>
    <row r="103" spans="2:7" x14ac:dyDescent="0.25">
      <c r="B103" s="72"/>
      <c r="C103" s="72"/>
      <c r="D103" s="72"/>
      <c r="E103" s="72"/>
      <c r="F103" s="72"/>
      <c r="G103" s="72"/>
    </row>
  </sheetData>
  <mergeCells count="9">
    <mergeCell ref="B71:D71"/>
    <mergeCell ref="B72:D72"/>
    <mergeCell ref="B73:D73"/>
    <mergeCell ref="B55:D55"/>
    <mergeCell ref="E55:G55"/>
    <mergeCell ref="B57:D57"/>
    <mergeCell ref="E57:E58"/>
    <mergeCell ref="F57:F58"/>
    <mergeCell ref="D61:F61"/>
  </mergeCells>
  <pageMargins left="0.7" right="0.7" top="0.75" bottom="0.75" header="0.3" footer="0.3"/>
  <ignoredErrors>
    <ignoredError sqref="G61 E63 E65:E68 G77 E7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23.85546875" customWidth="1"/>
    <col min="2" max="2" width="12.42578125" customWidth="1"/>
    <col min="3" max="3" width="12" customWidth="1"/>
    <col min="4" max="4" width="13" customWidth="1"/>
    <col min="5" max="5" width="15.28515625" customWidth="1"/>
    <col min="6" max="6" width="12.28515625" customWidth="1"/>
    <col min="7" max="7" width="13.140625" customWidth="1"/>
    <col min="8" max="8" width="13.7109375" customWidth="1"/>
    <col min="9" max="9" width="12" customWidth="1"/>
    <col min="10" max="10" width="13.42578125" customWidth="1"/>
    <col min="11" max="11" width="13.5703125" customWidth="1"/>
    <col min="12" max="12" width="11" bestFit="1" customWidth="1"/>
    <col min="13" max="13" width="11.28515625" customWidth="1"/>
  </cols>
  <sheetData>
    <row r="1" spans="1:17" x14ac:dyDescent="0.25">
      <c r="A1" t="s">
        <v>191</v>
      </c>
    </row>
    <row r="3" spans="1:17" x14ac:dyDescent="0.25">
      <c r="A3" s="22"/>
      <c r="B3" s="22" t="s">
        <v>190</v>
      </c>
    </row>
    <row r="4" spans="1:17" x14ac:dyDescent="0.25">
      <c r="B4" s="28"/>
      <c r="C4" s="28"/>
      <c r="D4" s="28"/>
      <c r="E4" s="28"/>
      <c r="F4" s="28"/>
      <c r="G4" s="28"/>
      <c r="H4" s="28"/>
    </row>
    <row r="5" spans="1:17" x14ac:dyDescent="0.25">
      <c r="A5" t="s">
        <v>188</v>
      </c>
      <c r="B5" s="28"/>
      <c r="C5" s="28"/>
      <c r="D5" s="28"/>
      <c r="E5" s="28"/>
      <c r="F5" s="28"/>
      <c r="G5" s="28"/>
      <c r="H5" s="28"/>
    </row>
    <row r="6" spans="1:17" x14ac:dyDescent="0.25">
      <c r="A6" t="s">
        <v>187</v>
      </c>
      <c r="B6" s="28">
        <v>5</v>
      </c>
      <c r="C6" s="28"/>
      <c r="D6" s="28" t="s">
        <v>154</v>
      </c>
      <c r="E6" s="28">
        <v>6</v>
      </c>
      <c r="F6" s="28"/>
      <c r="G6" s="28"/>
      <c r="H6" s="105"/>
    </row>
    <row r="7" spans="1:17" x14ac:dyDescent="0.25">
      <c r="A7" t="s">
        <v>186</v>
      </c>
      <c r="B7" s="105">
        <v>180</v>
      </c>
      <c r="C7" s="28"/>
      <c r="D7" s="28" t="s">
        <v>185</v>
      </c>
      <c r="E7" s="105">
        <v>380</v>
      </c>
      <c r="F7" s="28"/>
      <c r="G7" s="28"/>
      <c r="H7" s="105"/>
    </row>
    <row r="8" spans="1:17" x14ac:dyDescent="0.25">
      <c r="B8" s="105">
        <f>B6*B7</f>
        <v>900</v>
      </c>
      <c r="C8" s="28"/>
      <c r="D8" s="28"/>
      <c r="E8" s="105">
        <f>E6*E7</f>
        <v>2280</v>
      </c>
      <c r="F8" s="28"/>
      <c r="G8" s="28"/>
      <c r="H8" s="105"/>
    </row>
    <row r="9" spans="1:17" x14ac:dyDescent="0.25">
      <c r="B9" s="28"/>
      <c r="C9" s="28"/>
      <c r="D9" s="28"/>
      <c r="E9" s="28"/>
      <c r="F9" s="28"/>
      <c r="G9" s="111"/>
      <c r="H9" s="28"/>
    </row>
    <row r="10" spans="1:17" x14ac:dyDescent="0.25">
      <c r="A10" t="s">
        <v>184</v>
      </c>
      <c r="B10" s="28"/>
      <c r="C10" s="28"/>
      <c r="D10" s="28"/>
      <c r="E10" s="28"/>
      <c r="F10" s="28"/>
      <c r="G10" s="28"/>
      <c r="H10" s="28"/>
    </row>
    <row r="11" spans="1:17" ht="24" x14ac:dyDescent="0.25">
      <c r="A11" s="90"/>
      <c r="B11" s="121" t="s">
        <v>183</v>
      </c>
      <c r="C11" s="121" t="s">
        <v>182</v>
      </c>
      <c r="D11" s="121" t="s">
        <v>181</v>
      </c>
      <c r="E11" s="28"/>
      <c r="F11" s="28"/>
      <c r="G11" s="28"/>
      <c r="H11" s="28"/>
    </row>
    <row r="12" spans="1:17" x14ac:dyDescent="0.25">
      <c r="A12" s="91" t="s">
        <v>144</v>
      </c>
      <c r="B12" s="109">
        <v>7500</v>
      </c>
      <c r="C12" s="109">
        <v>100000</v>
      </c>
      <c r="D12" s="109">
        <v>23800</v>
      </c>
      <c r="E12" s="28"/>
      <c r="F12" s="28" t="s">
        <v>180</v>
      </c>
      <c r="G12" s="28"/>
      <c r="H12" s="28"/>
      <c r="I12" s="27"/>
      <c r="J12" s="27"/>
      <c r="K12" s="27"/>
      <c r="L12" s="27"/>
      <c r="M12" s="27"/>
      <c r="N12" s="27"/>
      <c r="O12" s="27"/>
      <c r="P12" s="27"/>
      <c r="Q12" s="27"/>
    </row>
    <row r="13" spans="1:17" x14ac:dyDescent="0.25">
      <c r="A13" s="91" t="s">
        <v>141</v>
      </c>
      <c r="B13" s="109">
        <v>35200</v>
      </c>
      <c r="C13" s="109">
        <v>137000</v>
      </c>
      <c r="D13" s="109">
        <v>90000</v>
      </c>
      <c r="E13" s="28"/>
      <c r="F13" s="38" t="s">
        <v>43</v>
      </c>
      <c r="G13" s="120" t="s">
        <v>179</v>
      </c>
      <c r="H13" s="28"/>
      <c r="I13" s="27"/>
      <c r="J13" s="27"/>
      <c r="K13" s="27"/>
      <c r="L13" s="27"/>
      <c r="M13" s="27"/>
      <c r="N13" s="27"/>
      <c r="O13" s="27"/>
      <c r="P13" s="27"/>
      <c r="Q13" s="27"/>
    </row>
    <row r="14" spans="1:17" x14ac:dyDescent="0.25">
      <c r="A14" s="91" t="s">
        <v>139</v>
      </c>
      <c r="B14" s="109">
        <f>B12+B13</f>
        <v>42700</v>
      </c>
      <c r="C14" s="109">
        <f>C12+C13</f>
        <v>237000</v>
      </c>
      <c r="D14" s="109">
        <f>D12+D13</f>
        <v>113800</v>
      </c>
      <c r="E14" s="28"/>
      <c r="F14" s="38">
        <v>290</v>
      </c>
      <c r="G14" s="119">
        <v>4700</v>
      </c>
      <c r="H14" s="28"/>
      <c r="I14" s="27"/>
      <c r="J14" s="27"/>
      <c r="K14" s="27"/>
      <c r="L14" s="27"/>
      <c r="M14" s="27"/>
      <c r="N14" s="27"/>
      <c r="O14" s="27"/>
      <c r="P14" s="27"/>
      <c r="Q14" s="27"/>
    </row>
    <row r="15" spans="1:17" ht="7.5" customHeight="1" x14ac:dyDescent="0.25">
      <c r="A15" s="91"/>
      <c r="B15" s="110"/>
      <c r="C15" s="110"/>
      <c r="D15" s="110"/>
      <c r="E15" s="28"/>
      <c r="F15" s="28"/>
      <c r="G15" s="111"/>
      <c r="H15" s="28"/>
      <c r="I15" s="27"/>
      <c r="J15" s="27"/>
      <c r="K15" s="27"/>
      <c r="L15" s="27"/>
      <c r="M15" s="27"/>
      <c r="N15" s="27"/>
      <c r="O15" s="27"/>
      <c r="P15" s="27"/>
      <c r="Q15" s="27"/>
    </row>
    <row r="16" spans="1:17" x14ac:dyDescent="0.25">
      <c r="A16" s="91" t="s">
        <v>178</v>
      </c>
      <c r="B16" s="118">
        <v>1500</v>
      </c>
      <c r="C16" s="118">
        <v>1700</v>
      </c>
      <c r="D16" s="110" t="s">
        <v>177</v>
      </c>
      <c r="E16" s="28"/>
      <c r="F16" s="28"/>
      <c r="G16" s="111"/>
      <c r="H16" s="28"/>
      <c r="I16" s="27"/>
      <c r="J16" s="27"/>
      <c r="K16" s="27"/>
      <c r="L16" s="27"/>
      <c r="M16" s="27"/>
      <c r="N16" s="27"/>
      <c r="O16" s="27"/>
      <c r="P16" s="27"/>
      <c r="Q16" s="27"/>
    </row>
    <row r="17" spans="1:11" x14ac:dyDescent="0.25">
      <c r="B17" s="38" t="s">
        <v>176</v>
      </c>
      <c r="C17" s="38" t="s">
        <v>175</v>
      </c>
      <c r="D17" s="28"/>
      <c r="E17" s="28"/>
      <c r="F17" s="105"/>
      <c r="G17" s="111"/>
      <c r="H17" s="28"/>
      <c r="I17" s="25"/>
      <c r="J17" s="25"/>
      <c r="K17" s="25"/>
    </row>
    <row r="18" spans="1:11" x14ac:dyDescent="0.25">
      <c r="B18" s="28"/>
      <c r="C18" s="28"/>
      <c r="D18" s="28"/>
      <c r="E18" s="28"/>
      <c r="F18" s="115" t="s">
        <v>174</v>
      </c>
      <c r="G18" s="115"/>
      <c r="H18" s="28"/>
      <c r="I18" s="25"/>
      <c r="J18" s="25"/>
      <c r="K18" s="25"/>
    </row>
    <row r="19" spans="1:11" x14ac:dyDescent="0.25">
      <c r="A19" s="22" t="s">
        <v>173</v>
      </c>
      <c r="B19" s="28"/>
      <c r="C19" s="28"/>
      <c r="D19" s="28"/>
      <c r="E19" s="28"/>
      <c r="F19" s="28" t="s">
        <v>28</v>
      </c>
      <c r="G19" s="105">
        <f>B8</f>
        <v>900</v>
      </c>
      <c r="H19" s="28"/>
      <c r="I19" s="25"/>
      <c r="J19" s="26"/>
      <c r="K19" s="25"/>
    </row>
    <row r="20" spans="1:11" x14ac:dyDescent="0.25">
      <c r="B20" s="92" t="s">
        <v>147</v>
      </c>
      <c r="C20" s="92" t="s">
        <v>146</v>
      </c>
      <c r="D20" s="92" t="s">
        <v>145</v>
      </c>
      <c r="F20" t="s">
        <v>29</v>
      </c>
      <c r="G20" s="23">
        <f>E8</f>
        <v>2280</v>
      </c>
      <c r="I20" s="25"/>
      <c r="J20" s="26"/>
      <c r="K20" s="25"/>
    </row>
    <row r="21" spans="1:11" x14ac:dyDescent="0.25">
      <c r="A21" t="s">
        <v>172</v>
      </c>
      <c r="B21" s="27">
        <f>B12/B16</f>
        <v>5</v>
      </c>
      <c r="C21" s="27">
        <f>C12/C16</f>
        <v>58.823529411764703</v>
      </c>
      <c r="D21" s="104"/>
      <c r="F21" t="s">
        <v>171</v>
      </c>
      <c r="G21" s="23">
        <f>B23*B6</f>
        <v>142.33333333333331</v>
      </c>
      <c r="H21" s="27"/>
      <c r="I21" s="25"/>
      <c r="J21" s="26"/>
      <c r="K21" s="25"/>
    </row>
    <row r="22" spans="1:11" x14ac:dyDescent="0.25">
      <c r="A22" t="s">
        <v>170</v>
      </c>
      <c r="B22" s="27">
        <f>B13/B16</f>
        <v>23.466666666666665</v>
      </c>
      <c r="C22" s="27">
        <f>C13/C16</f>
        <v>80.588235294117652</v>
      </c>
      <c r="F22" t="s">
        <v>169</v>
      </c>
      <c r="G22" s="23">
        <f>C23*E6</f>
        <v>836.47058823529414</v>
      </c>
      <c r="I22" s="25"/>
      <c r="J22" s="26"/>
      <c r="K22" s="25"/>
    </row>
    <row r="23" spans="1:11" x14ac:dyDescent="0.25">
      <c r="A23" t="s">
        <v>168</v>
      </c>
      <c r="B23" s="103">
        <f>SUM(B21:B22)</f>
        <v>28.466666666666665</v>
      </c>
      <c r="C23" s="103">
        <f>SUM(C21:C22)</f>
        <v>139.41176470588235</v>
      </c>
      <c r="D23" s="102">
        <f>D14/G24</f>
        <v>9.4357368249147158E-2</v>
      </c>
      <c r="G23" s="101">
        <f>SUM(G19:G22)</f>
        <v>4158.8039215686276</v>
      </c>
      <c r="H23" s="27"/>
      <c r="I23" s="25"/>
      <c r="J23" s="97"/>
      <c r="K23" s="25"/>
    </row>
    <row r="24" spans="1:11" x14ac:dyDescent="0.25">
      <c r="B24" s="52" t="s">
        <v>71</v>
      </c>
      <c r="C24" s="52" t="s">
        <v>35</v>
      </c>
      <c r="F24" t="s">
        <v>167</v>
      </c>
      <c r="G24" s="23">
        <f>F14*G23</f>
        <v>1206053.1372549019</v>
      </c>
      <c r="H24" s="27"/>
      <c r="I24" s="25"/>
      <c r="J24" s="26"/>
      <c r="K24" s="25"/>
    </row>
    <row r="25" spans="1:11" x14ac:dyDescent="0.25">
      <c r="H25" s="27"/>
      <c r="I25" s="25"/>
      <c r="J25" s="25"/>
      <c r="K25" s="25"/>
    </row>
    <row r="26" spans="1:11" x14ac:dyDescent="0.25">
      <c r="A26" s="100" t="s">
        <v>166</v>
      </c>
      <c r="B26" s="52" t="s">
        <v>158</v>
      </c>
      <c r="C26" s="52" t="s">
        <v>165</v>
      </c>
      <c r="D26" s="99"/>
      <c r="G26" s="23"/>
      <c r="H26" s="27"/>
      <c r="I26" s="25"/>
      <c r="J26" s="25"/>
      <c r="K26" s="25"/>
    </row>
    <row r="27" spans="1:11" x14ac:dyDescent="0.25">
      <c r="A27" t="s">
        <v>28</v>
      </c>
      <c r="B27" s="23">
        <f>B8</f>
        <v>900</v>
      </c>
      <c r="C27" s="23">
        <f>B27</f>
        <v>900</v>
      </c>
      <c r="D27" s="26"/>
      <c r="H27" s="27"/>
    </row>
    <row r="28" spans="1:11" x14ac:dyDescent="0.25">
      <c r="A28" t="s">
        <v>29</v>
      </c>
      <c r="B28" s="23">
        <f>E8</f>
        <v>2280</v>
      </c>
      <c r="C28" s="23">
        <f>B28/2</f>
        <v>1140</v>
      </c>
      <c r="D28" s="26"/>
      <c r="E28" s="27"/>
    </row>
    <row r="29" spans="1:11" x14ac:dyDescent="0.25">
      <c r="A29" t="s">
        <v>164</v>
      </c>
      <c r="B29" s="27">
        <f>B21*$B$6</f>
        <v>25</v>
      </c>
      <c r="C29" s="23">
        <f>B29</f>
        <v>25</v>
      </c>
      <c r="D29" s="97"/>
      <c r="E29" s="27"/>
      <c r="H29" s="98"/>
    </row>
    <row r="30" spans="1:11" x14ac:dyDescent="0.25">
      <c r="A30" t="s">
        <v>163</v>
      </c>
      <c r="B30" s="27">
        <f>B22*$B$6</f>
        <v>117.33333333333333</v>
      </c>
      <c r="C30" s="23">
        <f>B30</f>
        <v>117.33333333333333</v>
      </c>
      <c r="D30" s="25"/>
      <c r="H30" s="98"/>
    </row>
    <row r="31" spans="1:11" x14ac:dyDescent="0.25">
      <c r="A31" t="s">
        <v>162</v>
      </c>
      <c r="B31" s="27">
        <f>C21*$E$6</f>
        <v>352.94117647058823</v>
      </c>
      <c r="C31" s="23">
        <f>B31/2</f>
        <v>176.47058823529412</v>
      </c>
      <c r="D31" s="97"/>
    </row>
    <row r="32" spans="1:11" x14ac:dyDescent="0.25">
      <c r="A32" s="15" t="s">
        <v>161</v>
      </c>
      <c r="B32" s="96">
        <f>C22*$E$6</f>
        <v>483.52941176470591</v>
      </c>
      <c r="C32" s="24">
        <f>B32/2</f>
        <v>241.76470588235296</v>
      </c>
      <c r="D32" s="25"/>
    </row>
    <row r="33" spans="1:15" x14ac:dyDescent="0.25">
      <c r="A33" s="17" t="s">
        <v>160</v>
      </c>
      <c r="B33" s="23">
        <f>SUM(B27:B32)</f>
        <v>4158.8039215686276</v>
      </c>
      <c r="C33" s="23">
        <f>SUM(C27:C32)</f>
        <v>2600.5686274509808</v>
      </c>
      <c r="D33" s="26"/>
      <c r="E33" s="17"/>
    </row>
    <row r="34" spans="1:15" x14ac:dyDescent="0.25">
      <c r="C34" s="89" t="s">
        <v>159</v>
      </c>
      <c r="D34" s="25"/>
    </row>
    <row r="35" spans="1:15" x14ac:dyDescent="0.25">
      <c r="A35" s="15" t="s">
        <v>145</v>
      </c>
      <c r="B35" s="95">
        <f>B33*D23</f>
        <v>392.41379310344831</v>
      </c>
      <c r="C35" s="15"/>
      <c r="D35" s="93"/>
    </row>
    <row r="36" spans="1:15" x14ac:dyDescent="0.25">
      <c r="A36" s="17" t="s">
        <v>158</v>
      </c>
      <c r="B36" s="94">
        <f>B33+B35</f>
        <v>4551.217714672076</v>
      </c>
      <c r="D36" s="93"/>
      <c r="F36" s="23"/>
    </row>
    <row r="37" spans="1:15" ht="21.75" customHeight="1" x14ac:dyDescent="0.7">
      <c r="A37" s="28"/>
      <c r="B37" s="28"/>
      <c r="C37" s="28"/>
      <c r="D37" s="28"/>
      <c r="E37" s="117"/>
      <c r="F37" s="28"/>
      <c r="G37" s="28"/>
      <c r="H37" s="28"/>
      <c r="I37" s="28"/>
      <c r="J37" s="28"/>
      <c r="K37" s="28"/>
      <c r="L37" s="28"/>
    </row>
    <row r="38" spans="1:15" x14ac:dyDescent="0.25">
      <c r="A38" s="116" t="s">
        <v>157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</row>
    <row r="39" spans="1:15" x14ac:dyDescent="0.25">
      <c r="A39" s="28" t="s">
        <v>28</v>
      </c>
      <c r="B39" s="107">
        <v>2100</v>
      </c>
      <c r="C39" s="28" t="s">
        <v>16</v>
      </c>
      <c r="D39" s="28" t="s">
        <v>156</v>
      </c>
      <c r="E39" s="105">
        <v>182000</v>
      </c>
      <c r="F39" s="28"/>
      <c r="G39" s="28" t="s">
        <v>155</v>
      </c>
      <c r="H39" s="28"/>
      <c r="I39" s="105">
        <v>105000</v>
      </c>
      <c r="J39" s="28"/>
      <c r="K39" s="28"/>
      <c r="L39" s="28"/>
    </row>
    <row r="40" spans="1:15" x14ac:dyDescent="0.25">
      <c r="A40" s="28" t="s">
        <v>154</v>
      </c>
      <c r="B40" s="107">
        <v>2380</v>
      </c>
      <c r="C40" s="28" t="s">
        <v>17</v>
      </c>
      <c r="D40" s="28" t="s">
        <v>153</v>
      </c>
      <c r="E40" s="105">
        <v>398000</v>
      </c>
      <c r="F40" s="28"/>
      <c r="G40" s="28" t="s">
        <v>152</v>
      </c>
      <c r="H40" s="28"/>
      <c r="I40" s="105">
        <v>681000</v>
      </c>
      <c r="J40" s="28"/>
      <c r="K40" s="28"/>
      <c r="L40" s="28"/>
    </row>
    <row r="41" spans="1:15" x14ac:dyDescent="0.25">
      <c r="A41" s="28"/>
      <c r="B41" s="28"/>
      <c r="C41" s="28"/>
      <c r="D41" s="115" t="s">
        <v>151</v>
      </c>
      <c r="E41" s="114">
        <v>165000</v>
      </c>
      <c r="F41" s="28"/>
      <c r="G41" s="115" t="s">
        <v>150</v>
      </c>
      <c r="H41" s="115"/>
      <c r="I41" s="114">
        <v>112000</v>
      </c>
      <c r="J41" s="28"/>
      <c r="K41" s="28"/>
      <c r="L41" s="28"/>
    </row>
    <row r="42" spans="1:15" x14ac:dyDescent="0.25">
      <c r="A42" s="28"/>
      <c r="B42" s="28"/>
      <c r="C42" s="28"/>
      <c r="D42" s="28" t="s">
        <v>149</v>
      </c>
      <c r="E42" s="105">
        <f>E39+E40-E41</f>
        <v>415000</v>
      </c>
      <c r="F42" s="28"/>
      <c r="G42" s="28" t="s">
        <v>149</v>
      </c>
      <c r="H42" s="28"/>
      <c r="I42" s="105">
        <f>I39+I40-I41</f>
        <v>674000</v>
      </c>
      <c r="J42" s="28"/>
      <c r="K42" s="28"/>
      <c r="L42" s="28"/>
    </row>
    <row r="43" spans="1:15" x14ac:dyDescent="0.25">
      <c r="A43" s="28"/>
      <c r="B43" s="28"/>
      <c r="C43" s="28"/>
      <c r="D43" s="28"/>
      <c r="E43" s="112"/>
      <c r="F43" s="28"/>
      <c r="G43" s="28"/>
      <c r="H43" s="28"/>
      <c r="I43" s="106"/>
      <c r="J43" s="28"/>
      <c r="K43" s="28"/>
      <c r="L43" s="28"/>
    </row>
    <row r="44" spans="1:15" x14ac:dyDescent="0.25">
      <c r="A44" s="108" t="s">
        <v>148</v>
      </c>
      <c r="B44" s="113" t="s">
        <v>147</v>
      </c>
      <c r="C44" s="113" t="s">
        <v>146</v>
      </c>
      <c r="D44" s="113" t="s">
        <v>145</v>
      </c>
      <c r="E44" s="28"/>
      <c r="F44" s="28"/>
      <c r="G44" s="28"/>
      <c r="H44" s="28"/>
      <c r="I44" s="28"/>
      <c r="J44" s="28"/>
      <c r="K44" s="28"/>
      <c r="L44" s="28"/>
    </row>
    <row r="45" spans="1:15" x14ac:dyDescent="0.25">
      <c r="A45" s="110" t="s">
        <v>144</v>
      </c>
      <c r="B45" s="109">
        <v>9500</v>
      </c>
      <c r="C45" s="109">
        <v>138000</v>
      </c>
      <c r="D45" s="109">
        <v>21300</v>
      </c>
      <c r="E45" s="28"/>
      <c r="F45" s="28" t="s">
        <v>143</v>
      </c>
      <c r="G45" s="28"/>
      <c r="H45" s="28"/>
      <c r="I45" s="112">
        <v>293</v>
      </c>
      <c r="J45" s="38" t="s">
        <v>142</v>
      </c>
      <c r="K45" s="28"/>
      <c r="L45" s="111"/>
      <c r="M45" s="27"/>
      <c r="N45" s="27"/>
      <c r="O45" s="27"/>
    </row>
    <row r="46" spans="1:15" x14ac:dyDescent="0.25">
      <c r="A46" s="110" t="s">
        <v>141</v>
      </c>
      <c r="B46" s="109">
        <v>43000</v>
      </c>
      <c r="C46" s="109">
        <v>229000</v>
      </c>
      <c r="D46" s="109">
        <v>83000</v>
      </c>
      <c r="E46" s="28"/>
      <c r="F46" s="28" t="s">
        <v>140</v>
      </c>
      <c r="G46" s="28"/>
      <c r="H46" s="28"/>
      <c r="I46" s="112">
        <v>218</v>
      </c>
      <c r="J46" s="105">
        <v>1650000</v>
      </c>
      <c r="K46" s="28"/>
      <c r="L46" s="111"/>
      <c r="M46" s="27"/>
      <c r="N46" s="27"/>
      <c r="O46" s="27"/>
    </row>
    <row r="47" spans="1:15" x14ac:dyDescent="0.25">
      <c r="A47" s="110" t="s">
        <v>139</v>
      </c>
      <c r="B47" s="109">
        <f>SUM(B45:B46)</f>
        <v>52500</v>
      </c>
      <c r="C47" s="109">
        <f>SUM(C45:C46)</f>
        <v>367000</v>
      </c>
      <c r="D47" s="109">
        <f>SUM(D45:D46)</f>
        <v>104300</v>
      </c>
      <c r="E47" s="28"/>
      <c r="F47" s="28" t="s">
        <v>138</v>
      </c>
      <c r="G47" s="38">
        <v>25</v>
      </c>
      <c r="H47" s="28" t="s">
        <v>9</v>
      </c>
      <c r="I47" s="28"/>
      <c r="J47" s="28"/>
      <c r="K47" s="28"/>
      <c r="L47" s="111"/>
      <c r="M47" s="27"/>
      <c r="N47" s="27"/>
      <c r="O47" s="27"/>
    </row>
    <row r="48" spans="1:15" x14ac:dyDescent="0.25">
      <c r="A48" s="28"/>
      <c r="B48" s="28"/>
      <c r="C48" s="28"/>
      <c r="D48" s="28"/>
      <c r="E48" s="28"/>
      <c r="F48" s="28" t="s">
        <v>137</v>
      </c>
      <c r="G48" s="38">
        <v>39</v>
      </c>
      <c r="H48" s="28" t="s">
        <v>9</v>
      </c>
      <c r="I48" s="28"/>
      <c r="J48" s="28"/>
      <c r="K48" s="105"/>
      <c r="L48" s="111"/>
      <c r="M48" s="27"/>
      <c r="N48" s="27"/>
      <c r="O48" s="27"/>
    </row>
    <row r="49" spans="1:12" x14ac:dyDescent="0.25">
      <c r="A49" s="110" t="s">
        <v>136</v>
      </c>
      <c r="B49" s="38">
        <f>G48-G47</f>
        <v>14</v>
      </c>
      <c r="C49" s="28"/>
      <c r="D49" s="109"/>
      <c r="E49" s="28"/>
      <c r="F49" s="28" t="s">
        <v>135</v>
      </c>
      <c r="G49" s="28"/>
      <c r="H49" s="28"/>
      <c r="I49" s="28"/>
      <c r="J49" s="28"/>
      <c r="K49" s="28"/>
      <c r="L49" s="28"/>
    </row>
    <row r="50" spans="1:12" x14ac:dyDescent="0.25">
      <c r="A50" s="108" t="s">
        <v>134</v>
      </c>
      <c r="B50" s="107">
        <f>I45-I46</f>
        <v>75</v>
      </c>
      <c r="C50" s="28"/>
      <c r="D50" s="28"/>
      <c r="E50" s="105"/>
      <c r="F50" s="28"/>
      <c r="G50" s="28"/>
      <c r="H50" s="28"/>
      <c r="I50" s="28"/>
      <c r="J50" s="28"/>
      <c r="K50" s="28"/>
      <c r="L50" s="28"/>
    </row>
    <row r="51" spans="1:12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</row>
    <row r="52" spans="1:12" x14ac:dyDescent="0.25">
      <c r="A52" s="28" t="s">
        <v>133</v>
      </c>
      <c r="B52" s="28"/>
      <c r="C52" s="28"/>
      <c r="D52" s="28"/>
      <c r="E52" s="28"/>
      <c r="F52" s="28" t="s">
        <v>132</v>
      </c>
      <c r="G52" s="28"/>
      <c r="H52" s="28"/>
      <c r="I52" s="28"/>
      <c r="J52" s="28"/>
      <c r="K52" s="28"/>
      <c r="L52" s="28"/>
    </row>
    <row r="53" spans="1:12" x14ac:dyDescent="0.25">
      <c r="B53" s="52" t="s">
        <v>43</v>
      </c>
      <c r="C53" s="89" t="s">
        <v>131</v>
      </c>
      <c r="D53" s="52" t="s">
        <v>129</v>
      </c>
      <c r="F53" s="52" t="s">
        <v>43</v>
      </c>
      <c r="G53" s="89" t="s">
        <v>130</v>
      </c>
      <c r="H53" s="52" t="s">
        <v>129</v>
      </c>
    </row>
    <row r="54" spans="1:12" x14ac:dyDescent="0.25">
      <c r="A54" t="s">
        <v>128</v>
      </c>
      <c r="B54" s="56">
        <f>I45</f>
        <v>293</v>
      </c>
      <c r="C54" s="52">
        <f>$B$6</f>
        <v>5</v>
      </c>
      <c r="D54" s="56">
        <f>B54*C54</f>
        <v>1465</v>
      </c>
      <c r="F54" s="56">
        <f>B54</f>
        <v>293</v>
      </c>
      <c r="G54" s="52">
        <f>$E$6</f>
        <v>6</v>
      </c>
      <c r="H54" s="56">
        <f>F54*G54</f>
        <v>1758</v>
      </c>
    </row>
    <row r="55" spans="1:12" x14ac:dyDescent="0.25">
      <c r="A55" t="s">
        <v>127</v>
      </c>
      <c r="B55" s="52">
        <f>B49</f>
        <v>14</v>
      </c>
      <c r="C55" s="52">
        <f>$B$6</f>
        <v>5</v>
      </c>
      <c r="D55" s="88">
        <f>B55*C55</f>
        <v>70</v>
      </c>
      <c r="F55" s="56">
        <f>B55</f>
        <v>14</v>
      </c>
      <c r="G55" s="52">
        <f>$E$6*0.5</f>
        <v>3</v>
      </c>
      <c r="H55" s="88">
        <f>F55*G55</f>
        <v>42</v>
      </c>
    </row>
    <row r="56" spans="1:12" x14ac:dyDescent="0.25">
      <c r="D56" s="87">
        <f>SUM(D54:D55)</f>
        <v>1535</v>
      </c>
      <c r="E56" s="22" t="s">
        <v>16</v>
      </c>
      <c r="F56" s="22"/>
      <c r="G56" s="22"/>
      <c r="H56" s="87">
        <f>SUM(H54:H55)</f>
        <v>1800</v>
      </c>
      <c r="I56" s="22" t="s">
        <v>126</v>
      </c>
    </row>
    <row r="59" spans="1:12" ht="15" customHeight="1" x14ac:dyDescent="0.25">
      <c r="A59" s="29"/>
      <c r="B59" s="127"/>
      <c r="C59" s="128"/>
      <c r="D59" s="129"/>
      <c r="E59" s="127"/>
      <c r="F59" s="128"/>
      <c r="G59" s="129"/>
      <c r="H59" s="28"/>
    </row>
    <row r="60" spans="1:12" ht="15" customHeight="1" x14ac:dyDescent="0.25">
      <c r="A60" s="30" t="s">
        <v>42</v>
      </c>
      <c r="B60" s="29" t="s">
        <v>43</v>
      </c>
      <c r="C60" s="29"/>
      <c r="D60" s="29" t="s">
        <v>44</v>
      </c>
      <c r="E60" s="31">
        <f>$J$46</f>
        <v>1650000</v>
      </c>
      <c r="F60" s="31">
        <f>$J$46</f>
        <v>1650000</v>
      </c>
      <c r="G60" s="29"/>
      <c r="H60" s="28"/>
      <c r="I60" s="1"/>
    </row>
    <row r="61" spans="1:12" x14ac:dyDescent="0.25">
      <c r="A61" s="32"/>
      <c r="B61" s="127" t="s">
        <v>45</v>
      </c>
      <c r="C61" s="128"/>
      <c r="D61" s="129"/>
      <c r="E61" s="130" t="s">
        <v>46</v>
      </c>
      <c r="F61" s="130" t="s">
        <v>189</v>
      </c>
      <c r="G61" s="33" t="s">
        <v>48</v>
      </c>
      <c r="H61" s="28"/>
    </row>
    <row r="62" spans="1:12" x14ac:dyDescent="0.25">
      <c r="A62" s="32"/>
      <c r="B62" s="32" t="s">
        <v>49</v>
      </c>
      <c r="C62" s="32" t="s">
        <v>50</v>
      </c>
      <c r="D62" s="32" t="s">
        <v>51</v>
      </c>
      <c r="E62" s="131"/>
      <c r="F62" s="131"/>
      <c r="G62" s="32"/>
      <c r="H62" s="28"/>
    </row>
    <row r="63" spans="1:12" ht="15.75" x14ac:dyDescent="0.25">
      <c r="A63" s="34" t="s">
        <v>28</v>
      </c>
      <c r="B63" s="35">
        <f>D56</f>
        <v>1535</v>
      </c>
      <c r="C63" s="36">
        <f>B7</f>
        <v>180</v>
      </c>
      <c r="D63" s="36"/>
      <c r="E63" s="37">
        <f>B63*C63</f>
        <v>276300</v>
      </c>
      <c r="F63" s="37">
        <f>E42</f>
        <v>415000</v>
      </c>
      <c r="G63" s="37">
        <f>E63-F63</f>
        <v>-138700</v>
      </c>
      <c r="H63" s="38" t="str">
        <f>IF(G63&gt;0,"F","U")</f>
        <v>U</v>
      </c>
    </row>
    <row r="64" spans="1:12" ht="15.75" x14ac:dyDescent="0.25">
      <c r="A64" s="34" t="s">
        <v>29</v>
      </c>
      <c r="B64" s="35">
        <f>H56</f>
        <v>1800</v>
      </c>
      <c r="C64" s="36">
        <f>E7</f>
        <v>380</v>
      </c>
      <c r="D64" s="36"/>
      <c r="E64" s="37">
        <f>B64*C64</f>
        <v>684000</v>
      </c>
      <c r="F64" s="37">
        <f>I42</f>
        <v>674000</v>
      </c>
      <c r="G64" s="37">
        <f>E64-F64</f>
        <v>10000</v>
      </c>
      <c r="H64" s="38" t="str">
        <f>IF(G64&gt;0,"F","U")</f>
        <v>F</v>
      </c>
    </row>
    <row r="65" spans="1:9" ht="14.25" customHeight="1" x14ac:dyDescent="0.25">
      <c r="A65" s="34"/>
      <c r="B65" s="39"/>
      <c r="C65" s="39"/>
      <c r="D65" s="132" t="s">
        <v>52</v>
      </c>
      <c r="E65" s="132"/>
      <c r="F65" s="134"/>
      <c r="G65" s="37">
        <f>SUM(G63:G64)</f>
        <v>-128700</v>
      </c>
      <c r="H65" s="38" t="str">
        <f>IF(G65&gt;0,"F","U")</f>
        <v>U</v>
      </c>
    </row>
    <row r="66" spans="1:9" ht="15.75" customHeight="1" x14ac:dyDescent="0.25">
      <c r="A66" s="34" t="s">
        <v>125</v>
      </c>
      <c r="B66" s="40">
        <f>B63</f>
        <v>1535</v>
      </c>
      <c r="C66" s="41">
        <f>B23</f>
        <v>28.466666666666665</v>
      </c>
      <c r="D66" s="44"/>
      <c r="E66" s="37">
        <f>B66*C66</f>
        <v>43696.333333333328</v>
      </c>
      <c r="F66" s="37">
        <f>B47</f>
        <v>52500</v>
      </c>
      <c r="G66" s="37">
        <f>E66-F66</f>
        <v>-8803.6666666666715</v>
      </c>
      <c r="H66" s="38" t="str">
        <f>IF(G66&gt;0,"F","U")</f>
        <v>U</v>
      </c>
    </row>
    <row r="67" spans="1:9" ht="15.75" x14ac:dyDescent="0.25">
      <c r="A67" s="34" t="s">
        <v>53</v>
      </c>
      <c r="B67" s="40">
        <f>B64</f>
        <v>1800</v>
      </c>
      <c r="C67" s="41">
        <f>C23</f>
        <v>139.41176470588235</v>
      </c>
      <c r="D67" s="44"/>
      <c r="E67" s="37">
        <f>B67*C67</f>
        <v>250941.17647058822</v>
      </c>
      <c r="F67" s="37">
        <f>C47</f>
        <v>367000</v>
      </c>
      <c r="G67" s="37">
        <f>E67-F67</f>
        <v>-116058.82352941178</v>
      </c>
      <c r="H67" s="38" t="str">
        <f>IF(G67&gt;0,"F","U")</f>
        <v>U</v>
      </c>
      <c r="I67" s="1"/>
    </row>
    <row r="68" spans="1:9" ht="17.25" customHeight="1" x14ac:dyDescent="0.25">
      <c r="A68" s="42" t="s">
        <v>54</v>
      </c>
      <c r="B68" s="43"/>
      <c r="C68" s="43"/>
      <c r="D68" s="43"/>
      <c r="E68" s="37">
        <f>E63+E64+E66+E67</f>
        <v>1254937.5098039217</v>
      </c>
      <c r="F68" s="37"/>
      <c r="G68" s="44"/>
      <c r="H68" s="28"/>
    </row>
    <row r="69" spans="1:9" ht="15" customHeight="1" x14ac:dyDescent="0.25">
      <c r="A69" s="34" t="s">
        <v>55</v>
      </c>
      <c r="B69" s="43">
        <f>B49</f>
        <v>14</v>
      </c>
      <c r="C69" s="37">
        <f>C33</f>
        <v>2600.5686274509808</v>
      </c>
      <c r="D69" s="44"/>
      <c r="E69" s="37">
        <f>-B69*C69</f>
        <v>-36407.960784313735</v>
      </c>
      <c r="F69" s="45">
        <f>E69</f>
        <v>-36407.960784313735</v>
      </c>
      <c r="G69" s="43"/>
      <c r="H69" s="28"/>
    </row>
    <row r="70" spans="1:9" ht="15" customHeight="1" x14ac:dyDescent="0.25">
      <c r="A70" s="46" t="s">
        <v>56</v>
      </c>
      <c r="B70" s="43"/>
      <c r="C70" s="43"/>
      <c r="D70" s="43"/>
      <c r="E70" s="37">
        <f>E68+E69</f>
        <v>1218529.5490196079</v>
      </c>
      <c r="F70" s="44"/>
      <c r="G70" s="44"/>
      <c r="H70" s="28"/>
    </row>
    <row r="71" spans="1:9" ht="15.75" x14ac:dyDescent="0.25">
      <c r="A71" s="34" t="s">
        <v>57</v>
      </c>
      <c r="B71" s="45">
        <f>B50</f>
        <v>75</v>
      </c>
      <c r="C71" s="37">
        <f>B33</f>
        <v>4158.8039215686276</v>
      </c>
      <c r="D71" s="44"/>
      <c r="E71" s="37">
        <f>-B71*C71</f>
        <v>-311910.29411764705</v>
      </c>
      <c r="F71" s="45">
        <f>E71</f>
        <v>-311910.29411764705</v>
      </c>
      <c r="G71" s="43"/>
      <c r="H71" s="28"/>
    </row>
    <row r="72" spans="1:9" ht="15.75" x14ac:dyDescent="0.25">
      <c r="A72" s="46" t="s">
        <v>58</v>
      </c>
      <c r="B72" s="43"/>
      <c r="C72" s="43"/>
      <c r="D72" s="43"/>
      <c r="E72" s="37">
        <f>E70+E71</f>
        <v>906619.25490196096</v>
      </c>
      <c r="F72" s="44"/>
      <c r="G72" s="44"/>
      <c r="H72" s="28"/>
    </row>
    <row r="73" spans="1:9" ht="15.75" x14ac:dyDescent="0.25">
      <c r="A73" s="34" t="s">
        <v>33</v>
      </c>
      <c r="B73" s="43"/>
      <c r="C73" s="47">
        <f>D23</f>
        <v>9.4357368249147158E-2</v>
      </c>
      <c r="D73" s="44"/>
      <c r="E73" s="37">
        <f>C73*E72</f>
        <v>85546.206896551739</v>
      </c>
      <c r="F73" s="45">
        <f>D47</f>
        <v>104300</v>
      </c>
      <c r="G73" s="36">
        <f>E73-F73</f>
        <v>-18753.793103448261</v>
      </c>
      <c r="H73" s="38" t="str">
        <f>IF(G73&gt;0,"F","U")</f>
        <v>U</v>
      </c>
    </row>
    <row r="74" spans="1:9" ht="15.75" x14ac:dyDescent="0.25">
      <c r="A74" s="46" t="s">
        <v>59</v>
      </c>
      <c r="B74" s="43"/>
      <c r="C74" s="43"/>
      <c r="D74" s="43"/>
      <c r="E74" s="37">
        <f>E72+E73</f>
        <v>992165.46179851273</v>
      </c>
      <c r="F74" s="44"/>
      <c r="G74" s="44"/>
      <c r="H74" s="28"/>
    </row>
    <row r="75" spans="1:9" ht="15.75" x14ac:dyDescent="0.25">
      <c r="A75" s="46" t="s">
        <v>60</v>
      </c>
      <c r="B75" s="43"/>
      <c r="C75" s="43"/>
      <c r="D75" s="43"/>
      <c r="E75" s="37">
        <f>E60-E74</f>
        <v>657834.53820148727</v>
      </c>
      <c r="F75" s="44"/>
      <c r="G75" s="44"/>
      <c r="H75" s="28"/>
    </row>
    <row r="76" spans="1:9" ht="17.25" customHeight="1" x14ac:dyDescent="0.25">
      <c r="A76" s="48"/>
      <c r="B76" s="122" t="s">
        <v>61</v>
      </c>
      <c r="C76" s="123"/>
      <c r="D76" s="124"/>
      <c r="E76" s="37">
        <f>G65</f>
        <v>-128700</v>
      </c>
      <c r="F76" s="44"/>
      <c r="G76" s="44"/>
      <c r="H76" s="28"/>
    </row>
    <row r="77" spans="1:9" ht="17.25" customHeight="1" x14ac:dyDescent="0.25">
      <c r="A77" s="49"/>
      <c r="B77" s="122" t="s">
        <v>62</v>
      </c>
      <c r="C77" s="123"/>
      <c r="D77" s="124"/>
      <c r="E77" s="37">
        <f>G77</f>
        <v>-143616.28329952672</v>
      </c>
      <c r="F77" s="44"/>
      <c r="G77" s="37">
        <f>G66+G67+G73</f>
        <v>-143616.28329952672</v>
      </c>
      <c r="H77" s="28"/>
    </row>
    <row r="78" spans="1:9" ht="15.75" x14ac:dyDescent="0.25">
      <c r="A78" s="48"/>
      <c r="B78" s="125" t="s">
        <v>63</v>
      </c>
      <c r="C78" s="126"/>
      <c r="D78" s="133"/>
      <c r="E78" s="50">
        <f>SUM(E75:E77)</f>
        <v>385518.25490196055</v>
      </c>
      <c r="F78" s="37">
        <f>F60-F63-F64-F66-F67-F69-F71-F73</f>
        <v>385518.25490196078</v>
      </c>
      <c r="G78" s="44"/>
      <c r="H78" s="28"/>
    </row>
    <row r="79" spans="1:9" x14ac:dyDescent="0.25">
      <c r="H79" s="52"/>
      <c r="I79" s="53"/>
    </row>
    <row r="80" spans="1:9" x14ac:dyDescent="0.25">
      <c r="A80" s="22"/>
      <c r="H80" s="52"/>
      <c r="I80" s="53"/>
    </row>
    <row r="81" spans="1:9" x14ac:dyDescent="0.25">
      <c r="A81" s="54"/>
      <c r="F81" s="55"/>
      <c r="G81" s="52"/>
      <c r="H81" s="52"/>
      <c r="I81" s="56"/>
    </row>
    <row r="82" spans="1:9" ht="15.75" customHeight="1" x14ac:dyDescent="0.25">
      <c r="F82" s="55"/>
      <c r="G82" s="52"/>
      <c r="H82" s="52"/>
      <c r="I82" s="56"/>
    </row>
    <row r="83" spans="1:9" ht="15.75" customHeight="1" x14ac:dyDescent="0.25">
      <c r="E83" s="57"/>
      <c r="F83" s="55"/>
      <c r="G83" s="52"/>
      <c r="I83" s="52"/>
    </row>
    <row r="84" spans="1:9" ht="15.75" customHeight="1" x14ac:dyDescent="0.25">
      <c r="A84" s="22"/>
      <c r="G84" s="52"/>
      <c r="H84" s="52"/>
      <c r="I84" s="53"/>
    </row>
    <row r="85" spans="1:9" x14ac:dyDescent="0.25">
      <c r="F85" s="23"/>
      <c r="G85" s="52"/>
      <c r="H85" s="52"/>
      <c r="I85" s="53"/>
    </row>
    <row r="86" spans="1:9" x14ac:dyDescent="0.25">
      <c r="F86" s="23"/>
      <c r="G86" s="52"/>
      <c r="H86" s="52"/>
      <c r="I86" s="56"/>
    </row>
    <row r="87" spans="1:9" x14ac:dyDescent="0.25">
      <c r="E87" s="57"/>
      <c r="F87" s="23"/>
      <c r="G87" s="52"/>
      <c r="H87" s="52"/>
      <c r="I87" s="56"/>
    </row>
  </sheetData>
  <mergeCells count="9">
    <mergeCell ref="B76:D76"/>
    <mergeCell ref="B77:D77"/>
    <mergeCell ref="B78:D78"/>
    <mergeCell ref="B59:D59"/>
    <mergeCell ref="E59:G59"/>
    <mergeCell ref="B61:D61"/>
    <mergeCell ref="E61:E62"/>
    <mergeCell ref="F61:F62"/>
    <mergeCell ref="D65:F65"/>
  </mergeCells>
  <pageMargins left="0.7" right="0.7" top="0.75" bottom="0.75" header="0.3" footer="0.3"/>
  <pageSetup paperSize="9" orientation="portrait" r:id="rId1"/>
  <ignoredErrors>
    <ignoredError sqref="G65 E70:E7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5.17</vt:lpstr>
      <vt:lpstr>6.9</vt:lpstr>
      <vt:lpstr>6.11</vt:lpstr>
      <vt:lpstr>6.14</vt:lpstr>
      <vt:lpstr>6.21</vt:lpstr>
    </vt:vector>
  </TitlesOfParts>
  <Company>Høgskolen i Nord-Trøndelag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Helbæk Morten</dc:creator>
  <cp:lastModifiedBy>Helbæk Morten</cp:lastModifiedBy>
  <dcterms:created xsi:type="dcterms:W3CDTF">2015-06-01T16:00:10Z</dcterms:created>
  <dcterms:modified xsi:type="dcterms:W3CDTF">2015-09-09T12:32:52Z</dcterms:modified>
</cp:coreProperties>
</file>