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8_{C8052FF8-3411-314F-BEAA-277D5940341D}" xr6:coauthVersionLast="45" xr6:coauthVersionMax="45" xr10:uidLastSave="{00000000-0000-0000-0000-000000000000}"/>
  <bookViews>
    <workbookView xWindow="-37560" yWindow="2880" windowWidth="38400" windowHeight="21600" xr2:uid="{7D9E6859-7AB7-8E47-8EE8-B5A223B09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209" i="1"/>
  <c r="Z190" i="1" l="1"/>
  <c r="Z189" i="1"/>
  <c r="Z187" i="1"/>
  <c r="M48" i="1"/>
  <c r="N48" i="1"/>
  <c r="O48" i="1"/>
  <c r="P48" i="1"/>
  <c r="P49" i="1" s="1"/>
  <c r="Q48" i="1"/>
  <c r="R48" i="1"/>
  <c r="S48" i="1"/>
  <c r="T48" i="1"/>
  <c r="T49" i="1" s="1"/>
  <c r="U48" i="1"/>
  <c r="V48" i="1"/>
  <c r="M49" i="1"/>
  <c r="N49" i="1"/>
  <c r="O49" i="1"/>
  <c r="Q49" i="1"/>
  <c r="R49" i="1"/>
  <c r="S49" i="1"/>
  <c r="U49" i="1"/>
  <c r="V49" i="1"/>
  <c r="L49" i="1"/>
  <c r="L48" i="1"/>
  <c r="M31" i="1"/>
  <c r="N31" i="1"/>
  <c r="O31" i="1"/>
  <c r="P31" i="1"/>
  <c r="Q31" i="1"/>
  <c r="R31" i="1"/>
  <c r="S31" i="1"/>
  <c r="T31" i="1"/>
  <c r="U31" i="1"/>
  <c r="V31" i="1"/>
  <c r="M29" i="1"/>
  <c r="N29" i="1"/>
  <c r="O29" i="1"/>
  <c r="P29" i="1"/>
  <c r="Q29" i="1"/>
  <c r="R29" i="1"/>
  <c r="S29" i="1"/>
  <c r="T29" i="1"/>
  <c r="U29" i="1"/>
  <c r="V29" i="1"/>
  <c r="L31" i="1"/>
  <c r="L29" i="1"/>
  <c r="L24" i="1"/>
  <c r="L22" i="1"/>
  <c r="E188" i="1"/>
  <c r="D188" i="1"/>
  <c r="E185" i="1"/>
  <c r="D185" i="1"/>
  <c r="E184" i="1"/>
  <c r="D184" i="1"/>
  <c r="D183" i="1"/>
  <c r="E183" i="1"/>
  <c r="C183" i="1"/>
  <c r="D182" i="1"/>
  <c r="E182" i="1"/>
  <c r="C182" i="1"/>
  <c r="D122" i="1"/>
  <c r="E122" i="1"/>
  <c r="C122" i="1"/>
  <c r="D125" i="1"/>
  <c r="E125" i="1"/>
  <c r="L125" i="1" s="1"/>
  <c r="C125" i="1"/>
  <c r="E89" i="1"/>
  <c r="D89" i="1"/>
  <c r="D114" i="1"/>
  <c r="E114" i="1"/>
  <c r="C114" i="1"/>
  <c r="Z198" i="1" l="1"/>
  <c r="V174" i="1"/>
  <c r="U174" i="1"/>
  <c r="T174" i="1"/>
  <c r="S174" i="1"/>
  <c r="R174" i="1"/>
  <c r="Q174" i="1"/>
  <c r="P174" i="1"/>
  <c r="O174" i="1"/>
  <c r="N174" i="1"/>
  <c r="M174" i="1"/>
  <c r="L174" i="1"/>
  <c r="V160" i="1"/>
  <c r="U160" i="1"/>
  <c r="T160" i="1"/>
  <c r="S160" i="1"/>
  <c r="R160" i="1"/>
  <c r="Q160" i="1"/>
  <c r="P160" i="1"/>
  <c r="O160" i="1"/>
  <c r="N160" i="1"/>
  <c r="M160" i="1"/>
  <c r="L160" i="1"/>
  <c r="V139" i="1"/>
  <c r="U139" i="1"/>
  <c r="T139" i="1"/>
  <c r="S139" i="1"/>
  <c r="R139" i="1"/>
  <c r="Q139" i="1"/>
  <c r="P139" i="1"/>
  <c r="O139" i="1"/>
  <c r="N139" i="1"/>
  <c r="M139" i="1"/>
  <c r="L139" i="1"/>
  <c r="E130" i="1"/>
  <c r="D130" i="1"/>
  <c r="V130" i="1"/>
  <c r="U130" i="1"/>
  <c r="T130" i="1"/>
  <c r="S130" i="1"/>
  <c r="R130" i="1"/>
  <c r="Q130" i="1"/>
  <c r="P130" i="1"/>
  <c r="O130" i="1"/>
  <c r="N130" i="1"/>
  <c r="M130" i="1"/>
  <c r="L130" i="1"/>
  <c r="Z199" i="1" l="1"/>
  <c r="Z203" i="1" s="1"/>
  <c r="V190" i="1" s="1"/>
  <c r="D173" i="1"/>
  <c r="E173" i="1"/>
  <c r="C173" i="1"/>
  <c r="E159" i="1"/>
  <c r="D159" i="1"/>
  <c r="D113" i="1"/>
  <c r="E113" i="1"/>
  <c r="C113" i="1"/>
  <c r="M104" i="1"/>
  <c r="N104" i="1"/>
  <c r="O104" i="1"/>
  <c r="P104" i="1"/>
  <c r="Q104" i="1"/>
  <c r="R104" i="1"/>
  <c r="S104" i="1"/>
  <c r="T104" i="1"/>
  <c r="U104" i="1"/>
  <c r="V104" i="1"/>
  <c r="L104" i="1"/>
  <c r="L103" i="1" s="1"/>
  <c r="E104" i="1"/>
  <c r="D104" i="1"/>
  <c r="E96" i="1"/>
  <c r="D96" i="1"/>
  <c r="V96" i="1"/>
  <c r="U96" i="1"/>
  <c r="T96" i="1"/>
  <c r="S96" i="1"/>
  <c r="R96" i="1"/>
  <c r="Q96" i="1"/>
  <c r="P96" i="1"/>
  <c r="O96" i="1"/>
  <c r="N96" i="1"/>
  <c r="M96" i="1"/>
  <c r="L95" i="1"/>
  <c r="D80" i="1"/>
  <c r="E80" i="1"/>
  <c r="C80" i="1"/>
  <c r="V80" i="1"/>
  <c r="U80" i="1"/>
  <c r="T80" i="1"/>
  <c r="S80" i="1"/>
  <c r="R80" i="1"/>
  <c r="Q80" i="1"/>
  <c r="P80" i="1"/>
  <c r="O80" i="1"/>
  <c r="N80" i="1"/>
  <c r="M80" i="1"/>
  <c r="L80" i="1"/>
  <c r="D72" i="1"/>
  <c r="E72" i="1"/>
  <c r="C72" i="1"/>
  <c r="V72" i="1"/>
  <c r="U72" i="1"/>
  <c r="T72" i="1"/>
  <c r="S72" i="1"/>
  <c r="R72" i="1"/>
  <c r="Q72" i="1"/>
  <c r="P72" i="1"/>
  <c r="O72" i="1"/>
  <c r="N72" i="1"/>
  <c r="M72" i="1"/>
  <c r="L72" i="1"/>
  <c r="D63" i="1"/>
  <c r="E63" i="1"/>
  <c r="C63" i="1"/>
  <c r="D56" i="1"/>
  <c r="D69" i="1" s="1"/>
  <c r="D87" i="1" s="1"/>
  <c r="E56" i="1"/>
  <c r="E69" i="1" s="1"/>
  <c r="E87" i="1" s="1"/>
  <c r="C56" i="1"/>
  <c r="C69" i="1" s="1"/>
  <c r="C87" i="1" s="1"/>
  <c r="V63" i="1"/>
  <c r="U63" i="1"/>
  <c r="T63" i="1"/>
  <c r="S63" i="1"/>
  <c r="R63" i="1"/>
  <c r="Q63" i="1"/>
  <c r="P63" i="1"/>
  <c r="O63" i="1"/>
  <c r="N63" i="1"/>
  <c r="M63" i="1"/>
  <c r="L63" i="1"/>
  <c r="V56" i="1"/>
  <c r="U56" i="1"/>
  <c r="T56" i="1"/>
  <c r="S56" i="1"/>
  <c r="R56" i="1"/>
  <c r="Q56" i="1"/>
  <c r="P56" i="1"/>
  <c r="O56" i="1"/>
  <c r="N56" i="1"/>
  <c r="M56" i="1"/>
  <c r="L56" i="1"/>
  <c r="E37" i="1"/>
  <c r="D37" i="1"/>
  <c r="V37" i="1"/>
  <c r="U37" i="1"/>
  <c r="T37" i="1"/>
  <c r="S37" i="1"/>
  <c r="R37" i="1"/>
  <c r="Q37" i="1"/>
  <c r="P37" i="1"/>
  <c r="O37" i="1"/>
  <c r="N37" i="1"/>
  <c r="M37" i="1"/>
  <c r="L37" i="1"/>
  <c r="L36" i="1" s="1"/>
  <c r="L27" i="1"/>
  <c r="D27" i="1"/>
  <c r="E27" i="1"/>
  <c r="C27" i="1"/>
  <c r="D33" i="1"/>
  <c r="D45" i="1" s="1"/>
  <c r="E33" i="1"/>
  <c r="E45" i="1" s="1"/>
  <c r="C33" i="1"/>
  <c r="C45" i="1" s="1"/>
  <c r="E20" i="1"/>
  <c r="D20" i="1"/>
  <c r="M27" i="1"/>
  <c r="N27" i="1"/>
  <c r="O27" i="1"/>
  <c r="P27" i="1"/>
  <c r="Q27" i="1"/>
  <c r="R27" i="1"/>
  <c r="S27" i="1"/>
  <c r="T27" i="1"/>
  <c r="U27" i="1"/>
  <c r="V27" i="1"/>
  <c r="V20" i="1"/>
  <c r="U20" i="1"/>
  <c r="T20" i="1"/>
  <c r="S20" i="1"/>
  <c r="R20" i="1"/>
  <c r="Q20" i="1"/>
  <c r="P20" i="1"/>
  <c r="O20" i="1"/>
  <c r="N20" i="1"/>
  <c r="M20" i="1"/>
  <c r="L20" i="1"/>
  <c r="L19" i="1" s="1"/>
  <c r="M45" i="1"/>
  <c r="N45" i="1"/>
  <c r="O45" i="1"/>
  <c r="P45" i="1"/>
  <c r="Q45" i="1"/>
  <c r="R45" i="1"/>
  <c r="S45" i="1"/>
  <c r="T45" i="1"/>
  <c r="U45" i="1"/>
  <c r="V45" i="1"/>
  <c r="L45" i="1"/>
  <c r="L44" i="1" s="1"/>
  <c r="C4" i="1"/>
  <c r="M103" i="1" l="1"/>
  <c r="N103" i="1" s="1"/>
  <c r="O103" i="1" s="1"/>
  <c r="P103" i="1" s="1"/>
  <c r="Q103" i="1" s="1"/>
  <c r="R103" i="1" s="1"/>
  <c r="S103" i="1" s="1"/>
  <c r="T103" i="1" s="1"/>
  <c r="U103" i="1" s="1"/>
  <c r="V103" i="1" s="1"/>
  <c r="M44" i="1"/>
  <c r="M79" i="1" s="1"/>
  <c r="L113" i="1"/>
  <c r="L71" i="1"/>
  <c r="M95" i="1"/>
  <c r="L26" i="1"/>
  <c r="L62" i="1" s="1"/>
  <c r="L79" i="1"/>
  <c r="L55" i="1"/>
  <c r="M36" i="1"/>
  <c r="M19" i="1"/>
  <c r="M26" i="1" s="1"/>
  <c r="M33" i="1" s="1"/>
  <c r="D51" i="1"/>
  <c r="D139" i="1" s="1"/>
  <c r="E34" i="1"/>
  <c r="E51" i="1"/>
  <c r="E139" i="1" s="1"/>
  <c r="P125" i="1" l="1"/>
  <c r="N44" i="1"/>
  <c r="O44" i="1" s="1"/>
  <c r="P44" i="1" s="1"/>
  <c r="Q44" i="1" s="1"/>
  <c r="R44" i="1" s="1"/>
  <c r="S44" i="1" s="1"/>
  <c r="T44" i="1" s="1"/>
  <c r="U44" i="1" s="1"/>
  <c r="V44" i="1" s="1"/>
  <c r="V79" i="1" s="1"/>
  <c r="E160" i="1"/>
  <c r="D174" i="1"/>
  <c r="D160" i="1"/>
  <c r="E174" i="1"/>
  <c r="N95" i="1"/>
  <c r="M113" i="1"/>
  <c r="M62" i="1"/>
  <c r="N19" i="1"/>
  <c r="O19" i="1" s="1"/>
  <c r="P19" i="1" s="1"/>
  <c r="Q19" i="1" s="1"/>
  <c r="R19" i="1" s="1"/>
  <c r="S19" i="1" s="1"/>
  <c r="T19" i="1" s="1"/>
  <c r="U19" i="1" s="1"/>
  <c r="V19" i="1" s="1"/>
  <c r="V55" i="1" s="1"/>
  <c r="N36" i="1"/>
  <c r="M71" i="1"/>
  <c r="L69" i="1"/>
  <c r="L87" i="1" s="1"/>
  <c r="L89" i="1" s="1"/>
  <c r="M55" i="1"/>
  <c r="E91" i="1"/>
  <c r="E88" i="1"/>
  <c r="E52" i="1"/>
  <c r="D91" i="1"/>
  <c r="D88" i="1"/>
  <c r="R79" i="1" l="1"/>
  <c r="Q125" i="1"/>
  <c r="T79" i="1"/>
  <c r="Q79" i="1"/>
  <c r="O79" i="1"/>
  <c r="U79" i="1"/>
  <c r="N79" i="1"/>
  <c r="P79" i="1"/>
  <c r="S79" i="1"/>
  <c r="M69" i="1"/>
  <c r="M87" i="1" s="1"/>
  <c r="M89" i="1" s="1"/>
  <c r="Q26" i="1"/>
  <c r="Q62" i="1" s="1"/>
  <c r="R26" i="1"/>
  <c r="R62" i="1" s="1"/>
  <c r="S55" i="1"/>
  <c r="T55" i="1"/>
  <c r="O95" i="1"/>
  <c r="N113" i="1"/>
  <c r="P26" i="1"/>
  <c r="P62" i="1" s="1"/>
  <c r="R55" i="1"/>
  <c r="U55" i="1"/>
  <c r="V26" i="1"/>
  <c r="V62" i="1" s="1"/>
  <c r="V69" i="1" s="1"/>
  <c r="U26" i="1"/>
  <c r="U62" i="1" s="1"/>
  <c r="T26" i="1"/>
  <c r="T62" i="1" s="1"/>
  <c r="O55" i="1"/>
  <c r="N55" i="1"/>
  <c r="O26" i="1"/>
  <c r="O62" i="1" s="1"/>
  <c r="Q55" i="1"/>
  <c r="P55" i="1"/>
  <c r="S26" i="1"/>
  <c r="S62" i="1" s="1"/>
  <c r="N26" i="1"/>
  <c r="O36" i="1"/>
  <c r="N71" i="1"/>
  <c r="D116" i="1"/>
  <c r="D92" i="1"/>
  <c r="E116" i="1"/>
  <c r="E148" i="1" s="1"/>
  <c r="E149" i="1" s="1"/>
  <c r="E92" i="1"/>
  <c r="C51" i="1"/>
  <c r="T69" i="1" l="1"/>
  <c r="R125" i="1"/>
  <c r="U69" i="1"/>
  <c r="P69" i="1"/>
  <c r="Q69" i="1"/>
  <c r="R69" i="1"/>
  <c r="C139" i="1"/>
  <c r="C174" i="1"/>
  <c r="E127" i="1"/>
  <c r="D127" i="1"/>
  <c r="D148" i="1"/>
  <c r="S69" i="1"/>
  <c r="P95" i="1"/>
  <c r="O113" i="1"/>
  <c r="O33" i="1"/>
  <c r="P36" i="1"/>
  <c r="O71" i="1"/>
  <c r="N62" i="1"/>
  <c r="N69" i="1" s="1"/>
  <c r="N87" i="1" s="1"/>
  <c r="N89" i="1" s="1"/>
  <c r="N33" i="1"/>
  <c r="N34" i="1" s="1"/>
  <c r="O69" i="1"/>
  <c r="P33" i="1"/>
  <c r="D34" i="1"/>
  <c r="C88" i="1"/>
  <c r="C91" i="1"/>
  <c r="D52" i="1"/>
  <c r="S125" i="1" l="1"/>
  <c r="D149" i="1"/>
  <c r="D150" i="1"/>
  <c r="E150" i="1"/>
  <c r="P34" i="1"/>
  <c r="O87" i="1"/>
  <c r="O89" i="1" s="1"/>
  <c r="Q95" i="1"/>
  <c r="P113" i="1"/>
  <c r="Q36" i="1"/>
  <c r="P71" i="1"/>
  <c r="P87" i="1" s="1"/>
  <c r="P89" i="1" s="1"/>
  <c r="O34" i="1"/>
  <c r="Q33" i="1"/>
  <c r="Q34" i="1" s="1"/>
  <c r="C116" i="1"/>
  <c r="C92" i="1"/>
  <c r="T125" i="1" l="1"/>
  <c r="C127" i="1"/>
  <c r="C148" i="1"/>
  <c r="C149" i="1" s="1"/>
  <c r="R95" i="1"/>
  <c r="Q113" i="1"/>
  <c r="R36" i="1"/>
  <c r="Q71" i="1"/>
  <c r="Q87" i="1" s="1"/>
  <c r="Q89" i="1" s="1"/>
  <c r="R33" i="1"/>
  <c r="R34" i="1" s="1"/>
  <c r="U125" i="1" l="1"/>
  <c r="S95" i="1"/>
  <c r="R113" i="1"/>
  <c r="S36" i="1"/>
  <c r="R71" i="1"/>
  <c r="R87" i="1" s="1"/>
  <c r="R89" i="1" s="1"/>
  <c r="S33" i="1"/>
  <c r="S34" i="1" s="1"/>
  <c r="V125" i="1" l="1"/>
  <c r="T95" i="1"/>
  <c r="S113" i="1"/>
  <c r="T36" i="1"/>
  <c r="S71" i="1"/>
  <c r="S87" i="1" s="1"/>
  <c r="S89" i="1" s="1"/>
  <c r="T33" i="1"/>
  <c r="T34" i="1" s="1"/>
  <c r="U95" i="1" l="1"/>
  <c r="T113" i="1"/>
  <c r="U36" i="1"/>
  <c r="T71" i="1"/>
  <c r="T87" i="1" s="1"/>
  <c r="T89" i="1" s="1"/>
  <c r="V33" i="1"/>
  <c r="U33" i="1"/>
  <c r="U34" i="1" s="1"/>
  <c r="M51" i="1"/>
  <c r="L33" i="1"/>
  <c r="L51" i="1" s="1"/>
  <c r="M129" i="1" l="1"/>
  <c r="M114" i="1"/>
  <c r="M123" i="1"/>
  <c r="M183" i="1" s="1"/>
  <c r="L129" i="1"/>
  <c r="L114" i="1"/>
  <c r="L123" i="1"/>
  <c r="L183" i="1" s="1"/>
  <c r="L173" i="1"/>
  <c r="L184" i="1" s="1"/>
  <c r="M159" i="1"/>
  <c r="M138" i="1"/>
  <c r="M173" i="1"/>
  <c r="M184" i="1" s="1"/>
  <c r="L138" i="1"/>
  <c r="L159" i="1"/>
  <c r="L185" i="1" s="1"/>
  <c r="V95" i="1"/>
  <c r="V113" i="1" s="1"/>
  <c r="U113" i="1"/>
  <c r="M91" i="1"/>
  <c r="M122" i="1" s="1"/>
  <c r="M88" i="1"/>
  <c r="V36" i="1"/>
  <c r="V71" i="1" s="1"/>
  <c r="V87" i="1" s="1"/>
  <c r="U71" i="1"/>
  <c r="U87" i="1" s="1"/>
  <c r="U89" i="1" s="1"/>
  <c r="L52" i="1"/>
  <c r="L91" i="1"/>
  <c r="L122" i="1" s="1"/>
  <c r="L88" i="1"/>
  <c r="L34" i="1"/>
  <c r="M34" i="1"/>
  <c r="V34" i="1"/>
  <c r="M52" i="1"/>
  <c r="M185" i="1" l="1"/>
  <c r="V89" i="1"/>
  <c r="L92" i="1"/>
  <c r="L116" i="1"/>
  <c r="L148" i="1" s="1"/>
  <c r="M92" i="1"/>
  <c r="M116" i="1"/>
  <c r="N51" i="1"/>
  <c r="L149" i="1" l="1"/>
  <c r="L150" i="1"/>
  <c r="L182" i="1"/>
  <c r="L188" i="1" s="1"/>
  <c r="L192" i="1" s="1"/>
  <c r="N129" i="1"/>
  <c r="N114" i="1"/>
  <c r="N123" i="1"/>
  <c r="N183" i="1" s="1"/>
  <c r="N159" i="1"/>
  <c r="N185" i="1" s="1"/>
  <c r="N138" i="1"/>
  <c r="N173" i="1"/>
  <c r="N184" i="1" s="1"/>
  <c r="M148" i="1"/>
  <c r="M127" i="1"/>
  <c r="L127" i="1"/>
  <c r="N52" i="1"/>
  <c r="N91" i="1"/>
  <c r="N122" i="1" s="1"/>
  <c r="N88" i="1"/>
  <c r="O51" i="1"/>
  <c r="M149" i="1" l="1"/>
  <c r="M182" i="1"/>
  <c r="M188" i="1" s="1"/>
  <c r="M192" i="1" s="1"/>
  <c r="M150" i="1"/>
  <c r="O129" i="1"/>
  <c r="O114" i="1"/>
  <c r="O123" i="1"/>
  <c r="O183" i="1" s="1"/>
  <c r="O138" i="1"/>
  <c r="O173" i="1"/>
  <c r="O184" i="1" s="1"/>
  <c r="O159" i="1"/>
  <c r="O185" i="1" s="1"/>
  <c r="N92" i="1"/>
  <c r="N116" i="1"/>
  <c r="O52" i="1"/>
  <c r="O91" i="1"/>
  <c r="O122" i="1" s="1"/>
  <c r="O88" i="1"/>
  <c r="P51" i="1"/>
  <c r="P129" i="1" l="1"/>
  <c r="P114" i="1"/>
  <c r="P123" i="1"/>
  <c r="P183" i="1" s="1"/>
  <c r="P159" i="1"/>
  <c r="P185" i="1" s="1"/>
  <c r="P173" i="1"/>
  <c r="P184" i="1" s="1"/>
  <c r="P138" i="1"/>
  <c r="N148" i="1"/>
  <c r="N127" i="1"/>
  <c r="O92" i="1"/>
  <c r="O116" i="1"/>
  <c r="P52" i="1"/>
  <c r="P91" i="1"/>
  <c r="P122" i="1" s="1"/>
  <c r="P88" i="1"/>
  <c r="Q51" i="1"/>
  <c r="Q129" i="1" l="1"/>
  <c r="Q114" i="1"/>
  <c r="Q123" i="1"/>
  <c r="Q183" i="1" s="1"/>
  <c r="N149" i="1"/>
  <c r="N182" i="1"/>
  <c r="N188" i="1" s="1"/>
  <c r="N192" i="1" s="1"/>
  <c r="N150" i="1"/>
  <c r="Q159" i="1"/>
  <c r="Q185" i="1" s="1"/>
  <c r="Q138" i="1"/>
  <c r="Q173" i="1"/>
  <c r="Q184" i="1" s="1"/>
  <c r="O127" i="1"/>
  <c r="O148" i="1"/>
  <c r="P92" i="1"/>
  <c r="P116" i="1"/>
  <c r="Q52" i="1"/>
  <c r="Q91" i="1"/>
  <c r="Q122" i="1" s="1"/>
  <c r="Q88" i="1"/>
  <c r="R51" i="1"/>
  <c r="O149" i="1" l="1"/>
  <c r="O150" i="1"/>
  <c r="O182" i="1"/>
  <c r="O188" i="1" s="1"/>
  <c r="O192" i="1" s="1"/>
  <c r="R129" i="1"/>
  <c r="R114" i="1"/>
  <c r="R123" i="1"/>
  <c r="R183" i="1" s="1"/>
  <c r="R159" i="1"/>
  <c r="R185" i="1" s="1"/>
  <c r="R138" i="1"/>
  <c r="R173" i="1"/>
  <c r="R184" i="1" s="1"/>
  <c r="P148" i="1"/>
  <c r="P127" i="1"/>
  <c r="Q92" i="1"/>
  <c r="Q116" i="1"/>
  <c r="R52" i="1"/>
  <c r="R91" i="1"/>
  <c r="R122" i="1" s="1"/>
  <c r="R88" i="1"/>
  <c r="S51" i="1"/>
  <c r="P149" i="1" l="1"/>
  <c r="P150" i="1"/>
  <c r="P182" i="1"/>
  <c r="P188" i="1" s="1"/>
  <c r="P192" i="1" s="1"/>
  <c r="S129" i="1"/>
  <c r="S114" i="1"/>
  <c r="S123" i="1"/>
  <c r="S183" i="1" s="1"/>
  <c r="S138" i="1"/>
  <c r="S173" i="1"/>
  <c r="S184" i="1" s="1"/>
  <c r="S159" i="1"/>
  <c r="S185" i="1" s="1"/>
  <c r="Q148" i="1"/>
  <c r="Q127" i="1"/>
  <c r="R92" i="1"/>
  <c r="R116" i="1"/>
  <c r="S52" i="1"/>
  <c r="S91" i="1"/>
  <c r="S122" i="1" s="1"/>
  <c r="S88" i="1"/>
  <c r="T51" i="1"/>
  <c r="Q149" i="1" l="1"/>
  <c r="Q182" i="1"/>
  <c r="Q188" i="1" s="1"/>
  <c r="Q192" i="1" s="1"/>
  <c r="Q150" i="1"/>
  <c r="T129" i="1"/>
  <c r="T114" i="1"/>
  <c r="T123" i="1"/>
  <c r="T183" i="1" s="1"/>
  <c r="T173" i="1"/>
  <c r="T184" i="1" s="1"/>
  <c r="T159" i="1"/>
  <c r="T185" i="1" s="1"/>
  <c r="T138" i="1"/>
  <c r="R148" i="1"/>
  <c r="R127" i="1"/>
  <c r="S92" i="1"/>
  <c r="S116" i="1"/>
  <c r="T52" i="1"/>
  <c r="T91" i="1"/>
  <c r="T122" i="1" s="1"/>
  <c r="T88" i="1"/>
  <c r="U51" i="1"/>
  <c r="R149" i="1" l="1"/>
  <c r="R182" i="1"/>
  <c r="R188" i="1" s="1"/>
  <c r="R192" i="1" s="1"/>
  <c r="R150" i="1"/>
  <c r="U129" i="1"/>
  <c r="U114" i="1"/>
  <c r="U123" i="1"/>
  <c r="U183" i="1" s="1"/>
  <c r="U159" i="1"/>
  <c r="U185" i="1" s="1"/>
  <c r="U138" i="1"/>
  <c r="U173" i="1"/>
  <c r="U184" i="1" s="1"/>
  <c r="S127" i="1"/>
  <c r="S148" i="1"/>
  <c r="T92" i="1"/>
  <c r="T116" i="1"/>
  <c r="U52" i="1"/>
  <c r="U91" i="1"/>
  <c r="U122" i="1" s="1"/>
  <c r="U88" i="1"/>
  <c r="V51" i="1"/>
  <c r="V129" i="1" s="1"/>
  <c r="S149" i="1" l="1"/>
  <c r="S150" i="1"/>
  <c r="S182" i="1"/>
  <c r="S188" i="1" s="1"/>
  <c r="S192" i="1" s="1"/>
  <c r="V114" i="1"/>
  <c r="V123" i="1"/>
  <c r="V183" i="1" s="1"/>
  <c r="V159" i="1"/>
  <c r="V185" i="1" s="1"/>
  <c r="V138" i="1"/>
  <c r="V173" i="1"/>
  <c r="V184" i="1" s="1"/>
  <c r="T148" i="1"/>
  <c r="T127" i="1"/>
  <c r="U92" i="1"/>
  <c r="U116" i="1"/>
  <c r="V52" i="1"/>
  <c r="V91" i="1"/>
  <c r="V122" i="1" s="1"/>
  <c r="V88" i="1"/>
  <c r="T149" i="1" l="1"/>
  <c r="T150" i="1"/>
  <c r="T182" i="1"/>
  <c r="T188" i="1" s="1"/>
  <c r="T192" i="1" s="1"/>
  <c r="U148" i="1"/>
  <c r="U127" i="1"/>
  <c r="V92" i="1"/>
  <c r="V116" i="1"/>
  <c r="V127" i="1" s="1"/>
  <c r="U149" i="1" l="1"/>
  <c r="U182" i="1"/>
  <c r="U188" i="1" s="1"/>
  <c r="U192" i="1" s="1"/>
  <c r="U150" i="1"/>
  <c r="V148" i="1"/>
  <c r="V182" i="1" s="1"/>
  <c r="V188" i="1" s="1"/>
  <c r="V189" i="1" l="1"/>
  <c r="V192" i="1" s="1"/>
  <c r="C200" i="1" s="1"/>
  <c r="C203" i="1" s="1"/>
  <c r="C207" i="1" s="1"/>
  <c r="V149" i="1"/>
  <c r="V150" i="1"/>
</calcChain>
</file>

<file path=xl/sharedStrings.xml><?xml version="1.0" encoding="utf-8"?>
<sst xmlns="http://schemas.openxmlformats.org/spreadsheetml/2006/main" count="164" uniqueCount="104">
  <si>
    <t xml:space="preserve">TSLA Discounted Cash Flow Model </t>
  </si>
  <si>
    <t>Price</t>
  </si>
  <si>
    <t>Income Statement</t>
  </si>
  <si>
    <t>Revenues</t>
  </si>
  <si>
    <t xml:space="preserve">   Automotive Sales</t>
  </si>
  <si>
    <t xml:space="preserve">   Automotive Leasings</t>
  </si>
  <si>
    <t xml:space="preserve">      Total automotive Revenues</t>
  </si>
  <si>
    <t>   Energy generation and storage</t>
  </si>
  <si>
    <t xml:space="preserve">   Service and other</t>
  </si>
  <si>
    <t>Total Revenues</t>
  </si>
  <si>
    <t>x</t>
  </si>
  <si>
    <t>Cost of Revenues</t>
  </si>
  <si>
    <t xml:space="preserve">      Total Automotive Cost of Revenues</t>
  </si>
  <si>
    <t>Total Cost of Revenues</t>
  </si>
  <si>
    <t>Gross Profit</t>
  </si>
  <si>
    <t>Operating Expenses</t>
  </si>
  <si>
    <t xml:space="preserve">   Research and Development</t>
  </si>
  <si>
    <t xml:space="preserve">   Selling, General, Administrative Expenses </t>
  </si>
  <si>
    <t xml:space="preserve">   Restructuring &amp; Other</t>
  </si>
  <si>
    <t>Total Operating Expenses</t>
  </si>
  <si>
    <t>Loss from Operations</t>
  </si>
  <si>
    <t>Interest Income</t>
  </si>
  <si>
    <t>Interest Expense</t>
  </si>
  <si>
    <t>Other income(expenses), net</t>
  </si>
  <si>
    <t>Loss Before Income Taxes</t>
  </si>
  <si>
    <t>Provision for income taxes</t>
  </si>
  <si>
    <t xml:space="preserve">Net Loss </t>
  </si>
  <si>
    <t>(in millinos except share)</t>
  </si>
  <si>
    <t xml:space="preserve">      %growth</t>
  </si>
  <si>
    <t xml:space="preserve">   % growth</t>
  </si>
  <si>
    <t xml:space="preserve">   % margin</t>
  </si>
  <si>
    <t>Bull Case</t>
  </si>
  <si>
    <t>Bear Case</t>
  </si>
  <si>
    <t>Base Case</t>
  </si>
  <si>
    <t xml:space="preserve">Case(A -&gt; Bull, B - &gt; Base, C-&gt;Bear) </t>
  </si>
  <si>
    <t xml:space="preserve">   %growth</t>
  </si>
  <si>
    <t xml:space="preserve">   % of auto sales</t>
  </si>
  <si>
    <r>
      <t xml:space="preserve">   </t>
    </r>
    <r>
      <rPr>
        <i/>
        <sz val="12"/>
        <color theme="1"/>
        <rFont val="Calibri"/>
        <family val="2"/>
        <scheme val="minor"/>
      </rPr>
      <t>% of sales</t>
    </r>
  </si>
  <si>
    <t xml:space="preserve">   % of sales</t>
  </si>
  <si>
    <t xml:space="preserve">   % of Revenue</t>
  </si>
  <si>
    <t xml:space="preserve">   % of Growth</t>
  </si>
  <si>
    <r>
      <t xml:space="preserve">   </t>
    </r>
    <r>
      <rPr>
        <sz val="12"/>
        <color theme="1"/>
        <rFont val="Calibri"/>
        <family val="2"/>
        <scheme val="minor"/>
      </rPr>
      <t xml:space="preserve">Depreciation and Amortization </t>
    </r>
  </si>
  <si>
    <t xml:space="preserve">   Stock Based Compensation </t>
  </si>
  <si>
    <t>Adj. EBITDA</t>
  </si>
  <si>
    <t xml:space="preserve">   Effective Tax Rate</t>
  </si>
  <si>
    <t xml:space="preserve">Balance Sheet </t>
  </si>
  <si>
    <t>Current Assets</t>
  </si>
  <si>
    <t>(-) Unrestricted Cash</t>
  </si>
  <si>
    <t>(-) Current Liabilities</t>
  </si>
  <si>
    <t>(+) ST DEBT</t>
  </si>
  <si>
    <t xml:space="preserve">   Net Working Capital </t>
  </si>
  <si>
    <t xml:space="preserve">Capital Expenditures </t>
  </si>
  <si>
    <t xml:space="preserve">PP&amp;E </t>
  </si>
  <si>
    <t>Solar Energy PP&amp;E</t>
  </si>
  <si>
    <t xml:space="preserve">      % of Capex</t>
  </si>
  <si>
    <t xml:space="preserve">Net PP&amp;E </t>
  </si>
  <si>
    <t>Historical</t>
  </si>
  <si>
    <t>Projected</t>
  </si>
  <si>
    <t>Q1</t>
  </si>
  <si>
    <t>Q2</t>
  </si>
  <si>
    <t>Q3</t>
  </si>
  <si>
    <t>Q4</t>
  </si>
  <si>
    <t xml:space="preserve">  </t>
  </si>
  <si>
    <t>Model S/X production</t>
  </si>
  <si>
    <t>Model S/X deliveries</t>
  </si>
  <si>
    <t>Model 3 production</t>
  </si>
  <si>
    <t>Model 3 deliveries</t>
  </si>
  <si>
    <t xml:space="preserve">   of which subject to lease accounting</t>
  </si>
  <si>
    <t xml:space="preserve"> </t>
  </si>
  <si>
    <t xml:space="preserve">  % growth</t>
  </si>
  <si>
    <t>Discounted Cash Flow Model</t>
  </si>
  <si>
    <t>Adjusted EBITDA</t>
  </si>
  <si>
    <t xml:space="preserve"> - Taxes</t>
  </si>
  <si>
    <t xml:space="preserve"> - Capex</t>
  </si>
  <si>
    <t xml:space="preserve"> - Change in NWC</t>
  </si>
  <si>
    <t xml:space="preserve"> - Other</t>
  </si>
  <si>
    <t>Unlevered FCF</t>
  </si>
  <si>
    <t>Total Capital Expenditures</t>
  </si>
  <si>
    <t>Discount Rate</t>
  </si>
  <si>
    <t>Perpetuity Growth Rate</t>
  </si>
  <si>
    <t>Terminal Value</t>
  </si>
  <si>
    <t>Autonomous Driving</t>
  </si>
  <si>
    <t>US Citizens</t>
  </si>
  <si>
    <t>US Citizens using Tesla AI Trips</t>
  </si>
  <si>
    <t>US C. using Tesla AI Trips</t>
  </si>
  <si>
    <t>AI Trips per year</t>
  </si>
  <si>
    <t>Revenue per AI Trip</t>
  </si>
  <si>
    <t>Revenue in 2040</t>
  </si>
  <si>
    <t>EBITDA Margin</t>
  </si>
  <si>
    <t>AI Business EBITDA          2040</t>
  </si>
  <si>
    <t>% change they get there</t>
  </si>
  <si>
    <t>EV of AI Driving Business</t>
  </si>
  <si>
    <t>Value of AI Business in 2040</t>
  </si>
  <si>
    <t>Value of Self Driving by 2040</t>
  </si>
  <si>
    <t>FCF to DCF</t>
  </si>
  <si>
    <t>Enterprise Value</t>
  </si>
  <si>
    <t xml:space="preserve"> - Debt</t>
  </si>
  <si>
    <t xml:space="preserve"> + Cash</t>
  </si>
  <si>
    <t>Equity Value</t>
  </si>
  <si>
    <t>Shares Outstanding</t>
  </si>
  <si>
    <t>Fair Value of Stock</t>
  </si>
  <si>
    <t>A</t>
  </si>
  <si>
    <t>Current Share Price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</si>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</sst>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0.00000%"/>
    <numFmt numFmtId="166" formatCode="0.0%"/>
    <numFmt numFmtId="167" formatCode="0.000%"/>
    <numFmt numFmtId="168" formatCode="_(&quot;$&quot;* #,##0_);_(&quot;$&quot;* \(#,##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rgb="FF2A1DB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2A1DB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7" fillId="0" borderId="0" xfId="0" applyNumberFormat="1" applyFont="1"/>
    <xf numFmtId="9" fontId="0" fillId="0" borderId="0" xfId="0" applyNumberFormat="1" applyFont="1"/>
    <xf numFmtId="9" fontId="5" fillId="0" borderId="0" xfId="0" applyNumberFormat="1" applyFont="1"/>
    <xf numFmtId="0" fontId="4" fillId="0" borderId="3" xfId="0" applyFont="1" applyBorder="1" applyAlignment="1">
      <alignment horizontal="center"/>
    </xf>
    <xf numFmtId="0" fontId="4" fillId="0" borderId="2" xfId="4" applyAlignment="1">
      <alignment horizontal="center"/>
    </xf>
    <xf numFmtId="0" fontId="9" fillId="0" borderId="0" xfId="0" applyFont="1"/>
    <xf numFmtId="164" fontId="9" fillId="0" borderId="0" xfId="0" applyNumberFormat="1" applyFont="1"/>
    <xf numFmtId="9" fontId="9" fillId="0" borderId="4" xfId="0" applyNumberFormat="1" applyFont="1" applyBorder="1"/>
    <xf numFmtId="9" fontId="9" fillId="0" borderId="0" xfId="0" applyNumberFormat="1" applyFont="1"/>
    <xf numFmtId="0" fontId="10" fillId="0" borderId="0" xfId="0" applyFont="1"/>
    <xf numFmtId="9" fontId="9" fillId="0" borderId="5" xfId="0" applyNumberFormat="1" applyFont="1" applyBorder="1"/>
    <xf numFmtId="0" fontId="2" fillId="2" borderId="1" xfId="2" applyFont="1" applyAlignment="1">
      <alignment horizontal="center"/>
    </xf>
    <xf numFmtId="165" fontId="0" fillId="0" borderId="0" xfId="1" applyNumberFormat="1" applyFont="1"/>
    <xf numFmtId="1" fontId="0" fillId="0" borderId="0" xfId="0" applyNumberFormat="1"/>
    <xf numFmtId="1" fontId="4" fillId="0" borderId="0" xfId="0" applyNumberFormat="1" applyFont="1"/>
    <xf numFmtId="9" fontId="5" fillId="0" borderId="0" xfId="3" applyNumberFormat="1" applyFont="1"/>
    <xf numFmtId="9" fontId="8" fillId="0" borderId="0" xfId="0" applyNumberFormat="1" applyFont="1"/>
    <xf numFmtId="9" fontId="8" fillId="0" borderId="0" xfId="1" applyFont="1"/>
    <xf numFmtId="9" fontId="11" fillId="0" borderId="0" xfId="1" applyFont="1"/>
    <xf numFmtId="9" fontId="11" fillId="0" borderId="0" xfId="0" applyNumberFormat="1" applyFont="1"/>
    <xf numFmtId="0" fontId="12" fillId="0" borderId="0" xfId="0" applyFont="1" applyFill="1" applyBorder="1"/>
    <xf numFmtId="0" fontId="11" fillId="0" borderId="0" xfId="0" applyFont="1"/>
    <xf numFmtId="9" fontId="6" fillId="0" borderId="0" xfId="1" applyFont="1"/>
    <xf numFmtId="9" fontId="9" fillId="0" borderId="0" xfId="0" applyNumberFormat="1" applyFont="1" applyBorder="1"/>
    <xf numFmtId="0" fontId="0" fillId="0" borderId="0" xfId="0" applyBorder="1"/>
    <xf numFmtId="9" fontId="8" fillId="0" borderId="0" xfId="1" applyFont="1" applyFill="1"/>
    <xf numFmtId="10" fontId="8" fillId="0" borderId="0" xfId="1" applyNumberFormat="1" applyFont="1"/>
    <xf numFmtId="9" fontId="8" fillId="0" borderId="0" xfId="1" applyFont="1" applyBorder="1"/>
    <xf numFmtId="9" fontId="6" fillId="0" borderId="0" xfId="0" applyNumberFormat="1" applyFont="1"/>
    <xf numFmtId="0" fontId="12" fillId="0" borderId="0" xfId="0" applyFont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 applyBorder="1"/>
    <xf numFmtId="0" fontId="13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Fill="1"/>
    <xf numFmtId="1" fontId="4" fillId="6" borderId="0" xfId="0" applyNumberFormat="1" applyFont="1" applyFill="1"/>
    <xf numFmtId="0" fontId="5" fillId="6" borderId="0" xfId="0" applyFont="1" applyFill="1"/>
    <xf numFmtId="9" fontId="5" fillId="6" borderId="0" xfId="0" applyNumberFormat="1" applyFont="1" applyFill="1"/>
    <xf numFmtId="164" fontId="4" fillId="6" borderId="0" xfId="0" applyNumberFormat="1" applyFont="1" applyFill="1"/>
    <xf numFmtId="0" fontId="14" fillId="0" borderId="0" xfId="0" applyFont="1"/>
    <xf numFmtId="0" fontId="4" fillId="3" borderId="0" xfId="5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9" fontId="0" fillId="0" borderId="0" xfId="0" applyNumberFormat="1"/>
    <xf numFmtId="9" fontId="13" fillId="0" borderId="0" xfId="0" applyNumberFormat="1" applyFont="1"/>
    <xf numFmtId="164" fontId="13" fillId="0" borderId="0" xfId="0" applyNumberFormat="1" applyFont="1"/>
    <xf numFmtId="0" fontId="0" fillId="0" borderId="0" xfId="0" applyFill="1"/>
    <xf numFmtId="10" fontId="6" fillId="0" borderId="0" xfId="7" applyNumberFormat="1" applyFont="1"/>
    <xf numFmtId="167" fontId="9" fillId="0" borderId="11" xfId="0" applyNumberFormat="1" applyFont="1" applyBorder="1"/>
    <xf numFmtId="167" fontId="9" fillId="0" borderId="12" xfId="0" applyNumberFormat="1" applyFont="1" applyBorder="1"/>
    <xf numFmtId="167" fontId="9" fillId="0" borderId="13" xfId="0" applyNumberFormat="1" applyFont="1" applyBorder="1"/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6" fontId="9" fillId="0" borderId="4" xfId="0" applyNumberFormat="1" applyFont="1" applyBorder="1"/>
    <xf numFmtId="166" fontId="9" fillId="0" borderId="5" xfId="0" applyNumberFormat="1" applyFont="1" applyBorder="1"/>
    <xf numFmtId="10" fontId="13" fillId="0" borderId="0" xfId="0" applyNumberFormat="1" applyFont="1" applyAlignment="1">
      <alignment horizontal="center"/>
    </xf>
    <xf numFmtId="10" fontId="5" fillId="6" borderId="0" xfId="0" applyNumberFormat="1" applyFont="1" applyFill="1"/>
    <xf numFmtId="10" fontId="5" fillId="0" borderId="0" xfId="0" applyNumberFormat="1" applyFont="1"/>
    <xf numFmtId="0" fontId="4" fillId="0" borderId="0" xfId="0" applyFont="1" applyFill="1" applyBorder="1" applyAlignment="1">
      <alignment horizontal="center"/>
    </xf>
    <xf numFmtId="10" fontId="9" fillId="0" borderId="0" xfId="0" applyNumberFormat="1" applyFont="1"/>
    <xf numFmtId="0" fontId="0" fillId="0" borderId="16" xfId="0" applyBorder="1" applyAlignment="1">
      <alignment horizontal="right"/>
    </xf>
    <xf numFmtId="0" fontId="9" fillId="0" borderId="17" xfId="0" applyFont="1" applyBorder="1"/>
    <xf numFmtId="9" fontId="9" fillId="0" borderId="17" xfId="0" applyNumberFormat="1" applyFont="1" applyBorder="1"/>
    <xf numFmtId="0" fontId="4" fillId="0" borderId="16" xfId="0" applyFont="1" applyBorder="1" applyAlignment="1">
      <alignment horizontal="right"/>
    </xf>
    <xf numFmtId="1" fontId="4" fillId="0" borderId="17" xfId="0" applyNumberFormat="1" applyFont="1" applyBorder="1"/>
    <xf numFmtId="0" fontId="0" fillId="0" borderId="16" xfId="0" applyFont="1" applyBorder="1" applyAlignment="1">
      <alignment horizontal="right"/>
    </xf>
    <xf numFmtId="0" fontId="0" fillId="0" borderId="17" xfId="0" applyBorder="1"/>
    <xf numFmtId="168" fontId="4" fillId="0" borderId="17" xfId="8" applyNumberFormat="1" applyFont="1" applyBorder="1"/>
    <xf numFmtId="0" fontId="0" fillId="0" borderId="18" xfId="0" applyBorder="1" applyAlignment="1">
      <alignment horizontal="right"/>
    </xf>
    <xf numFmtId="168" fontId="4" fillId="0" borderId="19" xfId="8" applyNumberFormat="1" applyFont="1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4" fillId="0" borderId="6" xfId="0" applyFont="1" applyBorder="1" applyAlignment="1">
      <alignment horizontal="right"/>
    </xf>
    <xf numFmtId="44" fontId="4" fillId="0" borderId="8" xfId="0" applyNumberFormat="1" applyFont="1" applyBorder="1"/>
    <xf numFmtId="44" fontId="0" fillId="0" borderId="17" xfId="0" applyNumberFormat="1" applyBorder="1"/>
    <xf numFmtId="8" fontId="4" fillId="0" borderId="0" xfId="0" applyNumberFormat="1" applyFont="1"/>
    <xf numFmtId="0" fontId="4" fillId="7" borderId="0" xfId="0" applyFont="1" applyFill="1" applyAlignment="1">
      <alignment horizontal="center"/>
    </xf>
    <xf numFmtId="0" fontId="4" fillId="7" borderId="20" xfId="0" applyFont="1" applyFill="1" applyBorder="1"/>
    <xf numFmtId="8" fontId="4" fillId="7" borderId="20" xfId="0" applyNumberFormat="1" applyFont="1" applyFill="1" applyBorder="1"/>
    <xf numFmtId="0" fontId="4" fillId="3" borderId="6" xfId="5" applyFont="1" applyBorder="1" applyAlignment="1">
      <alignment horizontal="center"/>
    </xf>
    <xf numFmtId="0" fontId="4" fillId="3" borderId="7" xfId="5" applyFont="1" applyBorder="1" applyAlignment="1">
      <alignment horizontal="center"/>
    </xf>
    <xf numFmtId="0" fontId="4" fillId="3" borderId="8" xfId="5" applyFont="1" applyBorder="1" applyAlignment="1">
      <alignment horizontal="center"/>
    </xf>
    <xf numFmtId="0" fontId="4" fillId="4" borderId="6" xfId="6" applyFont="1" applyBorder="1" applyAlignment="1">
      <alignment horizontal="center"/>
    </xf>
    <xf numFmtId="0" fontId="4" fillId="4" borderId="7" xfId="6" applyFont="1" applyBorder="1" applyAlignment="1">
      <alignment horizontal="center"/>
    </xf>
    <xf numFmtId="0" fontId="4" fillId="4" borderId="8" xfId="6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8" fontId="0" fillId="0" borderId="0" xfId="0" applyNumberFormat="1"/>
    <xf numFmtId="0" fontId="0" fillId="2" borderId="1" xfId="2" applyFont="1"/>
    <xf numFmtId="0" fontId="4" fillId="2" borderId="1" xfId="2" applyFont="1" applyAlignment="1">
      <alignment horizontal="center"/>
    </xf>
    <xf numFmtId="0" fontId="0" fillId="2" borderId="1" xfId="2" applyFont="1" applyAlignment="1">
      <alignment horizontal="center"/>
    </xf>
  </cellXfs>
  <cellStyles count="9">
    <cellStyle name="20% - Accent2" xfId="5" builtinId="34"/>
    <cellStyle name="40% - Accent2" xfId="6" builtinId="35"/>
    <cellStyle name="Comma" xfId="7" builtinId="3"/>
    <cellStyle name="Currency" xfId="8" builtinId="4"/>
    <cellStyle name="Explanatory Text" xfId="3" builtinId="53"/>
    <cellStyle name="Normal" xfId="0" builtinId="0"/>
    <cellStyle name="Note" xfId="2" builtinId="10"/>
    <cellStyle name="Percent" xfId="1" builtinId="5"/>
    <cellStyle name="Total" xfId="4" builtinId="25"/>
  </cellStyles>
  <dxfs count="0"/>
  <tableStyles count="0" defaultTableStyle="TableStyleMedium2" defaultPivotStyle="PivotStyleLight16"/>
  <colors>
    <mruColors>
      <color rgb="FF2A1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724-F895-3141-9A07-B65A90725095}">
  <dimension ref="A1:Z211"/>
  <sheetViews>
    <sheetView tabSelected="1" topLeftCell="A135" zoomScale="80" zoomScaleNormal="80" workbookViewId="0">
      <selection activeCell="C211" sqref="C211"/>
    </sheetView>
  </sheetViews>
  <sheetFormatPr baseColWidth="10" defaultColWidth="10.6640625" defaultRowHeight="16" x14ac:dyDescent="0.2"/>
  <cols>
    <col min="1" max="1" width="3.83203125" style="65" customWidth="1"/>
    <col min="2" max="2" width="61" customWidth="1"/>
    <col min="3" max="5" width="17.83203125" customWidth="1"/>
    <col min="6" max="9" width="17.83203125" hidden="1" customWidth="1"/>
    <col min="10" max="10" width="17" customWidth="1"/>
    <col min="11" max="11" width="16.83203125" customWidth="1"/>
    <col min="12" max="22" width="17.83203125" customWidth="1"/>
    <col min="25" max="25" width="31.83203125" customWidth="1"/>
    <col min="26" max="26" width="28.33203125" customWidth="1"/>
  </cols>
  <sheetData>
    <row r="1" spans="1:24" ht="21" x14ac:dyDescent="0.25">
      <c r="B1" s="50" t="s">
        <v>0</v>
      </c>
    </row>
    <row r="2" spans="1:24" x14ac:dyDescent="0.2">
      <c r="B2" s="3" t="s">
        <v>27</v>
      </c>
    </row>
    <row r="4" spans="1:24" x14ac:dyDescent="0.2">
      <c r="B4" s="1" t="s">
        <v>1</v>
      </c>
      <c r="C4" s="89">
        <f>486.64</f>
        <v>486.64</v>
      </c>
    </row>
    <row r="5" spans="1:24" x14ac:dyDescent="0.2">
      <c r="B5" s="1" t="s">
        <v>34</v>
      </c>
      <c r="C5" s="19" t="str">
        <f>C211</f>
        <v>A</v>
      </c>
    </row>
    <row r="7" spans="1:24" x14ac:dyDescent="0.2">
      <c r="C7" s="93" t="s">
        <v>56</v>
      </c>
      <c r="D7" s="94"/>
      <c r="E7" s="95"/>
      <c r="F7" s="51"/>
      <c r="G7" s="51"/>
      <c r="H7" s="51"/>
      <c r="I7" s="51"/>
      <c r="L7" s="96" t="s">
        <v>57</v>
      </c>
      <c r="M7" s="97"/>
      <c r="N7" s="97"/>
      <c r="O7" s="97"/>
      <c r="P7" s="97"/>
      <c r="Q7" s="97"/>
      <c r="R7" s="97"/>
      <c r="S7" s="97"/>
      <c r="T7" s="97"/>
      <c r="U7" s="97"/>
      <c r="V7" s="98"/>
    </row>
    <row r="8" spans="1:24" ht="17" thickBot="1" x14ac:dyDescent="0.25">
      <c r="B8" s="41"/>
      <c r="C8" s="43">
        <v>2017</v>
      </c>
      <c r="D8" s="11">
        <v>2018</v>
      </c>
      <c r="E8" s="44">
        <v>2019</v>
      </c>
      <c r="F8" s="52" t="s">
        <v>58</v>
      </c>
      <c r="G8" s="52" t="s">
        <v>59</v>
      </c>
      <c r="H8" s="52" t="s">
        <v>60</v>
      </c>
      <c r="I8" s="52" t="s">
        <v>61</v>
      </c>
      <c r="J8" s="12"/>
      <c r="K8" s="12"/>
      <c r="L8" s="43">
        <v>2020</v>
      </c>
      <c r="M8" s="11">
        <v>2021</v>
      </c>
      <c r="N8" s="11">
        <v>2022</v>
      </c>
      <c r="O8" s="11">
        <v>2023</v>
      </c>
      <c r="P8" s="11">
        <v>2024</v>
      </c>
      <c r="Q8" s="11">
        <v>2025</v>
      </c>
      <c r="R8" s="11">
        <v>2026</v>
      </c>
      <c r="S8" s="11">
        <v>2027</v>
      </c>
      <c r="T8" s="11">
        <v>2028</v>
      </c>
      <c r="U8" s="11">
        <v>2029</v>
      </c>
      <c r="V8" s="44">
        <v>2030</v>
      </c>
      <c r="X8" s="72">
        <v>2040</v>
      </c>
    </row>
    <row r="9" spans="1:24" s="45" customFormat="1" x14ac:dyDescent="0.2">
      <c r="A9" s="64" t="s">
        <v>10</v>
      </c>
      <c r="B9" s="39" t="s">
        <v>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4" x14ac:dyDescent="0.2">
      <c r="B10" s="41" t="s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4" x14ac:dyDescent="0.2">
      <c r="B11" s="41" t="s">
        <v>62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4" x14ac:dyDescent="0.2">
      <c r="B12" s="53" t="s">
        <v>63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4" x14ac:dyDescent="0.2">
      <c r="B13" s="53" t="s">
        <v>64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4" x14ac:dyDescent="0.2">
      <c r="B14" s="55" t="s">
        <v>67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4" x14ac:dyDescent="0.2">
      <c r="B15" s="53" t="s">
        <v>65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4" x14ac:dyDescent="0.2">
      <c r="B16" s="53" t="s">
        <v>66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x14ac:dyDescent="0.2">
      <c r="B17" s="54" t="s">
        <v>67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x14ac:dyDescent="0.2">
      <c r="B18" s="41"/>
      <c r="C18" s="32"/>
      <c r="D18" s="32" t="s">
        <v>68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x14ac:dyDescent="0.2">
      <c r="B19" t="s">
        <v>4</v>
      </c>
      <c r="C19" s="13">
        <v>8535</v>
      </c>
      <c r="D19" s="13">
        <v>17632</v>
      </c>
      <c r="E19" s="13">
        <v>19952</v>
      </c>
      <c r="F19" s="13"/>
      <c r="G19" s="13"/>
      <c r="H19" s="13"/>
      <c r="I19" s="13"/>
      <c r="J19" s="23"/>
      <c r="L19" s="21">
        <f>E19*(1+L20)</f>
        <v>21199</v>
      </c>
      <c r="M19" s="21">
        <f>L19*(1+M20)</f>
        <v>31798.5</v>
      </c>
      <c r="N19" s="21">
        <f t="shared" ref="N19:V19" si="0">M19*(1+N20)</f>
        <v>47697.75</v>
      </c>
      <c r="O19" s="21">
        <f t="shared" si="0"/>
        <v>71546.625</v>
      </c>
      <c r="P19" s="21">
        <f t="shared" si="0"/>
        <v>107319.9375</v>
      </c>
      <c r="Q19" s="21">
        <f t="shared" si="0"/>
        <v>134149.921875</v>
      </c>
      <c r="R19" s="21">
        <f t="shared" si="0"/>
        <v>167687.40234375</v>
      </c>
      <c r="S19" s="21">
        <f t="shared" si="0"/>
        <v>209609.2529296875</v>
      </c>
      <c r="T19" s="21">
        <f t="shared" si="0"/>
        <v>230570.17822265628</v>
      </c>
      <c r="U19" s="21">
        <f t="shared" si="0"/>
        <v>253627.19604492193</v>
      </c>
      <c r="V19" s="21">
        <f t="shared" si="0"/>
        <v>278989.91564941412</v>
      </c>
    </row>
    <row r="20" spans="1:22" x14ac:dyDescent="0.2">
      <c r="B20" s="3" t="s">
        <v>35</v>
      </c>
      <c r="C20" s="13"/>
      <c r="D20" s="26">
        <f>D19/C19-1</f>
        <v>1.0658465143526654</v>
      </c>
      <c r="E20" s="27">
        <f>E19/D19-1</f>
        <v>0.13157894736842102</v>
      </c>
      <c r="F20" s="27"/>
      <c r="G20" s="27"/>
      <c r="H20" s="27"/>
      <c r="I20" s="27"/>
      <c r="J20" s="23"/>
      <c r="K20" s="28"/>
      <c r="L20" s="35">
        <f>IF($C$5 = "A", L22, IF($C$5 = "B", L23, L24))</f>
        <v>6.25E-2</v>
      </c>
      <c r="M20" s="35">
        <f t="shared" ref="M20:V20" si="1">IF($C$5 = "A", M22, IF($C$5 = "B", M23, M24))</f>
        <v>0.5</v>
      </c>
      <c r="N20" s="35">
        <f t="shared" si="1"/>
        <v>0.5</v>
      </c>
      <c r="O20" s="35">
        <f t="shared" si="1"/>
        <v>0.5</v>
      </c>
      <c r="P20" s="35">
        <f t="shared" si="1"/>
        <v>0.5</v>
      </c>
      <c r="Q20" s="35">
        <f t="shared" si="1"/>
        <v>0.25</v>
      </c>
      <c r="R20" s="35">
        <f t="shared" si="1"/>
        <v>0.25</v>
      </c>
      <c r="S20" s="35">
        <f t="shared" si="1"/>
        <v>0.25</v>
      </c>
      <c r="T20" s="35">
        <f t="shared" si="1"/>
        <v>0.1</v>
      </c>
      <c r="U20" s="35">
        <f t="shared" si="1"/>
        <v>0.1</v>
      </c>
      <c r="V20" s="35">
        <f t="shared" si="1"/>
        <v>0.1</v>
      </c>
    </row>
    <row r="21" spans="1:22" x14ac:dyDescent="0.2">
      <c r="C21" s="13"/>
      <c r="D21" s="13"/>
      <c r="E21" s="13"/>
      <c r="F21" s="13"/>
      <c r="G21" s="13"/>
      <c r="H21" s="13"/>
      <c r="I21" s="13"/>
      <c r="J21" s="2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x14ac:dyDescent="0.2">
      <c r="C22" s="13"/>
      <c r="D22" s="13"/>
      <c r="E22" s="13"/>
      <c r="F22" s="13"/>
      <c r="G22" s="13"/>
      <c r="H22" s="13"/>
      <c r="I22" s="13"/>
      <c r="J22" s="23"/>
      <c r="K22" s="2" t="s">
        <v>31</v>
      </c>
      <c r="L22" s="67">
        <f>L23*1.25</f>
        <v>6.25E-2</v>
      </c>
      <c r="M22" s="67">
        <v>0.5</v>
      </c>
      <c r="N22" s="67">
        <v>0.5</v>
      </c>
      <c r="O22" s="67">
        <v>0.5</v>
      </c>
      <c r="P22" s="67">
        <v>0.5</v>
      </c>
      <c r="Q22" s="67">
        <v>0.25</v>
      </c>
      <c r="R22" s="67">
        <v>0.25</v>
      </c>
      <c r="S22" s="67">
        <v>0.25</v>
      </c>
      <c r="T22" s="67">
        <v>0.1</v>
      </c>
      <c r="U22" s="67">
        <v>0.1</v>
      </c>
      <c r="V22" s="67">
        <v>0.1</v>
      </c>
    </row>
    <row r="23" spans="1:22" x14ac:dyDescent="0.2">
      <c r="C23" s="13"/>
      <c r="D23" s="13"/>
      <c r="E23" s="13"/>
      <c r="F23" s="13"/>
      <c r="G23" s="13"/>
      <c r="H23" s="13"/>
      <c r="I23" s="13"/>
      <c r="J23" s="23"/>
      <c r="K23" s="2" t="s">
        <v>33</v>
      </c>
      <c r="L23" s="67">
        <v>0.05</v>
      </c>
      <c r="M23" s="67">
        <v>0.3</v>
      </c>
      <c r="N23" s="67">
        <v>0.3</v>
      </c>
      <c r="O23" s="67">
        <v>0.3</v>
      </c>
      <c r="P23" s="67">
        <v>0.3</v>
      </c>
      <c r="Q23" s="67">
        <v>0.3</v>
      </c>
      <c r="R23" s="67">
        <v>0.2</v>
      </c>
      <c r="S23" s="67">
        <v>0.1</v>
      </c>
      <c r="T23" s="67">
        <v>7.0000000000000007E-2</v>
      </c>
      <c r="U23" s="67">
        <v>7.0000000000000007E-2</v>
      </c>
      <c r="V23" s="67">
        <v>7.0000000000000007E-2</v>
      </c>
    </row>
    <row r="24" spans="1:22" x14ac:dyDescent="0.2">
      <c r="C24" s="13"/>
      <c r="D24" s="13"/>
      <c r="E24" s="13"/>
      <c r="F24" s="13"/>
      <c r="G24" s="13"/>
      <c r="H24" s="13"/>
      <c r="I24" s="13"/>
      <c r="J24" s="23"/>
      <c r="K24" s="2" t="s">
        <v>32</v>
      </c>
      <c r="L24" s="67">
        <f>L23*0.75</f>
        <v>3.7500000000000006E-2</v>
      </c>
      <c r="M24" s="67">
        <v>0.15</v>
      </c>
      <c r="N24" s="67">
        <v>0.15</v>
      </c>
      <c r="O24" s="67">
        <v>0.15</v>
      </c>
      <c r="P24" s="67">
        <v>0.15</v>
      </c>
      <c r="Q24" s="67">
        <v>0.15</v>
      </c>
      <c r="R24" s="67">
        <v>0.1</v>
      </c>
      <c r="S24" s="67">
        <v>0.1</v>
      </c>
      <c r="T24" s="67">
        <v>0.05</v>
      </c>
      <c r="U24" s="67">
        <v>0.05</v>
      </c>
      <c r="V24" s="67">
        <v>0.05</v>
      </c>
    </row>
    <row r="25" spans="1:22" x14ac:dyDescent="0.2">
      <c r="C25" s="13"/>
      <c r="D25" s="13"/>
      <c r="E25" s="13"/>
      <c r="F25" s="13"/>
      <c r="G25" s="13"/>
      <c r="H25" s="13"/>
      <c r="I25" s="13"/>
      <c r="J25" s="23"/>
      <c r="K25" s="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x14ac:dyDescent="0.2">
      <c r="B26" t="s">
        <v>5</v>
      </c>
      <c r="C26" s="13">
        <v>1107</v>
      </c>
      <c r="D26" s="13">
        <v>883</v>
      </c>
      <c r="E26" s="13">
        <v>869</v>
      </c>
      <c r="F26" s="13"/>
      <c r="G26" s="13"/>
      <c r="H26" s="13"/>
      <c r="I26" s="13"/>
      <c r="J26" s="23"/>
      <c r="K26" s="2"/>
      <c r="L26" s="21">
        <f>L27*L19</f>
        <v>1059.95</v>
      </c>
      <c r="M26" s="21">
        <f t="shared" ref="M26:V26" si="2">M27*M19</f>
        <v>2384.8874999999998</v>
      </c>
      <c r="N26" s="21">
        <f t="shared" si="2"/>
        <v>4769.7750000000005</v>
      </c>
      <c r="O26" s="21">
        <f t="shared" si="2"/>
        <v>7154.6625000000004</v>
      </c>
      <c r="P26" s="21">
        <f t="shared" si="2"/>
        <v>10731.993750000001</v>
      </c>
      <c r="Q26" s="21">
        <f t="shared" si="2"/>
        <v>13414.9921875</v>
      </c>
      <c r="R26" s="21">
        <f t="shared" si="2"/>
        <v>16768.740234375</v>
      </c>
      <c r="S26" s="21">
        <f t="shared" si="2"/>
        <v>20960.92529296875</v>
      </c>
      <c r="T26" s="21">
        <f t="shared" si="2"/>
        <v>23057.017822265629</v>
      </c>
      <c r="U26" s="21">
        <f t="shared" si="2"/>
        <v>25362.719604492195</v>
      </c>
      <c r="V26" s="21">
        <f t="shared" si="2"/>
        <v>27898.991564941414</v>
      </c>
    </row>
    <row r="27" spans="1:22" s="3" customFormat="1" x14ac:dyDescent="0.2">
      <c r="A27" s="66"/>
      <c r="B27" s="3" t="s">
        <v>36</v>
      </c>
      <c r="C27" s="27">
        <f>C26/C19</f>
        <v>0.12970123022847099</v>
      </c>
      <c r="D27" s="27">
        <f t="shared" ref="D27:E27" si="3">D26/D19</f>
        <v>5.0079401088929221E-2</v>
      </c>
      <c r="E27" s="27">
        <f t="shared" si="3"/>
        <v>4.3554530874097837E-2</v>
      </c>
      <c r="F27" s="27"/>
      <c r="G27" s="27"/>
      <c r="H27" s="27"/>
      <c r="I27" s="27"/>
      <c r="J27" s="23"/>
      <c r="K27" s="28"/>
      <c r="L27" s="27">
        <f>IF($C$5="A",L29,IF($C$5="B",L30,L31))</f>
        <v>0.05</v>
      </c>
      <c r="M27" s="27">
        <f t="shared" ref="M27:V27" si="4">IF($C$5="A",M29,IF($C$5="B",M30,M31))</f>
        <v>7.4999999999999997E-2</v>
      </c>
      <c r="N27" s="27">
        <f t="shared" si="4"/>
        <v>0.1</v>
      </c>
      <c r="O27" s="27">
        <f t="shared" si="4"/>
        <v>0.1</v>
      </c>
      <c r="P27" s="27">
        <f t="shared" si="4"/>
        <v>0.1</v>
      </c>
      <c r="Q27" s="27">
        <f t="shared" si="4"/>
        <v>0.1</v>
      </c>
      <c r="R27" s="27">
        <f t="shared" si="4"/>
        <v>0.1</v>
      </c>
      <c r="S27" s="27">
        <f t="shared" si="4"/>
        <v>0.1</v>
      </c>
      <c r="T27" s="27">
        <f t="shared" si="4"/>
        <v>0.1</v>
      </c>
      <c r="U27" s="27">
        <f t="shared" si="4"/>
        <v>0.1</v>
      </c>
      <c r="V27" s="27">
        <f t="shared" si="4"/>
        <v>0.1</v>
      </c>
    </row>
    <row r="28" spans="1:22" x14ac:dyDescent="0.2">
      <c r="C28" s="13"/>
      <c r="D28" s="13"/>
      <c r="E28" s="13"/>
      <c r="F28" s="13"/>
      <c r="G28" s="13"/>
      <c r="H28" s="13"/>
      <c r="I28" s="13"/>
      <c r="J28" s="23"/>
      <c r="K28" s="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x14ac:dyDescent="0.2">
      <c r="C29" s="13"/>
      <c r="D29" s="13"/>
      <c r="E29" s="13"/>
      <c r="F29" s="13"/>
      <c r="G29" s="13"/>
      <c r="H29" s="13"/>
      <c r="I29" s="13"/>
      <c r="J29" s="23"/>
      <c r="K29" s="2" t="s">
        <v>31</v>
      </c>
      <c r="L29" s="67">
        <f>L30</f>
        <v>0.05</v>
      </c>
      <c r="M29" s="67">
        <f t="shared" ref="M29:V29" si="5">M30</f>
        <v>7.4999999999999997E-2</v>
      </c>
      <c r="N29" s="67">
        <f t="shared" si="5"/>
        <v>0.1</v>
      </c>
      <c r="O29" s="67">
        <f t="shared" si="5"/>
        <v>0.1</v>
      </c>
      <c r="P29" s="67">
        <f t="shared" si="5"/>
        <v>0.1</v>
      </c>
      <c r="Q29" s="67">
        <f t="shared" si="5"/>
        <v>0.1</v>
      </c>
      <c r="R29" s="67">
        <f t="shared" si="5"/>
        <v>0.1</v>
      </c>
      <c r="S29" s="67">
        <f t="shared" si="5"/>
        <v>0.1</v>
      </c>
      <c r="T29" s="67">
        <f t="shared" si="5"/>
        <v>0.1</v>
      </c>
      <c r="U29" s="67">
        <f t="shared" si="5"/>
        <v>0.1</v>
      </c>
      <c r="V29" s="67">
        <f t="shared" si="5"/>
        <v>0.1</v>
      </c>
    </row>
    <row r="30" spans="1:22" x14ac:dyDescent="0.2">
      <c r="C30" s="13"/>
      <c r="D30" s="13"/>
      <c r="E30" s="13"/>
      <c r="F30" s="13"/>
      <c r="G30" s="13"/>
      <c r="H30" s="13"/>
      <c r="I30" s="13"/>
      <c r="J30" s="23"/>
      <c r="K30" s="2" t="s">
        <v>33</v>
      </c>
      <c r="L30" s="67">
        <v>0.05</v>
      </c>
      <c r="M30" s="67">
        <v>7.4999999999999997E-2</v>
      </c>
      <c r="N30" s="67">
        <v>0.1</v>
      </c>
      <c r="O30" s="67">
        <v>0.1</v>
      </c>
      <c r="P30" s="67">
        <v>0.1</v>
      </c>
      <c r="Q30" s="67">
        <v>0.1</v>
      </c>
      <c r="R30" s="67">
        <v>0.1</v>
      </c>
      <c r="S30" s="67">
        <v>0.1</v>
      </c>
      <c r="T30" s="67">
        <v>0.1</v>
      </c>
      <c r="U30" s="67">
        <v>0.1</v>
      </c>
      <c r="V30" s="67">
        <v>0.1</v>
      </c>
    </row>
    <row r="31" spans="1:22" x14ac:dyDescent="0.2">
      <c r="C31" s="13"/>
      <c r="D31" s="13"/>
      <c r="E31" s="13"/>
      <c r="F31" s="13"/>
      <c r="G31" s="13"/>
      <c r="H31" s="13"/>
      <c r="I31" s="13"/>
      <c r="J31" s="23"/>
      <c r="K31" s="2" t="s">
        <v>32</v>
      </c>
      <c r="L31" s="67">
        <f>L30</f>
        <v>0.05</v>
      </c>
      <c r="M31" s="67">
        <f t="shared" ref="M31:V31" si="6">M30</f>
        <v>7.4999999999999997E-2</v>
      </c>
      <c r="N31" s="67">
        <f t="shared" si="6"/>
        <v>0.1</v>
      </c>
      <c r="O31" s="67">
        <f t="shared" si="6"/>
        <v>0.1</v>
      </c>
      <c r="P31" s="67">
        <f t="shared" si="6"/>
        <v>0.1</v>
      </c>
      <c r="Q31" s="67">
        <f t="shared" si="6"/>
        <v>0.1</v>
      </c>
      <c r="R31" s="67">
        <f t="shared" si="6"/>
        <v>0.1</v>
      </c>
      <c r="S31" s="67">
        <f t="shared" si="6"/>
        <v>0.1</v>
      </c>
      <c r="T31" s="67">
        <f t="shared" si="6"/>
        <v>0.1</v>
      </c>
      <c r="U31" s="67">
        <f t="shared" si="6"/>
        <v>0.1</v>
      </c>
      <c r="V31" s="67">
        <f t="shared" si="6"/>
        <v>0.1</v>
      </c>
    </row>
    <row r="32" spans="1:22" x14ac:dyDescent="0.2">
      <c r="C32" s="13"/>
      <c r="D32" s="13"/>
      <c r="E32" s="13"/>
      <c r="F32" s="13"/>
      <c r="G32" s="13"/>
      <c r="H32" s="13"/>
      <c r="I32" s="13"/>
      <c r="K32" s="2"/>
    </row>
    <row r="33" spans="1:22" s="1" customFormat="1" x14ac:dyDescent="0.2">
      <c r="A33" s="65"/>
      <c r="B33" s="1" t="s">
        <v>6</v>
      </c>
      <c r="C33" s="1">
        <f>C19+C26</f>
        <v>9642</v>
      </c>
      <c r="D33" s="1">
        <f t="shared" ref="D33:E33" si="7">D19+D26</f>
        <v>18515</v>
      </c>
      <c r="E33" s="1">
        <f t="shared" si="7"/>
        <v>20821</v>
      </c>
      <c r="K33" s="2"/>
      <c r="L33" s="22">
        <f>L19+L26</f>
        <v>22258.95</v>
      </c>
      <c r="M33" s="22">
        <f t="shared" ref="M33:V33" si="8">M19+M26</f>
        <v>34183.387499999997</v>
      </c>
      <c r="N33" s="22">
        <f t="shared" si="8"/>
        <v>52467.525000000001</v>
      </c>
      <c r="O33" s="22">
        <f t="shared" si="8"/>
        <v>78701.287500000006</v>
      </c>
      <c r="P33" s="22">
        <f t="shared" si="8"/>
        <v>118051.93124999999</v>
      </c>
      <c r="Q33" s="22">
        <f t="shared" si="8"/>
        <v>147564.9140625</v>
      </c>
      <c r="R33" s="22">
        <f t="shared" si="8"/>
        <v>184456.142578125</v>
      </c>
      <c r="S33" s="22">
        <f t="shared" si="8"/>
        <v>230570.17822265625</v>
      </c>
      <c r="T33" s="22">
        <f t="shared" si="8"/>
        <v>253627.1960449219</v>
      </c>
      <c r="U33" s="22">
        <f t="shared" si="8"/>
        <v>278989.91564941412</v>
      </c>
      <c r="V33" s="22">
        <f t="shared" si="8"/>
        <v>306888.90721435554</v>
      </c>
    </row>
    <row r="34" spans="1:22" s="2" customFormat="1" x14ac:dyDescent="0.2">
      <c r="A34" s="65"/>
      <c r="B34" s="3" t="s">
        <v>28</v>
      </c>
      <c r="C34" s="20"/>
      <c r="D34" s="10">
        <f>D33/C33-1</f>
        <v>0.92024476249740728</v>
      </c>
      <c r="E34" s="10">
        <f>E33/D33-1</f>
        <v>0.12454766405617068</v>
      </c>
      <c r="F34" s="10"/>
      <c r="G34" s="10"/>
      <c r="H34" s="10"/>
      <c r="I34" s="10"/>
      <c r="L34" s="10">
        <f>L33/E33-1</f>
        <v>6.9062484991114781E-2</v>
      </c>
      <c r="M34" s="10">
        <f>M33/L33-1</f>
        <v>0.53571428571428559</v>
      </c>
      <c r="N34" s="10">
        <f t="shared" ref="N34:V34" si="9">N33/M33-1</f>
        <v>0.53488372093023284</v>
      </c>
      <c r="O34" s="10">
        <f t="shared" si="9"/>
        <v>0.5</v>
      </c>
      <c r="P34" s="10">
        <f t="shared" si="9"/>
        <v>0.49999999999999978</v>
      </c>
      <c r="Q34" s="10">
        <f t="shared" si="9"/>
        <v>0.25</v>
      </c>
      <c r="R34" s="10">
        <f t="shared" si="9"/>
        <v>0.25</v>
      </c>
      <c r="S34" s="10">
        <f t="shared" si="9"/>
        <v>0.25</v>
      </c>
      <c r="T34" s="10">
        <f t="shared" si="9"/>
        <v>0.10000000000000009</v>
      </c>
      <c r="U34" s="10">
        <f t="shared" si="9"/>
        <v>0.10000000000000009</v>
      </c>
      <c r="V34" s="10">
        <f t="shared" si="9"/>
        <v>0.10000000000000009</v>
      </c>
    </row>
    <row r="35" spans="1:22" s="2" customFormat="1" x14ac:dyDescent="0.2">
      <c r="A35" s="65"/>
      <c r="B35" s="3"/>
      <c r="D35" s="9"/>
      <c r="E35" s="9"/>
      <c r="F35" s="9"/>
      <c r="G35" s="9"/>
      <c r="H35" s="9"/>
      <c r="I35" s="9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">
      <c r="B36" t="s">
        <v>7</v>
      </c>
      <c r="C36" s="13">
        <v>1116</v>
      </c>
      <c r="D36" s="13">
        <v>1555</v>
      </c>
      <c r="E36" s="13">
        <v>1531</v>
      </c>
      <c r="F36" s="13"/>
      <c r="G36" s="13"/>
      <c r="H36" s="13"/>
      <c r="I36" s="13"/>
      <c r="K36" s="2"/>
      <c r="L36" s="21">
        <f>E36*(1+L37)</f>
        <v>1638.17</v>
      </c>
      <c r="M36" s="21">
        <f>L36*(1+M37)</f>
        <v>1752.8419000000001</v>
      </c>
      <c r="N36" s="21">
        <f t="shared" ref="N36:V36" si="10">M36*(1+N37)</f>
        <v>1875.5408330000002</v>
      </c>
      <c r="O36" s="21">
        <f t="shared" si="10"/>
        <v>2006.8286913100003</v>
      </c>
      <c r="P36" s="21">
        <f t="shared" si="10"/>
        <v>2147.3066997017004</v>
      </c>
      <c r="Q36" s="21">
        <f t="shared" si="10"/>
        <v>5368.2667492542514</v>
      </c>
      <c r="R36" s="21">
        <f t="shared" si="10"/>
        <v>13420.666873135629</v>
      </c>
      <c r="S36" s="21">
        <f t="shared" si="10"/>
        <v>33551.667182839075</v>
      </c>
      <c r="T36" s="21">
        <f t="shared" si="10"/>
        <v>83879.167957097685</v>
      </c>
      <c r="U36" s="21">
        <f t="shared" si="10"/>
        <v>209697.91989274422</v>
      </c>
      <c r="V36" s="21">
        <f t="shared" si="10"/>
        <v>524244.79973186052</v>
      </c>
    </row>
    <row r="37" spans="1:22" x14ac:dyDescent="0.2">
      <c r="B37" s="3" t="s">
        <v>29</v>
      </c>
      <c r="C37" s="13"/>
      <c r="D37" s="27">
        <f>D36/C36-1</f>
        <v>0.39336917562724016</v>
      </c>
      <c r="E37" s="27">
        <f>E36/D36-1</f>
        <v>-1.5434083601286175E-2</v>
      </c>
      <c r="F37" s="27"/>
      <c r="G37" s="27"/>
      <c r="H37" s="27"/>
      <c r="I37" s="27"/>
      <c r="K37" s="28"/>
      <c r="L37" s="24">
        <f>IF($C$5 = "A", L39, IF($C$5 = "B", L40, L41))</f>
        <v>7.0000000000000007E-2</v>
      </c>
      <c r="M37" s="24">
        <f t="shared" ref="M37:V37" si="11">IF($C$5 = "A", M39, IF($C$5 = "B", M40, M41))</f>
        <v>7.0000000000000007E-2</v>
      </c>
      <c r="N37" s="24">
        <f t="shared" si="11"/>
        <v>7.0000000000000007E-2</v>
      </c>
      <c r="O37" s="24">
        <f t="shared" si="11"/>
        <v>7.0000000000000007E-2</v>
      </c>
      <c r="P37" s="24">
        <f t="shared" si="11"/>
        <v>7.0000000000000007E-2</v>
      </c>
      <c r="Q37" s="24">
        <f t="shared" si="11"/>
        <v>1.5</v>
      </c>
      <c r="R37" s="24">
        <f t="shared" si="11"/>
        <v>1.5</v>
      </c>
      <c r="S37" s="24">
        <f t="shared" si="11"/>
        <v>1.5</v>
      </c>
      <c r="T37" s="24">
        <f t="shared" si="11"/>
        <v>1.5</v>
      </c>
      <c r="U37" s="24">
        <f t="shared" si="11"/>
        <v>1.5</v>
      </c>
      <c r="V37" s="24">
        <f t="shared" si="11"/>
        <v>1.5</v>
      </c>
    </row>
    <row r="38" spans="1:22" x14ac:dyDescent="0.2">
      <c r="C38" s="13"/>
      <c r="D38" s="13"/>
      <c r="E38" s="13"/>
      <c r="F38" s="13"/>
      <c r="G38" s="13"/>
      <c r="H38" s="13"/>
      <c r="I38" s="13"/>
      <c r="K38" s="17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">
      <c r="C39" s="13"/>
      <c r="D39" s="13"/>
      <c r="E39" s="13"/>
      <c r="F39" s="13"/>
      <c r="G39" s="13"/>
      <c r="H39" s="13"/>
      <c r="I39" s="13"/>
      <c r="K39" s="17" t="s">
        <v>31</v>
      </c>
      <c r="L39" s="15">
        <v>7.0000000000000007E-2</v>
      </c>
      <c r="M39" s="15">
        <v>7.0000000000000007E-2</v>
      </c>
      <c r="N39" s="15">
        <v>7.0000000000000007E-2</v>
      </c>
      <c r="O39" s="15">
        <v>7.0000000000000007E-2</v>
      </c>
      <c r="P39" s="15">
        <v>7.0000000000000007E-2</v>
      </c>
      <c r="Q39" s="15">
        <v>1.5</v>
      </c>
      <c r="R39" s="15">
        <v>1.5</v>
      </c>
      <c r="S39" s="15">
        <v>1.5</v>
      </c>
      <c r="T39" s="15">
        <v>1.5</v>
      </c>
      <c r="U39" s="15">
        <v>1.5</v>
      </c>
      <c r="V39" s="15">
        <v>1.5</v>
      </c>
    </row>
    <row r="40" spans="1:22" x14ac:dyDescent="0.2">
      <c r="C40" s="13"/>
      <c r="D40" s="13"/>
      <c r="E40" s="13"/>
      <c r="F40" s="13"/>
      <c r="G40" s="13"/>
      <c r="H40" s="13"/>
      <c r="I40" s="13"/>
      <c r="K40" s="17" t="s">
        <v>33</v>
      </c>
      <c r="L40" s="18">
        <v>0.05</v>
      </c>
      <c r="M40" s="18">
        <v>0.05</v>
      </c>
      <c r="N40" s="18">
        <v>0.05</v>
      </c>
      <c r="O40" s="18">
        <v>0.05</v>
      </c>
      <c r="P40" s="18">
        <v>0.05</v>
      </c>
      <c r="Q40" s="18">
        <v>1</v>
      </c>
      <c r="R40" s="18">
        <v>1</v>
      </c>
      <c r="S40" s="18">
        <v>1</v>
      </c>
      <c r="T40" s="18">
        <v>1</v>
      </c>
      <c r="U40" s="18">
        <v>1</v>
      </c>
      <c r="V40" s="18">
        <v>1</v>
      </c>
    </row>
    <row r="41" spans="1:22" x14ac:dyDescent="0.2">
      <c r="C41" s="13"/>
      <c r="D41" s="13"/>
      <c r="E41" s="13"/>
      <c r="F41" s="13"/>
      <c r="G41" s="13"/>
      <c r="H41" s="13"/>
      <c r="I41" s="13"/>
      <c r="K41" s="17" t="s">
        <v>32</v>
      </c>
      <c r="L41" s="18">
        <v>0.05</v>
      </c>
      <c r="M41" s="18">
        <v>0.05</v>
      </c>
      <c r="N41" s="18">
        <v>0.05</v>
      </c>
      <c r="O41" s="18">
        <v>0.05</v>
      </c>
      <c r="P41" s="18">
        <v>0.05</v>
      </c>
      <c r="Q41" s="18">
        <v>0.5</v>
      </c>
      <c r="R41" s="18">
        <v>0.5</v>
      </c>
      <c r="S41" s="18">
        <v>0.5</v>
      </c>
      <c r="T41" s="18">
        <v>0.5</v>
      </c>
      <c r="U41" s="18">
        <v>0.5</v>
      </c>
      <c r="V41" s="18">
        <v>0.5</v>
      </c>
    </row>
    <row r="42" spans="1:22" x14ac:dyDescent="0.2">
      <c r="C42" s="13"/>
      <c r="D42" s="13"/>
      <c r="E42" s="13"/>
      <c r="F42" s="13"/>
      <c r="G42" s="13"/>
      <c r="H42" s="13"/>
      <c r="I42" s="13"/>
      <c r="K42" s="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x14ac:dyDescent="0.2">
      <c r="C43" s="13"/>
      <c r="D43" s="13"/>
      <c r="E43" s="13"/>
      <c r="F43" s="13"/>
      <c r="G43" s="13"/>
      <c r="H43" s="13"/>
      <c r="I43" s="13"/>
      <c r="K43" s="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x14ac:dyDescent="0.2">
      <c r="B44" t="s">
        <v>8</v>
      </c>
      <c r="C44" s="13">
        <v>1001</v>
      </c>
      <c r="D44" s="13">
        <v>1391</v>
      </c>
      <c r="E44" s="13">
        <v>2226</v>
      </c>
      <c r="F44" s="13"/>
      <c r="G44" s="13"/>
      <c r="H44" s="13"/>
      <c r="I44" s="13"/>
      <c r="K44" s="2"/>
      <c r="L44" s="21">
        <f>E44*(1+L45)</f>
        <v>2464.1819999999998</v>
      </c>
      <c r="M44" s="21">
        <f>L44*(1+M45)</f>
        <v>2727.8494739999996</v>
      </c>
      <c r="N44" s="21">
        <f t="shared" ref="N44:V44" si="12">M44*(1+N45)</f>
        <v>3019.7293677179996</v>
      </c>
      <c r="O44" s="21">
        <f t="shared" si="12"/>
        <v>3342.8404100638254</v>
      </c>
      <c r="P44" s="21">
        <f t="shared" si="12"/>
        <v>3700.5243339406547</v>
      </c>
      <c r="Q44" s="21">
        <f t="shared" si="12"/>
        <v>4096.480437672305</v>
      </c>
      <c r="R44" s="21">
        <f t="shared" si="12"/>
        <v>4534.8038445032416</v>
      </c>
      <c r="S44" s="21">
        <f t="shared" si="12"/>
        <v>5020.027855865088</v>
      </c>
      <c r="T44" s="21">
        <f t="shared" si="12"/>
        <v>5557.1708364426522</v>
      </c>
      <c r="U44" s="21">
        <f t="shared" si="12"/>
        <v>6151.7881159420158</v>
      </c>
      <c r="V44" s="21">
        <f t="shared" si="12"/>
        <v>6810.0294443478115</v>
      </c>
    </row>
    <row r="45" spans="1:22" x14ac:dyDescent="0.2">
      <c r="B45" s="29" t="s">
        <v>36</v>
      </c>
      <c r="C45" s="27">
        <f>C44/C33</f>
        <v>0.10381663555278987</v>
      </c>
      <c r="D45" s="27">
        <f t="shared" ref="D45:E45" si="13">D44/D33</f>
        <v>7.512827437213071E-2</v>
      </c>
      <c r="E45" s="27">
        <f t="shared" si="13"/>
        <v>0.10691129148455886</v>
      </c>
      <c r="F45" s="27"/>
      <c r="G45" s="27"/>
      <c r="H45" s="27"/>
      <c r="I45" s="27"/>
      <c r="K45" s="28"/>
      <c r="L45" s="24">
        <f>IF($C$5 = "A", L47, IF($C$5 = "B", L48, L49))</f>
        <v>0.107</v>
      </c>
      <c r="M45" s="24">
        <f t="shared" ref="M45:V45" si="14">IF($C$5 = "A", M47, IF($C$5 = "B", M48, M49))</f>
        <v>0.107</v>
      </c>
      <c r="N45" s="24">
        <f t="shared" si="14"/>
        <v>0.107</v>
      </c>
      <c r="O45" s="24">
        <f t="shared" si="14"/>
        <v>0.107</v>
      </c>
      <c r="P45" s="24">
        <f t="shared" si="14"/>
        <v>0.107</v>
      </c>
      <c r="Q45" s="24">
        <f t="shared" si="14"/>
        <v>0.107</v>
      </c>
      <c r="R45" s="24">
        <f t="shared" si="14"/>
        <v>0.107</v>
      </c>
      <c r="S45" s="24">
        <f t="shared" si="14"/>
        <v>0.107</v>
      </c>
      <c r="T45" s="24">
        <f t="shared" si="14"/>
        <v>0.107</v>
      </c>
      <c r="U45" s="24">
        <f t="shared" si="14"/>
        <v>0.107</v>
      </c>
      <c r="V45" s="24">
        <f t="shared" si="14"/>
        <v>0.107</v>
      </c>
    </row>
    <row r="46" spans="1:22" x14ac:dyDescent="0.2">
      <c r="C46" s="13"/>
      <c r="D46" s="13"/>
      <c r="E46" s="13"/>
      <c r="F46" s="13"/>
      <c r="G46" s="13"/>
      <c r="H46" s="13"/>
      <c r="I46" s="13"/>
      <c r="K46" s="17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">
      <c r="C47" s="13"/>
      <c r="D47" s="13"/>
      <c r="E47" s="13"/>
      <c r="F47" s="13"/>
      <c r="G47" s="13"/>
      <c r="H47" s="13"/>
      <c r="I47" s="13"/>
      <c r="K47" s="17" t="s">
        <v>31</v>
      </c>
      <c r="L47" s="67">
        <v>0.107</v>
      </c>
      <c r="M47" s="67">
        <v>0.107</v>
      </c>
      <c r="N47" s="67">
        <v>0.107</v>
      </c>
      <c r="O47" s="67">
        <v>0.107</v>
      </c>
      <c r="P47" s="67">
        <v>0.107</v>
      </c>
      <c r="Q47" s="67">
        <v>0.107</v>
      </c>
      <c r="R47" s="67">
        <v>0.107</v>
      </c>
      <c r="S47" s="67">
        <v>0.107</v>
      </c>
      <c r="T47" s="67">
        <v>0.107</v>
      </c>
      <c r="U47" s="67">
        <v>0.107</v>
      </c>
      <c r="V47" s="67">
        <v>0.107</v>
      </c>
    </row>
    <row r="48" spans="1:22" x14ac:dyDescent="0.2">
      <c r="C48" s="13"/>
      <c r="D48" s="13"/>
      <c r="E48" s="13"/>
      <c r="F48" s="13"/>
      <c r="G48" s="13"/>
      <c r="H48" s="13"/>
      <c r="I48" s="13"/>
      <c r="K48" s="17" t="s">
        <v>33</v>
      </c>
      <c r="L48" s="68">
        <f>L47</f>
        <v>0.107</v>
      </c>
      <c r="M48" s="68">
        <f t="shared" ref="M48:V49" si="15">M47</f>
        <v>0.107</v>
      </c>
      <c r="N48" s="68">
        <f t="shared" si="15"/>
        <v>0.107</v>
      </c>
      <c r="O48" s="68">
        <f t="shared" si="15"/>
        <v>0.107</v>
      </c>
      <c r="P48" s="68">
        <f t="shared" si="15"/>
        <v>0.107</v>
      </c>
      <c r="Q48" s="68">
        <f t="shared" si="15"/>
        <v>0.107</v>
      </c>
      <c r="R48" s="68">
        <f t="shared" si="15"/>
        <v>0.107</v>
      </c>
      <c r="S48" s="68">
        <f t="shared" si="15"/>
        <v>0.107</v>
      </c>
      <c r="T48" s="68">
        <f t="shared" si="15"/>
        <v>0.107</v>
      </c>
      <c r="U48" s="68">
        <f t="shared" si="15"/>
        <v>0.107</v>
      </c>
      <c r="V48" s="68">
        <f t="shared" si="15"/>
        <v>0.107</v>
      </c>
    </row>
    <row r="49" spans="1:22" x14ac:dyDescent="0.2">
      <c r="C49" s="13"/>
      <c r="D49" s="13"/>
      <c r="E49" s="13"/>
      <c r="F49" s="13"/>
      <c r="G49" s="13"/>
      <c r="H49" s="13"/>
      <c r="I49" s="13"/>
      <c r="K49" s="17" t="s">
        <v>32</v>
      </c>
      <c r="L49" s="68">
        <f>L48</f>
        <v>0.107</v>
      </c>
      <c r="M49" s="68">
        <f t="shared" si="15"/>
        <v>0.107</v>
      </c>
      <c r="N49" s="68">
        <f t="shared" si="15"/>
        <v>0.107</v>
      </c>
      <c r="O49" s="68">
        <f t="shared" si="15"/>
        <v>0.107</v>
      </c>
      <c r="P49" s="68">
        <f t="shared" si="15"/>
        <v>0.107</v>
      </c>
      <c r="Q49" s="68">
        <f t="shared" si="15"/>
        <v>0.107</v>
      </c>
      <c r="R49" s="68">
        <f t="shared" si="15"/>
        <v>0.107</v>
      </c>
      <c r="S49" s="68">
        <f t="shared" si="15"/>
        <v>0.107</v>
      </c>
      <c r="T49" s="68">
        <f t="shared" si="15"/>
        <v>0.107</v>
      </c>
      <c r="U49" s="68">
        <f t="shared" si="15"/>
        <v>0.107</v>
      </c>
      <c r="V49" s="68">
        <f t="shared" si="15"/>
        <v>0.107</v>
      </c>
    </row>
    <row r="50" spans="1:22" x14ac:dyDescent="0.2">
      <c r="C50" s="4"/>
      <c r="D50" s="4"/>
      <c r="E50" s="4"/>
      <c r="F50" s="4"/>
      <c r="G50" s="4"/>
      <c r="H50" s="4"/>
      <c r="I50" s="4"/>
    </row>
    <row r="51" spans="1:22" s="1" customFormat="1" x14ac:dyDescent="0.2">
      <c r="A51" s="65"/>
      <c r="B51" s="40" t="s">
        <v>9</v>
      </c>
      <c r="C51" s="40">
        <f>C33+C36+C44</f>
        <v>11759</v>
      </c>
      <c r="D51" s="40">
        <f>D33+D36+D44</f>
        <v>21461</v>
      </c>
      <c r="E51" s="40">
        <f>E33+E36+E44</f>
        <v>24578</v>
      </c>
      <c r="F51" s="40"/>
      <c r="G51" s="40"/>
      <c r="H51" s="40"/>
      <c r="I51" s="40"/>
      <c r="J51" s="40"/>
      <c r="K51" s="40"/>
      <c r="L51" s="46">
        <f t="shared" ref="L51:V51" si="16">L33+L36+L44</f>
        <v>26361.302000000003</v>
      </c>
      <c r="M51" s="46">
        <f t="shared" si="16"/>
        <v>38664.078873999999</v>
      </c>
      <c r="N51" s="46">
        <f t="shared" si="16"/>
        <v>57362.795200717999</v>
      </c>
      <c r="O51" s="46">
        <f t="shared" si="16"/>
        <v>84050.956601373837</v>
      </c>
      <c r="P51" s="46">
        <f t="shared" si="16"/>
        <v>123899.76228364235</v>
      </c>
      <c r="Q51" s="46">
        <f t="shared" si="16"/>
        <v>157029.66124942657</v>
      </c>
      <c r="R51" s="46">
        <f t="shared" si="16"/>
        <v>202411.61329576388</v>
      </c>
      <c r="S51" s="46">
        <f t="shared" si="16"/>
        <v>269141.87326136039</v>
      </c>
      <c r="T51" s="46">
        <f t="shared" si="16"/>
        <v>343063.53483846225</v>
      </c>
      <c r="U51" s="46">
        <f t="shared" si="16"/>
        <v>494839.62365810038</v>
      </c>
      <c r="V51" s="46">
        <f t="shared" si="16"/>
        <v>837943.73639056389</v>
      </c>
    </row>
    <row r="52" spans="1:22" s="71" customFormat="1" x14ac:dyDescent="0.2">
      <c r="A52" s="69"/>
      <c r="B52" s="70" t="s">
        <v>29</v>
      </c>
      <c r="C52" s="70"/>
      <c r="D52" s="70">
        <f>D51/C51-1</f>
        <v>0.8250701590271281</v>
      </c>
      <c r="E52" s="70">
        <f>E51/D51-1</f>
        <v>0.14524020315921904</v>
      </c>
      <c r="F52" s="70"/>
      <c r="G52" s="70"/>
      <c r="H52" s="70"/>
      <c r="I52" s="70"/>
      <c r="J52" s="70"/>
      <c r="K52" s="70"/>
      <c r="L52" s="70">
        <f>L51/E51-1</f>
        <v>7.2556839449914756E-2</v>
      </c>
      <c r="M52" s="70">
        <f>M51/L51-1</f>
        <v>0.46669837756875565</v>
      </c>
      <c r="N52" s="70">
        <f t="shared" ref="N52:V52" si="17">N51/M51-1</f>
        <v>0.48361985779239958</v>
      </c>
      <c r="O52" s="70">
        <f t="shared" si="17"/>
        <v>0.46525210822226093</v>
      </c>
      <c r="P52" s="70">
        <f t="shared" si="17"/>
        <v>0.47410294056804547</v>
      </c>
      <c r="Q52" s="70">
        <f t="shared" si="17"/>
        <v>0.26739275649246452</v>
      </c>
      <c r="R52" s="70">
        <f t="shared" si="17"/>
        <v>0.28900241957633988</v>
      </c>
      <c r="S52" s="70">
        <f t="shared" si="17"/>
        <v>0.32967604417089569</v>
      </c>
      <c r="T52" s="70">
        <f t="shared" si="17"/>
        <v>0.27465685915516169</v>
      </c>
      <c r="U52" s="70">
        <f t="shared" si="17"/>
        <v>0.44241393621477343</v>
      </c>
      <c r="V52" s="70">
        <f t="shared" si="17"/>
        <v>0.69336426658008388</v>
      </c>
    </row>
    <row r="54" spans="1:22" x14ac:dyDescent="0.2">
      <c r="B54" s="1" t="s">
        <v>11</v>
      </c>
    </row>
    <row r="55" spans="1:22" x14ac:dyDescent="0.2">
      <c r="B55" t="s">
        <v>4</v>
      </c>
      <c r="C55" s="5">
        <v>-6725</v>
      </c>
      <c r="D55" s="5">
        <v>-13686</v>
      </c>
      <c r="E55" s="5">
        <v>-15939</v>
      </c>
      <c r="F55" s="5"/>
      <c r="G55" s="5"/>
      <c r="H55" s="5"/>
      <c r="I55" s="5"/>
      <c r="K55" s="2"/>
      <c r="L55" s="5">
        <f>-L56*L19</f>
        <v>-15899.25</v>
      </c>
      <c r="M55" s="5">
        <f t="shared" ref="M55:V55" si="18">-M56*M19</f>
        <v>-23848.875</v>
      </c>
      <c r="N55" s="5">
        <f t="shared" si="18"/>
        <v>-35773.3125</v>
      </c>
      <c r="O55" s="5">
        <f t="shared" si="18"/>
        <v>-53659.96875</v>
      </c>
      <c r="P55" s="5">
        <f t="shared" si="18"/>
        <v>-80489.953125</v>
      </c>
      <c r="Q55" s="5">
        <f t="shared" si="18"/>
        <v>-100612.44140625</v>
      </c>
      <c r="R55" s="5">
        <f t="shared" si="18"/>
        <v>-125765.5517578125</v>
      </c>
      <c r="S55" s="5">
        <f t="shared" si="18"/>
        <v>-157206.93969726562</v>
      </c>
      <c r="T55" s="5">
        <f t="shared" si="18"/>
        <v>-172927.63366699222</v>
      </c>
      <c r="U55" s="5">
        <f t="shared" si="18"/>
        <v>-190220.39703369146</v>
      </c>
      <c r="V55" s="5">
        <f t="shared" si="18"/>
        <v>-209242.43673706061</v>
      </c>
    </row>
    <row r="56" spans="1:22" x14ac:dyDescent="0.2">
      <c r="B56" t="s">
        <v>37</v>
      </c>
      <c r="C56" s="33">
        <f>ABS(C55/C19)</f>
        <v>0.78793204452255416</v>
      </c>
      <c r="D56" s="33">
        <f t="shared" ref="D56:E56" si="19">ABS(D55/D19)</f>
        <v>0.7762023593466425</v>
      </c>
      <c r="E56" s="33">
        <f t="shared" si="19"/>
        <v>0.79886728147554131</v>
      </c>
      <c r="F56" s="33"/>
      <c r="G56" s="33"/>
      <c r="H56" s="33"/>
      <c r="I56" s="33"/>
      <c r="K56" s="28"/>
      <c r="L56" s="24">
        <f>IF($C$5 = "A", L58, IF($C$5 = "B", L59, L60))</f>
        <v>0.75</v>
      </c>
      <c r="M56" s="24">
        <f t="shared" ref="M56:V56" si="20">IF($C$5 = "A", M58, IF($C$5 = "B", M59, M60))</f>
        <v>0.75</v>
      </c>
      <c r="N56" s="24">
        <f t="shared" si="20"/>
        <v>0.75</v>
      </c>
      <c r="O56" s="24">
        <f t="shared" si="20"/>
        <v>0.75</v>
      </c>
      <c r="P56" s="24">
        <f t="shared" si="20"/>
        <v>0.75</v>
      </c>
      <c r="Q56" s="24">
        <f t="shared" si="20"/>
        <v>0.75</v>
      </c>
      <c r="R56" s="24">
        <f t="shared" si="20"/>
        <v>0.75</v>
      </c>
      <c r="S56" s="24">
        <f t="shared" si="20"/>
        <v>0.75</v>
      </c>
      <c r="T56" s="24">
        <f t="shared" si="20"/>
        <v>0.75</v>
      </c>
      <c r="U56" s="24">
        <f t="shared" si="20"/>
        <v>0.75</v>
      </c>
      <c r="V56" s="24">
        <f t="shared" si="20"/>
        <v>0.75</v>
      </c>
    </row>
    <row r="57" spans="1:22" x14ac:dyDescent="0.2">
      <c r="C57" s="5"/>
      <c r="D57" s="5"/>
      <c r="E57" s="5"/>
      <c r="F57" s="5"/>
      <c r="G57" s="5"/>
      <c r="H57" s="5"/>
      <c r="I57" s="5"/>
      <c r="K57" s="17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">
      <c r="C58" s="5"/>
      <c r="D58" s="5"/>
      <c r="E58" s="5"/>
      <c r="F58" s="5"/>
      <c r="G58" s="5"/>
      <c r="H58" s="5"/>
      <c r="I58" s="5"/>
      <c r="K58" s="17" t="s">
        <v>31</v>
      </c>
      <c r="L58" s="15">
        <v>0.75</v>
      </c>
      <c r="M58" s="15">
        <v>0.75</v>
      </c>
      <c r="N58" s="15">
        <v>0.75</v>
      </c>
      <c r="O58" s="15">
        <v>0.75</v>
      </c>
      <c r="P58" s="15">
        <v>0.75</v>
      </c>
      <c r="Q58" s="15">
        <v>0.75</v>
      </c>
      <c r="R58" s="15">
        <v>0.75</v>
      </c>
      <c r="S58" s="15">
        <v>0.75</v>
      </c>
      <c r="T58" s="15">
        <v>0.75</v>
      </c>
      <c r="U58" s="15">
        <v>0.75</v>
      </c>
      <c r="V58" s="15">
        <v>0.75</v>
      </c>
    </row>
    <row r="59" spans="1:22" x14ac:dyDescent="0.2">
      <c r="C59" s="5"/>
      <c r="D59" s="5"/>
      <c r="E59" s="5"/>
      <c r="F59" s="5"/>
      <c r="G59" s="5"/>
      <c r="H59" s="5"/>
      <c r="I59" s="5"/>
      <c r="K59" s="17" t="s">
        <v>33</v>
      </c>
      <c r="L59" s="18">
        <v>0.77</v>
      </c>
      <c r="M59" s="18">
        <v>0.77</v>
      </c>
      <c r="N59" s="18">
        <v>0.77</v>
      </c>
      <c r="O59" s="18">
        <v>0.77</v>
      </c>
      <c r="P59" s="18">
        <v>0.77</v>
      </c>
      <c r="Q59" s="18">
        <v>0.77</v>
      </c>
      <c r="R59" s="18">
        <v>0.77</v>
      </c>
      <c r="S59" s="18">
        <v>0.77</v>
      </c>
      <c r="T59" s="18">
        <v>0.77</v>
      </c>
      <c r="U59" s="18">
        <v>0.77</v>
      </c>
      <c r="V59" s="18">
        <v>0.77</v>
      </c>
    </row>
    <row r="60" spans="1:22" x14ac:dyDescent="0.2">
      <c r="C60" s="5"/>
      <c r="D60" s="5"/>
      <c r="E60" s="5"/>
      <c r="F60" s="5"/>
      <c r="G60" s="5"/>
      <c r="H60" s="5"/>
      <c r="I60" s="5"/>
      <c r="K60" s="17" t="s">
        <v>32</v>
      </c>
      <c r="L60" s="18">
        <v>0.8</v>
      </c>
      <c r="M60" s="18">
        <v>0.8</v>
      </c>
      <c r="N60" s="18">
        <v>0.8</v>
      </c>
      <c r="O60" s="18">
        <v>0.8</v>
      </c>
      <c r="P60" s="18">
        <v>0.8</v>
      </c>
      <c r="Q60" s="18">
        <v>0.8</v>
      </c>
      <c r="R60" s="18">
        <v>0.8</v>
      </c>
      <c r="S60" s="18">
        <v>0.8</v>
      </c>
      <c r="T60" s="18">
        <v>0.8</v>
      </c>
      <c r="U60" s="18">
        <v>0.8</v>
      </c>
      <c r="V60" s="18">
        <v>0.8</v>
      </c>
    </row>
    <row r="61" spans="1:22" x14ac:dyDescent="0.2">
      <c r="C61" s="5"/>
      <c r="D61" s="5"/>
      <c r="E61" s="5"/>
      <c r="F61" s="5"/>
      <c r="G61" s="5"/>
      <c r="H61" s="5"/>
      <c r="I61" s="5"/>
      <c r="K61" s="17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 x14ac:dyDescent="0.2">
      <c r="B62" t="s">
        <v>5</v>
      </c>
      <c r="C62" s="5">
        <v>-708</v>
      </c>
      <c r="D62" s="5">
        <v>-488</v>
      </c>
      <c r="E62" s="5">
        <v>-459</v>
      </c>
      <c r="F62" s="5"/>
      <c r="G62" s="5"/>
      <c r="H62" s="5"/>
      <c r="I62" s="5"/>
      <c r="K62" s="2"/>
      <c r="L62" s="5">
        <f>-L63*L26</f>
        <v>-551.17400000000009</v>
      </c>
      <c r="M62" s="5">
        <f t="shared" ref="M62:V62" si="21">-M63*M26</f>
        <v>-1240.1415</v>
      </c>
      <c r="N62" s="5">
        <f t="shared" si="21"/>
        <v>-2480.2830000000004</v>
      </c>
      <c r="O62" s="5">
        <f t="shared" si="21"/>
        <v>-3720.4245000000005</v>
      </c>
      <c r="P62" s="5">
        <f t="shared" si="21"/>
        <v>-5580.6367500000006</v>
      </c>
      <c r="Q62" s="5">
        <f t="shared" si="21"/>
        <v>-6975.7959375</v>
      </c>
      <c r="R62" s="5">
        <f t="shared" si="21"/>
        <v>-8719.7449218750007</v>
      </c>
      <c r="S62" s="5">
        <f t="shared" si="21"/>
        <v>-10899.68115234375</v>
      </c>
      <c r="T62" s="5">
        <f t="shared" si="21"/>
        <v>-11989.649267578126</v>
      </c>
      <c r="U62" s="5">
        <f t="shared" si="21"/>
        <v>-13188.614194335942</v>
      </c>
      <c r="V62" s="5">
        <f t="shared" si="21"/>
        <v>-14507.475613769537</v>
      </c>
    </row>
    <row r="63" spans="1:22" x14ac:dyDescent="0.2">
      <c r="B63" s="3" t="s">
        <v>38</v>
      </c>
      <c r="C63" s="34">
        <f>ABS(C62/C26)</f>
        <v>0.63956639566395668</v>
      </c>
      <c r="D63" s="34">
        <f t="shared" ref="D63:E63" si="22">ABS(D62/D26)</f>
        <v>0.55266138165345413</v>
      </c>
      <c r="E63" s="34">
        <f t="shared" si="22"/>
        <v>0.52819332566168009</v>
      </c>
      <c r="F63" s="34"/>
      <c r="G63" s="34"/>
      <c r="H63" s="34"/>
      <c r="I63" s="34"/>
      <c r="K63" s="28"/>
      <c r="L63" s="24">
        <f>IF($C$5 = "A", L65, IF($C$5 = "B", L66, L67))</f>
        <v>0.52</v>
      </c>
      <c r="M63" s="24">
        <f t="shared" ref="M63:V63" si="23">IF($C$5 = "A", M65, IF($C$5 = "B", M66, M67))</f>
        <v>0.52</v>
      </c>
      <c r="N63" s="24">
        <f t="shared" si="23"/>
        <v>0.52</v>
      </c>
      <c r="O63" s="24">
        <f t="shared" si="23"/>
        <v>0.52</v>
      </c>
      <c r="P63" s="24">
        <f t="shared" si="23"/>
        <v>0.52</v>
      </c>
      <c r="Q63" s="24">
        <f t="shared" si="23"/>
        <v>0.52</v>
      </c>
      <c r="R63" s="24">
        <f t="shared" si="23"/>
        <v>0.52</v>
      </c>
      <c r="S63" s="24">
        <f t="shared" si="23"/>
        <v>0.52</v>
      </c>
      <c r="T63" s="24">
        <f t="shared" si="23"/>
        <v>0.52</v>
      </c>
      <c r="U63" s="24">
        <f t="shared" si="23"/>
        <v>0.52</v>
      </c>
      <c r="V63" s="24">
        <f t="shared" si="23"/>
        <v>0.52</v>
      </c>
    </row>
    <row r="64" spans="1:22" x14ac:dyDescent="0.2">
      <c r="C64" s="5"/>
      <c r="D64" s="5"/>
      <c r="E64" s="5"/>
      <c r="F64" s="5"/>
      <c r="G64" s="5"/>
      <c r="H64" s="5"/>
      <c r="I64" s="5"/>
      <c r="K64" s="1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">
      <c r="C65" s="5"/>
      <c r="D65" s="5"/>
      <c r="E65" s="5"/>
      <c r="F65" s="5"/>
      <c r="G65" s="5"/>
      <c r="H65" s="5"/>
      <c r="I65" s="5"/>
      <c r="K65" s="17" t="s">
        <v>31</v>
      </c>
      <c r="L65" s="15">
        <v>0.52</v>
      </c>
      <c r="M65" s="15">
        <v>0.52</v>
      </c>
      <c r="N65" s="15">
        <v>0.52</v>
      </c>
      <c r="O65" s="15">
        <v>0.52</v>
      </c>
      <c r="P65" s="15">
        <v>0.52</v>
      </c>
      <c r="Q65" s="15">
        <v>0.52</v>
      </c>
      <c r="R65" s="15">
        <v>0.52</v>
      </c>
      <c r="S65" s="15">
        <v>0.52</v>
      </c>
      <c r="T65" s="15">
        <v>0.52</v>
      </c>
      <c r="U65" s="15">
        <v>0.52</v>
      </c>
      <c r="V65" s="15">
        <v>0.52</v>
      </c>
    </row>
    <row r="66" spans="1:22" x14ac:dyDescent="0.2">
      <c r="C66" s="5"/>
      <c r="D66" s="5"/>
      <c r="E66" s="5"/>
      <c r="F66" s="5"/>
      <c r="G66" s="5"/>
      <c r="H66" s="5"/>
      <c r="I66" s="5"/>
      <c r="K66" s="17" t="s">
        <v>33</v>
      </c>
      <c r="L66" s="18">
        <v>0.55000000000000004</v>
      </c>
      <c r="M66" s="18">
        <v>0.55000000000000004</v>
      </c>
      <c r="N66" s="18">
        <v>0.55000000000000004</v>
      </c>
      <c r="O66" s="18">
        <v>0.55000000000000004</v>
      </c>
      <c r="P66" s="18">
        <v>0.55000000000000004</v>
      </c>
      <c r="Q66" s="18">
        <v>0.55000000000000004</v>
      </c>
      <c r="R66" s="18">
        <v>0.55000000000000004</v>
      </c>
      <c r="S66" s="18">
        <v>0.55000000000000004</v>
      </c>
      <c r="T66" s="18">
        <v>0.55000000000000004</v>
      </c>
      <c r="U66" s="18">
        <v>0.55000000000000004</v>
      </c>
      <c r="V66" s="18">
        <v>0.55000000000000004</v>
      </c>
    </row>
    <row r="67" spans="1:22" x14ac:dyDescent="0.2">
      <c r="C67" s="5"/>
      <c r="D67" s="5"/>
      <c r="E67" s="5"/>
      <c r="F67" s="5"/>
      <c r="G67" s="5"/>
      <c r="H67" s="5"/>
      <c r="I67" s="5"/>
      <c r="K67" s="17" t="s">
        <v>32</v>
      </c>
      <c r="L67" s="18">
        <v>0.6</v>
      </c>
      <c r="M67" s="18">
        <v>0.6</v>
      </c>
      <c r="N67" s="18">
        <v>0.6</v>
      </c>
      <c r="O67" s="18">
        <v>0.6</v>
      </c>
      <c r="P67" s="18">
        <v>0.6</v>
      </c>
      <c r="Q67" s="18">
        <v>0.6</v>
      </c>
      <c r="R67" s="18">
        <v>0.6</v>
      </c>
      <c r="S67" s="18">
        <v>0.6</v>
      </c>
      <c r="T67" s="18">
        <v>0.6</v>
      </c>
      <c r="U67" s="18">
        <v>0.6</v>
      </c>
      <c r="V67" s="18">
        <v>0.6</v>
      </c>
    </row>
    <row r="68" spans="1:22" x14ac:dyDescent="0.2">
      <c r="C68" s="5"/>
      <c r="D68" s="5"/>
      <c r="E68" s="5"/>
      <c r="F68" s="5"/>
      <c r="G68" s="5"/>
      <c r="H68" s="5"/>
      <c r="I68" s="5"/>
    </row>
    <row r="69" spans="1:22" s="1" customFormat="1" x14ac:dyDescent="0.2">
      <c r="A69" s="65"/>
      <c r="B69" s="1" t="s">
        <v>12</v>
      </c>
      <c r="C69" s="7">
        <f>SUM(C55:C62)</f>
        <v>-7432.2120679554773</v>
      </c>
      <c r="D69" s="7">
        <f>SUM(D55:D62)</f>
        <v>-14173.223797640654</v>
      </c>
      <c r="E69" s="7">
        <f>SUM(E55:E62)</f>
        <v>-16397.201132718525</v>
      </c>
      <c r="F69" s="7"/>
      <c r="G69" s="7"/>
      <c r="H69" s="7"/>
      <c r="I69" s="7"/>
      <c r="L69" s="7">
        <f>L55+L62</f>
        <v>-16450.423999999999</v>
      </c>
      <c r="M69" s="7">
        <f t="shared" ref="M69:V69" si="24">M55+M62</f>
        <v>-25089.016500000002</v>
      </c>
      <c r="N69" s="7">
        <f t="shared" si="24"/>
        <v>-38253.595500000003</v>
      </c>
      <c r="O69" s="7">
        <f t="shared" si="24"/>
        <v>-57380.393250000001</v>
      </c>
      <c r="P69" s="7">
        <f t="shared" si="24"/>
        <v>-86070.589875000005</v>
      </c>
      <c r="Q69" s="7">
        <f t="shared" si="24"/>
        <v>-107588.23734375001</v>
      </c>
      <c r="R69" s="7">
        <f t="shared" si="24"/>
        <v>-134485.29667968751</v>
      </c>
      <c r="S69" s="7">
        <f t="shared" si="24"/>
        <v>-168106.62084960938</v>
      </c>
      <c r="T69" s="7">
        <f t="shared" si="24"/>
        <v>-184917.28293457034</v>
      </c>
      <c r="U69" s="7">
        <f t="shared" si="24"/>
        <v>-203409.0112280274</v>
      </c>
      <c r="V69" s="7">
        <f t="shared" si="24"/>
        <v>-223749.91235083016</v>
      </c>
    </row>
    <row r="71" spans="1:22" x14ac:dyDescent="0.2">
      <c r="B71" t="s">
        <v>7</v>
      </c>
      <c r="C71" s="5">
        <v>-874</v>
      </c>
      <c r="D71" s="5">
        <v>-1365</v>
      </c>
      <c r="E71" s="5">
        <v>-1341</v>
      </c>
      <c r="F71" s="5"/>
      <c r="G71" s="5"/>
      <c r="H71" s="5"/>
      <c r="I71" s="5"/>
      <c r="K71" s="2"/>
      <c r="L71" s="14">
        <f>-L72*L36</f>
        <v>-1277.7726</v>
      </c>
      <c r="M71" s="14">
        <f t="shared" ref="M71:V71" si="25">-M72*M36</f>
        <v>-1367.2166820000002</v>
      </c>
      <c r="N71" s="14">
        <f t="shared" si="25"/>
        <v>-1462.9218497400002</v>
      </c>
      <c r="O71" s="14">
        <f t="shared" si="25"/>
        <v>-1565.3263792218004</v>
      </c>
      <c r="P71" s="14">
        <f t="shared" si="25"/>
        <v>-1674.8992257673262</v>
      </c>
      <c r="Q71" s="14">
        <f t="shared" si="25"/>
        <v>-4187.2480644183161</v>
      </c>
      <c r="R71" s="14">
        <f t="shared" si="25"/>
        <v>-10468.120161045792</v>
      </c>
      <c r="S71" s="14">
        <f t="shared" si="25"/>
        <v>-26170.300402614481</v>
      </c>
      <c r="T71" s="14">
        <f t="shared" si="25"/>
        <v>-65425.751006536193</v>
      </c>
      <c r="U71" s="14">
        <f t="shared" si="25"/>
        <v>-163564.37751634049</v>
      </c>
      <c r="V71" s="14">
        <f t="shared" si="25"/>
        <v>-408910.94379085122</v>
      </c>
    </row>
    <row r="72" spans="1:22" x14ac:dyDescent="0.2">
      <c r="B72" s="3" t="s">
        <v>39</v>
      </c>
      <c r="C72" s="25">
        <f>ABS(C71/C36)</f>
        <v>0.78315412186379929</v>
      </c>
      <c r="D72" s="25">
        <f t="shared" ref="D72:E72" si="26">ABS(D71/D36)</f>
        <v>0.87781350482315113</v>
      </c>
      <c r="E72" s="25">
        <f t="shared" si="26"/>
        <v>0.87589810581319394</v>
      </c>
      <c r="F72" s="25"/>
      <c r="G72" s="25"/>
      <c r="H72" s="25"/>
      <c r="I72" s="25"/>
      <c r="K72" s="28"/>
      <c r="L72" s="24">
        <f>IF($C$5 = "A", L74, IF($C$5 = "B", L75, L76))</f>
        <v>0.78</v>
      </c>
      <c r="M72" s="24">
        <f t="shared" ref="M72:V72" si="27">IF($C$5 = "A", M74, IF($C$5 = "B", M75, M76))</f>
        <v>0.78</v>
      </c>
      <c r="N72" s="24">
        <f t="shared" si="27"/>
        <v>0.78</v>
      </c>
      <c r="O72" s="24">
        <f t="shared" si="27"/>
        <v>0.78</v>
      </c>
      <c r="P72" s="24">
        <f t="shared" si="27"/>
        <v>0.78</v>
      </c>
      <c r="Q72" s="24">
        <f t="shared" si="27"/>
        <v>0.78</v>
      </c>
      <c r="R72" s="24">
        <f t="shared" si="27"/>
        <v>0.78</v>
      </c>
      <c r="S72" s="24">
        <f t="shared" si="27"/>
        <v>0.78</v>
      </c>
      <c r="T72" s="24">
        <f t="shared" si="27"/>
        <v>0.78</v>
      </c>
      <c r="U72" s="24">
        <f t="shared" si="27"/>
        <v>0.78</v>
      </c>
      <c r="V72" s="24">
        <f t="shared" si="27"/>
        <v>0.78</v>
      </c>
    </row>
    <row r="73" spans="1:22" x14ac:dyDescent="0.2">
      <c r="C73" s="5"/>
      <c r="D73" s="5"/>
      <c r="E73" s="5"/>
      <c r="F73" s="5"/>
      <c r="G73" s="5"/>
      <c r="H73" s="5"/>
      <c r="I73" s="5"/>
      <c r="K73" s="17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2">
      <c r="C74" s="5"/>
      <c r="D74" s="5"/>
      <c r="E74" s="5"/>
      <c r="F74" s="5"/>
      <c r="G74" s="5"/>
      <c r="H74" s="5"/>
      <c r="I74" s="5"/>
      <c r="K74" s="17" t="s">
        <v>31</v>
      </c>
      <c r="L74" s="15">
        <v>0.78</v>
      </c>
      <c r="M74" s="15">
        <v>0.78</v>
      </c>
      <c r="N74" s="15">
        <v>0.78</v>
      </c>
      <c r="O74" s="15">
        <v>0.78</v>
      </c>
      <c r="P74" s="15">
        <v>0.78</v>
      </c>
      <c r="Q74" s="15">
        <v>0.78</v>
      </c>
      <c r="R74" s="15">
        <v>0.78</v>
      </c>
      <c r="S74" s="15">
        <v>0.78</v>
      </c>
      <c r="T74" s="15">
        <v>0.78</v>
      </c>
      <c r="U74" s="15">
        <v>0.78</v>
      </c>
      <c r="V74" s="15">
        <v>0.78</v>
      </c>
    </row>
    <row r="75" spans="1:22" x14ac:dyDescent="0.2">
      <c r="C75" s="5"/>
      <c r="D75" s="5"/>
      <c r="E75" s="5"/>
      <c r="F75" s="5"/>
      <c r="G75" s="5"/>
      <c r="H75" s="5"/>
      <c r="I75" s="5"/>
      <c r="K75" s="17" t="s">
        <v>33</v>
      </c>
      <c r="L75" s="18">
        <v>0.85</v>
      </c>
      <c r="M75" s="18">
        <v>0.85</v>
      </c>
      <c r="N75" s="18">
        <v>0.85</v>
      </c>
      <c r="O75" s="18">
        <v>0.85</v>
      </c>
      <c r="P75" s="18">
        <v>0.85</v>
      </c>
      <c r="Q75" s="18">
        <v>0.85</v>
      </c>
      <c r="R75" s="18">
        <v>0.85</v>
      </c>
      <c r="S75" s="18">
        <v>0.85</v>
      </c>
      <c r="T75" s="18">
        <v>0.85</v>
      </c>
      <c r="U75" s="18">
        <v>0.85</v>
      </c>
      <c r="V75" s="18">
        <v>0.85</v>
      </c>
    </row>
    <row r="76" spans="1:22" x14ac:dyDescent="0.2">
      <c r="C76" s="5"/>
      <c r="D76" s="5"/>
      <c r="E76" s="5"/>
      <c r="F76" s="5"/>
      <c r="G76" s="5"/>
      <c r="H76" s="5"/>
      <c r="I76" s="5"/>
      <c r="K76" s="17" t="s">
        <v>32</v>
      </c>
      <c r="L76" s="18">
        <v>0.88</v>
      </c>
      <c r="M76" s="18">
        <v>0.88</v>
      </c>
      <c r="N76" s="18">
        <v>0.88</v>
      </c>
      <c r="O76" s="18">
        <v>0.88</v>
      </c>
      <c r="P76" s="18">
        <v>0.88</v>
      </c>
      <c r="Q76" s="18">
        <v>0.88</v>
      </c>
      <c r="R76" s="18">
        <v>0.88</v>
      </c>
      <c r="S76" s="18">
        <v>0.88</v>
      </c>
      <c r="T76" s="18">
        <v>0.88</v>
      </c>
      <c r="U76" s="18">
        <v>0.88</v>
      </c>
      <c r="V76" s="18">
        <v>0.88</v>
      </c>
    </row>
    <row r="77" spans="1:22" x14ac:dyDescent="0.2">
      <c r="C77" s="5"/>
      <c r="D77" s="5"/>
      <c r="E77" s="5"/>
      <c r="F77" s="5"/>
      <c r="G77" s="5"/>
      <c r="H77" s="5"/>
      <c r="I77" s="5"/>
    </row>
    <row r="78" spans="1:22" x14ac:dyDescent="0.2">
      <c r="C78" s="5"/>
      <c r="D78" s="5"/>
      <c r="E78" s="5"/>
      <c r="F78" s="5"/>
      <c r="G78" s="5"/>
      <c r="H78" s="5"/>
      <c r="I78" s="5"/>
    </row>
    <row r="79" spans="1:22" x14ac:dyDescent="0.2">
      <c r="B79" t="s">
        <v>8</v>
      </c>
      <c r="C79" s="5">
        <v>-1229</v>
      </c>
      <c r="D79" s="5">
        <v>-1880</v>
      </c>
      <c r="E79" s="5">
        <v>-2770</v>
      </c>
      <c r="F79" s="5"/>
      <c r="G79" s="5"/>
      <c r="H79" s="5"/>
      <c r="I79" s="5"/>
      <c r="K79" s="2"/>
      <c r="L79" s="14">
        <f>L80*L44*-1</f>
        <v>-2464.1819999999998</v>
      </c>
      <c r="M79" s="14">
        <f t="shared" ref="M79:V79" si="28">M80*M44*-1</f>
        <v>-2727.8494739999996</v>
      </c>
      <c r="N79" s="14">
        <f t="shared" si="28"/>
        <v>-3019.7293677179996</v>
      </c>
      <c r="O79" s="14">
        <f t="shared" si="28"/>
        <v>-3342.8404100638254</v>
      </c>
      <c r="P79" s="14">
        <f t="shared" si="28"/>
        <v>-3700.5243339406547</v>
      </c>
      <c r="Q79" s="14">
        <f t="shared" si="28"/>
        <v>-4096.480437672305</v>
      </c>
      <c r="R79" s="14">
        <f t="shared" si="28"/>
        <v>-4534.8038445032416</v>
      </c>
      <c r="S79" s="14">
        <f t="shared" si="28"/>
        <v>-5020.027855865088</v>
      </c>
      <c r="T79" s="14">
        <f t="shared" si="28"/>
        <v>-5557.1708364426522</v>
      </c>
      <c r="U79" s="14">
        <f t="shared" si="28"/>
        <v>-6151.7881159420158</v>
      </c>
      <c r="V79" s="14">
        <f t="shared" si="28"/>
        <v>-6810.0294443478115</v>
      </c>
    </row>
    <row r="80" spans="1:22" x14ac:dyDescent="0.2">
      <c r="B80" s="10" t="s">
        <v>39</v>
      </c>
      <c r="C80" s="24">
        <f>ABS(C79/C44)</f>
        <v>1.2277722277722278</v>
      </c>
      <c r="D80" s="24">
        <f t="shared" ref="D80:E80" si="29">ABS(D79/D44)</f>
        <v>1.3515456506110712</v>
      </c>
      <c r="E80" s="24">
        <f t="shared" si="29"/>
        <v>1.2443845462713388</v>
      </c>
      <c r="F80" s="24"/>
      <c r="G80" s="24"/>
      <c r="H80" s="24"/>
      <c r="I80" s="24"/>
      <c r="K80" s="28"/>
      <c r="L80" s="24">
        <f>IF($C$5 = "A", L82, IF($C$5 = "B", L83, L84))</f>
        <v>1</v>
      </c>
      <c r="M80" s="24">
        <f t="shared" ref="M80:V80" si="30">IF($C$5 = "A", M82, IF($C$5 = "B", M83, M84))</f>
        <v>1</v>
      </c>
      <c r="N80" s="24">
        <f t="shared" si="30"/>
        <v>1</v>
      </c>
      <c r="O80" s="24">
        <f t="shared" si="30"/>
        <v>1</v>
      </c>
      <c r="P80" s="24">
        <f t="shared" si="30"/>
        <v>1</v>
      </c>
      <c r="Q80" s="24">
        <f t="shared" si="30"/>
        <v>1</v>
      </c>
      <c r="R80" s="24">
        <f t="shared" si="30"/>
        <v>1</v>
      </c>
      <c r="S80" s="24">
        <f t="shared" si="30"/>
        <v>1</v>
      </c>
      <c r="T80" s="24">
        <f t="shared" si="30"/>
        <v>1</v>
      </c>
      <c r="U80" s="24">
        <f t="shared" si="30"/>
        <v>1</v>
      </c>
      <c r="V80" s="24">
        <f t="shared" si="30"/>
        <v>1</v>
      </c>
    </row>
    <row r="81" spans="1:22" x14ac:dyDescent="0.2">
      <c r="C81" s="5"/>
      <c r="D81" s="5"/>
      <c r="E81" s="5"/>
      <c r="F81" s="5"/>
      <c r="G81" s="5"/>
      <c r="H81" s="5"/>
      <c r="I81" s="5"/>
      <c r="K81" s="17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x14ac:dyDescent="0.2">
      <c r="C82" s="5"/>
      <c r="D82" s="5"/>
      <c r="E82" s="5"/>
      <c r="F82" s="5"/>
      <c r="G82" s="5"/>
      <c r="H82" s="5"/>
      <c r="I82" s="5"/>
      <c r="K82" s="17" t="s">
        <v>31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1</v>
      </c>
      <c r="T82" s="15">
        <v>1</v>
      </c>
      <c r="U82" s="15">
        <v>1</v>
      </c>
      <c r="V82" s="15">
        <v>1</v>
      </c>
    </row>
    <row r="83" spans="1:22" x14ac:dyDescent="0.2">
      <c r="C83" s="5"/>
      <c r="D83" s="5"/>
      <c r="E83" s="5"/>
      <c r="F83" s="5"/>
      <c r="G83" s="5"/>
      <c r="H83" s="5"/>
      <c r="I83" s="5"/>
      <c r="K83" s="17" t="s">
        <v>33</v>
      </c>
      <c r="L83" s="18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18">
        <v>1</v>
      </c>
      <c r="T83" s="18">
        <v>1</v>
      </c>
      <c r="U83" s="18">
        <v>1</v>
      </c>
      <c r="V83" s="18">
        <v>1</v>
      </c>
    </row>
    <row r="84" spans="1:22" x14ac:dyDescent="0.2">
      <c r="C84" s="5"/>
      <c r="D84" s="5"/>
      <c r="E84" s="5"/>
      <c r="F84" s="5"/>
      <c r="G84" s="5"/>
      <c r="H84" s="5"/>
      <c r="I84" s="5"/>
      <c r="K84" s="17" t="s">
        <v>32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</row>
    <row r="85" spans="1:22" x14ac:dyDescent="0.2">
      <c r="C85" s="5"/>
      <c r="D85" s="5"/>
      <c r="E85" s="5"/>
      <c r="F85" s="5"/>
      <c r="G85" s="5"/>
      <c r="H85" s="5"/>
      <c r="I85" s="5"/>
    </row>
    <row r="87" spans="1:22" s="1" customFormat="1" x14ac:dyDescent="0.2">
      <c r="A87" s="65"/>
      <c r="B87" s="1" t="s">
        <v>13</v>
      </c>
      <c r="C87" s="7">
        <f>C69+C71+C79</f>
        <v>-9535.2120679554773</v>
      </c>
      <c r="D87" s="7">
        <f t="shared" ref="D87:E87" si="31">D69+D71+D79</f>
        <v>-17418.223797640654</v>
      </c>
      <c r="E87" s="7">
        <f t="shared" si="31"/>
        <v>-20508.201132718525</v>
      </c>
      <c r="F87" s="7"/>
      <c r="G87" s="7"/>
      <c r="H87" s="7"/>
      <c r="I87" s="7"/>
      <c r="L87" s="7">
        <f>L69+L71+L79</f>
        <v>-20192.3786</v>
      </c>
      <c r="M87" s="7">
        <f t="shared" ref="M87:V87" si="32">M69+M71+M79</f>
        <v>-29184.082656000002</v>
      </c>
      <c r="N87" s="7">
        <f t="shared" si="32"/>
        <v>-42736.246717458002</v>
      </c>
      <c r="O87" s="7">
        <f t="shared" si="32"/>
        <v>-62288.560039285629</v>
      </c>
      <c r="P87" s="7">
        <f t="shared" si="32"/>
        <v>-91446.013434707987</v>
      </c>
      <c r="Q87" s="7">
        <f t="shared" si="32"/>
        <v>-115871.96584584062</v>
      </c>
      <c r="R87" s="7">
        <f t="shared" si="32"/>
        <v>-149488.22068523653</v>
      </c>
      <c r="S87" s="7">
        <f t="shared" si="32"/>
        <v>-199296.94910808894</v>
      </c>
      <c r="T87" s="7">
        <f t="shared" si="32"/>
        <v>-255900.20477754917</v>
      </c>
      <c r="U87" s="7">
        <f t="shared" si="32"/>
        <v>-373125.1768603099</v>
      </c>
      <c r="V87" s="7">
        <f t="shared" si="32"/>
        <v>-639470.88558602915</v>
      </c>
    </row>
    <row r="88" spans="1:22" s="3" customFormat="1" x14ac:dyDescent="0.2">
      <c r="A88" s="66"/>
      <c r="B88" s="3" t="s">
        <v>30</v>
      </c>
      <c r="C88" s="10">
        <f>ABS(C87/C51)</f>
        <v>0.8108863056344483</v>
      </c>
      <c r="D88" s="10">
        <f>ABS(D87/D51)</f>
        <v>0.81162218897724492</v>
      </c>
      <c r="E88" s="10">
        <f>ABS(E87/E51)</f>
        <v>0.83441293566272778</v>
      </c>
      <c r="F88" s="10"/>
      <c r="G88" s="10"/>
      <c r="H88" s="10"/>
      <c r="I88" s="10"/>
      <c r="L88" s="10">
        <f>ABS(L87/L51)</f>
        <v>0.76598563303132738</v>
      </c>
      <c r="M88" s="10">
        <f t="shared" ref="M88:V88" si="33">ABS(M87/M51)</f>
        <v>0.75481127459692554</v>
      </c>
      <c r="N88" s="10">
        <f t="shared" si="33"/>
        <v>0.74501681042424306</v>
      </c>
      <c r="O88" s="10">
        <f t="shared" si="33"/>
        <v>0.74108091755219241</v>
      </c>
      <c r="P88" s="10">
        <f t="shared" si="33"/>
        <v>0.73806447848835777</v>
      </c>
      <c r="Q88" s="10">
        <f t="shared" si="33"/>
        <v>0.73789859141190595</v>
      </c>
      <c r="R88" s="10">
        <f t="shared" si="33"/>
        <v>0.73853578977607537</v>
      </c>
      <c r="S88" s="10">
        <f t="shared" si="33"/>
        <v>0.74049030978748553</v>
      </c>
      <c r="T88" s="10">
        <f t="shared" si="33"/>
        <v>0.74592656692016091</v>
      </c>
      <c r="U88" s="10">
        <f t="shared" si="33"/>
        <v>0.75403253705106155</v>
      </c>
      <c r="V88" s="10">
        <f t="shared" si="33"/>
        <v>0.7631429865930438</v>
      </c>
    </row>
    <row r="89" spans="1:22" s="3" customFormat="1" x14ac:dyDescent="0.2">
      <c r="A89" s="66"/>
      <c r="B89" s="3" t="s">
        <v>69</v>
      </c>
      <c r="C89" s="10"/>
      <c r="D89" s="10">
        <f>D87/C87-1</f>
        <v>0.82672641924527612</v>
      </c>
      <c r="E89" s="10">
        <f>E87/D87-1</f>
        <v>0.17739910630247024</v>
      </c>
      <c r="F89" s="10"/>
      <c r="G89" s="10"/>
      <c r="H89" s="10"/>
      <c r="I89" s="10"/>
      <c r="L89" s="10">
        <f>L87/E87-1</f>
        <v>-1.5399816428300239E-2</v>
      </c>
      <c r="M89" s="10">
        <f>M87/L87-1</f>
        <v>0.4453018752332627</v>
      </c>
      <c r="N89" s="10">
        <f t="shared" ref="N89:V89" si="34">N87/M87-1</f>
        <v>0.46436834151001793</v>
      </c>
      <c r="O89" s="10">
        <f t="shared" si="34"/>
        <v>0.45751124218029182</v>
      </c>
      <c r="P89" s="10">
        <f t="shared" si="34"/>
        <v>0.46810286474807961</v>
      </c>
      <c r="Q89" s="10">
        <f t="shared" si="34"/>
        <v>0.26710789780434374</v>
      </c>
      <c r="R89" s="10">
        <f t="shared" si="34"/>
        <v>0.29011551322189488</v>
      </c>
      <c r="S89" s="10">
        <f t="shared" si="34"/>
        <v>0.33319500489426535</v>
      </c>
      <c r="T89" s="10">
        <f t="shared" si="34"/>
        <v>0.28401466215502058</v>
      </c>
      <c r="U89" s="10">
        <f t="shared" si="34"/>
        <v>0.45808862163538677</v>
      </c>
      <c r="V89" s="10">
        <f t="shared" si="34"/>
        <v>0.71382400664277168</v>
      </c>
    </row>
    <row r="90" spans="1:22" x14ac:dyDescent="0.2">
      <c r="C90" s="6"/>
      <c r="D90" s="6"/>
      <c r="E90" s="6"/>
      <c r="F90" s="6"/>
      <c r="G90" s="6"/>
      <c r="H90" s="6"/>
      <c r="I90" s="6"/>
    </row>
    <row r="91" spans="1:22" s="1" customFormat="1" x14ac:dyDescent="0.2">
      <c r="A91" s="65"/>
      <c r="B91" s="40" t="s">
        <v>14</v>
      </c>
      <c r="C91" s="49">
        <f>C51+C87</f>
        <v>2223.7879320445227</v>
      </c>
      <c r="D91" s="49">
        <f>D51+D87</f>
        <v>4042.7762023593459</v>
      </c>
      <c r="E91" s="49">
        <f>E51+E87</f>
        <v>4069.7988672814754</v>
      </c>
      <c r="F91" s="49"/>
      <c r="G91" s="49"/>
      <c r="H91" s="49"/>
      <c r="I91" s="49"/>
      <c r="J91" s="40"/>
      <c r="K91" s="40"/>
      <c r="L91" s="46">
        <f>L51+L87</f>
        <v>6168.9234000000033</v>
      </c>
      <c r="M91" s="46">
        <f t="shared" ref="M91:V91" si="35">M51+M87</f>
        <v>9479.9962179999966</v>
      </c>
      <c r="N91" s="46">
        <f t="shared" si="35"/>
        <v>14626.548483259998</v>
      </c>
      <c r="O91" s="46">
        <f t="shared" si="35"/>
        <v>21762.396562088208</v>
      </c>
      <c r="P91" s="46">
        <f t="shared" si="35"/>
        <v>32453.748848934367</v>
      </c>
      <c r="Q91" s="46">
        <f t="shared" si="35"/>
        <v>41157.695403585953</v>
      </c>
      <c r="R91" s="46">
        <f t="shared" si="35"/>
        <v>52923.392610527342</v>
      </c>
      <c r="S91" s="46">
        <f t="shared" si="35"/>
        <v>69844.924153271451</v>
      </c>
      <c r="T91" s="46">
        <f t="shared" si="35"/>
        <v>87163.330060913082</v>
      </c>
      <c r="U91" s="46">
        <f t="shared" si="35"/>
        <v>121714.44679779047</v>
      </c>
      <c r="V91" s="46">
        <f t="shared" si="35"/>
        <v>198472.85080453474</v>
      </c>
    </row>
    <row r="92" spans="1:22" s="3" customFormat="1" x14ac:dyDescent="0.2">
      <c r="A92" s="66"/>
      <c r="B92" s="47" t="s">
        <v>30</v>
      </c>
      <c r="C92" s="48">
        <f>ABS(C91/C51)</f>
        <v>0.18911369436555173</v>
      </c>
      <c r="D92" s="48">
        <f>ABS(D91/D51)</f>
        <v>0.18837781102275505</v>
      </c>
      <c r="E92" s="48">
        <f>ABS(E91/E51)</f>
        <v>0.16558706433727216</v>
      </c>
      <c r="F92" s="48"/>
      <c r="G92" s="48"/>
      <c r="H92" s="48"/>
      <c r="I92" s="48"/>
      <c r="J92" s="47"/>
      <c r="K92" s="47"/>
      <c r="L92" s="48">
        <f>L91/L51</f>
        <v>0.23401436696867259</v>
      </c>
      <c r="M92" s="48">
        <f t="shared" ref="M92:V92" si="36">M91/M51</f>
        <v>0.24518872540307443</v>
      </c>
      <c r="N92" s="48">
        <f t="shared" si="36"/>
        <v>0.25498318957575694</v>
      </c>
      <c r="O92" s="48">
        <f t="shared" si="36"/>
        <v>0.25891908244780759</v>
      </c>
      <c r="P92" s="48">
        <f t="shared" si="36"/>
        <v>0.26193552151164229</v>
      </c>
      <c r="Q92" s="48">
        <f t="shared" si="36"/>
        <v>0.26210140858809405</v>
      </c>
      <c r="R92" s="48">
        <f t="shared" si="36"/>
        <v>0.26146421022392463</v>
      </c>
      <c r="S92" s="48">
        <f t="shared" si="36"/>
        <v>0.25950969021251441</v>
      </c>
      <c r="T92" s="48">
        <f t="shared" si="36"/>
        <v>0.25407343307983909</v>
      </c>
      <c r="U92" s="48">
        <f t="shared" si="36"/>
        <v>0.24596746294893848</v>
      </c>
      <c r="V92" s="48">
        <f t="shared" si="36"/>
        <v>0.23685701340695617</v>
      </c>
    </row>
    <row r="93" spans="1:22" x14ac:dyDescent="0.2">
      <c r="B93" s="3"/>
    </row>
    <row r="94" spans="1:22" x14ac:dyDescent="0.2">
      <c r="B94" s="1" t="s">
        <v>15</v>
      </c>
    </row>
    <row r="95" spans="1:22" x14ac:dyDescent="0.2">
      <c r="B95" t="s">
        <v>16</v>
      </c>
      <c r="C95" s="5">
        <v>-1378</v>
      </c>
      <c r="D95" s="5">
        <v>-1460</v>
      </c>
      <c r="E95" s="5">
        <v>-1343</v>
      </c>
      <c r="F95" s="5"/>
      <c r="G95" s="5"/>
      <c r="H95" s="5"/>
      <c r="I95" s="5"/>
      <c r="K95" s="2"/>
      <c r="L95" s="14">
        <f>E95*(1+L96)</f>
        <v>-1343</v>
      </c>
      <c r="M95" s="14">
        <f>L95*(1+M96)</f>
        <v>-1383.29</v>
      </c>
      <c r="N95" s="14">
        <f t="shared" ref="N95:V95" si="37">M95*(1+N96)</f>
        <v>-1424.7887000000001</v>
      </c>
      <c r="O95" s="14">
        <f t="shared" si="37"/>
        <v>-1467.532361</v>
      </c>
      <c r="P95" s="14">
        <f t="shared" si="37"/>
        <v>-1511.55833183</v>
      </c>
      <c r="Q95" s="14">
        <f t="shared" si="37"/>
        <v>-1556.9050817849002</v>
      </c>
      <c r="R95" s="14">
        <f t="shared" si="37"/>
        <v>-1603.6122342384472</v>
      </c>
      <c r="S95" s="14">
        <f t="shared" si="37"/>
        <v>-1651.7206012656006</v>
      </c>
      <c r="T95" s="14">
        <f t="shared" si="37"/>
        <v>-1701.2722193035686</v>
      </c>
      <c r="U95" s="14">
        <f t="shared" si="37"/>
        <v>-1752.3103858826757</v>
      </c>
      <c r="V95" s="14">
        <f t="shared" si="37"/>
        <v>-1804.879697459156</v>
      </c>
    </row>
    <row r="96" spans="1:22" x14ac:dyDescent="0.2">
      <c r="B96" s="3" t="s">
        <v>40</v>
      </c>
      <c r="C96" s="5"/>
      <c r="D96" s="30">
        <f>D95/C95-1</f>
        <v>5.9506531204644331E-2</v>
      </c>
      <c r="E96" s="30">
        <f>E95/D95-1</f>
        <v>-8.0136986301369895E-2</v>
      </c>
      <c r="F96" s="30"/>
      <c r="G96" s="30"/>
      <c r="H96" s="30"/>
      <c r="I96" s="30"/>
      <c r="K96" s="28"/>
      <c r="L96" s="24"/>
      <c r="M96" s="24">
        <f t="shared" ref="M96:V96" si="38">IF($C$5 = "A", M98, IF($C$5 = "B", M99, M100))</f>
        <v>0.03</v>
      </c>
      <c r="N96" s="24">
        <f t="shared" si="38"/>
        <v>0.03</v>
      </c>
      <c r="O96" s="24">
        <f t="shared" si="38"/>
        <v>0.03</v>
      </c>
      <c r="P96" s="24">
        <f t="shared" si="38"/>
        <v>0.03</v>
      </c>
      <c r="Q96" s="24">
        <f t="shared" si="38"/>
        <v>0.03</v>
      </c>
      <c r="R96" s="24">
        <f t="shared" si="38"/>
        <v>0.03</v>
      </c>
      <c r="S96" s="24">
        <f t="shared" si="38"/>
        <v>0.03</v>
      </c>
      <c r="T96" s="24">
        <f t="shared" si="38"/>
        <v>0.03</v>
      </c>
      <c r="U96" s="24">
        <f t="shared" si="38"/>
        <v>0.03</v>
      </c>
      <c r="V96" s="24">
        <f t="shared" si="38"/>
        <v>0.03</v>
      </c>
    </row>
    <row r="97" spans="2:22" x14ac:dyDescent="0.2">
      <c r="C97" s="5"/>
      <c r="D97" s="5"/>
      <c r="E97" s="5"/>
      <c r="F97" s="5"/>
      <c r="G97" s="5"/>
      <c r="H97" s="5"/>
      <c r="I97" s="5"/>
      <c r="K97" s="17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2:22" x14ac:dyDescent="0.2">
      <c r="C98" s="5"/>
      <c r="D98" s="5"/>
      <c r="E98" s="5"/>
      <c r="F98" s="5"/>
      <c r="G98" s="5"/>
      <c r="H98" s="5"/>
      <c r="I98" s="5"/>
      <c r="K98" s="17" t="s">
        <v>31</v>
      </c>
      <c r="L98" s="15">
        <v>0</v>
      </c>
      <c r="M98" s="15">
        <v>0.03</v>
      </c>
      <c r="N98" s="15">
        <v>0.03</v>
      </c>
      <c r="O98" s="15">
        <v>0.03</v>
      </c>
      <c r="P98" s="15">
        <v>0.03</v>
      </c>
      <c r="Q98" s="15">
        <v>0.03</v>
      </c>
      <c r="R98" s="15">
        <v>0.03</v>
      </c>
      <c r="S98" s="15">
        <v>0.03</v>
      </c>
      <c r="T98" s="15">
        <v>0.03</v>
      </c>
      <c r="U98" s="15">
        <v>0.03</v>
      </c>
      <c r="V98" s="15">
        <v>0.03</v>
      </c>
    </row>
    <row r="99" spans="2:22" x14ac:dyDescent="0.2">
      <c r="C99" s="5"/>
      <c r="D99" s="5"/>
      <c r="E99" s="5"/>
      <c r="F99" s="5"/>
      <c r="G99" s="5"/>
      <c r="H99" s="5"/>
      <c r="I99" s="5"/>
      <c r="K99" s="17" t="s">
        <v>33</v>
      </c>
      <c r="L99" s="18">
        <v>0</v>
      </c>
      <c r="M99" s="18">
        <v>0.05</v>
      </c>
      <c r="N99" s="18">
        <v>0.05</v>
      </c>
      <c r="O99" s="18">
        <v>0.05</v>
      </c>
      <c r="P99" s="18">
        <v>0.05</v>
      </c>
      <c r="Q99" s="18">
        <v>0.05</v>
      </c>
      <c r="R99" s="18">
        <v>0.05</v>
      </c>
      <c r="S99" s="18">
        <v>0.05</v>
      </c>
      <c r="T99" s="18">
        <v>0.05</v>
      </c>
      <c r="U99" s="18">
        <v>0.05</v>
      </c>
      <c r="V99" s="18">
        <v>0.05</v>
      </c>
    </row>
    <row r="100" spans="2:22" x14ac:dyDescent="0.2">
      <c r="C100" s="5"/>
      <c r="D100" s="5"/>
      <c r="E100" s="5"/>
      <c r="F100" s="5"/>
      <c r="G100" s="5"/>
      <c r="H100" s="5"/>
      <c r="I100" s="5"/>
      <c r="K100" s="17" t="s">
        <v>32</v>
      </c>
      <c r="L100" s="18">
        <v>0</v>
      </c>
      <c r="M100" s="18">
        <v>7.0000000000000007E-2</v>
      </c>
      <c r="N100" s="18">
        <v>7.0000000000000007E-2</v>
      </c>
      <c r="O100" s="18">
        <v>7.0000000000000007E-2</v>
      </c>
      <c r="P100" s="18">
        <v>7.0000000000000007E-2</v>
      </c>
      <c r="Q100" s="18">
        <v>7.0000000000000007E-2</v>
      </c>
      <c r="R100" s="18">
        <v>7.0000000000000007E-2</v>
      </c>
      <c r="S100" s="18">
        <v>7.0000000000000007E-2</v>
      </c>
      <c r="T100" s="18">
        <v>7.0000000000000007E-2</v>
      </c>
      <c r="U100" s="18">
        <v>7.0000000000000007E-2</v>
      </c>
      <c r="V100" s="18">
        <v>7.0000000000000007E-2</v>
      </c>
    </row>
    <row r="101" spans="2:22" x14ac:dyDescent="0.2">
      <c r="C101" s="5"/>
      <c r="D101" s="5"/>
      <c r="E101" s="5"/>
      <c r="F101" s="5"/>
      <c r="G101" s="5"/>
      <c r="H101" s="5"/>
      <c r="I101" s="5"/>
    </row>
    <row r="102" spans="2:22" x14ac:dyDescent="0.2">
      <c r="C102" s="5"/>
      <c r="D102" s="5"/>
      <c r="E102" s="5"/>
      <c r="F102" s="5"/>
      <c r="G102" s="5"/>
      <c r="H102" s="5"/>
      <c r="I102" s="5"/>
    </row>
    <row r="103" spans="2:22" x14ac:dyDescent="0.2">
      <c r="B103" s="2" t="s">
        <v>17</v>
      </c>
      <c r="C103" s="5">
        <v>-2477</v>
      </c>
      <c r="D103" s="5">
        <v>-2835</v>
      </c>
      <c r="E103" s="5">
        <v>-2646</v>
      </c>
      <c r="F103" s="5"/>
      <c r="G103" s="5"/>
      <c r="H103" s="5"/>
      <c r="I103" s="5"/>
      <c r="K103" s="17"/>
      <c r="L103" s="14">
        <f>E103*(1+L104)</f>
        <v>-2646</v>
      </c>
      <c r="M103" s="14">
        <f t="shared" ref="M103:V103" si="39">L103*(1+M104)</f>
        <v>-2698.92</v>
      </c>
      <c r="N103" s="14">
        <f t="shared" si="39"/>
        <v>-2752.8984</v>
      </c>
      <c r="O103" s="14">
        <f t="shared" si="39"/>
        <v>-2807.9563680000001</v>
      </c>
      <c r="P103" s="14">
        <f t="shared" si="39"/>
        <v>-2864.1154953600003</v>
      </c>
      <c r="Q103" s="14">
        <f t="shared" si="39"/>
        <v>-2921.3978052672005</v>
      </c>
      <c r="R103" s="14">
        <f t="shared" si="39"/>
        <v>-2979.8257613725445</v>
      </c>
      <c r="S103" s="14">
        <f t="shared" si="39"/>
        <v>-3039.4222765999957</v>
      </c>
      <c r="T103" s="14">
        <f t="shared" si="39"/>
        <v>-3100.2107221319957</v>
      </c>
      <c r="U103" s="14">
        <f t="shared" si="39"/>
        <v>-3162.2149365746354</v>
      </c>
      <c r="V103" s="14">
        <f t="shared" si="39"/>
        <v>-3225.459235306128</v>
      </c>
    </row>
    <row r="104" spans="2:22" x14ac:dyDescent="0.2">
      <c r="B104" s="3" t="s">
        <v>40</v>
      </c>
      <c r="C104" s="5"/>
      <c r="D104" s="30">
        <f>D103/C103-1</f>
        <v>0.14452967299152197</v>
      </c>
      <c r="E104" s="30">
        <f>E103/D103-1</f>
        <v>-6.6666666666666652E-2</v>
      </c>
      <c r="F104" s="30"/>
      <c r="G104" s="30"/>
      <c r="H104" s="30"/>
      <c r="I104" s="30"/>
      <c r="K104" s="37"/>
      <c r="L104" s="24">
        <f t="shared" ref="L104:V104" si="40">IF($C$5 = "A", L106, IF($C$5 = "B", L107, L108))</f>
        <v>0</v>
      </c>
      <c r="M104" s="24">
        <f t="shared" si="40"/>
        <v>0.02</v>
      </c>
      <c r="N104" s="24">
        <f t="shared" si="40"/>
        <v>0.02</v>
      </c>
      <c r="O104" s="24">
        <f t="shared" si="40"/>
        <v>0.02</v>
      </c>
      <c r="P104" s="24">
        <f t="shared" si="40"/>
        <v>0.02</v>
      </c>
      <c r="Q104" s="24">
        <f t="shared" si="40"/>
        <v>0.02</v>
      </c>
      <c r="R104" s="24">
        <f t="shared" si="40"/>
        <v>0.02</v>
      </c>
      <c r="S104" s="24">
        <f t="shared" si="40"/>
        <v>0.02</v>
      </c>
      <c r="T104" s="24">
        <f t="shared" si="40"/>
        <v>0.02</v>
      </c>
      <c r="U104" s="24">
        <f t="shared" si="40"/>
        <v>0.02</v>
      </c>
      <c r="V104" s="24">
        <f t="shared" si="40"/>
        <v>0.02</v>
      </c>
    </row>
    <row r="105" spans="2:22" x14ac:dyDescent="0.2">
      <c r="B105" s="2"/>
      <c r="C105" s="5"/>
      <c r="D105" s="5"/>
      <c r="E105" s="5"/>
      <c r="F105" s="5"/>
      <c r="G105" s="5"/>
      <c r="H105" s="5"/>
      <c r="I105" s="5"/>
      <c r="K105" s="17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2:22" x14ac:dyDescent="0.2">
      <c r="B106" s="2"/>
      <c r="C106" s="5"/>
      <c r="D106" s="5"/>
      <c r="E106" s="5"/>
      <c r="F106" s="5"/>
      <c r="G106" s="5"/>
      <c r="H106" s="5"/>
      <c r="I106" s="5"/>
      <c r="K106" s="17" t="s">
        <v>31</v>
      </c>
      <c r="L106" s="15">
        <v>0</v>
      </c>
      <c r="M106" s="15">
        <v>0.02</v>
      </c>
      <c r="N106" s="15">
        <v>0.02</v>
      </c>
      <c r="O106" s="15">
        <v>0.02</v>
      </c>
      <c r="P106" s="15">
        <v>0.02</v>
      </c>
      <c r="Q106" s="15">
        <v>0.02</v>
      </c>
      <c r="R106" s="15">
        <v>0.02</v>
      </c>
      <c r="S106" s="15">
        <v>0.02</v>
      </c>
      <c r="T106" s="15">
        <v>0.02</v>
      </c>
      <c r="U106" s="15">
        <v>0.02</v>
      </c>
      <c r="V106" s="15">
        <v>0.02</v>
      </c>
    </row>
    <row r="107" spans="2:22" x14ac:dyDescent="0.2">
      <c r="B107" s="2"/>
      <c r="C107" s="5"/>
      <c r="D107" s="5"/>
      <c r="E107" s="5"/>
      <c r="F107" s="5"/>
      <c r="G107" s="5"/>
      <c r="H107" s="5"/>
      <c r="I107" s="5"/>
      <c r="K107" s="17" t="s">
        <v>33</v>
      </c>
      <c r="L107" s="18">
        <v>0</v>
      </c>
      <c r="M107" s="18">
        <v>0.02</v>
      </c>
      <c r="N107" s="18">
        <v>0.02</v>
      </c>
      <c r="O107" s="18">
        <v>0.02</v>
      </c>
      <c r="P107" s="18">
        <v>0.02</v>
      </c>
      <c r="Q107" s="18">
        <v>0.02</v>
      </c>
      <c r="R107" s="18">
        <v>0.02</v>
      </c>
      <c r="S107" s="18">
        <v>0.02</v>
      </c>
      <c r="T107" s="18">
        <v>0.02</v>
      </c>
      <c r="U107" s="18">
        <v>0.02</v>
      </c>
      <c r="V107" s="18">
        <v>0.02</v>
      </c>
    </row>
    <row r="108" spans="2:22" x14ac:dyDescent="0.2">
      <c r="B108" s="2"/>
      <c r="C108" s="5"/>
      <c r="D108" s="5"/>
      <c r="E108" s="5"/>
      <c r="F108" s="5"/>
      <c r="G108" s="5"/>
      <c r="H108" s="5"/>
      <c r="I108" s="5"/>
      <c r="K108" s="17" t="s">
        <v>32</v>
      </c>
      <c r="L108" s="18">
        <v>0</v>
      </c>
      <c r="M108" s="18">
        <v>0.02</v>
      </c>
      <c r="N108" s="18">
        <v>0.02</v>
      </c>
      <c r="O108" s="18">
        <v>0.02</v>
      </c>
      <c r="P108" s="18">
        <v>0.02</v>
      </c>
      <c r="Q108" s="18">
        <v>0.02</v>
      </c>
      <c r="R108" s="18">
        <v>0.02</v>
      </c>
      <c r="S108" s="18">
        <v>0.02</v>
      </c>
      <c r="T108" s="18">
        <v>0.02</v>
      </c>
      <c r="U108" s="18">
        <v>0.02</v>
      </c>
      <c r="V108" s="18">
        <v>0.02</v>
      </c>
    </row>
    <row r="109" spans="2:22" x14ac:dyDescent="0.2">
      <c r="B109" s="2"/>
      <c r="C109" s="5"/>
      <c r="D109" s="5"/>
      <c r="E109" s="5"/>
      <c r="F109" s="5"/>
      <c r="G109" s="5"/>
      <c r="H109" s="5"/>
      <c r="I109" s="5"/>
    </row>
    <row r="110" spans="2:22" x14ac:dyDescent="0.2">
      <c r="B110" s="2"/>
      <c r="C110" s="5"/>
      <c r="D110" s="5"/>
      <c r="E110" s="5"/>
      <c r="F110" s="5"/>
      <c r="G110" s="5"/>
      <c r="H110" s="5"/>
      <c r="I110" s="5"/>
    </row>
    <row r="111" spans="2:22" x14ac:dyDescent="0.2">
      <c r="B111" s="2" t="s">
        <v>18</v>
      </c>
      <c r="C111" s="14">
        <v>0</v>
      </c>
      <c r="D111" s="5">
        <v>-135</v>
      </c>
      <c r="E111" s="5">
        <v>-149</v>
      </c>
      <c r="F111" s="5"/>
      <c r="G111" s="5"/>
      <c r="H111" s="5"/>
      <c r="I111" s="5"/>
    </row>
    <row r="112" spans="2:22" x14ac:dyDescent="0.2">
      <c r="B112" s="2"/>
      <c r="C112" s="14"/>
      <c r="D112" s="5"/>
      <c r="E112" s="5"/>
      <c r="F112" s="5"/>
      <c r="G112" s="5"/>
      <c r="H112" s="5"/>
      <c r="I112" s="5"/>
    </row>
    <row r="113" spans="1:22" s="1" customFormat="1" x14ac:dyDescent="0.2">
      <c r="A113" s="65"/>
      <c r="B113" s="1" t="s">
        <v>19</v>
      </c>
      <c r="C113" s="7">
        <f>C95+C103+C111</f>
        <v>-3855</v>
      </c>
      <c r="D113" s="7">
        <f>D95+D103+D111</f>
        <v>-4430</v>
      </c>
      <c r="E113" s="7">
        <f>E95+E103+E111</f>
        <v>-4138</v>
      </c>
      <c r="F113" s="7"/>
      <c r="G113" s="7"/>
      <c r="H113" s="7"/>
      <c r="I113" s="7"/>
      <c r="L113" s="7">
        <f t="shared" ref="L113:V113" si="41">L95+L103+L111</f>
        <v>-3989</v>
      </c>
      <c r="M113" s="7">
        <f t="shared" si="41"/>
        <v>-4082.21</v>
      </c>
      <c r="N113" s="7">
        <f t="shared" si="41"/>
        <v>-4177.6871000000001</v>
      </c>
      <c r="O113" s="7">
        <f t="shared" si="41"/>
        <v>-4275.4887290000006</v>
      </c>
      <c r="P113" s="7">
        <f t="shared" si="41"/>
        <v>-4375.6738271900003</v>
      </c>
      <c r="Q113" s="7">
        <f t="shared" si="41"/>
        <v>-4478.3028870521011</v>
      </c>
      <c r="R113" s="7">
        <f t="shared" si="41"/>
        <v>-4583.4379956109915</v>
      </c>
      <c r="S113" s="7">
        <f t="shared" si="41"/>
        <v>-4691.1428778655963</v>
      </c>
      <c r="T113" s="7">
        <f t="shared" si="41"/>
        <v>-4801.4829414355645</v>
      </c>
      <c r="U113" s="7">
        <f t="shared" si="41"/>
        <v>-4914.5253224573116</v>
      </c>
      <c r="V113" s="7">
        <f t="shared" si="41"/>
        <v>-5030.338932765284</v>
      </c>
    </row>
    <row r="114" spans="1:22" s="42" customFormat="1" x14ac:dyDescent="0.2">
      <c r="A114" s="66"/>
      <c r="B114" s="3" t="s">
        <v>39</v>
      </c>
      <c r="C114" s="57">
        <f>C113/C51</f>
        <v>-0.3278339994897525</v>
      </c>
      <c r="D114" s="57">
        <f t="shared" ref="D114:E114" si="42">D113/D51</f>
        <v>-0.20642094962956059</v>
      </c>
      <c r="E114" s="57">
        <f t="shared" si="42"/>
        <v>-0.16836194971112378</v>
      </c>
      <c r="F114" s="58"/>
      <c r="G114" s="58"/>
      <c r="H114" s="58"/>
      <c r="I114" s="58"/>
      <c r="L114" s="57">
        <f>L113/L51</f>
        <v>-0.15132029518117124</v>
      </c>
      <c r="M114" s="57">
        <f t="shared" ref="M114:V114" si="43">M113/M51</f>
        <v>-0.10558146266210723</v>
      </c>
      <c r="N114" s="57">
        <f t="shared" si="43"/>
        <v>-7.282921073462105E-2</v>
      </c>
      <c r="O114" s="57">
        <f t="shared" si="43"/>
        <v>-5.0867817594001261E-2</v>
      </c>
      <c r="P114" s="57">
        <f t="shared" si="43"/>
        <v>-3.5316240697644108E-2</v>
      </c>
      <c r="Q114" s="57">
        <f t="shared" si="43"/>
        <v>-2.8518834285318529E-2</v>
      </c>
      <c r="R114" s="57">
        <f t="shared" si="43"/>
        <v>-2.2644145367853332E-2</v>
      </c>
      <c r="S114" s="57">
        <f t="shared" si="43"/>
        <v>-1.7430000100021912E-2</v>
      </c>
      <c r="T114" s="57">
        <f t="shared" si="43"/>
        <v>-1.3995900041362398E-2</v>
      </c>
      <c r="U114" s="57">
        <f t="shared" si="43"/>
        <v>-9.9315517341289246E-3</v>
      </c>
      <c r="V114" s="57">
        <f t="shared" si="43"/>
        <v>-6.0031941457470992E-3</v>
      </c>
    </row>
    <row r="116" spans="1:22" s="1" customFormat="1" x14ac:dyDescent="0.2">
      <c r="A116" s="65"/>
      <c r="B116" s="1" t="s">
        <v>20</v>
      </c>
      <c r="C116" s="7">
        <f>C91+C113</f>
        <v>-1631.2120679554773</v>
      </c>
      <c r="D116" s="7">
        <f>D91+D113</f>
        <v>-387.22379764065408</v>
      </c>
      <c r="E116" s="7">
        <f>E91+E113</f>
        <v>-68.201132718524605</v>
      </c>
      <c r="F116" s="7"/>
      <c r="G116" s="7"/>
      <c r="H116" s="7"/>
      <c r="I116" s="7"/>
      <c r="L116" s="22">
        <f t="shared" ref="L116:V116" si="44">L91+L113</f>
        <v>2179.9234000000033</v>
      </c>
      <c r="M116" s="22">
        <f t="shared" si="44"/>
        <v>5397.7862179999966</v>
      </c>
      <c r="N116" s="22">
        <f t="shared" si="44"/>
        <v>10448.861383259999</v>
      </c>
      <c r="O116" s="22">
        <f t="shared" si="44"/>
        <v>17486.907833088208</v>
      </c>
      <c r="P116" s="22">
        <f t="shared" si="44"/>
        <v>28078.075021744367</v>
      </c>
      <c r="Q116" s="22">
        <f t="shared" si="44"/>
        <v>36679.392516533851</v>
      </c>
      <c r="R116" s="22">
        <f t="shared" si="44"/>
        <v>48339.954614916351</v>
      </c>
      <c r="S116" s="22">
        <f t="shared" si="44"/>
        <v>65153.781275405854</v>
      </c>
      <c r="T116" s="22">
        <f t="shared" si="44"/>
        <v>82361.847119477519</v>
      </c>
      <c r="U116" s="22">
        <f t="shared" si="44"/>
        <v>116799.92147533316</v>
      </c>
      <c r="V116" s="22">
        <f t="shared" si="44"/>
        <v>193442.51187176944</v>
      </c>
    </row>
    <row r="118" spans="1:22" x14ac:dyDescent="0.2">
      <c r="B118" t="s">
        <v>21</v>
      </c>
      <c r="C118" s="14">
        <v>19</v>
      </c>
      <c r="D118" s="14">
        <v>24</v>
      </c>
      <c r="E118" s="14">
        <v>44</v>
      </c>
      <c r="F118" s="14"/>
      <c r="G118" s="14"/>
      <c r="H118" s="14"/>
      <c r="I118" s="14"/>
    </row>
    <row r="119" spans="1:22" x14ac:dyDescent="0.2">
      <c r="B119" t="s">
        <v>22</v>
      </c>
      <c r="C119" s="14">
        <v>-471</v>
      </c>
      <c r="D119" s="14">
        <v>-663</v>
      </c>
      <c r="E119" s="14">
        <v>-685</v>
      </c>
      <c r="F119" s="14"/>
      <c r="G119" s="14"/>
      <c r="H119" s="14"/>
      <c r="I119" s="14"/>
    </row>
    <row r="120" spans="1:22" x14ac:dyDescent="0.2">
      <c r="B120" t="s">
        <v>23</v>
      </c>
      <c r="C120" s="14">
        <v>-125</v>
      </c>
      <c r="D120" s="14">
        <v>22</v>
      </c>
      <c r="E120" s="14">
        <v>45</v>
      </c>
      <c r="F120" s="14"/>
      <c r="G120" s="14"/>
      <c r="H120" s="14"/>
      <c r="I120" s="14"/>
    </row>
    <row r="121" spans="1:22" x14ac:dyDescent="0.2">
      <c r="C121" s="5"/>
      <c r="D121" s="5"/>
      <c r="E121" s="5"/>
      <c r="F121" s="5"/>
      <c r="G121" s="5"/>
      <c r="H121" s="5"/>
      <c r="I121" s="5"/>
    </row>
    <row r="122" spans="1:22" s="1" customFormat="1" x14ac:dyDescent="0.2">
      <c r="A122" s="65"/>
      <c r="B122" s="1" t="s">
        <v>24</v>
      </c>
      <c r="C122" s="8">
        <f>C91+C113+C118+C119+C120</f>
        <v>-2208.2120679554773</v>
      </c>
      <c r="D122" s="8">
        <f t="shared" ref="D122:E122" si="45">D91+D113+D118+D119+D120</f>
        <v>-1004.2237976406541</v>
      </c>
      <c r="E122" s="8">
        <f t="shared" si="45"/>
        <v>-664.2011327185246</v>
      </c>
      <c r="F122" s="8"/>
      <c r="G122" s="8"/>
      <c r="H122" s="8"/>
      <c r="I122" s="8"/>
      <c r="L122" s="22">
        <f>L91+L113+L118+L119+L120</f>
        <v>2179.9234000000033</v>
      </c>
      <c r="M122" s="22">
        <f t="shared" ref="M122:V122" si="46">M91+M113+M118+M119+M120</f>
        <v>5397.7862179999966</v>
      </c>
      <c r="N122" s="22">
        <f t="shared" si="46"/>
        <v>10448.861383259999</v>
      </c>
      <c r="O122" s="22">
        <f t="shared" si="46"/>
        <v>17486.907833088208</v>
      </c>
      <c r="P122" s="22">
        <f t="shared" si="46"/>
        <v>28078.075021744367</v>
      </c>
      <c r="Q122" s="22">
        <f t="shared" si="46"/>
        <v>36679.392516533851</v>
      </c>
      <c r="R122" s="22">
        <f t="shared" si="46"/>
        <v>48339.954614916351</v>
      </c>
      <c r="S122" s="22">
        <f t="shared" si="46"/>
        <v>65153.781275405854</v>
      </c>
      <c r="T122" s="22">
        <f t="shared" si="46"/>
        <v>82361.847119477519</v>
      </c>
      <c r="U122" s="22">
        <f t="shared" si="46"/>
        <v>116799.92147533316</v>
      </c>
      <c r="V122" s="22">
        <f t="shared" si="46"/>
        <v>193442.51187176944</v>
      </c>
    </row>
    <row r="123" spans="1:22" x14ac:dyDescent="0.2">
      <c r="B123" t="s">
        <v>25</v>
      </c>
      <c r="C123" s="5">
        <v>-32</v>
      </c>
      <c r="D123" s="5">
        <v>-58</v>
      </c>
      <c r="E123" s="5">
        <v>-110</v>
      </c>
      <c r="F123" s="5"/>
      <c r="G123" s="5"/>
      <c r="H123" s="5"/>
      <c r="I123" s="5"/>
      <c r="L123" s="5">
        <f t="shared" ref="L123:V123" si="47">L125*L51</f>
        <v>-117.98125233949062</v>
      </c>
      <c r="M123" s="5">
        <f t="shared" si="47"/>
        <v>-1933.2039437000001</v>
      </c>
      <c r="N123" s="5">
        <f t="shared" si="47"/>
        <v>-4015.3956640502602</v>
      </c>
      <c r="O123" s="5">
        <f t="shared" si="47"/>
        <v>-12607.643490206076</v>
      </c>
      <c r="P123" s="5">
        <f t="shared" si="47"/>
        <v>-18584.964342546351</v>
      </c>
      <c r="Q123" s="5">
        <f t="shared" si="47"/>
        <v>-23554.449187413986</v>
      </c>
      <c r="R123" s="5">
        <f t="shared" si="47"/>
        <v>-30361.74199436458</v>
      </c>
      <c r="S123" s="5">
        <f t="shared" si="47"/>
        <v>-40371.28098920406</v>
      </c>
      <c r="T123" s="5">
        <f t="shared" si="47"/>
        <v>-51459.530225769333</v>
      </c>
      <c r="U123" s="5">
        <f t="shared" si="47"/>
        <v>-74225.943548715048</v>
      </c>
      <c r="V123" s="5">
        <f t="shared" si="47"/>
        <v>-125691.56045858457</v>
      </c>
    </row>
    <row r="124" spans="1:22" x14ac:dyDescent="0.2">
      <c r="C124" s="5"/>
      <c r="D124" s="5"/>
      <c r="E124" s="5"/>
      <c r="F124" s="5"/>
      <c r="G124" s="5"/>
      <c r="H124" s="5"/>
      <c r="I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">
      <c r="B125" s="3" t="s">
        <v>44</v>
      </c>
      <c r="C125" s="60">
        <f>C123/C51</f>
        <v>-2.7213198401224593E-3</v>
      </c>
      <c r="D125" s="60">
        <f t="shared" ref="D125:E125" si="48">D123/D51</f>
        <v>-2.7025767671590329E-3</v>
      </c>
      <c r="E125" s="60">
        <f t="shared" si="48"/>
        <v>-4.4755472373667511E-3</v>
      </c>
      <c r="F125" s="36"/>
      <c r="G125" s="36"/>
      <c r="H125" s="36"/>
      <c r="I125" s="36"/>
      <c r="L125" s="61">
        <f>E125</f>
        <v>-4.4755472373667511E-3</v>
      </c>
      <c r="M125" s="62">
        <v>-0.05</v>
      </c>
      <c r="N125" s="62">
        <v>-7.0000000000000007E-2</v>
      </c>
      <c r="O125" s="62">
        <v>-0.15</v>
      </c>
      <c r="P125" s="62">
        <f t="shared" ref="P125:V125" si="49">O125</f>
        <v>-0.15</v>
      </c>
      <c r="Q125" s="62">
        <f t="shared" si="49"/>
        <v>-0.15</v>
      </c>
      <c r="R125" s="62">
        <f t="shared" si="49"/>
        <v>-0.15</v>
      </c>
      <c r="S125" s="62">
        <f t="shared" si="49"/>
        <v>-0.15</v>
      </c>
      <c r="T125" s="62">
        <f t="shared" si="49"/>
        <v>-0.15</v>
      </c>
      <c r="U125" s="62">
        <f t="shared" si="49"/>
        <v>-0.15</v>
      </c>
      <c r="V125" s="63">
        <f t="shared" si="49"/>
        <v>-0.15</v>
      </c>
    </row>
    <row r="127" spans="1:22" s="1" customFormat="1" x14ac:dyDescent="0.2">
      <c r="A127" s="65"/>
      <c r="B127" s="1" t="s">
        <v>26</v>
      </c>
      <c r="C127" s="7">
        <f>C122+C123</f>
        <v>-2240.2120679554773</v>
      </c>
      <c r="D127" s="7">
        <f t="shared" ref="D127:E127" si="50">D122+D123</f>
        <v>-1062.2237976406541</v>
      </c>
      <c r="E127" s="7">
        <f t="shared" si="50"/>
        <v>-774.2011327185246</v>
      </c>
      <c r="F127" s="7"/>
      <c r="G127" s="7"/>
      <c r="H127" s="7"/>
      <c r="I127" s="7"/>
      <c r="L127" s="22">
        <f>L122+L123</f>
        <v>2061.9421476605125</v>
      </c>
      <c r="M127" s="22">
        <f t="shared" ref="M127:V127" si="51">M122+M123</f>
        <v>3464.5822742999962</v>
      </c>
      <c r="N127" s="22">
        <f t="shared" si="51"/>
        <v>6433.4657192097384</v>
      </c>
      <c r="O127" s="22">
        <f t="shared" si="51"/>
        <v>4879.264342882132</v>
      </c>
      <c r="P127" s="22">
        <f t="shared" si="51"/>
        <v>9493.1106791980164</v>
      </c>
      <c r="Q127" s="22">
        <f t="shared" si="51"/>
        <v>13124.943329119866</v>
      </c>
      <c r="R127" s="22">
        <f t="shared" si="51"/>
        <v>17978.212620551771</v>
      </c>
      <c r="S127" s="22">
        <f t="shared" si="51"/>
        <v>24782.500286201794</v>
      </c>
      <c r="T127" s="22">
        <f t="shared" si="51"/>
        <v>30902.316893708186</v>
      </c>
      <c r="U127" s="22">
        <f t="shared" si="51"/>
        <v>42573.977926618114</v>
      </c>
      <c r="V127" s="22">
        <f t="shared" si="51"/>
        <v>67750.95141318487</v>
      </c>
    </row>
    <row r="129" spans="2:22" x14ac:dyDescent="0.2">
      <c r="B129" s="1" t="s">
        <v>41</v>
      </c>
      <c r="C129" s="13">
        <v>1636</v>
      </c>
      <c r="D129" s="13">
        <v>1901</v>
      </c>
      <c r="E129" s="13">
        <v>2154</v>
      </c>
      <c r="F129" s="13"/>
      <c r="G129" s="13"/>
      <c r="H129" s="13"/>
      <c r="I129" s="13"/>
      <c r="K129" s="17"/>
      <c r="L129" s="14">
        <f>L130*L51</f>
        <v>4903.2021720000002</v>
      </c>
      <c r="M129" s="14">
        <f t="shared" ref="M129:V129" si="52">M130*M51</f>
        <v>7191.5186705639999</v>
      </c>
      <c r="N129" s="14">
        <f t="shared" si="52"/>
        <v>10669.479907333547</v>
      </c>
      <c r="O129" s="14">
        <f t="shared" si="52"/>
        <v>15633.477927855534</v>
      </c>
      <c r="P129" s="14">
        <f t="shared" si="52"/>
        <v>23045.355784757478</v>
      </c>
      <c r="Q129" s="14">
        <f t="shared" si="52"/>
        <v>29207.516992393343</v>
      </c>
      <c r="R129" s="14">
        <f t="shared" si="52"/>
        <v>37648.560073012079</v>
      </c>
      <c r="S129" s="14">
        <f t="shared" si="52"/>
        <v>50060.388426613034</v>
      </c>
      <c r="T129" s="14">
        <f t="shared" si="52"/>
        <v>63809.817479953977</v>
      </c>
      <c r="U129" s="14">
        <f t="shared" si="52"/>
        <v>92040.170000406666</v>
      </c>
      <c r="V129" s="14">
        <f t="shared" si="52"/>
        <v>155857.53496864488</v>
      </c>
    </row>
    <row r="130" spans="2:22" x14ac:dyDescent="0.2">
      <c r="B130" s="3" t="s">
        <v>54</v>
      </c>
      <c r="C130" s="13"/>
      <c r="D130" s="27">
        <f>D129/D166</f>
        <v>0.1677846425419241</v>
      </c>
      <c r="E130" s="27">
        <f>E129/E166</f>
        <v>0.20719507502885726</v>
      </c>
      <c r="F130" s="27"/>
      <c r="G130" s="27"/>
      <c r="H130" s="27"/>
      <c r="I130" s="27"/>
      <c r="K130" s="37"/>
      <c r="L130" s="24">
        <f t="shared" ref="L130:V130" si="53">IF($C$5 = "A", L132, IF($C$5 = "B", L133, L134))</f>
        <v>0.186</v>
      </c>
      <c r="M130" s="24">
        <f t="shared" si="53"/>
        <v>0.186</v>
      </c>
      <c r="N130" s="24">
        <f t="shared" si="53"/>
        <v>0.186</v>
      </c>
      <c r="O130" s="24">
        <f t="shared" si="53"/>
        <v>0.186</v>
      </c>
      <c r="P130" s="24">
        <f t="shared" si="53"/>
        <v>0.186</v>
      </c>
      <c r="Q130" s="24">
        <f t="shared" si="53"/>
        <v>0.186</v>
      </c>
      <c r="R130" s="24">
        <f t="shared" si="53"/>
        <v>0.186</v>
      </c>
      <c r="S130" s="24">
        <f t="shared" si="53"/>
        <v>0.186</v>
      </c>
      <c r="T130" s="24">
        <f t="shared" si="53"/>
        <v>0.186</v>
      </c>
      <c r="U130" s="24">
        <f t="shared" si="53"/>
        <v>0.186</v>
      </c>
      <c r="V130" s="24">
        <f t="shared" si="53"/>
        <v>0.186</v>
      </c>
    </row>
    <row r="131" spans="2:22" x14ac:dyDescent="0.2">
      <c r="B131" s="2"/>
      <c r="C131" s="13"/>
      <c r="D131" s="27"/>
      <c r="E131" s="27"/>
      <c r="F131" s="27"/>
      <c r="G131" s="27"/>
      <c r="H131" s="27"/>
      <c r="I131" s="27"/>
      <c r="K131" s="17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2:22" x14ac:dyDescent="0.2">
      <c r="B132" s="2"/>
      <c r="C132" s="13"/>
      <c r="D132" s="27"/>
      <c r="E132" s="27"/>
      <c r="F132" s="27"/>
      <c r="G132" s="27"/>
      <c r="H132" s="27"/>
      <c r="I132" s="27"/>
      <c r="K132" s="17" t="s">
        <v>31</v>
      </c>
      <c r="L132" s="15">
        <v>0.186</v>
      </c>
      <c r="M132" s="15">
        <v>0.186</v>
      </c>
      <c r="N132" s="15">
        <v>0.186</v>
      </c>
      <c r="O132" s="15">
        <v>0.186</v>
      </c>
      <c r="P132" s="15">
        <v>0.186</v>
      </c>
      <c r="Q132" s="15">
        <v>0.186</v>
      </c>
      <c r="R132" s="15">
        <v>0.186</v>
      </c>
      <c r="S132" s="15">
        <v>0.186</v>
      </c>
      <c r="T132" s="15">
        <v>0.186</v>
      </c>
      <c r="U132" s="15">
        <v>0.186</v>
      </c>
      <c r="V132" s="15">
        <v>0.186</v>
      </c>
    </row>
    <row r="133" spans="2:22" x14ac:dyDescent="0.2">
      <c r="B133" s="2"/>
      <c r="C133" s="13"/>
      <c r="D133" s="27"/>
      <c r="E133" s="27"/>
      <c r="F133" s="27"/>
      <c r="G133" s="27"/>
      <c r="H133" s="27"/>
      <c r="I133" s="27"/>
      <c r="K133" s="17" t="s">
        <v>33</v>
      </c>
      <c r="L133" s="18">
        <v>0.20699999999999999</v>
      </c>
      <c r="M133" s="18">
        <v>0.20699999999999999</v>
      </c>
      <c r="N133" s="18">
        <v>0.20699999999999999</v>
      </c>
      <c r="O133" s="18">
        <v>0.20699999999999999</v>
      </c>
      <c r="P133" s="18">
        <v>0.20699999999999999</v>
      </c>
      <c r="Q133" s="18">
        <v>0.20699999999999999</v>
      </c>
      <c r="R133" s="18">
        <v>0.20699999999999999</v>
      </c>
      <c r="S133" s="18">
        <v>0.20699999999999999</v>
      </c>
      <c r="T133" s="18">
        <v>0.20699999999999999</v>
      </c>
      <c r="U133" s="18">
        <v>0.20699999999999999</v>
      </c>
      <c r="V133" s="18">
        <v>0.20699999999999999</v>
      </c>
    </row>
    <row r="134" spans="2:22" x14ac:dyDescent="0.2">
      <c r="B134" s="2"/>
      <c r="C134" s="13"/>
      <c r="D134" s="27"/>
      <c r="E134" s="27"/>
      <c r="F134" s="27"/>
      <c r="G134" s="27"/>
      <c r="H134" s="27"/>
      <c r="I134" s="27"/>
      <c r="K134" s="17" t="s">
        <v>32</v>
      </c>
      <c r="L134" s="18">
        <v>0.20699999999999999</v>
      </c>
      <c r="M134" s="18">
        <v>0.20699999999999999</v>
      </c>
      <c r="N134" s="18">
        <v>0.20699999999999999</v>
      </c>
      <c r="O134" s="18">
        <v>0.20699999999999999</v>
      </c>
      <c r="P134" s="18">
        <v>0.20699999999999999</v>
      </c>
      <c r="Q134" s="18">
        <v>0.20699999999999999</v>
      </c>
      <c r="R134" s="18">
        <v>0.20699999999999999</v>
      </c>
      <c r="S134" s="18">
        <v>0.20699999999999999</v>
      </c>
      <c r="T134" s="18">
        <v>0.20699999999999999</v>
      </c>
      <c r="U134" s="18">
        <v>0.20699999999999999</v>
      </c>
      <c r="V134" s="18">
        <v>0.20699999999999999</v>
      </c>
    </row>
    <row r="135" spans="2:22" x14ac:dyDescent="0.2">
      <c r="B135" s="2"/>
      <c r="C135" s="13"/>
      <c r="D135" s="27"/>
      <c r="E135" s="27"/>
      <c r="F135" s="27"/>
      <c r="G135" s="27"/>
      <c r="H135" s="27"/>
      <c r="I135" s="27"/>
    </row>
    <row r="136" spans="2:22" x14ac:dyDescent="0.2">
      <c r="B136" s="2"/>
      <c r="C136" s="13"/>
      <c r="D136" s="27"/>
      <c r="E136" s="27"/>
      <c r="F136" s="27"/>
      <c r="G136" s="27"/>
      <c r="H136" s="27"/>
      <c r="I136" s="27"/>
    </row>
    <row r="137" spans="2:22" x14ac:dyDescent="0.2">
      <c r="B137" s="1"/>
      <c r="C137" s="13"/>
      <c r="D137" s="13"/>
      <c r="E137" s="13"/>
      <c r="F137" s="13"/>
      <c r="G137" s="13"/>
      <c r="H137" s="13"/>
      <c r="I137" s="13"/>
    </row>
    <row r="138" spans="2:22" x14ac:dyDescent="0.2">
      <c r="B138" t="s">
        <v>42</v>
      </c>
      <c r="C138" s="13">
        <v>467</v>
      </c>
      <c r="D138" s="13">
        <v>749</v>
      </c>
      <c r="E138" s="13">
        <v>898</v>
      </c>
      <c r="F138" s="13"/>
      <c r="G138" s="13"/>
      <c r="H138" s="13"/>
      <c r="I138" s="13"/>
      <c r="K138" s="17"/>
      <c r="L138" s="14">
        <f>L139*L51</f>
        <v>975.36817400000007</v>
      </c>
      <c r="M138" s="14">
        <f t="shared" ref="M138:V138" si="54">M139*M51</f>
        <v>1430.570918338</v>
      </c>
      <c r="N138" s="14">
        <f t="shared" si="54"/>
        <v>2122.423422426566</v>
      </c>
      <c r="O138" s="14">
        <f t="shared" si="54"/>
        <v>3109.8853942508317</v>
      </c>
      <c r="P138" s="14">
        <f t="shared" si="54"/>
        <v>4584.291204494767</v>
      </c>
      <c r="Q138" s="14">
        <f t="shared" si="54"/>
        <v>5810.0974662287827</v>
      </c>
      <c r="R138" s="14">
        <f t="shared" si="54"/>
        <v>7489.2296919432629</v>
      </c>
      <c r="S138" s="14">
        <f t="shared" si="54"/>
        <v>9958.2493106703332</v>
      </c>
      <c r="T138" s="14">
        <f t="shared" si="54"/>
        <v>12693.350789023103</v>
      </c>
      <c r="U138" s="14">
        <f t="shared" si="54"/>
        <v>18309.066075349714</v>
      </c>
      <c r="V138" s="14">
        <f t="shared" si="54"/>
        <v>31003.918246450863</v>
      </c>
    </row>
    <row r="139" spans="2:22" x14ac:dyDescent="0.2">
      <c r="B139" s="3" t="s">
        <v>39</v>
      </c>
      <c r="C139" s="27">
        <f>C138/C51</f>
        <v>3.971426141678714E-2</v>
      </c>
      <c r="D139" s="27">
        <f t="shared" ref="D139:E139" si="55">D138/D51</f>
        <v>3.4900517217277854E-2</v>
      </c>
      <c r="E139" s="27">
        <f t="shared" si="55"/>
        <v>3.6536740174139472E-2</v>
      </c>
      <c r="F139" s="27"/>
      <c r="G139" s="27"/>
      <c r="H139" s="27"/>
      <c r="I139" s="27"/>
      <c r="K139" s="37"/>
      <c r="L139" s="24">
        <f t="shared" ref="L139:V139" si="56">IF($C$5 = "A", L141, IF($C$5 = "B", L142, L143))</f>
        <v>3.6999999999999998E-2</v>
      </c>
      <c r="M139" s="24">
        <f t="shared" si="56"/>
        <v>3.6999999999999998E-2</v>
      </c>
      <c r="N139" s="24">
        <f t="shared" si="56"/>
        <v>3.6999999999999998E-2</v>
      </c>
      <c r="O139" s="24">
        <f t="shared" si="56"/>
        <v>3.6999999999999998E-2</v>
      </c>
      <c r="P139" s="24">
        <f t="shared" si="56"/>
        <v>3.6999999999999998E-2</v>
      </c>
      <c r="Q139" s="24">
        <f t="shared" si="56"/>
        <v>3.6999999999999998E-2</v>
      </c>
      <c r="R139" s="24">
        <f t="shared" si="56"/>
        <v>3.6999999999999998E-2</v>
      </c>
      <c r="S139" s="24">
        <f t="shared" si="56"/>
        <v>3.6999999999999998E-2</v>
      </c>
      <c r="T139" s="24">
        <f t="shared" si="56"/>
        <v>3.6999999999999998E-2</v>
      </c>
      <c r="U139" s="24">
        <f t="shared" si="56"/>
        <v>3.6999999999999998E-2</v>
      </c>
      <c r="V139" s="24">
        <f t="shared" si="56"/>
        <v>3.6999999999999998E-2</v>
      </c>
    </row>
    <row r="140" spans="2:22" x14ac:dyDescent="0.2">
      <c r="C140" s="13"/>
      <c r="D140" s="13"/>
      <c r="E140" s="13"/>
      <c r="F140" s="13"/>
      <c r="G140" s="13"/>
      <c r="H140" s="13"/>
      <c r="I140" s="13"/>
      <c r="K140" s="17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2:22" x14ac:dyDescent="0.2">
      <c r="C141" s="13"/>
      <c r="D141" s="13"/>
      <c r="E141" s="13"/>
      <c r="F141" s="13"/>
      <c r="G141" s="13"/>
      <c r="H141" s="13"/>
      <c r="I141" s="13"/>
      <c r="K141" s="17" t="s">
        <v>31</v>
      </c>
      <c r="L141" s="15">
        <v>3.6999999999999998E-2</v>
      </c>
      <c r="M141" s="15">
        <v>3.6999999999999998E-2</v>
      </c>
      <c r="N141" s="15">
        <v>3.6999999999999998E-2</v>
      </c>
      <c r="O141" s="15">
        <v>3.6999999999999998E-2</v>
      </c>
      <c r="P141" s="15">
        <v>3.6999999999999998E-2</v>
      </c>
      <c r="Q141" s="15">
        <v>3.6999999999999998E-2</v>
      </c>
      <c r="R141" s="15">
        <v>3.6999999999999998E-2</v>
      </c>
      <c r="S141" s="15">
        <v>3.6999999999999998E-2</v>
      </c>
      <c r="T141" s="15">
        <v>3.6999999999999998E-2</v>
      </c>
      <c r="U141" s="15">
        <v>3.6999999999999998E-2</v>
      </c>
      <c r="V141" s="15">
        <v>3.6999999999999998E-2</v>
      </c>
    </row>
    <row r="142" spans="2:22" x14ac:dyDescent="0.2">
      <c r="C142" s="13"/>
      <c r="D142" s="13"/>
      <c r="E142" s="13"/>
      <c r="F142" s="13"/>
      <c r="G142" s="13"/>
      <c r="H142" s="13"/>
      <c r="I142" s="13"/>
      <c r="K142" s="17" t="s">
        <v>33</v>
      </c>
      <c r="L142" s="18">
        <v>3.6999999999999998E-2</v>
      </c>
      <c r="M142" s="18">
        <v>3.6999999999999998E-2</v>
      </c>
      <c r="N142" s="18">
        <v>3.6999999999999998E-2</v>
      </c>
      <c r="O142" s="18">
        <v>3.6999999999999998E-2</v>
      </c>
      <c r="P142" s="18">
        <v>3.6999999999999998E-2</v>
      </c>
      <c r="Q142" s="18">
        <v>3.6999999999999998E-2</v>
      </c>
      <c r="R142" s="18">
        <v>3.6999999999999998E-2</v>
      </c>
      <c r="S142" s="18">
        <v>3.6999999999999998E-2</v>
      </c>
      <c r="T142" s="18">
        <v>3.6999999999999998E-2</v>
      </c>
      <c r="U142" s="18">
        <v>3.6999999999999998E-2</v>
      </c>
      <c r="V142" s="18">
        <v>3.6999999999999998E-2</v>
      </c>
    </row>
    <row r="143" spans="2:22" x14ac:dyDescent="0.2">
      <c r="C143" s="13"/>
      <c r="D143" s="13"/>
      <c r="E143" s="13"/>
      <c r="F143" s="13"/>
      <c r="G143" s="13"/>
      <c r="H143" s="13"/>
      <c r="I143" s="13"/>
      <c r="K143" s="17" t="s">
        <v>32</v>
      </c>
      <c r="L143" s="18">
        <v>3.6999999999999998E-2</v>
      </c>
      <c r="M143" s="18">
        <v>3.6999999999999998E-2</v>
      </c>
      <c r="N143" s="18">
        <v>3.6999999999999998E-2</v>
      </c>
      <c r="O143" s="18">
        <v>3.6999999999999998E-2</v>
      </c>
      <c r="P143" s="18">
        <v>3.6999999999999998E-2</v>
      </c>
      <c r="Q143" s="18">
        <v>3.6999999999999998E-2</v>
      </c>
      <c r="R143" s="18">
        <v>3.6999999999999998E-2</v>
      </c>
      <c r="S143" s="18">
        <v>3.6999999999999998E-2</v>
      </c>
      <c r="T143" s="18">
        <v>3.6999999999999998E-2</v>
      </c>
      <c r="U143" s="18">
        <v>3.6999999999999998E-2</v>
      </c>
      <c r="V143" s="18">
        <v>3.6999999999999998E-2</v>
      </c>
    </row>
    <row r="144" spans="2:22" x14ac:dyDescent="0.2">
      <c r="C144" s="13"/>
      <c r="D144" s="13"/>
      <c r="E144" s="13"/>
      <c r="F144" s="13"/>
      <c r="G144" s="13"/>
      <c r="H144" s="13"/>
      <c r="I144" s="13"/>
    </row>
    <row r="145" spans="1:22" x14ac:dyDescent="0.2">
      <c r="C145" s="13"/>
      <c r="D145" s="13"/>
      <c r="E145" s="13"/>
      <c r="F145" s="13"/>
      <c r="G145" s="13"/>
      <c r="H145" s="13"/>
      <c r="I145" s="13"/>
    </row>
    <row r="146" spans="1:22" x14ac:dyDescent="0.2">
      <c r="C146" s="13"/>
      <c r="D146" s="13"/>
      <c r="E146" s="13"/>
      <c r="F146" s="13"/>
      <c r="G146" s="13"/>
      <c r="H146" s="13"/>
      <c r="I146" s="13"/>
    </row>
    <row r="148" spans="1:22" s="1" customFormat="1" x14ac:dyDescent="0.2">
      <c r="A148" s="65"/>
      <c r="B148" s="1" t="s">
        <v>43</v>
      </c>
      <c r="C148" s="7">
        <f>C116+C129+C138</f>
        <v>471.78793204452268</v>
      </c>
      <c r="D148" s="7">
        <f t="shared" ref="D148" si="57">D116+D129+D138</f>
        <v>2262.7762023593459</v>
      </c>
      <c r="E148" s="7">
        <f>E116+E129+E138</f>
        <v>2983.7988672814754</v>
      </c>
      <c r="F148" s="7"/>
      <c r="G148" s="7"/>
      <c r="H148" s="7"/>
      <c r="I148" s="7"/>
      <c r="L148" s="22">
        <f>L116+L129+L138</f>
        <v>8058.4937460000037</v>
      </c>
      <c r="M148" s="22">
        <f t="shared" ref="M148:V148" si="58">M116+M129+M138</f>
        <v>14019.875806901997</v>
      </c>
      <c r="N148" s="22">
        <f t="shared" si="58"/>
        <v>23240.764713020115</v>
      </c>
      <c r="O148" s="22">
        <f t="shared" si="58"/>
        <v>36230.271155194569</v>
      </c>
      <c r="P148" s="22">
        <f t="shared" si="58"/>
        <v>55707.722010996607</v>
      </c>
      <c r="Q148" s="22">
        <f t="shared" si="58"/>
        <v>71697.006975155979</v>
      </c>
      <c r="R148" s="22">
        <f t="shared" si="58"/>
        <v>93477.744379871699</v>
      </c>
      <c r="S148" s="22">
        <f t="shared" si="58"/>
        <v>125172.41901268922</v>
      </c>
      <c r="T148" s="22">
        <f t="shared" si="58"/>
        <v>158865.0153884546</v>
      </c>
      <c r="U148" s="22">
        <f t="shared" si="58"/>
        <v>227149.15755108956</v>
      </c>
      <c r="V148" s="22">
        <f t="shared" si="58"/>
        <v>380303.96508686512</v>
      </c>
    </row>
    <row r="149" spans="1:22" x14ac:dyDescent="0.2">
      <c r="B149" s="3" t="s">
        <v>39</v>
      </c>
      <c r="C149" s="10">
        <f>C148/C51</f>
        <v>4.0121433118847069E-2</v>
      </c>
      <c r="D149" s="10">
        <f t="shared" ref="D149:E149" si="59">D148/D51</f>
        <v>0.10543666196166748</v>
      </c>
      <c r="E149" s="10">
        <f t="shared" si="59"/>
        <v>0.12140120706654225</v>
      </c>
      <c r="L149" s="56">
        <f>L148/L51</f>
        <v>0.30569407178750135</v>
      </c>
      <c r="M149" s="56">
        <f t="shared" ref="M149:V149" si="60">M148/M51</f>
        <v>0.36260726274096722</v>
      </c>
      <c r="N149" s="56">
        <f t="shared" si="60"/>
        <v>0.40515397884113596</v>
      </c>
      <c r="O149" s="56">
        <f t="shared" si="60"/>
        <v>0.43105126485380624</v>
      </c>
      <c r="P149" s="56">
        <f t="shared" si="60"/>
        <v>0.44961928081399816</v>
      </c>
      <c r="Q149" s="56">
        <f t="shared" si="60"/>
        <v>0.45658257430277555</v>
      </c>
      <c r="R149" s="56">
        <f t="shared" si="60"/>
        <v>0.4618200648560713</v>
      </c>
      <c r="S149" s="56">
        <f t="shared" si="60"/>
        <v>0.46507969011249251</v>
      </c>
      <c r="T149" s="56">
        <f t="shared" si="60"/>
        <v>0.46307753303847671</v>
      </c>
      <c r="U149" s="56">
        <f t="shared" si="60"/>
        <v>0.45903591121480963</v>
      </c>
      <c r="V149" s="56">
        <f t="shared" si="60"/>
        <v>0.45385381926120899</v>
      </c>
    </row>
    <row r="150" spans="1:22" s="3" customFormat="1" x14ac:dyDescent="0.2">
      <c r="A150" s="66"/>
      <c r="B150" s="3" t="s">
        <v>29</v>
      </c>
      <c r="D150" s="10">
        <f>D148/C148-1</f>
        <v>3.7961722813753687</v>
      </c>
      <c r="E150" s="10">
        <f>E148/D148-1</f>
        <v>0.31864515110700542</v>
      </c>
      <c r="L150" s="10">
        <f>L148/E148-1</f>
        <v>1.7007496498388508</v>
      </c>
      <c r="M150" s="10">
        <f>M148/L148-1</f>
        <v>0.73976381304025285</v>
      </c>
      <c r="N150" s="10">
        <f t="shared" ref="N150:V150" si="61">N148/M148-1</f>
        <v>0.65770118317158466</v>
      </c>
      <c r="O150" s="10">
        <f t="shared" si="61"/>
        <v>0.55891045766223746</v>
      </c>
      <c r="P150" s="10">
        <f t="shared" si="61"/>
        <v>0.537601575554574</v>
      </c>
      <c r="Q150" s="10">
        <f t="shared" si="61"/>
        <v>0.2870209799819694</v>
      </c>
      <c r="R150" s="10">
        <f t="shared" si="61"/>
        <v>0.30378865623028095</v>
      </c>
      <c r="S150" s="10">
        <f t="shared" si="61"/>
        <v>0.33906118341942193</v>
      </c>
      <c r="T150" s="10">
        <f t="shared" si="61"/>
        <v>0.26916949150235592</v>
      </c>
      <c r="U150" s="10">
        <f t="shared" si="61"/>
        <v>0.42982491768667574</v>
      </c>
      <c r="V150" s="10">
        <f t="shared" si="61"/>
        <v>0.67424774622520234</v>
      </c>
    </row>
    <row r="151" spans="1:22" x14ac:dyDescent="0.2">
      <c r="D151" s="56"/>
      <c r="E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</row>
    <row r="152" spans="1:22" s="59" customFormat="1" x14ac:dyDescent="0.2">
      <c r="A152" s="64" t="s">
        <v>10</v>
      </c>
      <c r="B152" s="39" t="s">
        <v>45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4" spans="1:22" x14ac:dyDescent="0.2">
      <c r="B154" t="s">
        <v>46</v>
      </c>
      <c r="D154" s="13">
        <v>8307</v>
      </c>
      <c r="E154" s="13">
        <v>12103</v>
      </c>
      <c r="F154" s="13"/>
      <c r="G154" s="13"/>
      <c r="H154" s="13"/>
      <c r="I154" s="13"/>
    </row>
    <row r="155" spans="1:22" x14ac:dyDescent="0.2">
      <c r="B155" t="s">
        <v>47</v>
      </c>
      <c r="D155" s="13">
        <v>3686</v>
      </c>
      <c r="E155" s="13">
        <v>6268</v>
      </c>
      <c r="F155" s="13"/>
      <c r="G155" s="13"/>
      <c r="H155" s="13"/>
      <c r="I155" s="13"/>
    </row>
    <row r="156" spans="1:22" x14ac:dyDescent="0.2">
      <c r="B156" t="s">
        <v>48</v>
      </c>
      <c r="D156" s="13">
        <v>9993</v>
      </c>
      <c r="E156" s="13">
        <v>10667</v>
      </c>
      <c r="F156" s="13"/>
      <c r="G156" s="13"/>
      <c r="H156" s="13"/>
      <c r="I156" s="13"/>
    </row>
    <row r="157" spans="1:22" x14ac:dyDescent="0.2">
      <c r="B157" t="s">
        <v>49</v>
      </c>
      <c r="D157" s="13">
        <v>2568</v>
      </c>
      <c r="E157" s="13">
        <v>1785</v>
      </c>
      <c r="F157" s="13"/>
      <c r="G157" s="13"/>
      <c r="H157" s="13"/>
      <c r="I157" s="13"/>
    </row>
    <row r="159" spans="1:22" s="1" customFormat="1" x14ac:dyDescent="0.2">
      <c r="A159" s="65"/>
      <c r="B159" s="1" t="s">
        <v>50</v>
      </c>
      <c r="D159" s="5">
        <f>D154-D155-D156+D157</f>
        <v>-2804</v>
      </c>
      <c r="E159" s="5">
        <f>E154-E155-E156+E157</f>
        <v>-3047</v>
      </c>
      <c r="K159" s="17"/>
      <c r="L159" s="14">
        <f>L160*L51*-1</f>
        <v>-2899.7432200000003</v>
      </c>
      <c r="M159" s="14">
        <f t="shared" ref="M159:V159" si="62">M160*M51*-1</f>
        <v>-4253.0486761399998</v>
      </c>
      <c r="N159" s="14">
        <f t="shared" si="62"/>
        <v>-6309.9074720789804</v>
      </c>
      <c r="O159" s="14">
        <f t="shared" si="62"/>
        <v>-9245.6052261511213</v>
      </c>
      <c r="P159" s="14">
        <f t="shared" si="62"/>
        <v>-13628.973851200659</v>
      </c>
      <c r="Q159" s="14">
        <f t="shared" si="62"/>
        <v>-17273.262737436922</v>
      </c>
      <c r="R159" s="14">
        <f t="shared" si="62"/>
        <v>-22265.277462534028</v>
      </c>
      <c r="S159" s="14">
        <f t="shared" si="62"/>
        <v>-29605.606058749643</v>
      </c>
      <c r="T159" s="14">
        <f t="shared" si="62"/>
        <v>-37736.988832230847</v>
      </c>
      <c r="U159" s="14">
        <f t="shared" si="62"/>
        <v>-54432.358602391039</v>
      </c>
      <c r="V159" s="14">
        <f t="shared" si="62"/>
        <v>-92173.811002962029</v>
      </c>
    </row>
    <row r="160" spans="1:22" s="42" customFormat="1" x14ac:dyDescent="0.2">
      <c r="A160" s="66"/>
      <c r="B160" s="3" t="s">
        <v>39</v>
      </c>
      <c r="D160" s="10">
        <f>ABS(D159/D51)</f>
        <v>0.13065560784679187</v>
      </c>
      <c r="E160" s="10">
        <f>ABS(E159/E51)</f>
        <v>0.12397265847505899</v>
      </c>
      <c r="F160" s="10"/>
      <c r="G160" s="10"/>
      <c r="H160" s="10"/>
      <c r="I160" s="10"/>
      <c r="K160" s="37"/>
      <c r="L160" s="27">
        <f t="shared" ref="L160:V160" si="63">IF($C$5 = "A", L162, IF($C$5 = "B", L163, L164))</f>
        <v>0.11</v>
      </c>
      <c r="M160" s="27">
        <f t="shared" si="63"/>
        <v>0.11</v>
      </c>
      <c r="N160" s="27">
        <f t="shared" si="63"/>
        <v>0.11</v>
      </c>
      <c r="O160" s="27">
        <f t="shared" si="63"/>
        <v>0.11</v>
      </c>
      <c r="P160" s="27">
        <f t="shared" si="63"/>
        <v>0.11</v>
      </c>
      <c r="Q160" s="27">
        <f t="shared" si="63"/>
        <v>0.11</v>
      </c>
      <c r="R160" s="27">
        <f t="shared" si="63"/>
        <v>0.11</v>
      </c>
      <c r="S160" s="27">
        <f t="shared" si="63"/>
        <v>0.11</v>
      </c>
      <c r="T160" s="27">
        <f t="shared" si="63"/>
        <v>0.11</v>
      </c>
      <c r="U160" s="27">
        <f t="shared" si="63"/>
        <v>0.11</v>
      </c>
      <c r="V160" s="27">
        <f t="shared" si="63"/>
        <v>0.11</v>
      </c>
    </row>
    <row r="161" spans="1:22" s="1" customFormat="1" x14ac:dyDescent="0.2">
      <c r="A161" s="65"/>
      <c r="K161" s="17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x14ac:dyDescent="0.2">
      <c r="A162" s="65"/>
      <c r="K162" s="17" t="s">
        <v>31</v>
      </c>
      <c r="L162" s="15">
        <v>0.11</v>
      </c>
      <c r="M162" s="15">
        <v>0.11</v>
      </c>
      <c r="N162" s="15">
        <v>0.11</v>
      </c>
      <c r="O162" s="15">
        <v>0.11</v>
      </c>
      <c r="P162" s="15">
        <v>0.11</v>
      </c>
      <c r="Q162" s="15">
        <v>0.11</v>
      </c>
      <c r="R162" s="15">
        <v>0.11</v>
      </c>
      <c r="S162" s="15">
        <v>0.11</v>
      </c>
      <c r="T162" s="15">
        <v>0.11</v>
      </c>
      <c r="U162" s="15">
        <v>0.11</v>
      </c>
      <c r="V162" s="15">
        <v>0.11</v>
      </c>
    </row>
    <row r="163" spans="1:22" s="1" customFormat="1" x14ac:dyDescent="0.2">
      <c r="A163" s="65"/>
      <c r="K163" s="17" t="s">
        <v>33</v>
      </c>
      <c r="L163" s="18">
        <v>0.12</v>
      </c>
      <c r="M163" s="18">
        <v>0.12</v>
      </c>
      <c r="N163" s="18">
        <v>0.12</v>
      </c>
      <c r="O163" s="18">
        <v>0.12</v>
      </c>
      <c r="P163" s="18">
        <v>0.12</v>
      </c>
      <c r="Q163" s="18">
        <v>0.12</v>
      </c>
      <c r="R163" s="18">
        <v>0.12</v>
      </c>
      <c r="S163" s="18">
        <v>0.12</v>
      </c>
      <c r="T163" s="18">
        <v>0.12</v>
      </c>
      <c r="U163" s="18">
        <v>0.12</v>
      </c>
      <c r="V163" s="18">
        <v>0.12</v>
      </c>
    </row>
    <row r="164" spans="1:22" s="1" customFormat="1" x14ac:dyDescent="0.2">
      <c r="A164" s="65"/>
      <c r="K164" s="17" t="s">
        <v>32</v>
      </c>
      <c r="L164" s="18">
        <v>0.13</v>
      </c>
      <c r="M164" s="18">
        <v>0.13</v>
      </c>
      <c r="N164" s="18">
        <v>0.13</v>
      </c>
      <c r="O164" s="18">
        <v>0.13</v>
      </c>
      <c r="P164" s="18">
        <v>0.13</v>
      </c>
      <c r="Q164" s="18">
        <v>0.13</v>
      </c>
      <c r="R164" s="18">
        <v>0.13</v>
      </c>
      <c r="S164" s="18">
        <v>0.13</v>
      </c>
      <c r="T164" s="18">
        <v>0.13</v>
      </c>
      <c r="U164" s="18">
        <v>0.13</v>
      </c>
      <c r="V164" s="18">
        <v>0.13</v>
      </c>
    </row>
    <row r="165" spans="1:22" s="1" customFormat="1" x14ac:dyDescent="0.2">
      <c r="A165" s="65"/>
    </row>
    <row r="166" spans="1:22" s="1" customFormat="1" x14ac:dyDescent="0.2">
      <c r="A166" s="65"/>
      <c r="B166" s="2" t="s">
        <v>55</v>
      </c>
      <c r="D166" s="13">
        <v>11330</v>
      </c>
      <c r="E166" s="13">
        <v>10396</v>
      </c>
      <c r="F166" s="13"/>
      <c r="G166" s="13"/>
      <c r="H166" s="13"/>
      <c r="I166" s="13"/>
    </row>
    <row r="168" spans="1:22" s="59" customFormat="1" x14ac:dyDescent="0.2">
      <c r="A168" s="64" t="s">
        <v>10</v>
      </c>
      <c r="B168" s="39" t="s">
        <v>51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70" spans="1:22" x14ac:dyDescent="0.2">
      <c r="B170" t="s">
        <v>52</v>
      </c>
      <c r="C170" s="5">
        <v>-3415</v>
      </c>
      <c r="D170" s="5">
        <v>-2101</v>
      </c>
      <c r="E170" s="5">
        <v>-1327</v>
      </c>
      <c r="F170" s="5"/>
      <c r="G170" s="5"/>
      <c r="H170" s="5"/>
      <c r="I170" s="5"/>
    </row>
    <row r="171" spans="1:22" x14ac:dyDescent="0.2">
      <c r="B171" t="s">
        <v>53</v>
      </c>
      <c r="C171" s="5">
        <v>-666</v>
      </c>
      <c r="D171" s="5">
        <v>-218</v>
      </c>
      <c r="E171" s="5">
        <v>-105</v>
      </c>
      <c r="F171" s="5"/>
      <c r="G171" s="5"/>
      <c r="H171" s="5"/>
      <c r="I171" s="5"/>
    </row>
    <row r="173" spans="1:22" s="1" customFormat="1" x14ac:dyDescent="0.2">
      <c r="A173" s="65"/>
      <c r="B173" s="1" t="s">
        <v>77</v>
      </c>
      <c r="C173" s="5">
        <f>C170+C171</f>
        <v>-4081</v>
      </c>
      <c r="D173" s="5">
        <f t="shared" ref="D173:E173" si="64">D170+D171</f>
        <v>-2319</v>
      </c>
      <c r="E173" s="5">
        <f t="shared" si="64"/>
        <v>-1432</v>
      </c>
      <c r="K173" s="17"/>
      <c r="L173" s="14">
        <f>L174*L51</f>
        <v>-1318.0651000000003</v>
      </c>
      <c r="M173" s="14">
        <f t="shared" ref="M173:V173" si="65">M174*M51</f>
        <v>-1933.2039437000001</v>
      </c>
      <c r="N173" s="14">
        <f t="shared" si="65"/>
        <v>-2868.1397600359001</v>
      </c>
      <c r="O173" s="14">
        <f t="shared" si="65"/>
        <v>-4202.5478300686918</v>
      </c>
      <c r="P173" s="14">
        <f t="shared" si="65"/>
        <v>-6194.9881141821179</v>
      </c>
      <c r="Q173" s="14">
        <f t="shared" si="65"/>
        <v>-7851.4830624713286</v>
      </c>
      <c r="R173" s="14">
        <f t="shared" si="65"/>
        <v>-10120.580664788195</v>
      </c>
      <c r="S173" s="14">
        <f t="shared" si="65"/>
        <v>-13457.093663068021</v>
      </c>
      <c r="T173" s="14">
        <f t="shared" si="65"/>
        <v>-17153.176741923115</v>
      </c>
      <c r="U173" s="14">
        <f t="shared" si="65"/>
        <v>-24741.98118290502</v>
      </c>
      <c r="V173" s="14">
        <f t="shared" si="65"/>
        <v>-41897.1868195282</v>
      </c>
    </row>
    <row r="174" spans="1:22" s="3" customFormat="1" x14ac:dyDescent="0.2">
      <c r="A174" s="66"/>
      <c r="B174" s="3" t="s">
        <v>39</v>
      </c>
      <c r="C174" s="10">
        <f>C173/C51</f>
        <v>-0.34705332086061741</v>
      </c>
      <c r="D174" s="10">
        <f t="shared" ref="D174:E174" si="66">D173/D51</f>
        <v>-0.1080564745352034</v>
      </c>
      <c r="E174" s="10">
        <f t="shared" si="66"/>
        <v>-5.8263487671901704E-2</v>
      </c>
      <c r="F174" s="10"/>
      <c r="G174" s="10"/>
      <c r="H174" s="10"/>
      <c r="I174" s="10"/>
      <c r="K174" s="37"/>
      <c r="L174" s="27">
        <f t="shared" ref="L174:V174" si="67">IF($C$5 = "A", L176, IF($C$5 = "B", L177, L178))</f>
        <v>-0.05</v>
      </c>
      <c r="M174" s="27">
        <f t="shared" si="67"/>
        <v>-0.05</v>
      </c>
      <c r="N174" s="27">
        <f t="shared" si="67"/>
        <v>-0.05</v>
      </c>
      <c r="O174" s="27">
        <f t="shared" si="67"/>
        <v>-0.05</v>
      </c>
      <c r="P174" s="27">
        <f t="shared" si="67"/>
        <v>-0.05</v>
      </c>
      <c r="Q174" s="27">
        <f t="shared" si="67"/>
        <v>-0.05</v>
      </c>
      <c r="R174" s="27">
        <f t="shared" si="67"/>
        <v>-0.05</v>
      </c>
      <c r="S174" s="27">
        <f t="shared" si="67"/>
        <v>-0.05</v>
      </c>
      <c r="T174" s="27">
        <f t="shared" si="67"/>
        <v>-0.05</v>
      </c>
      <c r="U174" s="27">
        <f t="shared" si="67"/>
        <v>-0.05</v>
      </c>
      <c r="V174" s="27">
        <f t="shared" si="67"/>
        <v>-0.05</v>
      </c>
    </row>
    <row r="175" spans="1:22" x14ac:dyDescent="0.2">
      <c r="K175" s="17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x14ac:dyDescent="0.2">
      <c r="K176" s="17" t="s">
        <v>31</v>
      </c>
      <c r="L176" s="15">
        <v>-0.05</v>
      </c>
      <c r="M176" s="15">
        <v>-0.05</v>
      </c>
      <c r="N176" s="15">
        <v>-0.05</v>
      </c>
      <c r="O176" s="15">
        <v>-0.05</v>
      </c>
      <c r="P176" s="15">
        <v>-0.05</v>
      </c>
      <c r="Q176" s="15">
        <v>-0.05</v>
      </c>
      <c r="R176" s="15">
        <v>-0.05</v>
      </c>
      <c r="S176" s="15">
        <v>-0.05</v>
      </c>
      <c r="T176" s="15">
        <v>-0.05</v>
      </c>
      <c r="U176" s="15">
        <v>-0.05</v>
      </c>
      <c r="V176" s="15">
        <v>-0.05</v>
      </c>
    </row>
    <row r="177" spans="1:26" x14ac:dyDescent="0.2">
      <c r="K177" s="17" t="s">
        <v>33</v>
      </c>
      <c r="L177" s="18">
        <v>-5.8000000000000003E-2</v>
      </c>
      <c r="M177" s="18">
        <v>-5.8000000000000003E-2</v>
      </c>
      <c r="N177" s="18">
        <v>-5.8000000000000003E-2</v>
      </c>
      <c r="O177" s="18">
        <v>-5.8000000000000003E-2</v>
      </c>
      <c r="P177" s="18">
        <v>-5.8000000000000003E-2</v>
      </c>
      <c r="Q177" s="18">
        <v>-5.8000000000000003E-2</v>
      </c>
      <c r="R177" s="18">
        <v>-5.8000000000000003E-2</v>
      </c>
      <c r="S177" s="18">
        <v>-5.8000000000000003E-2</v>
      </c>
      <c r="T177" s="18">
        <v>-5.8000000000000003E-2</v>
      </c>
      <c r="U177" s="18">
        <v>-5.8000000000000003E-2</v>
      </c>
      <c r="V177" s="18">
        <v>-5.8000000000000003E-2</v>
      </c>
    </row>
    <row r="178" spans="1:26" x14ac:dyDescent="0.2">
      <c r="K178" s="17" t="s">
        <v>32</v>
      </c>
      <c r="L178" s="18">
        <v>-5.7000000000000002E-2</v>
      </c>
      <c r="M178" s="18">
        <v>-5.7000000000000002E-2</v>
      </c>
      <c r="N178" s="18">
        <v>-5.7000000000000002E-2</v>
      </c>
      <c r="O178" s="18">
        <v>-5.7000000000000002E-2</v>
      </c>
      <c r="P178" s="18">
        <v>-5.7000000000000002E-2</v>
      </c>
      <c r="Q178" s="18">
        <v>-5.7000000000000002E-2</v>
      </c>
      <c r="R178" s="18">
        <v>-5.7000000000000002E-2</v>
      </c>
      <c r="S178" s="18">
        <v>-5.7000000000000002E-2</v>
      </c>
      <c r="T178" s="18">
        <v>-5.7000000000000002E-2</v>
      </c>
      <c r="U178" s="18">
        <v>-5.7000000000000002E-2</v>
      </c>
      <c r="V178" s="18">
        <v>-5.7000000000000002E-2</v>
      </c>
    </row>
    <row r="180" spans="1:26" x14ac:dyDescent="0.2">
      <c r="A180" s="64" t="s">
        <v>10</v>
      </c>
      <c r="B180" s="39" t="s">
        <v>70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2" spans="1:26" x14ac:dyDescent="0.2">
      <c r="B182" t="s">
        <v>71</v>
      </c>
      <c r="C182" s="6">
        <f>C148</f>
        <v>471.78793204452268</v>
      </c>
      <c r="D182" s="6">
        <f t="shared" ref="D182:E182" si="68">D148</f>
        <v>2262.7762023593459</v>
      </c>
      <c r="E182" s="6">
        <f t="shared" si="68"/>
        <v>2983.7988672814754</v>
      </c>
      <c r="L182" s="21">
        <f>L148</f>
        <v>8058.4937460000037</v>
      </c>
      <c r="M182" s="21">
        <f t="shared" ref="M182:V182" si="69">M148</f>
        <v>14019.875806901997</v>
      </c>
      <c r="N182" s="21">
        <f t="shared" si="69"/>
        <v>23240.764713020115</v>
      </c>
      <c r="O182" s="21">
        <f t="shared" si="69"/>
        <v>36230.271155194569</v>
      </c>
      <c r="P182" s="21">
        <f t="shared" si="69"/>
        <v>55707.722010996607</v>
      </c>
      <c r="Q182" s="21">
        <f t="shared" si="69"/>
        <v>71697.006975155979</v>
      </c>
      <c r="R182" s="21">
        <f t="shared" si="69"/>
        <v>93477.744379871699</v>
      </c>
      <c r="S182" s="21">
        <f t="shared" si="69"/>
        <v>125172.41901268922</v>
      </c>
      <c r="T182" s="21">
        <f t="shared" si="69"/>
        <v>158865.0153884546</v>
      </c>
      <c r="U182" s="21">
        <f t="shared" si="69"/>
        <v>227149.15755108956</v>
      </c>
      <c r="V182" s="21">
        <f t="shared" si="69"/>
        <v>380303.96508686512</v>
      </c>
    </row>
    <row r="183" spans="1:26" x14ac:dyDescent="0.2">
      <c r="B183" t="s">
        <v>72</v>
      </c>
      <c r="C183" s="6">
        <f>C123</f>
        <v>-32</v>
      </c>
      <c r="D183" s="6">
        <f t="shared" ref="D183:E183" si="70">D123</f>
        <v>-58</v>
      </c>
      <c r="E183" s="6">
        <f t="shared" si="70"/>
        <v>-110</v>
      </c>
      <c r="L183" s="6">
        <f>L123</f>
        <v>-117.98125233949062</v>
      </c>
      <c r="M183" s="6">
        <f t="shared" ref="M183:V183" si="71">M123</f>
        <v>-1933.2039437000001</v>
      </c>
      <c r="N183" s="6">
        <f t="shared" si="71"/>
        <v>-4015.3956640502602</v>
      </c>
      <c r="O183" s="6">
        <f t="shared" si="71"/>
        <v>-12607.643490206076</v>
      </c>
      <c r="P183" s="6">
        <f t="shared" si="71"/>
        <v>-18584.964342546351</v>
      </c>
      <c r="Q183" s="6">
        <f t="shared" si="71"/>
        <v>-23554.449187413986</v>
      </c>
      <c r="R183" s="6">
        <f t="shared" si="71"/>
        <v>-30361.74199436458</v>
      </c>
      <c r="S183" s="6">
        <f t="shared" si="71"/>
        <v>-40371.28098920406</v>
      </c>
      <c r="T183" s="6">
        <f t="shared" si="71"/>
        <v>-51459.530225769333</v>
      </c>
      <c r="U183" s="6">
        <f t="shared" si="71"/>
        <v>-74225.943548715048</v>
      </c>
      <c r="V183" s="6">
        <f t="shared" si="71"/>
        <v>-125691.56045858457</v>
      </c>
    </row>
    <row r="184" spans="1:26" x14ac:dyDescent="0.2">
      <c r="B184" t="s">
        <v>73</v>
      </c>
      <c r="D184" s="6">
        <f>D173</f>
        <v>-2319</v>
      </c>
      <c r="E184" s="6">
        <f>E173</f>
        <v>-1432</v>
      </c>
      <c r="L184" s="6">
        <f>L173</f>
        <v>-1318.0651000000003</v>
      </c>
      <c r="M184" s="6">
        <f t="shared" ref="M184:V184" si="72">M173</f>
        <v>-1933.2039437000001</v>
      </c>
      <c r="N184" s="6">
        <f t="shared" si="72"/>
        <v>-2868.1397600359001</v>
      </c>
      <c r="O184" s="6">
        <f t="shared" si="72"/>
        <v>-4202.5478300686918</v>
      </c>
      <c r="P184" s="6">
        <f t="shared" si="72"/>
        <v>-6194.9881141821179</v>
      </c>
      <c r="Q184" s="6">
        <f t="shared" si="72"/>
        <v>-7851.4830624713286</v>
      </c>
      <c r="R184" s="6">
        <f t="shared" si="72"/>
        <v>-10120.580664788195</v>
      </c>
      <c r="S184" s="6">
        <f t="shared" si="72"/>
        <v>-13457.093663068021</v>
      </c>
      <c r="T184" s="6">
        <f t="shared" si="72"/>
        <v>-17153.176741923115</v>
      </c>
      <c r="U184" s="6">
        <f t="shared" si="72"/>
        <v>-24741.98118290502</v>
      </c>
      <c r="V184" s="6">
        <f t="shared" si="72"/>
        <v>-41897.1868195282</v>
      </c>
      <c r="Y184" s="99" t="s">
        <v>81</v>
      </c>
      <c r="Z184" s="100"/>
    </row>
    <row r="185" spans="1:26" x14ac:dyDescent="0.2">
      <c r="B185" t="s">
        <v>74</v>
      </c>
      <c r="D185" s="6">
        <f>-(D159-C159)</f>
        <v>2804</v>
      </c>
      <c r="E185" s="6">
        <f>-(E159-D159)</f>
        <v>243</v>
      </c>
      <c r="L185" s="6">
        <f>-(L159-E159)</f>
        <v>-147.25677999999971</v>
      </c>
      <c r="M185" s="6">
        <f>-(M159-L159)</f>
        <v>1353.3054561399995</v>
      </c>
      <c r="N185" s="6">
        <f t="shared" ref="N185:V185" si="73">-(N159-M159)</f>
        <v>2056.8587959389806</v>
      </c>
      <c r="O185" s="6">
        <f t="shared" si="73"/>
        <v>2935.6977540721409</v>
      </c>
      <c r="P185" s="6">
        <f t="shared" si="73"/>
        <v>4383.3686250495375</v>
      </c>
      <c r="Q185" s="6">
        <f t="shared" si="73"/>
        <v>3644.2888862362634</v>
      </c>
      <c r="R185" s="6">
        <f t="shared" si="73"/>
        <v>4992.0147250971058</v>
      </c>
      <c r="S185" s="6">
        <f t="shared" si="73"/>
        <v>7340.3285962156151</v>
      </c>
      <c r="T185" s="6">
        <f t="shared" si="73"/>
        <v>8131.3827734812039</v>
      </c>
      <c r="U185" s="6">
        <f t="shared" si="73"/>
        <v>16695.369770160192</v>
      </c>
      <c r="V185" s="6">
        <f t="shared" si="73"/>
        <v>37741.45240057099</v>
      </c>
      <c r="Y185" s="74" t="s">
        <v>82</v>
      </c>
      <c r="Z185" s="75">
        <v>389</v>
      </c>
    </row>
    <row r="186" spans="1:26" x14ac:dyDescent="0.2">
      <c r="B186" t="s">
        <v>75</v>
      </c>
      <c r="Y186" s="74" t="s">
        <v>83</v>
      </c>
      <c r="Z186" s="76">
        <v>0.4</v>
      </c>
    </row>
    <row r="187" spans="1:26" x14ac:dyDescent="0.2">
      <c r="Y187" s="77" t="s">
        <v>84</v>
      </c>
      <c r="Z187" s="78">
        <f>Z185*Z186</f>
        <v>155.60000000000002</v>
      </c>
    </row>
    <row r="188" spans="1:26" s="1" customFormat="1" x14ac:dyDescent="0.2">
      <c r="A188" s="65"/>
      <c r="B188" s="1" t="s">
        <v>76</v>
      </c>
      <c r="D188" s="7">
        <f>D182+D183+D184+D185</f>
        <v>2689.7762023593459</v>
      </c>
      <c r="E188" s="7">
        <f>E182+E183+E184+E185</f>
        <v>1684.7988672814754</v>
      </c>
      <c r="L188" s="22">
        <f>L182+L183+L184+L185</f>
        <v>6475.1906136605139</v>
      </c>
      <c r="M188" s="22">
        <f t="shared" ref="M188:V188" si="74">M182+M183+M184+M185</f>
        <v>11506.773375641995</v>
      </c>
      <c r="N188" s="22">
        <f t="shared" si="74"/>
        <v>18414.088084872936</v>
      </c>
      <c r="O188" s="22">
        <f t="shared" si="74"/>
        <v>22355.777588991943</v>
      </c>
      <c r="P188" s="22">
        <f t="shared" si="74"/>
        <v>35311.138179317677</v>
      </c>
      <c r="Q188" s="22">
        <f t="shared" si="74"/>
        <v>43935.363611506924</v>
      </c>
      <c r="R188" s="22">
        <f t="shared" si="74"/>
        <v>57987.436445816027</v>
      </c>
      <c r="S188" s="22">
        <f t="shared" si="74"/>
        <v>78684.372956632753</v>
      </c>
      <c r="T188" s="22">
        <f t="shared" si="74"/>
        <v>98383.691194243365</v>
      </c>
      <c r="U188" s="22">
        <f t="shared" si="74"/>
        <v>144876.60258962968</v>
      </c>
      <c r="V188" s="22">
        <f t="shared" si="74"/>
        <v>250456.67020932335</v>
      </c>
      <c r="Y188" s="79" t="s">
        <v>85</v>
      </c>
      <c r="Z188" s="75">
        <v>80</v>
      </c>
    </row>
    <row r="189" spans="1:26" x14ac:dyDescent="0.2">
      <c r="B189" s="1" t="s">
        <v>80</v>
      </c>
      <c r="V189" s="22">
        <f>V188*(1+C198)/(1+C197)</f>
        <v>233380.07905868761</v>
      </c>
      <c r="Y189" s="79" t="s">
        <v>86</v>
      </c>
      <c r="Z189" s="88">
        <f>1*(1.02)^20</f>
        <v>1.4859473959783542</v>
      </c>
    </row>
    <row r="190" spans="1:26" x14ac:dyDescent="0.2">
      <c r="B190" s="1" t="s">
        <v>93</v>
      </c>
      <c r="V190" s="22">
        <f>Z203/(1+C197)^11</f>
        <v>5510.6446132041228</v>
      </c>
      <c r="Y190" s="74" t="s">
        <v>87</v>
      </c>
      <c r="Z190" s="88">
        <f>Z187*Z188*Z189</f>
        <v>18497.073185138557</v>
      </c>
    </row>
    <row r="191" spans="1:26" x14ac:dyDescent="0.2">
      <c r="B191" s="1"/>
      <c r="V191" s="22"/>
      <c r="Y191" s="74"/>
      <c r="Z191" s="80"/>
    </row>
    <row r="192" spans="1:26" x14ac:dyDescent="0.2">
      <c r="B192" s="1" t="s">
        <v>94</v>
      </c>
      <c r="L192" s="22">
        <f>L188+L189+L190</f>
        <v>6475.1906136605139</v>
      </c>
      <c r="M192" s="22">
        <f t="shared" ref="M192:V192" si="75">M188+M189+M190</f>
        <v>11506.773375641995</v>
      </c>
      <c r="N192" s="22">
        <f t="shared" si="75"/>
        <v>18414.088084872936</v>
      </c>
      <c r="O192" s="22">
        <f t="shared" si="75"/>
        <v>22355.777588991943</v>
      </c>
      <c r="P192" s="22">
        <f t="shared" si="75"/>
        <v>35311.138179317677</v>
      </c>
      <c r="Q192" s="22">
        <f t="shared" si="75"/>
        <v>43935.363611506924</v>
      </c>
      <c r="R192" s="22">
        <f t="shared" si="75"/>
        <v>57987.436445816027</v>
      </c>
      <c r="S192" s="22">
        <f t="shared" si="75"/>
        <v>78684.372956632753</v>
      </c>
      <c r="T192" s="22">
        <f t="shared" si="75"/>
        <v>98383.691194243365</v>
      </c>
      <c r="U192" s="22">
        <f t="shared" si="75"/>
        <v>144876.60258962968</v>
      </c>
      <c r="V192" s="22">
        <f t="shared" si="75"/>
        <v>489347.39388121507</v>
      </c>
      <c r="Y192" s="74"/>
      <c r="Z192" s="80"/>
    </row>
    <row r="193" spans="1:26" x14ac:dyDescent="0.2">
      <c r="B193" s="1"/>
      <c r="V193" s="22"/>
      <c r="Y193" s="74"/>
      <c r="Z193" s="80"/>
    </row>
    <row r="194" spans="1:26" x14ac:dyDescent="0.2">
      <c r="B194" s="1"/>
      <c r="V194" s="22"/>
      <c r="Y194" s="74"/>
      <c r="Z194" s="80"/>
    </row>
    <row r="195" spans="1:26" x14ac:dyDescent="0.2">
      <c r="B195" s="1"/>
      <c r="V195" s="22"/>
      <c r="Y195" s="74"/>
      <c r="Z195" s="80"/>
    </row>
    <row r="196" spans="1:26" x14ac:dyDescent="0.2">
      <c r="B196" s="1"/>
      <c r="V196" s="22"/>
      <c r="Y196" s="74"/>
      <c r="Z196" s="80"/>
    </row>
    <row r="197" spans="1:26" x14ac:dyDescent="0.2">
      <c r="B197" t="s">
        <v>78</v>
      </c>
      <c r="C197" s="16">
        <v>0.1</v>
      </c>
      <c r="Y197" s="74" t="s">
        <v>88</v>
      </c>
      <c r="Z197" s="76">
        <v>0.5</v>
      </c>
    </row>
    <row r="198" spans="1:26" x14ac:dyDescent="0.2">
      <c r="B198" t="s">
        <v>79</v>
      </c>
      <c r="C198" s="73">
        <v>2.5000000000000001E-2</v>
      </c>
      <c r="Y198" s="77" t="s">
        <v>89</v>
      </c>
      <c r="Z198" s="81">
        <f>Z190*Z197</f>
        <v>9248.5365925692786</v>
      </c>
    </row>
    <row r="199" spans="1:26" x14ac:dyDescent="0.2">
      <c r="Y199" s="82" t="s">
        <v>91</v>
      </c>
      <c r="Z199" s="83">
        <f>Z198*17</f>
        <v>157225.12207367775</v>
      </c>
    </row>
    <row r="200" spans="1:26" x14ac:dyDescent="0.2">
      <c r="B200" s="1" t="s">
        <v>95</v>
      </c>
      <c r="C200" s="22">
        <f>NPV(C197,L192:V192)</f>
        <v>426783.47859631915</v>
      </c>
      <c r="Y200" s="84"/>
      <c r="Z200" s="85"/>
    </row>
    <row r="201" spans="1:26" x14ac:dyDescent="0.2">
      <c r="B201" t="s">
        <v>96</v>
      </c>
      <c r="C201" s="6">
        <v>-12492</v>
      </c>
      <c r="Y201" s="74" t="s">
        <v>90</v>
      </c>
      <c r="Z201" s="76">
        <v>0.1</v>
      </c>
    </row>
    <row r="202" spans="1:26" x14ac:dyDescent="0.2">
      <c r="B202" t="s">
        <v>97</v>
      </c>
      <c r="C202" s="13">
        <v>6268</v>
      </c>
      <c r="Y202" s="74"/>
      <c r="Z202" s="80"/>
    </row>
    <row r="203" spans="1:26" x14ac:dyDescent="0.2">
      <c r="B203" s="1" t="s">
        <v>98</v>
      </c>
      <c r="C203" s="22">
        <f>SUM(C200:C202)</f>
        <v>420559.47859631915</v>
      </c>
      <c r="Y203" s="86" t="s">
        <v>92</v>
      </c>
      <c r="Z203" s="87">
        <f>Z199*Z201</f>
        <v>15722.512207367776</v>
      </c>
    </row>
    <row r="205" spans="1:26" x14ac:dyDescent="0.2">
      <c r="B205" t="s">
        <v>99</v>
      </c>
      <c r="C205">
        <v>948</v>
      </c>
    </row>
    <row r="207" spans="1:26" x14ac:dyDescent="0.2">
      <c r="A207" s="90" t="s">
        <v>10</v>
      </c>
      <c r="B207" s="91" t="s">
        <v>100</v>
      </c>
      <c r="C207" s="92">
        <f>C203/C205</f>
        <v>443.62814197923962</v>
      </c>
    </row>
    <row r="209" spans="1:3" x14ac:dyDescent="0.2">
      <c r="B209" t="s">
        <v>102</v>
      </c>
      <c r="C209" s="101">
        <f>C4</f>
        <v>486.64</v>
      </c>
    </row>
    <row r="211" spans="1:3" x14ac:dyDescent="0.2">
      <c r="A211" s="103" t="s">
        <v>10</v>
      </c>
      <c r="B211" s="102" t="s">
        <v>103</v>
      </c>
      <c r="C211" s="104" t="s">
        <v>101</v>
      </c>
    </row>
  </sheetData>
  <mergeCells count="3">
    <mergeCell ref="C7:E7"/>
    <mergeCell ref="L7:V7"/>
    <mergeCell ref="Y184:Z18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2020-11-18T21:08:45Z</dcterms:created>
  <dcterms:modified xsi:type="dcterms:W3CDTF">2020-11-21T03:21:04Z</dcterms:modified>
</cp:coreProperties>
</file>