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av Upadhyay\Desktop\`\"/>
    </mc:Choice>
  </mc:AlternateContent>
  <xr:revisionPtr revIDLastSave="0" documentId="8_{C729A17B-1139-4E05-9BCD-F44E2CEDE1C3}" xr6:coauthVersionLast="31" xr6:coauthVersionMax="31" xr10:uidLastSave="{00000000-0000-0000-0000-000000000000}"/>
  <bookViews>
    <workbookView xWindow="0" yWindow="0" windowWidth="21570" windowHeight="8415" xr2:uid="{FD3E37F9-048A-4C0E-92E0-648AB1F81B6C}"/>
  </bookViews>
  <sheets>
    <sheet name="LBO" sheetId="1" r:id="rId1"/>
    <sheet name="Shares" sheetId="2" r:id="rId2"/>
  </sheets>
  <definedNames>
    <definedName name="_xlnm._FilterDatabase" localSheetId="0" hidden="1">LBO!$I$21:$J$21</definedName>
  </definedNames>
  <calcPr calcId="17901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0" i="1" l="1"/>
  <c r="E311" i="1"/>
  <c r="E312" i="1" s="1"/>
  <c r="E309" i="1"/>
  <c r="H307" i="1"/>
  <c r="I307" i="1"/>
  <c r="J307" i="1" s="1"/>
  <c r="G307" i="1"/>
  <c r="E291" i="1"/>
  <c r="E292" i="1" s="1"/>
  <c r="E293" i="1" s="1"/>
  <c r="E290" i="1"/>
  <c r="E289" i="1"/>
  <c r="G288" i="1"/>
  <c r="H288" i="1" s="1"/>
  <c r="I288" i="1" s="1"/>
  <c r="J288" i="1" s="1"/>
  <c r="B298" i="1"/>
  <c r="E299" i="1"/>
  <c r="G298" i="1"/>
  <c r="H298" i="1" s="1"/>
  <c r="I298" i="1" s="1"/>
  <c r="J298" i="1" s="1"/>
  <c r="E300" i="1"/>
  <c r="E301" i="1" s="1"/>
  <c r="E302" i="1" s="1"/>
  <c r="E303" i="1" s="1"/>
  <c r="F279" i="1"/>
  <c r="G279" i="1"/>
  <c r="H279" i="1"/>
  <c r="I279" i="1"/>
  <c r="J279" i="1"/>
  <c r="E279" i="1"/>
  <c r="G277" i="1"/>
  <c r="H277" i="1" s="1"/>
  <c r="I277" i="1" s="1"/>
  <c r="J277" i="1" s="1"/>
  <c r="F277" i="1"/>
  <c r="C279" i="1"/>
  <c r="J267" i="1" l="1"/>
  <c r="I267" i="1"/>
  <c r="H269" i="1"/>
  <c r="F270" i="1"/>
  <c r="F269" i="1"/>
  <c r="F268" i="1"/>
  <c r="F266" i="1"/>
  <c r="F264" i="1"/>
  <c r="F267" i="1"/>
  <c r="H268" i="1"/>
  <c r="G257" i="1"/>
  <c r="H257" i="1"/>
  <c r="I257" i="1"/>
  <c r="G258" i="1"/>
  <c r="H258" i="1"/>
  <c r="I258" i="1"/>
  <c r="H259" i="1"/>
  <c r="H260" i="1" s="1"/>
  <c r="I259" i="1"/>
  <c r="I260" i="1"/>
  <c r="F260" i="1"/>
  <c r="F259" i="1"/>
  <c r="F258" i="1"/>
  <c r="F257" i="1"/>
  <c r="G251" i="1"/>
  <c r="H251" i="1"/>
  <c r="I251" i="1"/>
  <c r="I252" i="1" s="1"/>
  <c r="I253" i="1" s="1"/>
  <c r="I254" i="1" s="1"/>
  <c r="G252" i="1"/>
  <c r="G253" i="1" s="1"/>
  <c r="G254" i="1" s="1"/>
  <c r="H252" i="1"/>
  <c r="H253" i="1"/>
  <c r="H254" i="1" s="1"/>
  <c r="F254" i="1"/>
  <c r="F253" i="1"/>
  <c r="F252" i="1"/>
  <c r="F251" i="1"/>
  <c r="E251" i="1"/>
  <c r="E252" i="1"/>
  <c r="E253" i="1"/>
  <c r="E254" i="1"/>
  <c r="E250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F248" i="1"/>
  <c r="F247" i="1"/>
  <c r="F246" i="1"/>
  <c r="F245" i="1"/>
  <c r="E248" i="1"/>
  <c r="E247" i="1"/>
  <c r="E246" i="1"/>
  <c r="E245" i="1"/>
  <c r="G244" i="1"/>
  <c r="H244" i="1"/>
  <c r="I244" i="1"/>
  <c r="F244" i="1"/>
  <c r="E244" i="1"/>
  <c r="E239" i="1"/>
  <c r="E240" i="1"/>
  <c r="E241" i="1"/>
  <c r="E242" i="1"/>
  <c r="E238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F242" i="1"/>
  <c r="F241" i="1"/>
  <c r="F240" i="1"/>
  <c r="F239" i="1"/>
  <c r="F238" i="1"/>
  <c r="C236" i="1"/>
  <c r="D236" i="1"/>
  <c r="J236" i="1"/>
  <c r="G236" i="1"/>
  <c r="H236" i="1"/>
  <c r="I236" i="1"/>
  <c r="F236" i="1"/>
  <c r="E236" i="1"/>
  <c r="E235" i="1"/>
  <c r="E233" i="1"/>
  <c r="B260" i="1"/>
  <c r="B259" i="1"/>
  <c r="B258" i="1"/>
  <c r="B257" i="1"/>
  <c r="B256" i="1"/>
  <c r="B254" i="1"/>
  <c r="B253" i="1"/>
  <c r="B252" i="1"/>
  <c r="B251" i="1"/>
  <c r="B250" i="1"/>
  <c r="B248" i="1"/>
  <c r="B247" i="1"/>
  <c r="B246" i="1"/>
  <c r="B245" i="1"/>
  <c r="B244" i="1"/>
  <c r="B242" i="1"/>
  <c r="B241" i="1"/>
  <c r="B240" i="1"/>
  <c r="B239" i="1"/>
  <c r="B238" i="1"/>
  <c r="C227" i="1"/>
  <c r="F223" i="1"/>
  <c r="F222" i="1"/>
  <c r="F221" i="1"/>
  <c r="G216" i="1"/>
  <c r="G225" i="1" s="1"/>
  <c r="H216" i="1"/>
  <c r="H225" i="1" s="1"/>
  <c r="I216" i="1"/>
  <c r="I225" i="1" s="1"/>
  <c r="H215" i="1"/>
  <c r="I215" i="1"/>
  <c r="J215" i="1" s="1"/>
  <c r="G215" i="1"/>
  <c r="H214" i="1"/>
  <c r="I214" i="1" s="1"/>
  <c r="J214" i="1" s="1"/>
  <c r="J216" i="1" s="1"/>
  <c r="J225" i="1" s="1"/>
  <c r="G214" i="1"/>
  <c r="F216" i="1"/>
  <c r="F215" i="1"/>
  <c r="F214" i="1"/>
  <c r="G126" i="1"/>
  <c r="H126" i="1"/>
  <c r="I126" i="1"/>
  <c r="J126" i="1"/>
  <c r="F126" i="1"/>
  <c r="G118" i="1"/>
  <c r="H118" i="1"/>
  <c r="I118" i="1"/>
  <c r="J118" i="1"/>
  <c r="F118" i="1"/>
  <c r="G207" i="1"/>
  <c r="H207" i="1"/>
  <c r="I207" i="1"/>
  <c r="J207" i="1"/>
  <c r="F207" i="1"/>
  <c r="G208" i="1"/>
  <c r="H208" i="1"/>
  <c r="I208" i="1"/>
  <c r="J208" i="1"/>
  <c r="F208" i="1"/>
  <c r="G206" i="1"/>
  <c r="H206" i="1"/>
  <c r="I206" i="1"/>
  <c r="J206" i="1"/>
  <c r="F206" i="1"/>
  <c r="E208" i="1"/>
  <c r="E207" i="1"/>
  <c r="G190" i="1"/>
  <c r="H190" i="1"/>
  <c r="I190" i="1"/>
  <c r="J190" i="1"/>
  <c r="F190" i="1"/>
  <c r="H187" i="1"/>
  <c r="G187" i="1"/>
  <c r="G188" i="1"/>
  <c r="H188" i="1"/>
  <c r="G189" i="1"/>
  <c r="H189" i="1"/>
  <c r="I187" i="1" s="1"/>
  <c r="F189" i="1"/>
  <c r="F188" i="1"/>
  <c r="F187" i="1"/>
  <c r="G182" i="1"/>
  <c r="F182" i="1"/>
  <c r="G154" i="1"/>
  <c r="H154" i="1"/>
  <c r="I154" i="1"/>
  <c r="J154" i="1"/>
  <c r="F154" i="1"/>
  <c r="F183" i="1"/>
  <c r="G180" i="1" s="1"/>
  <c r="F181" i="1"/>
  <c r="F180" i="1"/>
  <c r="H174" i="1"/>
  <c r="G174" i="1"/>
  <c r="F176" i="1"/>
  <c r="G175" i="1"/>
  <c r="G176" i="1" s="1"/>
  <c r="H175" i="1"/>
  <c r="H176" i="1" s="1"/>
  <c r="I174" i="1" s="1"/>
  <c r="F175" i="1"/>
  <c r="F167" i="1"/>
  <c r="F174" i="1"/>
  <c r="F166" i="1"/>
  <c r="F151" i="1"/>
  <c r="G146" i="1"/>
  <c r="H146" i="1"/>
  <c r="I146" i="1"/>
  <c r="J146" i="1"/>
  <c r="F146" i="1"/>
  <c r="F147" i="1"/>
  <c r="F145" i="1"/>
  <c r="G141" i="1"/>
  <c r="H141" i="1" s="1"/>
  <c r="I141" i="1" s="1"/>
  <c r="J141" i="1" s="1"/>
  <c r="F141" i="1"/>
  <c r="E141" i="1"/>
  <c r="D141" i="1"/>
  <c r="E142" i="1"/>
  <c r="D142" i="1"/>
  <c r="F138" i="1"/>
  <c r="E140" i="1"/>
  <c r="D140" i="1"/>
  <c r="G123" i="1"/>
  <c r="H123" i="1"/>
  <c r="I123" i="1"/>
  <c r="J123" i="1"/>
  <c r="F123" i="1"/>
  <c r="G122" i="1"/>
  <c r="H122" i="1"/>
  <c r="I122" i="1"/>
  <c r="J122" i="1"/>
  <c r="F122" i="1"/>
  <c r="G121" i="1"/>
  <c r="H121" i="1"/>
  <c r="I121" i="1"/>
  <c r="J121" i="1"/>
  <c r="F121" i="1"/>
  <c r="J83" i="1"/>
  <c r="J116" i="1" s="1"/>
  <c r="G114" i="1"/>
  <c r="H114" i="1"/>
  <c r="I114" i="1"/>
  <c r="J114" i="1"/>
  <c r="G115" i="1"/>
  <c r="H115" i="1"/>
  <c r="I115" i="1"/>
  <c r="J115" i="1"/>
  <c r="G116" i="1"/>
  <c r="H116" i="1"/>
  <c r="I116" i="1"/>
  <c r="G117" i="1"/>
  <c r="H117" i="1"/>
  <c r="I117" i="1"/>
  <c r="J117" i="1"/>
  <c r="F117" i="1"/>
  <c r="F116" i="1"/>
  <c r="F115" i="1"/>
  <c r="F114" i="1"/>
  <c r="G57" i="1"/>
  <c r="H57" i="1"/>
  <c r="I57" i="1"/>
  <c r="J57" i="1"/>
  <c r="F57" i="1"/>
  <c r="G102" i="1"/>
  <c r="H102" i="1"/>
  <c r="I102" i="1"/>
  <c r="J102" i="1"/>
  <c r="F102" i="1"/>
  <c r="F101" i="1"/>
  <c r="G101" i="1" s="1"/>
  <c r="H101" i="1" s="1"/>
  <c r="I101" i="1" s="1"/>
  <c r="G91" i="1"/>
  <c r="H91" i="1"/>
  <c r="I91" i="1"/>
  <c r="J91" i="1"/>
  <c r="F91" i="1"/>
  <c r="G97" i="1"/>
  <c r="H97" i="1"/>
  <c r="I97" i="1"/>
  <c r="J97" i="1"/>
  <c r="F97" i="1"/>
  <c r="F95" i="1" s="1"/>
  <c r="G95" i="1" s="1"/>
  <c r="F89" i="1"/>
  <c r="G89" i="1" s="1"/>
  <c r="H89" i="1" s="1"/>
  <c r="I89" i="1" s="1"/>
  <c r="G98" i="1"/>
  <c r="H98" i="1"/>
  <c r="I98" i="1"/>
  <c r="J98" i="1"/>
  <c r="F98" i="1"/>
  <c r="K99" i="1"/>
  <c r="F99" i="1" s="1"/>
  <c r="G99" i="1" s="1"/>
  <c r="H99" i="1" s="1"/>
  <c r="I99" i="1" s="1"/>
  <c r="J99" i="1" s="1"/>
  <c r="K93" i="1"/>
  <c r="F93" i="1" s="1"/>
  <c r="G93" i="1" s="1"/>
  <c r="H93" i="1" s="1"/>
  <c r="I93" i="1" s="1"/>
  <c r="J93" i="1" s="1"/>
  <c r="F92" i="1"/>
  <c r="G92" i="1"/>
  <c r="H92" i="1"/>
  <c r="I92" i="1"/>
  <c r="J92" i="1"/>
  <c r="D99" i="1"/>
  <c r="E99" i="1"/>
  <c r="C99" i="1"/>
  <c r="D98" i="1"/>
  <c r="E98" i="1"/>
  <c r="C98" i="1"/>
  <c r="C93" i="1"/>
  <c r="C92" i="1"/>
  <c r="E93" i="1"/>
  <c r="D93" i="1"/>
  <c r="E92" i="1"/>
  <c r="D92" i="1"/>
  <c r="D83" i="1"/>
  <c r="E83" i="1"/>
  <c r="D77" i="1"/>
  <c r="D79" i="1"/>
  <c r="D81" i="1"/>
  <c r="G83" i="1"/>
  <c r="H83" i="1"/>
  <c r="I83" i="1"/>
  <c r="F83" i="1"/>
  <c r="G80" i="1"/>
  <c r="H80" i="1"/>
  <c r="I80" i="1"/>
  <c r="J80" i="1"/>
  <c r="F80" i="1"/>
  <c r="G81" i="1"/>
  <c r="H81" i="1" s="1"/>
  <c r="I81" i="1" s="1"/>
  <c r="J81" i="1" s="1"/>
  <c r="F81" i="1"/>
  <c r="E81" i="1"/>
  <c r="I78" i="1"/>
  <c r="J78" i="1"/>
  <c r="J79" i="1"/>
  <c r="G78" i="1"/>
  <c r="H78" i="1"/>
  <c r="F78" i="1"/>
  <c r="G79" i="1"/>
  <c r="H79" i="1" s="1"/>
  <c r="I79" i="1" s="1"/>
  <c r="F79" i="1"/>
  <c r="E79" i="1"/>
  <c r="G76" i="1"/>
  <c r="H76" i="1"/>
  <c r="I76" i="1"/>
  <c r="J76" i="1"/>
  <c r="F76" i="1"/>
  <c r="G77" i="1"/>
  <c r="H77" i="1"/>
  <c r="I77" i="1" s="1"/>
  <c r="J77" i="1" s="1"/>
  <c r="F77" i="1"/>
  <c r="E77" i="1"/>
  <c r="F75" i="1"/>
  <c r="D75" i="1"/>
  <c r="E75" i="1"/>
  <c r="G259" i="1" l="1"/>
  <c r="G228" i="1"/>
  <c r="J245" i="1" s="1"/>
  <c r="G229" i="1"/>
  <c r="J239" i="1" s="1"/>
  <c r="J228" i="1"/>
  <c r="J248" i="1" s="1"/>
  <c r="J229" i="1"/>
  <c r="J242" i="1" s="1"/>
  <c r="I228" i="1"/>
  <c r="J247" i="1" s="1"/>
  <c r="I229" i="1"/>
  <c r="J241" i="1" s="1"/>
  <c r="H228" i="1"/>
  <c r="J246" i="1" s="1"/>
  <c r="H229" i="1"/>
  <c r="J240" i="1" s="1"/>
  <c r="I188" i="1"/>
  <c r="I189" i="1" s="1"/>
  <c r="J187" i="1" s="1"/>
  <c r="J188" i="1" s="1"/>
  <c r="J189" i="1" s="1"/>
  <c r="G181" i="1"/>
  <c r="G183" i="1" s="1"/>
  <c r="H180" i="1" s="1"/>
  <c r="I175" i="1"/>
  <c r="I176" i="1" s="1"/>
  <c r="J174" i="1" s="1"/>
  <c r="J101" i="1"/>
  <c r="J89" i="1"/>
  <c r="H95" i="1"/>
  <c r="I95" i="1" s="1"/>
  <c r="J95" i="1" s="1"/>
  <c r="F74" i="1"/>
  <c r="F66" i="1"/>
  <c r="F46" i="1" s="1"/>
  <c r="F65" i="1"/>
  <c r="F45" i="1" s="1"/>
  <c r="F64" i="1"/>
  <c r="G64" i="1" s="1"/>
  <c r="H64" i="1" s="1"/>
  <c r="I64" i="1" s="1"/>
  <c r="J64" i="1" s="1"/>
  <c r="H67" i="1"/>
  <c r="I67" i="1"/>
  <c r="J67" i="1"/>
  <c r="G67" i="1"/>
  <c r="G68" i="1"/>
  <c r="H68" i="1" s="1"/>
  <c r="I68" i="1" s="1"/>
  <c r="J68" i="1" s="1"/>
  <c r="F42" i="1"/>
  <c r="F44" i="1"/>
  <c r="C68" i="1"/>
  <c r="D68" i="1"/>
  <c r="C67" i="1"/>
  <c r="D67" i="1"/>
  <c r="E68" i="1"/>
  <c r="E67" i="1"/>
  <c r="D66" i="1"/>
  <c r="E66" i="1"/>
  <c r="C66" i="1"/>
  <c r="D65" i="1"/>
  <c r="E65" i="1"/>
  <c r="C65" i="1"/>
  <c r="D64" i="1"/>
  <c r="E64" i="1"/>
  <c r="C64" i="1"/>
  <c r="D63" i="1"/>
  <c r="E63" i="1"/>
  <c r="D53" i="1"/>
  <c r="D51" i="1"/>
  <c r="D47" i="1"/>
  <c r="D44" i="1"/>
  <c r="D56" i="1"/>
  <c r="D60" i="1" s="1"/>
  <c r="C60" i="1"/>
  <c r="C56" i="1"/>
  <c r="C53" i="1"/>
  <c r="C51" i="1"/>
  <c r="C47" i="1"/>
  <c r="C44" i="1"/>
  <c r="D13" i="1"/>
  <c r="E60" i="1"/>
  <c r="E59" i="1"/>
  <c r="E56" i="1"/>
  <c r="E53" i="1"/>
  <c r="E51" i="1"/>
  <c r="E47" i="1"/>
  <c r="E44" i="1"/>
  <c r="D34" i="1"/>
  <c r="D29" i="1"/>
  <c r="D30" i="1"/>
  <c r="I30" i="1" s="1"/>
  <c r="K30" i="1" s="1"/>
  <c r="D31" i="1"/>
  <c r="I31" i="1" s="1"/>
  <c r="K31" i="1" s="1"/>
  <c r="D32" i="1"/>
  <c r="I32" i="1" s="1"/>
  <c r="D33" i="1"/>
  <c r="D28" i="1"/>
  <c r="I28" i="1" s="1"/>
  <c r="K28" i="1" s="1"/>
  <c r="D21" i="1"/>
  <c r="C248" i="1" l="1"/>
  <c r="D248" i="1"/>
  <c r="C241" i="1"/>
  <c r="D241" i="1"/>
  <c r="C239" i="1"/>
  <c r="D239" i="1"/>
  <c r="D246" i="1"/>
  <c r="J269" i="1" s="1"/>
  <c r="C246" i="1"/>
  <c r="I269" i="1" s="1"/>
  <c r="C247" i="1"/>
  <c r="D247" i="1"/>
  <c r="C245" i="1"/>
  <c r="D245" i="1"/>
  <c r="C240" i="1"/>
  <c r="I268" i="1" s="1"/>
  <c r="D240" i="1"/>
  <c r="J268" i="1" s="1"/>
  <c r="C242" i="1"/>
  <c r="D242" i="1"/>
  <c r="I29" i="1"/>
  <c r="K29" i="1" s="1"/>
  <c r="K33" i="1" s="1"/>
  <c r="F194" i="1" s="1"/>
  <c r="F158" i="1"/>
  <c r="F159" i="1" s="1"/>
  <c r="F125" i="1" s="1"/>
  <c r="F265" i="1"/>
  <c r="E234" i="1"/>
  <c r="G260" i="1"/>
  <c r="H181" i="1"/>
  <c r="J175" i="1"/>
  <c r="J176" i="1" s="1"/>
  <c r="G75" i="1"/>
  <c r="G66" i="1"/>
  <c r="H66" i="1" s="1"/>
  <c r="I66" i="1" s="1"/>
  <c r="J66" i="1" s="1"/>
  <c r="G65" i="1"/>
  <c r="H65" i="1" s="1"/>
  <c r="I65" i="1" s="1"/>
  <c r="J65" i="1" s="1"/>
  <c r="F47" i="1"/>
  <c r="F43" i="1"/>
  <c r="F58" i="1" s="1"/>
  <c r="F56" i="1"/>
  <c r="G42" i="1"/>
  <c r="H42" i="1" s="1"/>
  <c r="I10" i="1"/>
  <c r="E24" i="2"/>
  <c r="E25" i="2"/>
  <c r="E26" i="2"/>
  <c r="E18" i="2"/>
  <c r="E19" i="2"/>
  <c r="E20" i="2"/>
  <c r="E21" i="2"/>
  <c r="E22" i="2"/>
  <c r="E23" i="2"/>
  <c r="E17" i="2"/>
  <c r="I14" i="1"/>
  <c r="I8" i="1"/>
  <c r="J15" i="1"/>
  <c r="J14" i="1"/>
  <c r="J10" i="1"/>
  <c r="J12" i="1" s="1"/>
  <c r="K10" i="1"/>
  <c r="K14" i="1"/>
  <c r="K21" i="1"/>
  <c r="D15" i="1"/>
  <c r="I33" i="1" l="1"/>
  <c r="F193" i="1" s="1"/>
  <c r="F195" i="1" s="1"/>
  <c r="G193" i="1" s="1"/>
  <c r="G194" i="1"/>
  <c r="H194" i="1" s="1"/>
  <c r="I194" i="1" s="1"/>
  <c r="J194" i="1" s="1"/>
  <c r="H182" i="1"/>
  <c r="H183" i="1" s="1"/>
  <c r="I180" i="1" s="1"/>
  <c r="H75" i="1"/>
  <c r="G74" i="1"/>
  <c r="F60" i="1"/>
  <c r="G46" i="1"/>
  <c r="H45" i="1"/>
  <c r="H44" i="1"/>
  <c r="H43" i="1" s="1"/>
  <c r="H46" i="1"/>
  <c r="I42" i="1"/>
  <c r="I44" i="1" s="1"/>
  <c r="G44" i="1"/>
  <c r="G43" i="1" s="1"/>
  <c r="G45" i="1"/>
  <c r="K15" i="1"/>
  <c r="D27" i="1"/>
  <c r="C27" i="1" s="1"/>
  <c r="E27" i="2"/>
  <c r="E7" i="2" s="1"/>
  <c r="J17" i="1"/>
  <c r="E8" i="2"/>
  <c r="E9" i="2" s="1"/>
  <c r="E10" i="2" s="1"/>
  <c r="E13" i="2" s="1"/>
  <c r="I15" i="1"/>
  <c r="G195" i="1" l="1"/>
  <c r="H193" i="1" s="1"/>
  <c r="H195" i="1" s="1"/>
  <c r="I193" i="1" s="1"/>
  <c r="I195" i="1" s="1"/>
  <c r="J193" i="1" s="1"/>
  <c r="J195" i="1" s="1"/>
  <c r="I181" i="1"/>
  <c r="I182" i="1" s="1"/>
  <c r="I75" i="1"/>
  <c r="H74" i="1"/>
  <c r="H58" i="1"/>
  <c r="J42" i="1"/>
  <c r="J44" i="1" s="1"/>
  <c r="I46" i="1"/>
  <c r="G58" i="1"/>
  <c r="I45" i="1"/>
  <c r="H47" i="1"/>
  <c r="G47" i="1"/>
  <c r="I43" i="1"/>
  <c r="I18" i="1"/>
  <c r="I183" i="1" l="1"/>
  <c r="J180" i="1"/>
  <c r="J75" i="1"/>
  <c r="I74" i="1"/>
  <c r="I58" i="1"/>
  <c r="J46" i="1"/>
  <c r="J45" i="1"/>
  <c r="I47" i="1"/>
  <c r="H56" i="1"/>
  <c r="H60" i="1" s="1"/>
  <c r="G56" i="1"/>
  <c r="G60" i="1" s="1"/>
  <c r="J43" i="1"/>
  <c r="K18" i="1"/>
  <c r="K17" i="1" s="1"/>
  <c r="K12" i="1" s="1"/>
  <c r="K11" i="1" s="1"/>
  <c r="I11" i="1" s="1"/>
  <c r="I12" i="1" s="1"/>
  <c r="I17" i="1" s="1"/>
  <c r="C278" i="1" s="1"/>
  <c r="C283" i="1" s="1"/>
  <c r="C284" i="1" s="1"/>
  <c r="J18" i="1"/>
  <c r="J20" i="1" s="1"/>
  <c r="J21" i="1" s="1"/>
  <c r="J181" i="1" l="1"/>
  <c r="J182" i="1" s="1"/>
  <c r="J58" i="1"/>
  <c r="J47" i="1"/>
  <c r="I56" i="1"/>
  <c r="I60" i="1" s="1"/>
  <c r="I36" i="1"/>
  <c r="D22" i="1" s="1"/>
  <c r="D20" i="1"/>
  <c r="I20" i="1"/>
  <c r="E5" i="2" s="1"/>
  <c r="I21" i="1" l="1"/>
  <c r="C280" i="1"/>
  <c r="C281" i="1" s="1"/>
  <c r="J183" i="1"/>
  <c r="J56" i="1"/>
  <c r="J60" i="1" s="1"/>
  <c r="D23" i="1"/>
  <c r="D35" i="1" s="1"/>
  <c r="D36" i="1" s="1"/>
  <c r="E260" i="1" l="1"/>
  <c r="E259" i="1"/>
  <c r="E257" i="1"/>
  <c r="E256" i="1"/>
  <c r="F271" i="1"/>
  <c r="E258" i="1"/>
  <c r="C226" i="1"/>
  <c r="D226" i="1" s="1"/>
  <c r="D227" i="1"/>
  <c r="E227" i="1" s="1"/>
  <c r="H270" i="1" s="1"/>
  <c r="C35" i="1"/>
  <c r="C36" i="1" s="1"/>
  <c r="J74" i="1"/>
  <c r="E226" i="1" l="1"/>
  <c r="H271" i="1" s="1"/>
  <c r="H272" i="1" s="1"/>
  <c r="G271" i="1"/>
  <c r="G267" i="1"/>
  <c r="G265" i="1"/>
  <c r="F272" i="1"/>
  <c r="G270" i="1"/>
  <c r="G269" i="1"/>
  <c r="G268" i="1"/>
  <c r="G266" i="1"/>
  <c r="G264" i="1"/>
  <c r="G227" i="1"/>
  <c r="J251" i="1" s="1"/>
  <c r="J227" i="1"/>
  <c r="J254" i="1" s="1"/>
  <c r="I227" i="1"/>
  <c r="J253" i="1" s="1"/>
  <c r="H227" i="1"/>
  <c r="J252" i="1" s="1"/>
  <c r="G226" i="1" l="1"/>
  <c r="J257" i="1" s="1"/>
  <c r="C257" i="1" s="1"/>
  <c r="J226" i="1"/>
  <c r="J260" i="1" s="1"/>
  <c r="C260" i="1" s="1"/>
  <c r="I226" i="1"/>
  <c r="J259" i="1" s="1"/>
  <c r="C259" i="1" s="1"/>
  <c r="H226" i="1"/>
  <c r="F278" i="1" s="1"/>
  <c r="C253" i="1"/>
  <c r="D253" i="1"/>
  <c r="C254" i="1"/>
  <c r="D254" i="1"/>
  <c r="D259" i="1"/>
  <c r="C251" i="1"/>
  <c r="D251" i="1"/>
  <c r="G272" i="1"/>
  <c r="D252" i="1"/>
  <c r="J270" i="1" s="1"/>
  <c r="C252" i="1"/>
  <c r="I270" i="1" s="1"/>
  <c r="D260" i="1"/>
  <c r="D257" i="1" l="1"/>
  <c r="I278" i="1"/>
  <c r="I283" i="1" s="1"/>
  <c r="I284" i="1" s="1"/>
  <c r="J278" i="1"/>
  <c r="J280" i="1" s="1"/>
  <c r="J281" i="1" s="1"/>
  <c r="G278" i="1"/>
  <c r="G280" i="1" s="1"/>
  <c r="G281" i="1" s="1"/>
  <c r="J258" i="1"/>
  <c r="C258" i="1" s="1"/>
  <c r="I271" i="1" s="1"/>
  <c r="E278" i="1"/>
  <c r="E280" i="1" s="1"/>
  <c r="E281" i="1" s="1"/>
  <c r="H278" i="1"/>
  <c r="H280" i="1" s="1"/>
  <c r="H281" i="1" s="1"/>
  <c r="F283" i="1"/>
  <c r="F284" i="1" s="1"/>
  <c r="F280" i="1"/>
  <c r="F281" i="1" s="1"/>
  <c r="I280" i="1"/>
  <c r="I281" i="1" s="1"/>
  <c r="D258" i="1" l="1"/>
  <c r="J271" i="1" s="1"/>
  <c r="E307" i="1" s="1"/>
  <c r="J283" i="1"/>
  <c r="J284" i="1" s="1"/>
  <c r="H283" i="1"/>
  <c r="H284" i="1" s="1"/>
  <c r="E283" i="1"/>
  <c r="E284" i="1" s="1"/>
  <c r="G283" i="1"/>
  <c r="G284" i="1" s="1"/>
  <c r="E288" i="1" l="1"/>
  <c r="C277" i="1"/>
  <c r="E298" i="1"/>
  <c r="F48" i="1"/>
  <c r="G48" i="1"/>
  <c r="H48" i="1"/>
  <c r="I48" i="1"/>
  <c r="J48" i="1"/>
  <c r="F49" i="1"/>
  <c r="G49" i="1"/>
  <c r="H49" i="1"/>
  <c r="I49" i="1"/>
  <c r="J49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113" i="1"/>
  <c r="G113" i="1"/>
  <c r="H113" i="1"/>
  <c r="I113" i="1"/>
  <c r="J113" i="1"/>
  <c r="F119" i="1"/>
  <c r="G119" i="1"/>
  <c r="H119" i="1"/>
  <c r="I119" i="1"/>
  <c r="J119" i="1"/>
  <c r="G125" i="1"/>
  <c r="H125" i="1"/>
  <c r="I125" i="1"/>
  <c r="J125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2" i="1"/>
  <c r="G142" i="1"/>
  <c r="H142" i="1"/>
  <c r="I142" i="1"/>
  <c r="J142" i="1"/>
  <c r="G145" i="1"/>
  <c r="H145" i="1"/>
  <c r="I145" i="1"/>
  <c r="J145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G155" i="1"/>
  <c r="H155" i="1"/>
  <c r="I155" i="1"/>
  <c r="J155" i="1"/>
  <c r="G158" i="1"/>
  <c r="H158" i="1"/>
  <c r="I158" i="1"/>
  <c r="J158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3" i="1"/>
  <c r="G163" i="1"/>
  <c r="H163" i="1"/>
  <c r="I163" i="1"/>
  <c r="J163" i="1"/>
  <c r="G166" i="1"/>
  <c r="H166" i="1"/>
  <c r="I166" i="1"/>
  <c r="J166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1" i="1"/>
  <c r="G171" i="1"/>
  <c r="H171" i="1"/>
  <c r="I171" i="1"/>
  <c r="J171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18" i="1"/>
  <c r="F219" i="1"/>
  <c r="F220" i="1"/>
  <c r="F224" i="1"/>
  <c r="F225" i="1"/>
  <c r="F226" i="1"/>
  <c r="F227" i="1"/>
  <c r="F228" i="1"/>
  <c r="F229" i="1"/>
  <c r="C233" i="1"/>
  <c r="D233" i="1"/>
  <c r="F233" i="1"/>
  <c r="G233" i="1"/>
  <c r="H233" i="1"/>
  <c r="I233" i="1"/>
  <c r="J233" i="1"/>
  <c r="C234" i="1"/>
  <c r="D234" i="1"/>
  <c r="F234" i="1"/>
  <c r="G234" i="1"/>
  <c r="H234" i="1"/>
  <c r="I234" i="1"/>
  <c r="J234" i="1"/>
  <c r="C235" i="1"/>
  <c r="D235" i="1"/>
  <c r="F235" i="1"/>
  <c r="G235" i="1"/>
  <c r="H235" i="1"/>
  <c r="I235" i="1"/>
  <c r="J235" i="1"/>
  <c r="C238" i="1"/>
  <c r="D238" i="1"/>
  <c r="J238" i="1"/>
  <c r="C244" i="1"/>
  <c r="D244" i="1"/>
  <c r="J244" i="1"/>
  <c r="C250" i="1"/>
  <c r="D250" i="1"/>
  <c r="J250" i="1"/>
  <c r="C256" i="1"/>
  <c r="D256" i="1"/>
  <c r="J256" i="1"/>
  <c r="I264" i="1"/>
  <c r="J264" i="1"/>
  <c r="I265" i="1"/>
  <c r="J265" i="1"/>
  <c r="I266" i="1"/>
  <c r="J2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Sambhav Upadhyay</author>
  </authors>
  <commentList>
    <comment ref="G59" authorId="0" shapeId="0" xr:uid="{64EE78BE-4052-403F-B57F-38AB15DBB586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P.72
</t>
        </r>
      </text>
    </comment>
    <comment ref="H59" authorId="0" shapeId="0" xr:uid="{EB4742A9-88FA-43CD-95E7-CFA93F5A2AED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P.72
</t>
        </r>
      </text>
    </comment>
    <comment ref="I59" authorId="0" shapeId="0" xr:uid="{528EF5DC-8861-4F4D-A724-0D7441D89E77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P.72
</t>
        </r>
      </text>
    </comment>
    <comment ref="F63" authorId="0" shapeId="0" xr:uid="{D0D9090E-1696-477D-A176-93A2A7156389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per proxy P.72
</t>
        </r>
      </text>
    </comment>
    <comment ref="G63" authorId="0" shapeId="0" xr:uid="{F3888F10-DB6E-4A4A-B4B1-20F61D9F50C3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per proxy P.72
</t>
        </r>
      </text>
    </comment>
    <comment ref="H63" authorId="0" shapeId="0" xr:uid="{EAE83934-A30C-4D9A-A7AE-22DEADE5FD8B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per proxy P.72
</t>
        </r>
      </text>
    </comment>
    <comment ref="I63" authorId="0" shapeId="0" xr:uid="{522C277E-A62F-4001-A5BE-67B46C5ED4A4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per proxy P.72
</t>
        </r>
      </text>
    </comment>
    <comment ref="J63" authorId="0" shapeId="0" xr:uid="{FE349E76-2A71-426C-85E6-572DE23CF809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merger projections per proxy P.72
</t>
        </r>
      </text>
    </comment>
    <comment ref="F90" authorId="0" shapeId="0" xr:uid="{1ACFB175-8863-4A97-8C80-0C4EFA419F48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G90" authorId="0" shapeId="0" xr:uid="{04280BF3-4472-434F-9A8F-4DCD338690D4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H90" authorId="0" shapeId="0" xr:uid="{5413BB50-B3F4-42B0-BF4E-0C7237187436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I90" authorId="0" shapeId="0" xr:uid="{56CB71A3-58C2-4C97-91C7-A2C03A42ED91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J90" authorId="0" shapeId="0" xr:uid="{9E23AF15-1698-4312-B137-14F81C3570CD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C91" authorId="0" shapeId="0" xr:uid="{FE3A8158-F0E3-4BD2-90B0-71E9D9A9395D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10-k 2013 P. 72
</t>
        </r>
      </text>
    </comment>
    <comment ref="D91" authorId="0" shapeId="0" xr:uid="{966565B2-C352-4180-9466-FE906A3F0E34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10-k 2013 P. 72
</t>
        </r>
      </text>
    </comment>
    <comment ref="E91" authorId="0" shapeId="0" xr:uid="{F36EDE65-A096-4643-8164-3EA1367DB1DC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10-k 2013 P. 72
</t>
        </r>
      </text>
    </comment>
    <comment ref="C96" authorId="0" shapeId="0" xr:uid="{83CFBD81-22CC-423B-8FF1-64FDB64D8A34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2013 10-k CFS</t>
        </r>
      </text>
    </comment>
    <comment ref="D96" authorId="0" shapeId="0" xr:uid="{BB0FB072-F4B9-4540-9B6D-E74D74C2B7BE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2013 10-k CFS</t>
        </r>
      </text>
    </comment>
    <comment ref="E96" authorId="0" shapeId="0" xr:uid="{14909670-8BB7-4C32-91F8-D2EE4D629964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BMC 2013 10-k CFS</t>
        </r>
      </text>
    </comment>
    <comment ref="F96" authorId="0" shapeId="0" xr:uid="{CD882DE7-DB52-46BD-8B5B-E29E8EFC6830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G96" authorId="0" shapeId="0" xr:uid="{0F0C8390-639F-40C5-BA6C-2003D7631421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H96" authorId="0" shapeId="0" xr:uid="{85FC56DF-7F59-412A-A824-9E6B610A8DBE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I96" authorId="0" shapeId="0" xr:uid="{BE8FF0C2-317B-4E00-8457-B8D00795FF3B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J96" authorId="0" shapeId="0" xr:uid="{057F7AE3-B411-4857-B14C-4034D6F00E07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C97" authorId="0" shapeId="0" xr:uid="{400DADDA-CDE7-4743-8D40-D59995169CE8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2013 10-k P. 60
</t>
        </r>
      </text>
    </comment>
    <comment ref="D97" authorId="0" shapeId="0" xr:uid="{31C29249-2CF2-45D8-8B72-0BB7D0AA4E33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2013 10-k P. 60
</t>
        </r>
      </text>
    </comment>
    <comment ref="E97" authorId="0" shapeId="0" xr:uid="{BFBBC362-36A5-4284-AAF3-22A3884FBA6C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Source: BMC 2013 10-k P. 60
</t>
        </r>
      </text>
    </comment>
    <comment ref="F103" authorId="0" shapeId="0" xr:uid="{0F803FBE-FE4A-40EB-9CB0-207307CB5C8C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G103" authorId="0" shapeId="0" xr:uid="{A3DBFA74-40EE-4134-9FFE-7530A0239F05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H103" authorId="0" shapeId="0" xr:uid="{57733D49-E120-463A-8133-4ADB2918EF08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I103" authorId="0" shapeId="0" xr:uid="{931E99F1-F387-42A9-9D60-4E49ED33F277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  <comment ref="J103" authorId="0" shapeId="0" xr:uid="{A2B36A21-EBCB-40E8-984A-7905C3712F93}">
      <text>
        <r>
          <rPr>
            <b/>
            <sz val="9"/>
            <color indexed="81"/>
            <rFont val="Tahoma"/>
            <family val="2"/>
          </rPr>
          <t>Sambhav Upadhyay:</t>
        </r>
        <r>
          <rPr>
            <sz val="9"/>
            <color indexed="81"/>
            <rFont val="Tahoma"/>
            <family val="2"/>
          </rPr>
          <t xml:space="preserve">
Management Guidance 
</t>
        </r>
      </text>
    </comment>
  </commentList>
</comments>
</file>

<file path=xl/sharedStrings.xml><?xml version="1.0" encoding="utf-8"?>
<sst xmlns="http://schemas.openxmlformats.org/spreadsheetml/2006/main" count="374" uniqueCount="284">
  <si>
    <t>Leveraged Buyout Model for BMC</t>
  </si>
  <si>
    <t xml:space="preserve">$ mm except per share </t>
  </si>
  <si>
    <t xml:space="preserve">   Company Name </t>
  </si>
  <si>
    <t xml:space="preserve">   Ticker</t>
  </si>
  <si>
    <t xml:space="preserve">   Current Share Price </t>
  </si>
  <si>
    <t xml:space="preserve">   Circuit Breaker </t>
  </si>
  <si>
    <t>GENERAL INPUTS</t>
  </si>
  <si>
    <t xml:space="preserve">   EBITDA (LTM) </t>
  </si>
  <si>
    <t xml:space="preserve">   Gross Debt </t>
  </si>
  <si>
    <t xml:space="preserve">   Cash </t>
  </si>
  <si>
    <t xml:space="preserve">   Minimum Cash Desired </t>
  </si>
  <si>
    <t xml:space="preserve">   EV / LTM EBITDA multiple at Exit </t>
  </si>
  <si>
    <t xml:space="preserve">USE OF FUNDS </t>
  </si>
  <si>
    <t xml:space="preserve">   Buyout of Equity </t>
  </si>
  <si>
    <t xml:space="preserve">   Refinancing of Oldco Debt </t>
  </si>
  <si>
    <t xml:space="preserve">   Fees (transaction and financing) </t>
  </si>
  <si>
    <t>Total Uses</t>
  </si>
  <si>
    <t xml:space="preserve">INITIAL VALUATION </t>
  </si>
  <si>
    <t>BMC</t>
  </si>
  <si>
    <t xml:space="preserve">   Latest Closing Share Price date</t>
  </si>
  <si>
    <t>OFF</t>
  </si>
  <si>
    <t>LTM EBITDA</t>
  </si>
  <si>
    <t>EV / LTM EBITDA</t>
  </si>
  <si>
    <t xml:space="preserve">Enterprise Value </t>
  </si>
  <si>
    <t xml:space="preserve">   Less: Gross Debt</t>
  </si>
  <si>
    <t xml:space="preserve">   Plus: Cash </t>
  </si>
  <si>
    <t xml:space="preserve">Offer Value </t>
  </si>
  <si>
    <t>Diluted Shares Outstanding</t>
  </si>
  <si>
    <t xml:space="preserve">Offer Value Per Share </t>
  </si>
  <si>
    <t xml:space="preserve">   % Premium / Discount </t>
  </si>
  <si>
    <t xml:space="preserve">Explicit EBITDA </t>
  </si>
  <si>
    <t xml:space="preserve">Explicit Offer / share </t>
  </si>
  <si>
    <t>Diluted Shares for BMC</t>
  </si>
  <si>
    <t xml:space="preserve">$mm excpet per share </t>
  </si>
  <si>
    <t xml:space="preserve">Offer Price </t>
  </si>
  <si>
    <t xml:space="preserve">Basic Shares outstanding </t>
  </si>
  <si>
    <t xml:space="preserve">In the money exercisable options </t>
  </si>
  <si>
    <t>Total Proceeds(mm)</t>
  </si>
  <si>
    <t xml:space="preserve">Total shares repurchased </t>
  </si>
  <si>
    <t xml:space="preserve">Net dilutive options </t>
  </si>
  <si>
    <t xml:space="preserve">Dilutive impact of shares from other securities </t>
  </si>
  <si>
    <t xml:space="preserve">Net diluted shares outstanding </t>
  </si>
  <si>
    <t xml:space="preserve">Options Oustanding </t>
  </si>
  <si>
    <t>Tranche 1</t>
  </si>
  <si>
    <t xml:space="preserve">Tranche 2 </t>
  </si>
  <si>
    <t>Tranche 3</t>
  </si>
  <si>
    <t xml:space="preserve">Out. Shares </t>
  </si>
  <si>
    <t xml:space="preserve">exercise price </t>
  </si>
  <si>
    <t xml:space="preserve">in-the-$-shares </t>
  </si>
  <si>
    <t>Tranche 4</t>
  </si>
  <si>
    <t>Tranche 5</t>
  </si>
  <si>
    <t>Tranche 6</t>
  </si>
  <si>
    <t>Tranche 7</t>
  </si>
  <si>
    <t>Tranche 8</t>
  </si>
  <si>
    <t xml:space="preserve">Tranche 9 </t>
  </si>
  <si>
    <t xml:space="preserve">Tranche 10 </t>
  </si>
  <si>
    <t xml:space="preserve">Source of Funds </t>
  </si>
  <si>
    <t xml:space="preserve">EBITDA </t>
  </si>
  <si>
    <t xml:space="preserve">EBITDA turns </t>
  </si>
  <si>
    <t xml:space="preserve">$ investments </t>
  </si>
  <si>
    <t xml:space="preserve">Fees </t>
  </si>
  <si>
    <t>% fee</t>
  </si>
  <si>
    <t xml:space="preserve">Fee </t>
  </si>
  <si>
    <t>Fee amort/year</t>
  </si>
  <si>
    <t xml:space="preserve">Financing fees </t>
  </si>
  <si>
    <t xml:space="preserve">   Revolver </t>
  </si>
  <si>
    <t xml:space="preserve">   Term Loan A</t>
  </si>
  <si>
    <t xml:space="preserve">   Term Loan B</t>
  </si>
  <si>
    <t>Fiscal year end date</t>
  </si>
  <si>
    <t xml:space="preserve">Changes in net working capital </t>
  </si>
  <si>
    <t xml:space="preserve">SELECTED FINANCIAL DATA / ASSUMPTIONS </t>
  </si>
  <si>
    <t xml:space="preserve">Select Valuation Approach: </t>
  </si>
  <si>
    <t xml:space="preserve">  Model Derived Offer Value Sanity Check</t>
  </si>
  <si>
    <t xml:space="preserve">   Sponsor Equity </t>
  </si>
  <si>
    <t xml:space="preserve">   Mgmt Rollover </t>
  </si>
  <si>
    <t xml:space="preserve">   Preferred Stock </t>
  </si>
  <si>
    <t xml:space="preserve">   Sub Note</t>
  </si>
  <si>
    <t xml:space="preserve">   Senior Note</t>
  </si>
  <si>
    <t xml:space="preserve">   Term Loan A </t>
  </si>
  <si>
    <t xml:space="preserve">   Revolver</t>
  </si>
  <si>
    <t xml:space="preserve">   Excess Cash </t>
  </si>
  <si>
    <t xml:space="preserve">Total Sources </t>
  </si>
  <si>
    <t xml:space="preserve">      Financing Fees</t>
  </si>
  <si>
    <t>% of offer value</t>
  </si>
  <si>
    <t>Fee</t>
  </si>
  <si>
    <t>Term (years)</t>
  </si>
  <si>
    <t xml:space="preserve">      Trans. Fees</t>
  </si>
  <si>
    <t>x</t>
  </si>
  <si>
    <t>INCOME STATEMENT</t>
  </si>
  <si>
    <t xml:space="preserve">Fiscal year </t>
  </si>
  <si>
    <t>Revenue</t>
  </si>
  <si>
    <t xml:space="preserve">Gross Profit </t>
  </si>
  <si>
    <t xml:space="preserve">Research and Development </t>
  </si>
  <si>
    <t xml:space="preserve">Selling, General, &amp; Adminstrative (enter as -) </t>
  </si>
  <si>
    <t xml:space="preserve">Operating Profit (EBIT) </t>
  </si>
  <si>
    <t xml:space="preserve">Interest Income </t>
  </si>
  <si>
    <t>Interest Expense (enter as -)</t>
  </si>
  <si>
    <t xml:space="preserve">Cost of Sales (enter as -) </t>
  </si>
  <si>
    <t>2011A</t>
  </si>
  <si>
    <t>2012A</t>
  </si>
  <si>
    <t>2013A</t>
  </si>
  <si>
    <t>2014P</t>
  </si>
  <si>
    <t>2015P</t>
  </si>
  <si>
    <t>2016P</t>
  </si>
  <si>
    <t>2017P</t>
  </si>
  <si>
    <t>2018P</t>
  </si>
  <si>
    <t xml:space="preserve">Other non-operating expenses (enter as -) </t>
  </si>
  <si>
    <t xml:space="preserve">Pretax Profit </t>
  </si>
  <si>
    <t xml:space="preserve">Taxes( enter as -) </t>
  </si>
  <si>
    <t xml:space="preserve">Net Income </t>
  </si>
  <si>
    <t xml:space="preserve">EBITDA Reconciliation </t>
  </si>
  <si>
    <t xml:space="preserve">EBIT (GAAP) </t>
  </si>
  <si>
    <t xml:space="preserve">   Depreciation and Ammortization </t>
  </si>
  <si>
    <t xml:space="preserve">   Stock based compensation </t>
  </si>
  <si>
    <t xml:space="preserve">   Restructuring and other non recurring charges</t>
  </si>
  <si>
    <t>Growth Rates and Margins</t>
  </si>
  <si>
    <t xml:space="preserve">Revenue Growth </t>
  </si>
  <si>
    <t xml:space="preserve">Gross Profit as % of Sales </t>
  </si>
  <si>
    <t xml:space="preserve">R&amp;D Margin </t>
  </si>
  <si>
    <t xml:space="preserve">SG&amp;A Margin </t>
  </si>
  <si>
    <t xml:space="preserve">Tax Rate </t>
  </si>
  <si>
    <t xml:space="preserve">SBC as % of operating Expenses </t>
  </si>
  <si>
    <t>Step</t>
  </si>
  <si>
    <t xml:space="preserve">WORKING CAPITAL </t>
  </si>
  <si>
    <t xml:space="preserve">Accounts Recievable, EOP </t>
  </si>
  <si>
    <t xml:space="preserve">   AR as % of Sales </t>
  </si>
  <si>
    <t xml:space="preserve">Other Current Assets, EOP </t>
  </si>
  <si>
    <t xml:space="preserve">   Other Current Assets as % of Sales </t>
  </si>
  <si>
    <t>Accounts Payable, EOP</t>
  </si>
  <si>
    <t xml:space="preserve">   AP as % of COGS </t>
  </si>
  <si>
    <t xml:space="preserve">Accrued Expenses &amp; Def Revenues, EOP </t>
  </si>
  <si>
    <t xml:space="preserve">   As % of Sales </t>
  </si>
  <si>
    <t xml:space="preserve">  Net Working Capital </t>
  </si>
  <si>
    <t xml:space="preserve">LONG LIVED ASSETS </t>
  </si>
  <si>
    <t>PP&amp;E</t>
  </si>
  <si>
    <t xml:space="preserve">   Capital Expenditures </t>
  </si>
  <si>
    <t xml:space="preserve">   Depreciation </t>
  </si>
  <si>
    <t xml:space="preserve">      Capex as % of Revenue</t>
  </si>
  <si>
    <t xml:space="preserve"> </t>
  </si>
  <si>
    <t xml:space="preserve">      Depreciation as % of Capex</t>
  </si>
  <si>
    <t>Software &amp; Development Costs</t>
  </si>
  <si>
    <t xml:space="preserve">   Purchases </t>
  </si>
  <si>
    <t xml:space="preserve">   Amortization </t>
  </si>
  <si>
    <t xml:space="preserve">      Purchases as % of Revenue</t>
  </si>
  <si>
    <t xml:space="preserve">      Amortization as % of Purchases</t>
  </si>
  <si>
    <t xml:space="preserve">Intangible Assets </t>
  </si>
  <si>
    <t xml:space="preserve">Goodwill &amp; other assets </t>
  </si>
  <si>
    <t xml:space="preserve">Other Liabilities </t>
  </si>
  <si>
    <t>Smoothing?</t>
  </si>
  <si>
    <t>Yes</t>
  </si>
  <si>
    <t>CASH FLOW STATEMENT</t>
  </si>
  <si>
    <t xml:space="preserve">Depreciation and Amortization </t>
  </si>
  <si>
    <t xml:space="preserve">Stock based compensation </t>
  </si>
  <si>
    <t xml:space="preserve">Other assets and liabilites </t>
  </si>
  <si>
    <t>Addback of PIK Interest</t>
  </si>
  <si>
    <t xml:space="preserve">Cash from operating activities </t>
  </si>
  <si>
    <t xml:space="preserve">Capital Expenditures </t>
  </si>
  <si>
    <t xml:space="preserve">Purchases of intangible assets and capitalized software development costs </t>
  </si>
  <si>
    <t xml:space="preserve">Cash from investing activities </t>
  </si>
  <si>
    <t xml:space="preserve">Required debt principal payments </t>
  </si>
  <si>
    <t xml:space="preserve">Preferred dividend (cash) </t>
  </si>
  <si>
    <t xml:space="preserve">   Pre-revolver cash flows </t>
  </si>
  <si>
    <t xml:space="preserve">Revolver </t>
  </si>
  <si>
    <t xml:space="preserve">   Post-revolver cash flows </t>
  </si>
  <si>
    <t xml:space="preserve">Discretionary Term A paydown </t>
  </si>
  <si>
    <t xml:space="preserve">Discretionary Term B paydown </t>
  </si>
  <si>
    <t xml:space="preserve">Net Change in Cash During Period </t>
  </si>
  <si>
    <t xml:space="preserve">CASH &amp; DEBT </t>
  </si>
  <si>
    <t>Cash, BOP</t>
  </si>
  <si>
    <t>Increases/ (Decreases)</t>
  </si>
  <si>
    <t>Cash, EOP</t>
  </si>
  <si>
    <t xml:space="preserve">Interest Rate on Cash </t>
  </si>
  <si>
    <t>Revolver</t>
  </si>
  <si>
    <t xml:space="preserve">   Cash, BOP</t>
  </si>
  <si>
    <t xml:space="preserve">   Less: Minimum Cash Desired </t>
  </si>
  <si>
    <t xml:space="preserve">   Equals: Excess Cash at BOP</t>
  </si>
  <si>
    <t xml:space="preserve">   Plus: free cash generated during period </t>
  </si>
  <si>
    <t xml:space="preserve">   Cash available (needed) to paydown (draw from) revolver </t>
  </si>
  <si>
    <t xml:space="preserve">   Revolver, BOP </t>
  </si>
  <si>
    <t xml:space="preserve">   Increases / (Decreases) </t>
  </si>
  <si>
    <t xml:space="preserve">   Revolver, EOP </t>
  </si>
  <si>
    <t xml:space="preserve">      Maximum availability </t>
  </si>
  <si>
    <t xml:space="preserve">      Compliance Check</t>
  </si>
  <si>
    <t>Term Loan A</t>
  </si>
  <si>
    <t xml:space="preserve">   Term Loan A, BOP </t>
  </si>
  <si>
    <t xml:space="preserve">   Mandatory Paydown $ </t>
  </si>
  <si>
    <t xml:space="preserve">   Cash sweep (paydown from excess cash flows) </t>
  </si>
  <si>
    <t xml:space="preserve">   Term Loan A, EOP </t>
  </si>
  <si>
    <t xml:space="preserve">      Mandatory Paydown ( % of original)</t>
  </si>
  <si>
    <t xml:space="preserve">      Cash Sweep </t>
  </si>
  <si>
    <t>% of available cash used</t>
  </si>
  <si>
    <t>Term Loan B</t>
  </si>
  <si>
    <t xml:space="preserve">   Term Loan B, BOP </t>
  </si>
  <si>
    <t xml:space="preserve">   Term Loan B, EOP </t>
  </si>
  <si>
    <t>Senior Note</t>
  </si>
  <si>
    <t xml:space="preserve">   Senior Note, BOP </t>
  </si>
  <si>
    <t xml:space="preserve">   Senior Note , EOP </t>
  </si>
  <si>
    <t xml:space="preserve">      Cash available for cash sweep</t>
  </si>
  <si>
    <t xml:space="preserve">   Mandatory Amortization $ </t>
  </si>
  <si>
    <t>Sub Note</t>
  </si>
  <si>
    <t xml:space="preserve">   Sub note, BOP</t>
  </si>
  <si>
    <t xml:space="preserve">   Mandatory Amortization $</t>
  </si>
  <si>
    <t xml:space="preserve">   PIK Interest</t>
  </si>
  <si>
    <t xml:space="preserve">   Sub Note, EOP</t>
  </si>
  <si>
    <t>PIK Rate</t>
  </si>
  <si>
    <t>Cash Rate</t>
  </si>
  <si>
    <t>% AR</t>
  </si>
  <si>
    <t>% Other Assets</t>
  </si>
  <si>
    <t>Preferred Stock</t>
  </si>
  <si>
    <t xml:space="preserve">   Preferred Stock, BOP </t>
  </si>
  <si>
    <t xml:space="preserve">   PIK Accrual</t>
  </si>
  <si>
    <t xml:space="preserve">   Preferred Stock, EOP </t>
  </si>
  <si>
    <t xml:space="preserve">   Cash dividend</t>
  </si>
  <si>
    <t xml:space="preserve">Capitalized Financing Fees </t>
  </si>
  <si>
    <t xml:space="preserve">   Capitalized financing fees, BOP </t>
  </si>
  <si>
    <t xml:space="preserve">Capitalized Financing Fees, EOP </t>
  </si>
  <si>
    <t>INTEREST EXPENSE</t>
  </si>
  <si>
    <t xml:space="preserve">3 Month LIBOR rate (bps) </t>
  </si>
  <si>
    <t xml:space="preserve">   Sub Note - Cash Interest </t>
  </si>
  <si>
    <t xml:space="preserve">   Sub Note - PIK Interest </t>
  </si>
  <si>
    <t xml:space="preserve">LIBOR Spread </t>
  </si>
  <si>
    <t xml:space="preserve">LIBOR Floor </t>
  </si>
  <si>
    <t xml:space="preserve">Coupon Rate </t>
  </si>
  <si>
    <t xml:space="preserve">EXIT VALUATION </t>
  </si>
  <si>
    <t xml:space="preserve">Assumed Exit on March 31, 2018 </t>
  </si>
  <si>
    <t xml:space="preserve">EBITDA Multiple at Exit </t>
  </si>
  <si>
    <t xml:space="preserve">EBITDA at Exit </t>
  </si>
  <si>
    <t xml:space="preserve">   Net Debt: </t>
  </si>
  <si>
    <t xml:space="preserve">      Revolver </t>
  </si>
  <si>
    <t xml:space="preserve">      Term Loan A </t>
  </si>
  <si>
    <t xml:space="preserve">      Term Loan B</t>
  </si>
  <si>
    <t xml:space="preserve">      Senior Note </t>
  </si>
  <si>
    <t xml:space="preserve">      Sub Note </t>
  </si>
  <si>
    <t xml:space="preserve">      Pref. Stock </t>
  </si>
  <si>
    <t xml:space="preserve">      Cash </t>
  </si>
  <si>
    <t xml:space="preserve">Equity Value </t>
  </si>
  <si>
    <t xml:space="preserve">   Mgmt Equity </t>
  </si>
  <si>
    <t xml:space="preserve">   Sub. Note </t>
  </si>
  <si>
    <t>Initial Equity Invested</t>
  </si>
  <si>
    <t>% ownership</t>
  </si>
  <si>
    <t xml:space="preserve">Fully Diluted </t>
  </si>
  <si>
    <t xml:space="preserve">RETURNS </t>
  </si>
  <si>
    <t>Cash-on-Cash</t>
  </si>
  <si>
    <t>IRR</t>
  </si>
  <si>
    <t xml:space="preserve">Initial </t>
  </si>
  <si>
    <t xml:space="preserve">Senior Note </t>
  </si>
  <si>
    <t>Sub Note at Exit EBITDA multiple of:</t>
  </si>
  <si>
    <t xml:space="preserve">Preferred Stock at Exit EBITDA multiple of: </t>
  </si>
  <si>
    <t xml:space="preserve">Management Equity at Exit EBITDA multiple of: </t>
  </si>
  <si>
    <t xml:space="preserve">Sponsor Equity at Exit EBITDA multiple of: </t>
  </si>
  <si>
    <t xml:space="preserve">SUMMARY AT 8.3x EXIT EBITDA MULTIPLE </t>
  </si>
  <si>
    <t xml:space="preserve">Sub Note </t>
  </si>
  <si>
    <t xml:space="preserve">Preferred Stock </t>
  </si>
  <si>
    <t xml:space="preserve">Mgmt Rollover </t>
  </si>
  <si>
    <t xml:space="preserve">Sponsor Equity </t>
  </si>
  <si>
    <t xml:space="preserve">   Total</t>
  </si>
  <si>
    <t xml:space="preserve">Financing </t>
  </si>
  <si>
    <t xml:space="preserve">% of Total Capital </t>
  </si>
  <si>
    <t>% FD Ownership</t>
  </si>
  <si>
    <t xml:space="preserve">Cash-on-Cash </t>
  </si>
  <si>
    <t xml:space="preserve">Expected IRR </t>
  </si>
  <si>
    <t xml:space="preserve">SENSITIVITY ANALYSIS </t>
  </si>
  <si>
    <t xml:space="preserve">Sponsor Hurdle Rate (Minimum IRR) </t>
  </si>
  <si>
    <t xml:space="preserve">Diluted Shares Outstanding </t>
  </si>
  <si>
    <t xml:space="preserve">Offer Value per Share </t>
  </si>
  <si>
    <t>Actual</t>
  </si>
  <si>
    <t xml:space="preserve">Offer Price / Share at Various Sponsor Hurdle Rates </t>
  </si>
  <si>
    <t xml:space="preserve">   % Premium / discount</t>
  </si>
  <si>
    <t xml:space="preserve">   EV/LTM EBITDA  multiple</t>
  </si>
  <si>
    <t xml:space="preserve">  </t>
  </si>
  <si>
    <t xml:space="preserve">Sponsor IRR at Various Leverage And Initial and Multiple Sensitivity </t>
  </si>
  <si>
    <t>EXPLICIT EBITDA (Approach 1) MUST BE SELECTED FOR DATA TABLE TO APPEAR</t>
  </si>
  <si>
    <t>Offer</t>
  </si>
  <si>
    <t xml:space="preserve">Price: </t>
  </si>
  <si>
    <t>Highlight IRR &gt;</t>
  </si>
  <si>
    <t xml:space="preserve">Sponsor IRR at Various Leverage And Offer Price / Share Sensitivity </t>
  </si>
  <si>
    <t>EXPLICIT OFFER PRICE / SHARE (Approach 2) MUST BE SELECTED FOR DATA TABLE TO APPEAR</t>
  </si>
  <si>
    <t>EBITDA</t>
  </si>
  <si>
    <t xml:space="preserve">Multiple: </t>
  </si>
  <si>
    <t xml:space="preserve">Sponsor IRR at Preferred and Sub Note Equity Kicker Sensitivity </t>
  </si>
  <si>
    <t xml:space="preserve">Preferred </t>
  </si>
  <si>
    <t>Equity</t>
  </si>
  <si>
    <t>Kicker:</t>
  </si>
  <si>
    <t>Sub Note Equity Kicker: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</si>
</sst>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&quot;Approach&quot;\ 0"/>
    <numFmt numFmtId="166" formatCode="0.00\x"/>
    <numFmt numFmtId="167" formatCode="0.0%"/>
    <numFmt numFmtId="168" formatCode="0.0"/>
    <numFmt numFmtId="169" formatCode="_(&quot;$&quot;* #,##0.0_);_(&quot;$&quot;* \(#,##0.0\);_(&quot;$&quot;* &quot;-&quot;??_);_(@_)"/>
    <numFmt numFmtId="177" formatCode="0.00_);[Red]\(0.00\)"/>
    <numFmt numFmtId="181" formatCode="0.00_);\(0.00\)"/>
    <numFmt numFmtId="182" formatCode="\L\ \+\ 0%"/>
    <numFmt numFmtId="183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47D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2" borderId="1" xfId="2" applyFont="1"/>
    <xf numFmtId="165" fontId="2" fillId="0" borderId="0" xfId="0" applyNumberFormat="1" applyFont="1"/>
    <xf numFmtId="165" fontId="2" fillId="2" borderId="1" xfId="2" applyNumberFormat="1" applyFont="1"/>
    <xf numFmtId="0" fontId="0" fillId="0" borderId="0" xfId="0" applyFont="1" applyFill="1" applyBorder="1"/>
    <xf numFmtId="0" fontId="2" fillId="0" borderId="3" xfId="0" applyFont="1" applyBorder="1"/>
    <xf numFmtId="0" fontId="5" fillId="0" borderId="0" xfId="0" applyFont="1"/>
    <xf numFmtId="0" fontId="0" fillId="0" borderId="0" xfId="0" applyFont="1"/>
    <xf numFmtId="44" fontId="2" fillId="0" borderId="0" xfId="0" applyNumberFormat="1" applyFont="1"/>
    <xf numFmtId="44" fontId="7" fillId="0" borderId="0" xfId="0" applyNumberFormat="1" applyFont="1"/>
    <xf numFmtId="0" fontId="4" fillId="0" borderId="0" xfId="0" applyFont="1" applyAlignment="1">
      <alignment horizontal="right"/>
    </xf>
    <xf numFmtId="44" fontId="9" fillId="0" borderId="0" xfId="0" applyNumberFormat="1" applyFont="1"/>
    <xf numFmtId="44" fontId="10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8" fillId="0" borderId="0" xfId="0" applyFont="1"/>
    <xf numFmtId="8" fontId="8" fillId="0" borderId="0" xfId="0" applyNumberFormat="1" applyFont="1"/>
    <xf numFmtId="44" fontId="2" fillId="0" borderId="3" xfId="0" applyNumberFormat="1" applyFont="1" applyBorder="1"/>
    <xf numFmtId="164" fontId="4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4" fontId="11" fillId="0" borderId="0" xfId="0" applyNumberFormat="1" applyFont="1"/>
    <xf numFmtId="164" fontId="11" fillId="0" borderId="0" xfId="0" applyNumberFormat="1" applyFont="1"/>
    <xf numFmtId="44" fontId="13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9" fontId="11" fillId="0" borderId="0" xfId="1" applyFont="1"/>
    <xf numFmtId="167" fontId="11" fillId="0" borderId="0" xfId="1" applyNumberFormat="1" applyFont="1"/>
    <xf numFmtId="168" fontId="0" fillId="0" borderId="0" xfId="0" applyNumberFormat="1"/>
    <xf numFmtId="9" fontId="13" fillId="0" borderId="0" xfId="0" applyNumberFormat="1" applyFont="1"/>
    <xf numFmtId="9" fontId="2" fillId="0" borderId="0" xfId="1" applyFont="1"/>
    <xf numFmtId="168" fontId="2" fillId="0" borderId="3" xfId="0" applyNumberFormat="1" applyFont="1" applyBorder="1"/>
    <xf numFmtId="169" fontId="2" fillId="0" borderId="3" xfId="0" applyNumberFormat="1" applyFont="1" applyBorder="1"/>
    <xf numFmtId="0" fontId="4" fillId="0" borderId="0" xfId="0" applyFont="1" applyFill="1" applyBorder="1"/>
    <xf numFmtId="14" fontId="9" fillId="0" borderId="0" xfId="0" applyNumberFormat="1" applyFont="1"/>
    <xf numFmtId="40" fontId="0" fillId="0" borderId="0" xfId="0" applyNumberFormat="1"/>
    <xf numFmtId="40" fontId="11" fillId="0" borderId="0" xfId="0" applyNumberFormat="1" applyFont="1"/>
    <xf numFmtId="40" fontId="2" fillId="0" borderId="0" xfId="0" applyNumberFormat="1" applyFont="1"/>
    <xf numFmtId="40" fontId="8" fillId="0" borderId="0" xfId="0" applyNumberFormat="1" applyFont="1"/>
    <xf numFmtId="10" fontId="0" fillId="0" borderId="0" xfId="0" applyNumberFormat="1"/>
    <xf numFmtId="10" fontId="11" fillId="0" borderId="0" xfId="0" applyNumberFormat="1" applyFont="1"/>
    <xf numFmtId="10" fontId="9" fillId="0" borderId="0" xfId="0" applyNumberFormat="1" applyFont="1"/>
    <xf numFmtId="167" fontId="11" fillId="0" borderId="0" xfId="0" applyNumberFormat="1" applyFont="1"/>
    <xf numFmtId="167" fontId="9" fillId="0" borderId="0" xfId="0" applyNumberFormat="1" applyFont="1"/>
    <xf numFmtId="0" fontId="14" fillId="0" borderId="0" xfId="0" applyFont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2" xfId="0" applyFont="1" applyFill="1" applyBorder="1"/>
    <xf numFmtId="14" fontId="11" fillId="0" borderId="2" xfId="0" applyNumberFormat="1" applyFont="1" applyBorder="1"/>
    <xf numFmtId="14" fontId="9" fillId="0" borderId="2" xfId="0" applyNumberFormat="1" applyFont="1" applyBorder="1"/>
    <xf numFmtId="9" fontId="0" fillId="0" borderId="0" xfId="0" applyNumberFormat="1"/>
    <xf numFmtId="9" fontId="11" fillId="0" borderId="0" xfId="0" applyNumberFormat="1" applyFont="1"/>
    <xf numFmtId="177" fontId="0" fillId="0" borderId="0" xfId="0" applyNumberFormat="1"/>
    <xf numFmtId="0" fontId="13" fillId="0" borderId="0" xfId="0" applyFont="1"/>
    <xf numFmtId="2" fontId="2" fillId="0" borderId="0" xfId="0" applyNumberFormat="1" applyFont="1"/>
    <xf numFmtId="168" fontId="2" fillId="0" borderId="0" xfId="0" applyNumberFormat="1" applyFont="1"/>
    <xf numFmtId="177" fontId="4" fillId="0" borderId="0" xfId="0" applyNumberFormat="1" applyFont="1"/>
    <xf numFmtId="177" fontId="11" fillId="0" borderId="0" xfId="0" applyNumberFormat="1" applyFont="1"/>
    <xf numFmtId="9" fontId="4" fillId="0" borderId="0" xfId="0" applyNumberFormat="1" applyFont="1"/>
    <xf numFmtId="10" fontId="4" fillId="0" borderId="0" xfId="0" applyNumberFormat="1" applyFont="1"/>
    <xf numFmtId="0" fontId="3" fillId="0" borderId="5" xfId="0" applyFont="1" applyBorder="1"/>
    <xf numFmtId="0" fontId="0" fillId="0" borderId="5" xfId="0" applyBorder="1"/>
    <xf numFmtId="177" fontId="2" fillId="0" borderId="0" xfId="0" applyNumberFormat="1" applyFont="1"/>
    <xf numFmtId="9" fontId="4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6" xfId="0" applyBorder="1"/>
    <xf numFmtId="40" fontId="5" fillId="0" borderId="0" xfId="0" applyNumberFormat="1" applyFont="1"/>
    <xf numFmtId="40" fontId="4" fillId="0" borderId="0" xfId="0" applyNumberFormat="1" applyFont="1"/>
    <xf numFmtId="2" fontId="0" fillId="0" borderId="6" xfId="0" applyNumberFormat="1" applyBorder="1"/>
    <xf numFmtId="39" fontId="0" fillId="0" borderId="0" xfId="0" applyNumberFormat="1"/>
    <xf numFmtId="39" fontId="2" fillId="0" borderId="0" xfId="0" applyNumberFormat="1" applyFont="1"/>
    <xf numFmtId="9" fontId="12" fillId="0" borderId="0" xfId="0" applyNumberFormat="1" applyFont="1"/>
    <xf numFmtId="9" fontId="11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181" fontId="0" fillId="0" borderId="6" xfId="0" applyNumberFormat="1" applyBorder="1"/>
    <xf numFmtId="181" fontId="0" fillId="0" borderId="0" xfId="0" applyNumberFormat="1"/>
    <xf numFmtId="181" fontId="2" fillId="0" borderId="0" xfId="0" applyNumberFormat="1" applyFont="1"/>
    <xf numFmtId="39" fontId="0" fillId="0" borderId="6" xfId="0" applyNumberFormat="1" applyBorder="1"/>
    <xf numFmtId="182" fontId="11" fillId="0" borderId="0" xfId="0" applyNumberFormat="1" applyFont="1"/>
    <xf numFmtId="183" fontId="11" fillId="0" borderId="0" xfId="0" applyNumberFormat="1" applyFont="1"/>
    <xf numFmtId="0" fontId="4" fillId="0" borderId="2" xfId="0" applyFont="1" applyBorder="1" applyAlignment="1">
      <alignment horizontal="center"/>
    </xf>
    <xf numFmtId="164" fontId="2" fillId="0" borderId="0" xfId="0" applyNumberFormat="1" applyFont="1"/>
    <xf numFmtId="164" fontId="2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 applyBorder="1"/>
    <xf numFmtId="181" fontId="0" fillId="0" borderId="9" xfId="0" applyNumberFormat="1" applyBorder="1"/>
    <xf numFmtId="9" fontId="11" fillId="0" borderId="10" xfId="0" applyNumberFormat="1" applyFont="1" applyBorder="1"/>
    <xf numFmtId="9" fontId="11" fillId="0" borderId="12" xfId="0" applyNumberFormat="1" applyFont="1" applyBorder="1"/>
    <xf numFmtId="0" fontId="2" fillId="0" borderId="4" xfId="0" applyFont="1" applyBorder="1"/>
    <xf numFmtId="164" fontId="0" fillId="0" borderId="0" xfId="0" applyNumberFormat="1" applyAlignment="1">
      <alignment horizontal="left"/>
    </xf>
    <xf numFmtId="2" fontId="10" fillId="0" borderId="0" xfId="0" applyNumberFormat="1" applyFont="1"/>
    <xf numFmtId="39" fontId="10" fillId="0" borderId="0" xfId="0" applyNumberFormat="1" applyFont="1"/>
    <xf numFmtId="9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0" fillId="0" borderId="0" xfId="0" applyFont="1"/>
    <xf numFmtId="181" fontId="10" fillId="0" borderId="0" xfId="0" applyNumberFormat="1" applyFont="1"/>
    <xf numFmtId="39" fontId="11" fillId="0" borderId="0" xfId="0" applyNumberFormat="1" applyFont="1"/>
    <xf numFmtId="0" fontId="2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9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8" fontId="2" fillId="0" borderId="14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8" fontId="2" fillId="0" borderId="9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66" fontId="11" fillId="0" borderId="0" xfId="0" applyNumberFormat="1" applyFont="1"/>
    <xf numFmtId="8" fontId="13" fillId="0" borderId="0" xfId="0" applyNumberFormat="1" applyFont="1"/>
    <xf numFmtId="8" fontId="19" fillId="0" borderId="0" xfId="0" applyNumberFormat="1" applyFont="1"/>
    <xf numFmtId="166" fontId="13" fillId="0" borderId="0" xfId="0" applyNumberFormat="1" applyFont="1"/>
    <xf numFmtId="0" fontId="2" fillId="0" borderId="18" xfId="0" applyFont="1" applyBorder="1" applyAlignment="1">
      <alignment horizontal="left"/>
    </xf>
    <xf numFmtId="9" fontId="13" fillId="0" borderId="19" xfId="0" applyNumberFormat="1" applyFont="1" applyBorder="1" applyAlignment="1">
      <alignment horizontal="left"/>
    </xf>
    <xf numFmtId="9" fontId="19" fillId="0" borderId="0" xfId="0" applyNumberFormat="1" applyFont="1"/>
    <xf numFmtId="0" fontId="20" fillId="0" borderId="3" xfId="0" applyFont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11">
    <dxf>
      <fill>
        <patternFill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vertical/>
        <horizontal/>
      </border>
    </dxf>
    <dxf>
      <fill>
        <patternFill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vertical/>
        <horizontal/>
      </border>
    </dxf>
    <dxf>
      <fill>
        <patternFill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4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F5A3-43AE-4AA8-8E24-3F4ED14DAEAD}">
  <dimension ref="A1:L312"/>
  <sheetViews>
    <sheetView tabSelected="1" topLeftCell="A283" zoomScaleNormal="100" workbookViewId="0">
      <selection activeCell="H316" sqref="H316"/>
    </sheetView>
  </sheetViews>
  <sheetFormatPr defaultRowHeight="15" x14ac:dyDescent="0.25"/>
  <cols>
    <col min="1" max="1" width="2.42578125" customWidth="1"/>
    <col min="2" max="2" width="43.7109375" bestFit="1" customWidth="1"/>
    <col min="3" max="10" width="20.7109375" customWidth="1"/>
    <col min="11" max="11" width="24.42578125" customWidth="1"/>
  </cols>
  <sheetData>
    <row r="1" spans="2:11" ht="29.25" thickBot="1" x14ac:dyDescent="0.5"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</row>
    <row r="2" spans="2:11" x14ac:dyDescent="0.25">
      <c r="B2" s="3" t="s">
        <v>1</v>
      </c>
    </row>
    <row r="5" spans="2:11" x14ac:dyDescent="0.25">
      <c r="B5" s="4" t="s">
        <v>6</v>
      </c>
      <c r="C5" s="5"/>
      <c r="D5" s="5"/>
      <c r="G5" s="4" t="s">
        <v>17</v>
      </c>
      <c r="H5" s="5"/>
      <c r="I5" s="5"/>
      <c r="J5" s="5"/>
      <c r="K5" s="5"/>
    </row>
    <row r="6" spans="2:11" x14ac:dyDescent="0.25">
      <c r="B6" t="s">
        <v>2</v>
      </c>
      <c r="D6" t="s">
        <v>18</v>
      </c>
    </row>
    <row r="7" spans="2:11" x14ac:dyDescent="0.25">
      <c r="B7" t="s">
        <v>3</v>
      </c>
      <c r="D7" t="s">
        <v>18</v>
      </c>
      <c r="G7" s="3" t="s">
        <v>71</v>
      </c>
      <c r="I7" s="13">
        <v>1</v>
      </c>
      <c r="J7" s="12">
        <v>1</v>
      </c>
      <c r="K7" s="12">
        <v>2</v>
      </c>
    </row>
    <row r="8" spans="2:11" x14ac:dyDescent="0.25">
      <c r="B8" t="s">
        <v>4</v>
      </c>
      <c r="D8" s="23">
        <v>45.42</v>
      </c>
      <c r="I8" s="3" t="str">
        <f>IF(I7=1,J8,K8)</f>
        <v xml:space="preserve">Explicit EBITDA </v>
      </c>
      <c r="J8" s="20" t="s">
        <v>30</v>
      </c>
      <c r="K8" s="20" t="s">
        <v>31</v>
      </c>
    </row>
    <row r="9" spans="2:11" x14ac:dyDescent="0.25">
      <c r="B9" t="s">
        <v>19</v>
      </c>
      <c r="D9" s="30">
        <v>41400</v>
      </c>
    </row>
    <row r="10" spans="2:11" x14ac:dyDescent="0.25">
      <c r="B10" t="s">
        <v>5</v>
      </c>
      <c r="D10" s="11" t="s">
        <v>20</v>
      </c>
      <c r="G10" t="s">
        <v>21</v>
      </c>
      <c r="I10">
        <f>D13</f>
        <v>882.70000000000016</v>
      </c>
      <c r="J10">
        <f>D13</f>
        <v>882.70000000000016</v>
      </c>
      <c r="K10">
        <f>D13</f>
        <v>882.70000000000016</v>
      </c>
    </row>
    <row r="11" spans="2:11" x14ac:dyDescent="0.25">
      <c r="G11" t="s">
        <v>22</v>
      </c>
      <c r="I11" s="10">
        <f>CHOOSE(I7,J11,K11)</f>
        <v>8</v>
      </c>
      <c r="J11" s="31">
        <v>8</v>
      </c>
      <c r="K11" s="10">
        <f>K12/K10</f>
        <v>7.3266171972357528</v>
      </c>
    </row>
    <row r="12" spans="2:11" x14ac:dyDescent="0.25">
      <c r="B12" s="4" t="s">
        <v>70</v>
      </c>
      <c r="C12" s="5"/>
      <c r="D12" s="5"/>
      <c r="G12" s="1" t="s">
        <v>23</v>
      </c>
      <c r="H12" s="1"/>
      <c r="I12" s="18">
        <f>I10*I11</f>
        <v>7061.6000000000013</v>
      </c>
      <c r="J12" s="18">
        <f>J10*J11</f>
        <v>7061.6000000000013</v>
      </c>
      <c r="K12" s="18">
        <f>K17-K14-K15</f>
        <v>6467.2049999999999</v>
      </c>
    </row>
    <row r="13" spans="2:11" x14ac:dyDescent="0.25">
      <c r="B13" t="s">
        <v>7</v>
      </c>
      <c r="D13" s="50">
        <f>E60</f>
        <v>882.70000000000016</v>
      </c>
    </row>
    <row r="14" spans="2:11" x14ac:dyDescent="0.25">
      <c r="B14" t="s">
        <v>8</v>
      </c>
      <c r="D14" s="7">
        <v>-1306</v>
      </c>
      <c r="G14" t="s">
        <v>24</v>
      </c>
      <c r="I14" s="6">
        <f>D14</f>
        <v>-1306</v>
      </c>
      <c r="J14" s="6">
        <f>D14</f>
        <v>-1306</v>
      </c>
      <c r="K14" s="6">
        <f>D14</f>
        <v>-1306</v>
      </c>
    </row>
    <row r="15" spans="2:11" x14ac:dyDescent="0.25">
      <c r="B15" t="s">
        <v>9</v>
      </c>
      <c r="D15" s="23">
        <f>1379.2+131.27+71.5</f>
        <v>1581.97</v>
      </c>
      <c r="G15" t="s">
        <v>25</v>
      </c>
      <c r="I15" s="6">
        <f>D15</f>
        <v>1581.97</v>
      </c>
      <c r="J15" s="6">
        <f>D15</f>
        <v>1581.97</v>
      </c>
      <c r="K15" s="6">
        <f>D15</f>
        <v>1581.97</v>
      </c>
    </row>
    <row r="16" spans="2:11" x14ac:dyDescent="0.25">
      <c r="B16" t="s">
        <v>10</v>
      </c>
      <c r="D16" s="23">
        <v>180</v>
      </c>
    </row>
    <row r="17" spans="1:11" x14ac:dyDescent="0.25">
      <c r="B17" t="s">
        <v>11</v>
      </c>
      <c r="D17" s="31">
        <v>7.3</v>
      </c>
      <c r="G17" s="1" t="s">
        <v>26</v>
      </c>
      <c r="H17" s="1"/>
      <c r="I17" s="18">
        <f>I12+I14+I15</f>
        <v>7337.5700000000015</v>
      </c>
      <c r="J17" s="18">
        <f>J12+J14+J15</f>
        <v>7337.5700000000015</v>
      </c>
      <c r="K17" s="18">
        <f>K18*K20</f>
        <v>6743.1750000000002</v>
      </c>
    </row>
    <row r="18" spans="1:11" x14ac:dyDescent="0.25">
      <c r="G18" t="s">
        <v>27</v>
      </c>
      <c r="I18" s="22">
        <f>Shares!E13</f>
        <v>145.79837837837837</v>
      </c>
      <c r="J18" s="21">
        <f>$I$18</f>
        <v>145.79837837837837</v>
      </c>
      <c r="K18" s="21">
        <f>$I$18</f>
        <v>145.79837837837837</v>
      </c>
    </row>
    <row r="19" spans="1:11" x14ac:dyDescent="0.25">
      <c r="B19" s="4" t="s">
        <v>12</v>
      </c>
      <c r="C19" s="5"/>
      <c r="D19" s="5"/>
    </row>
    <row r="20" spans="1:11" x14ac:dyDescent="0.25">
      <c r="B20" t="s">
        <v>13</v>
      </c>
      <c r="D20" s="6">
        <f>I17</f>
        <v>7337.5700000000015</v>
      </c>
      <c r="G20" s="1" t="s">
        <v>28</v>
      </c>
      <c r="H20" s="1"/>
      <c r="I20" s="18">
        <f>I17/I18</f>
        <v>50.326828608185323</v>
      </c>
      <c r="J20" s="18">
        <f>J17/J18</f>
        <v>50.326828608185323</v>
      </c>
      <c r="K20" s="32">
        <v>46.25</v>
      </c>
    </row>
    <row r="21" spans="1:11" x14ac:dyDescent="0.25">
      <c r="B21" t="s">
        <v>14</v>
      </c>
      <c r="D21" s="6">
        <f>-D14</f>
        <v>1306</v>
      </c>
      <c r="G21" s="3" t="s">
        <v>29</v>
      </c>
      <c r="I21" s="8">
        <f>I20/$D$8-1</f>
        <v>0.10803233395388201</v>
      </c>
      <c r="J21" s="8">
        <f>J20/$D$8-1</f>
        <v>0.10803233395388201</v>
      </c>
      <c r="K21" s="8">
        <f>K20/D8-1</f>
        <v>1.8273888154997753E-2</v>
      </c>
    </row>
    <row r="22" spans="1:11" x14ac:dyDescent="0.25">
      <c r="B22" t="s">
        <v>15</v>
      </c>
      <c r="D22" s="6">
        <f>I36+I33</f>
        <v>216.44056500000005</v>
      </c>
    </row>
    <row r="23" spans="1:11" x14ac:dyDescent="0.25">
      <c r="A23" s="1"/>
      <c r="B23" s="1" t="s">
        <v>16</v>
      </c>
      <c r="C23" s="1"/>
      <c r="D23" s="27">
        <f>SUM(D20:D22)</f>
        <v>8860.0105650000023</v>
      </c>
    </row>
    <row r="24" spans="1:11" x14ac:dyDescent="0.25">
      <c r="B24" s="1"/>
    </row>
    <row r="25" spans="1:11" x14ac:dyDescent="0.25">
      <c r="B25" s="4" t="s">
        <v>56</v>
      </c>
      <c r="C25" s="5"/>
      <c r="D25" s="5"/>
      <c r="G25" s="4" t="s">
        <v>60</v>
      </c>
      <c r="H25" s="5"/>
      <c r="I25" s="5"/>
      <c r="J25" s="5"/>
      <c r="K25" s="5"/>
    </row>
    <row r="26" spans="1:11" x14ac:dyDescent="0.25">
      <c r="C26" s="16" t="s">
        <v>58</v>
      </c>
      <c r="D26" s="16" t="s">
        <v>59</v>
      </c>
      <c r="H26" s="34" t="s">
        <v>61</v>
      </c>
      <c r="I26" s="34" t="s">
        <v>62</v>
      </c>
      <c r="J26" s="34" t="s">
        <v>85</v>
      </c>
      <c r="K26" s="34" t="s">
        <v>63</v>
      </c>
    </row>
    <row r="27" spans="1:11" x14ac:dyDescent="0.25">
      <c r="B27" s="14" t="s">
        <v>80</v>
      </c>
      <c r="C27" s="36">
        <f>D27/D13</f>
        <v>1.5882746119859519</v>
      </c>
      <c r="D27">
        <f>MAX(D15-D16,0)</f>
        <v>1401.97</v>
      </c>
      <c r="G27" s="3" t="s">
        <v>64</v>
      </c>
    </row>
    <row r="28" spans="1:11" x14ac:dyDescent="0.25">
      <c r="B28" s="14" t="s">
        <v>79</v>
      </c>
      <c r="C28" s="29">
        <v>0</v>
      </c>
      <c r="D28">
        <f>C28*$D$13</f>
        <v>0</v>
      </c>
      <c r="G28" t="s">
        <v>65</v>
      </c>
      <c r="H28" s="38">
        <v>0.01</v>
      </c>
      <c r="I28">
        <f>H28*D28</f>
        <v>0</v>
      </c>
      <c r="J28" s="23">
        <v>5</v>
      </c>
      <c r="K28">
        <f>IFERROR(I28/J28,NM)</f>
        <v>0</v>
      </c>
    </row>
    <row r="29" spans="1:11" x14ac:dyDescent="0.25">
      <c r="B29" s="14" t="s">
        <v>78</v>
      </c>
      <c r="C29" s="35">
        <v>3.27</v>
      </c>
      <c r="D29">
        <f t="shared" ref="D29:D33" si="0">C29*$D$13</f>
        <v>2886.4290000000005</v>
      </c>
      <c r="G29" t="s">
        <v>66</v>
      </c>
      <c r="H29" s="39">
        <v>1.4999999999999999E-2</v>
      </c>
      <c r="I29" s="40">
        <f>D29*H29</f>
        <v>43.29643500000001</v>
      </c>
      <c r="J29" s="23">
        <v>7</v>
      </c>
      <c r="K29" s="40">
        <f>IFERROR(I29/J29,NM)</f>
        <v>6.1852050000000016</v>
      </c>
    </row>
    <row r="30" spans="1:11" x14ac:dyDescent="0.25">
      <c r="B30" s="14" t="s">
        <v>67</v>
      </c>
      <c r="C30" s="35">
        <v>0.76</v>
      </c>
      <c r="D30">
        <f t="shared" si="0"/>
        <v>670.85200000000009</v>
      </c>
      <c r="G30" t="s">
        <v>67</v>
      </c>
      <c r="H30" s="39">
        <v>1.4999999999999999E-2</v>
      </c>
      <c r="I30" s="40">
        <f>D30*H30</f>
        <v>10.062780000000002</v>
      </c>
      <c r="J30" s="23">
        <v>7</v>
      </c>
      <c r="K30" s="40">
        <f>IFERROR(I30/J30,NM)</f>
        <v>1.4375400000000003</v>
      </c>
    </row>
    <row r="31" spans="1:11" x14ac:dyDescent="0.25">
      <c r="B31" s="14" t="s">
        <v>77</v>
      </c>
      <c r="C31" s="35">
        <v>1.85</v>
      </c>
      <c r="D31">
        <f t="shared" si="0"/>
        <v>1632.9950000000003</v>
      </c>
      <c r="G31" t="s">
        <v>77</v>
      </c>
      <c r="H31" s="38">
        <v>0.01</v>
      </c>
      <c r="I31" s="40">
        <f>D31*H31</f>
        <v>16.329950000000004</v>
      </c>
      <c r="J31" s="23">
        <v>8</v>
      </c>
      <c r="K31" s="40">
        <f>IFERROR(I31/J31,NM)</f>
        <v>2.0412437500000005</v>
      </c>
    </row>
    <row r="32" spans="1:11" x14ac:dyDescent="0.25">
      <c r="B32" s="14" t="s">
        <v>76</v>
      </c>
      <c r="C32" s="29">
        <v>0</v>
      </c>
      <c r="D32">
        <f t="shared" si="0"/>
        <v>0</v>
      </c>
      <c r="G32" t="s">
        <v>76</v>
      </c>
      <c r="H32" s="38">
        <v>0</v>
      </c>
      <c r="I32">
        <f>D32*H32</f>
        <v>0</v>
      </c>
      <c r="K32" s="33"/>
    </row>
    <row r="33" spans="1:12" x14ac:dyDescent="0.25">
      <c r="B33" s="14" t="s">
        <v>75</v>
      </c>
      <c r="C33" s="29">
        <v>0</v>
      </c>
      <c r="D33">
        <f t="shared" si="0"/>
        <v>0</v>
      </c>
      <c r="G33" s="1" t="s">
        <v>82</v>
      </c>
      <c r="H33" s="42"/>
      <c r="I33" s="15">
        <f>SUM(I28:I32)</f>
        <v>69.689165000000017</v>
      </c>
      <c r="J33" s="1"/>
      <c r="K33" s="43">
        <f>SUM(K28:K31)</f>
        <v>9.6639887500000015</v>
      </c>
      <c r="L33" s="1"/>
    </row>
    <row r="34" spans="1:12" x14ac:dyDescent="0.25">
      <c r="B34" s="14" t="s">
        <v>74</v>
      </c>
      <c r="C34" s="29">
        <v>0</v>
      </c>
      <c r="D34">
        <f>C34*$D$13</f>
        <v>0</v>
      </c>
    </row>
    <row r="35" spans="1:12" x14ac:dyDescent="0.25">
      <c r="B35" s="14" t="s">
        <v>73</v>
      </c>
      <c r="C35" s="28">
        <f>D35/D13</f>
        <v>2.5691226520901789</v>
      </c>
      <c r="D35" s="6">
        <f>D23-SUM(D27:D34)</f>
        <v>2267.7645650000013</v>
      </c>
      <c r="H35" s="16" t="s">
        <v>83</v>
      </c>
      <c r="I35" s="34" t="s">
        <v>84</v>
      </c>
    </row>
    <row r="36" spans="1:12" x14ac:dyDescent="0.25">
      <c r="B36" s="1" t="s">
        <v>81</v>
      </c>
      <c r="C36" s="37">
        <f>SUM(C27:C35)</f>
        <v>10.03739726407613</v>
      </c>
      <c r="D36" s="44">
        <f>SUM(D27:D35)</f>
        <v>8860.0105650000023</v>
      </c>
      <c r="G36" s="1" t="s">
        <v>86</v>
      </c>
      <c r="H36" s="41">
        <v>0.02</v>
      </c>
      <c r="I36" s="18">
        <f>H36*I17</f>
        <v>146.75140000000005</v>
      </c>
    </row>
    <row r="38" spans="1:12" x14ac:dyDescent="0.25">
      <c r="A38" t="s">
        <v>87</v>
      </c>
      <c r="B38" s="4" t="s">
        <v>88</v>
      </c>
      <c r="C38" s="5"/>
      <c r="D38" s="5"/>
      <c r="E38" s="5"/>
      <c r="F38" s="5"/>
      <c r="G38" s="5"/>
      <c r="H38" s="5"/>
      <c r="I38" s="5"/>
      <c r="J38" s="5"/>
      <c r="K38" s="5"/>
    </row>
    <row r="39" spans="1:12" x14ac:dyDescent="0.25">
      <c r="B39" t="s">
        <v>89</v>
      </c>
      <c r="C39" s="78" t="s">
        <v>98</v>
      </c>
      <c r="D39" s="78" t="s">
        <v>99</v>
      </c>
      <c r="E39" s="78" t="s">
        <v>100</v>
      </c>
      <c r="F39" s="78" t="s">
        <v>101</v>
      </c>
      <c r="G39" s="78" t="s">
        <v>102</v>
      </c>
      <c r="H39" s="78" t="s">
        <v>103</v>
      </c>
      <c r="I39" s="78" t="s">
        <v>104</v>
      </c>
      <c r="J39" s="78" t="s">
        <v>105</v>
      </c>
    </row>
    <row r="40" spans="1:12" x14ac:dyDescent="0.25">
      <c r="B40" s="45" t="s">
        <v>68</v>
      </c>
      <c r="C40" s="30">
        <v>40633</v>
      </c>
      <c r="D40" s="30">
        <v>40999</v>
      </c>
      <c r="E40" s="30">
        <v>41364</v>
      </c>
      <c r="F40" s="46">
        <v>41729</v>
      </c>
      <c r="G40" s="46">
        <v>42094</v>
      </c>
      <c r="H40" s="46">
        <v>42460</v>
      </c>
      <c r="I40" s="46">
        <v>42825</v>
      </c>
      <c r="J40" s="46">
        <v>43190</v>
      </c>
    </row>
    <row r="42" spans="1:12" x14ac:dyDescent="0.25">
      <c r="B42" t="s">
        <v>90</v>
      </c>
      <c r="C42" s="48">
        <v>2065.3000000000002</v>
      </c>
      <c r="D42" s="48">
        <v>2172</v>
      </c>
      <c r="E42" s="48">
        <v>2201.4</v>
      </c>
      <c r="F42" s="47">
        <f>E42*(1+F63)</f>
        <v>2278.4490000000001</v>
      </c>
      <c r="G42" s="47">
        <f t="shared" ref="G42:J42" si="1">F42*(1+G63)</f>
        <v>2403.7636950000001</v>
      </c>
      <c r="H42" s="47">
        <f t="shared" si="1"/>
        <v>2547.9895167000004</v>
      </c>
      <c r="I42" s="47">
        <f t="shared" si="1"/>
        <v>2675.3889925350004</v>
      </c>
      <c r="J42" s="47">
        <f t="shared" si="1"/>
        <v>2803.8076641766806</v>
      </c>
    </row>
    <row r="43" spans="1:12" x14ac:dyDescent="0.25">
      <c r="B43" t="s">
        <v>97</v>
      </c>
      <c r="C43" s="47">
        <v>-485.2</v>
      </c>
      <c r="D43" s="47">
        <v>-568.9</v>
      </c>
      <c r="E43" s="47">
        <v>-592</v>
      </c>
      <c r="F43" s="47">
        <f>F44-F42</f>
        <v>-581.59219970234994</v>
      </c>
      <c r="G43" s="47">
        <f t="shared" ref="G43:J43" si="2">G44-G42</f>
        <v>-601.56095221097917</v>
      </c>
      <c r="H43" s="47">
        <f t="shared" si="2"/>
        <v>-624.91466176013796</v>
      </c>
      <c r="I43" s="47">
        <f t="shared" si="2"/>
        <v>-642.78344988546974</v>
      </c>
      <c r="J43" s="47">
        <f t="shared" si="2"/>
        <v>-659.61801715908905</v>
      </c>
    </row>
    <row r="44" spans="1:12" s="1" customFormat="1" x14ac:dyDescent="0.25">
      <c r="B44" s="1" t="s">
        <v>91</v>
      </c>
      <c r="C44" s="49">
        <f>C42+C43</f>
        <v>1580.1000000000001</v>
      </c>
      <c r="D44" s="49">
        <f>SUM(D42:D43)</f>
        <v>1603.1</v>
      </c>
      <c r="E44" s="49">
        <f>E42+E43</f>
        <v>1609.4</v>
      </c>
      <c r="F44" s="49">
        <f>F42*F64</f>
        <v>1696.8568002976501</v>
      </c>
      <c r="G44" s="49">
        <f t="shared" ref="G44:J44" si="3">G42*G64</f>
        <v>1802.2027427890209</v>
      </c>
      <c r="H44" s="49">
        <f t="shared" si="3"/>
        <v>1923.0748549398625</v>
      </c>
      <c r="I44" s="49">
        <f t="shared" si="3"/>
        <v>2032.6055426495307</v>
      </c>
      <c r="J44" s="49">
        <f t="shared" si="3"/>
        <v>2144.1896470175916</v>
      </c>
    </row>
    <row r="45" spans="1:12" x14ac:dyDescent="0.25">
      <c r="B45" t="s">
        <v>92</v>
      </c>
      <c r="C45" s="47">
        <v>-181.6</v>
      </c>
      <c r="D45" s="47">
        <v>-165.2</v>
      </c>
      <c r="E45" s="48">
        <v>-174.6</v>
      </c>
      <c r="F45" s="47">
        <f>-F65*F42</f>
        <v>-184.78313334862591</v>
      </c>
      <c r="G45" s="47">
        <f t="shared" ref="G45:J45" si="4">-G65*G42</f>
        <v>-194.94620568280035</v>
      </c>
      <c r="H45" s="47">
        <f t="shared" si="4"/>
        <v>-206.64297802376839</v>
      </c>
      <c r="I45" s="47">
        <f t="shared" si="4"/>
        <v>-216.97512692495681</v>
      </c>
      <c r="J45" s="47">
        <f t="shared" si="4"/>
        <v>-227.38993301735476</v>
      </c>
    </row>
    <row r="46" spans="1:12" x14ac:dyDescent="0.25">
      <c r="B46" t="s">
        <v>93</v>
      </c>
      <c r="C46" s="47">
        <v>-865.7</v>
      </c>
      <c r="D46" s="47">
        <v>-894</v>
      </c>
      <c r="E46" s="47">
        <v>-969.4</v>
      </c>
      <c r="F46" s="47">
        <f>-F66*F42</f>
        <v>-965.39603068528015</v>
      </c>
      <c r="G46" s="47">
        <f t="shared" ref="G46:J46" si="5">-G66*G42</f>
        <v>-994.45517542297057</v>
      </c>
      <c r="H46" s="47">
        <f t="shared" si="5"/>
        <v>-1028.6425907813489</v>
      </c>
      <c r="I46" s="47">
        <f t="shared" si="5"/>
        <v>-1053.3208303950664</v>
      </c>
      <c r="J46" s="47">
        <f t="shared" si="5"/>
        <v>-1075.8421536122628</v>
      </c>
    </row>
    <row r="47" spans="1:12" s="1" customFormat="1" x14ac:dyDescent="0.25">
      <c r="B47" s="1" t="s">
        <v>94</v>
      </c>
      <c r="C47" s="49">
        <f>SUM(C44:C46)</f>
        <v>532.80000000000018</v>
      </c>
      <c r="D47" s="49">
        <f>SUM(D44:D46)</f>
        <v>543.89999999999986</v>
      </c>
      <c r="E47" s="49">
        <f>SUM(E44:E46)</f>
        <v>465.4000000000002</v>
      </c>
      <c r="F47" s="49">
        <f>SUM(F44:F46)</f>
        <v>546.67763626374415</v>
      </c>
      <c r="G47" s="49">
        <f t="shared" ref="G47:J47" si="6">SUM(G44:G46)</f>
        <v>612.80136168324998</v>
      </c>
      <c r="H47" s="49">
        <f t="shared" si="6"/>
        <v>687.78928613474523</v>
      </c>
      <c r="I47" s="49">
        <f t="shared" si="6"/>
        <v>762.3095853295074</v>
      </c>
      <c r="J47" s="49">
        <f t="shared" si="6"/>
        <v>840.95756038797413</v>
      </c>
    </row>
    <row r="48" spans="1:12" x14ac:dyDescent="0.25">
      <c r="B48" t="s">
        <v>95</v>
      </c>
      <c r="C48" s="48">
        <v>15</v>
      </c>
      <c r="D48" s="48">
        <v>10.6</v>
      </c>
      <c r="E48" s="48">
        <v>8.3000000000000007</v>
      </c>
      <c r="F48" s="47">
        <f ca="1">F142</f>
        <v>0.94439211868745931</v>
      </c>
      <c r="G48" s="47">
        <f t="shared" ref="G48:J48" ca="1" si="7">G142</f>
        <v>0.9443921186874551</v>
      </c>
      <c r="H48" s="47">
        <f t="shared" ca="1" si="7"/>
        <v>0.94439211868388917</v>
      </c>
      <c r="I48" s="47">
        <f t="shared" ca="1" si="7"/>
        <v>0.94439211717034421</v>
      </c>
      <c r="J48" s="47">
        <f t="shared" ca="1" si="7"/>
        <v>0.94439176248693335</v>
      </c>
    </row>
    <row r="49" spans="2:11" x14ac:dyDescent="0.25">
      <c r="B49" t="s">
        <v>96</v>
      </c>
      <c r="C49" s="47">
        <v>-19.8</v>
      </c>
      <c r="D49" s="47">
        <v>-23.3</v>
      </c>
      <c r="E49" s="47">
        <v>-47.8</v>
      </c>
      <c r="F49" s="47">
        <f ca="1">-SUM(F203:F208)</f>
        <v>-297.99151476699456</v>
      </c>
      <c r="G49" s="47">
        <f t="shared" ref="G49:J49" ca="1" si="8">-SUM(G203:G208)</f>
        <v>-277.99943144022564</v>
      </c>
      <c r="H49" s="47">
        <f t="shared" ca="1" si="8"/>
        <v>-258.71286899145821</v>
      </c>
      <c r="I49" s="47">
        <f t="shared" ca="1" si="8"/>
        <v>-231.76861601784279</v>
      </c>
      <c r="J49" s="47">
        <f t="shared" ca="1" si="8"/>
        <v>-191.56621522795461</v>
      </c>
    </row>
    <row r="50" spans="2:11" x14ac:dyDescent="0.25">
      <c r="B50" t="s">
        <v>106</v>
      </c>
      <c r="C50" s="48">
        <v>3.3</v>
      </c>
      <c r="D50" s="47">
        <v>-1.2</v>
      </c>
      <c r="E50" s="48">
        <v>2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</row>
    <row r="51" spans="2:11" s="1" customFormat="1" x14ac:dyDescent="0.25">
      <c r="B51" s="1" t="s">
        <v>107</v>
      </c>
      <c r="C51" s="49">
        <f>SUM(C47:C50)</f>
        <v>531.30000000000018</v>
      </c>
      <c r="D51" s="49">
        <f>SUM(D47:D50)</f>
        <v>529.99999999999989</v>
      </c>
      <c r="E51" s="49">
        <f>SUM(E47:E50)</f>
        <v>427.9000000000002</v>
      </c>
      <c r="F51" s="49">
        <f ca="1">SUM(F47:F50)</f>
        <v>249.63051361543705</v>
      </c>
      <c r="G51" s="49">
        <f t="shared" ref="G51:J51" ca="1" si="9">SUM(G47:G50)</f>
        <v>335.7463223617118</v>
      </c>
      <c r="H51" s="49">
        <f t="shared" ca="1" si="9"/>
        <v>430.02080926197095</v>
      </c>
      <c r="I51" s="49">
        <f t="shared" ca="1" si="9"/>
        <v>531.48536142883495</v>
      </c>
      <c r="J51" s="49">
        <f t="shared" ca="1" si="9"/>
        <v>650.33573692250638</v>
      </c>
    </row>
    <row r="52" spans="2:11" x14ac:dyDescent="0.25">
      <c r="B52" t="s">
        <v>108</v>
      </c>
      <c r="C52" s="47">
        <v>-75.099999999999994</v>
      </c>
      <c r="D52" s="47">
        <v>-129</v>
      </c>
      <c r="E52" s="47">
        <v>-96.9</v>
      </c>
      <c r="F52" s="47">
        <f ca="1">-F67*F51</f>
        <v>-56.530022830885351</v>
      </c>
      <c r="G52" s="47">
        <f t="shared" ref="G52:J52" ca="1" si="10">-G67*G51</f>
        <v>-76.031359282191772</v>
      </c>
      <c r="H52" s="47">
        <f t="shared" ca="1" si="10"/>
        <v>-97.380267393047362</v>
      </c>
      <c r="I52" s="47">
        <f t="shared" ca="1" si="10"/>
        <v>-120.35740014595487</v>
      </c>
      <c r="J52" s="47">
        <f t="shared" ca="1" si="10"/>
        <v>-147.27163568074513</v>
      </c>
    </row>
    <row r="53" spans="2:11" s="1" customFormat="1" x14ac:dyDescent="0.25">
      <c r="B53" s="1" t="s">
        <v>109</v>
      </c>
      <c r="C53" s="49">
        <f>SUM(C51:C52)</f>
        <v>456.20000000000016</v>
      </c>
      <c r="D53" s="49">
        <f>SUM(D51:D52)</f>
        <v>400.99999999999989</v>
      </c>
      <c r="E53" s="49">
        <f>SUM(E51:E52)</f>
        <v>331.00000000000023</v>
      </c>
      <c r="F53" s="49">
        <f ca="1">SUM(F51:F52)</f>
        <v>193.10049078455171</v>
      </c>
      <c r="G53" s="49">
        <f t="shared" ref="G53:J53" ca="1" si="11">SUM(G51:G52)</f>
        <v>259.71496307952003</v>
      </c>
      <c r="H53" s="49">
        <f t="shared" ca="1" si="11"/>
        <v>332.64054186892361</v>
      </c>
      <c r="I53" s="49">
        <f t="shared" ca="1" si="11"/>
        <v>411.12796128288005</v>
      </c>
      <c r="J53" s="49">
        <f t="shared" ca="1" si="11"/>
        <v>503.06410124176125</v>
      </c>
    </row>
    <row r="54" spans="2:11" x14ac:dyDescent="0.25">
      <c r="C54" s="47"/>
      <c r="D54" s="47"/>
      <c r="E54" s="47"/>
      <c r="F54" s="47"/>
      <c r="G54" s="47"/>
      <c r="H54" s="47"/>
      <c r="I54" s="47"/>
      <c r="J54" s="47"/>
    </row>
    <row r="55" spans="2:11" x14ac:dyDescent="0.25">
      <c r="B55" s="16" t="s">
        <v>110</v>
      </c>
      <c r="C55" s="47"/>
      <c r="D55" s="47"/>
      <c r="E55" s="47"/>
      <c r="F55" s="47"/>
      <c r="G55" s="47"/>
      <c r="H55" s="47"/>
      <c r="I55" s="47"/>
      <c r="J55" s="47"/>
    </row>
    <row r="56" spans="2:11" s="1" customFormat="1" x14ac:dyDescent="0.25">
      <c r="B56" s="1" t="s">
        <v>111</v>
      </c>
      <c r="C56" s="49">
        <f>C47</f>
        <v>532.80000000000018</v>
      </c>
      <c r="D56" s="49">
        <f>D47</f>
        <v>543.89999999999986</v>
      </c>
      <c r="E56" s="49">
        <f>E47</f>
        <v>465.4000000000002</v>
      </c>
      <c r="F56" s="49">
        <f t="shared" ref="F56:J56" si="12">F47</f>
        <v>546.67763626374415</v>
      </c>
      <c r="G56" s="49">
        <f>G47</f>
        <v>612.80136168324998</v>
      </c>
      <c r="H56" s="49">
        <f t="shared" si="12"/>
        <v>687.78928613474523</v>
      </c>
      <c r="I56" s="49">
        <f t="shared" si="12"/>
        <v>762.3095853295074</v>
      </c>
      <c r="J56" s="49">
        <f t="shared" si="12"/>
        <v>840.95756038797413</v>
      </c>
    </row>
    <row r="57" spans="2:11" x14ac:dyDescent="0.25">
      <c r="B57" t="s">
        <v>112</v>
      </c>
      <c r="C57" s="48">
        <v>190</v>
      </c>
      <c r="D57" s="48">
        <v>224.6</v>
      </c>
      <c r="E57" s="48">
        <v>229</v>
      </c>
      <c r="F57" s="47">
        <f>-(F91+F97+F103)</f>
        <v>223.94686822877298</v>
      </c>
      <c r="G57" s="47">
        <f t="shared" ref="G57:J57" si="13">-(G91+G97+G103)</f>
        <v>220.60103174603177</v>
      </c>
      <c r="H57" s="47">
        <f t="shared" si="13"/>
        <v>222.40078105316201</v>
      </c>
      <c r="I57" s="47">
        <f t="shared" si="13"/>
        <v>224.19373141849334</v>
      </c>
      <c r="J57" s="47">
        <f t="shared" si="13"/>
        <v>223.00000000000003</v>
      </c>
    </row>
    <row r="58" spans="2:11" x14ac:dyDescent="0.25">
      <c r="B58" t="s">
        <v>113</v>
      </c>
      <c r="C58" s="48">
        <v>106.5</v>
      </c>
      <c r="D58" s="48">
        <v>127.2</v>
      </c>
      <c r="E58" s="48">
        <v>147.4</v>
      </c>
      <c r="F58" s="47">
        <f>F68*-SUM(F43,F45:F46)</f>
        <v>161.0547368274718</v>
      </c>
      <c r="G58" s="47">
        <f t="shared" ref="G58:J58" si="14">G68*-SUM(G43,G45:G46)</f>
        <v>171.03690283174964</v>
      </c>
      <c r="H58" s="47">
        <f t="shared" si="14"/>
        <v>182.29962259539502</v>
      </c>
      <c r="I58" s="47">
        <f t="shared" si="14"/>
        <v>192.26448042415205</v>
      </c>
      <c r="J58" s="47">
        <f t="shared" si="14"/>
        <v>202.1735606902368</v>
      </c>
    </row>
    <row r="59" spans="2:11" x14ac:dyDescent="0.25">
      <c r="B59" t="s">
        <v>114</v>
      </c>
      <c r="C59" s="48">
        <v>14.3</v>
      </c>
      <c r="D59" s="48">
        <v>10.8</v>
      </c>
      <c r="E59" s="48">
        <f>36+4.9</f>
        <v>40.9</v>
      </c>
      <c r="F59" s="47">
        <v>16</v>
      </c>
      <c r="G59" s="47">
        <v>5</v>
      </c>
      <c r="H59" s="47">
        <v>5</v>
      </c>
      <c r="I59" s="47">
        <v>0</v>
      </c>
      <c r="J59" s="47">
        <v>0</v>
      </c>
    </row>
    <row r="60" spans="2:11" s="1" customFormat="1" x14ac:dyDescent="0.25">
      <c r="B60" s="1" t="s">
        <v>57</v>
      </c>
      <c r="C60" s="49">
        <f>SUM(C56:C59)</f>
        <v>843.60000000000014</v>
      </c>
      <c r="D60" s="49">
        <f>SUM(D56:D59)</f>
        <v>906.49999999999989</v>
      </c>
      <c r="E60" s="49">
        <f>SUM(E56:E59)</f>
        <v>882.70000000000016</v>
      </c>
      <c r="F60" s="49">
        <f t="shared" ref="F60:J60" si="15">SUM(F56:F59)</f>
        <v>947.67924131998893</v>
      </c>
      <c r="G60" s="49">
        <f t="shared" si="15"/>
        <v>1009.4392962610315</v>
      </c>
      <c r="H60" s="49">
        <f t="shared" si="15"/>
        <v>1097.4896897833023</v>
      </c>
      <c r="I60" s="49">
        <f t="shared" si="15"/>
        <v>1178.7677971721528</v>
      </c>
      <c r="J60" s="49">
        <f t="shared" si="15"/>
        <v>1266.131121078211</v>
      </c>
    </row>
    <row r="62" spans="2:11" x14ac:dyDescent="0.25">
      <c r="B62" s="16" t="s">
        <v>115</v>
      </c>
      <c r="K62" s="56" t="s">
        <v>122</v>
      </c>
    </row>
    <row r="63" spans="2:11" x14ac:dyDescent="0.25">
      <c r="B63" t="s">
        <v>116</v>
      </c>
      <c r="D63" s="51">
        <f>D42/C42-1</f>
        <v>5.1663196630029384E-2</v>
      </c>
      <c r="E63" s="51">
        <f>E42/D42-1</f>
        <v>1.3535911602210016E-2</v>
      </c>
      <c r="F63" s="54">
        <v>3.5000000000000003E-2</v>
      </c>
      <c r="G63" s="54">
        <v>5.5E-2</v>
      </c>
      <c r="H63" s="54">
        <v>0.06</v>
      </c>
      <c r="I63" s="54">
        <v>0.05</v>
      </c>
      <c r="J63" s="54">
        <v>4.8000000000000001E-2</v>
      </c>
      <c r="K63" s="52"/>
    </row>
    <row r="64" spans="2:11" x14ac:dyDescent="0.25">
      <c r="B64" t="s">
        <v>117</v>
      </c>
      <c r="C64" s="51">
        <f>C44/C42</f>
        <v>0.76507044981358641</v>
      </c>
      <c r="D64" s="51">
        <f t="shared" ref="D64:E64" si="16">D44/D42</f>
        <v>0.7380755064456721</v>
      </c>
      <c r="E64" s="51">
        <f t="shared" si="16"/>
        <v>0.73108022167711462</v>
      </c>
      <c r="F64" s="53">
        <f>AVERAGE(C64:E64)</f>
        <v>0.74474205931212423</v>
      </c>
      <c r="G64" s="55">
        <f t="shared" ref="G64:J68" si="17">F64+$K64</f>
        <v>0.74974205931212423</v>
      </c>
      <c r="H64" s="55">
        <f t="shared" si="17"/>
        <v>0.75474205931212424</v>
      </c>
      <c r="I64" s="55">
        <f t="shared" si="17"/>
        <v>0.75974205931212424</v>
      </c>
      <c r="J64" s="55">
        <f t="shared" si="17"/>
        <v>0.76474205931212424</v>
      </c>
      <c r="K64" s="52">
        <v>5.0000000000000001E-3</v>
      </c>
    </row>
    <row r="65" spans="2:11" x14ac:dyDescent="0.25">
      <c r="B65" t="s">
        <v>118</v>
      </c>
      <c r="C65" s="51">
        <f>-C45/C42</f>
        <v>8.7929114414370776E-2</v>
      </c>
      <c r="D65" s="51">
        <f t="shared" ref="D65:E65" si="18">-D45/D42</f>
        <v>7.605893186003683E-2</v>
      </c>
      <c r="E65" s="51">
        <f t="shared" si="18"/>
        <v>7.9313164349959109E-2</v>
      </c>
      <c r="F65" s="53">
        <f>AVERAGE(C65:E65)</f>
        <v>8.1100403541455576E-2</v>
      </c>
      <c r="G65" s="55">
        <f t="shared" si="17"/>
        <v>8.1100403541455576E-2</v>
      </c>
      <c r="H65" s="55">
        <f t="shared" si="17"/>
        <v>8.1100403541455576E-2</v>
      </c>
      <c r="I65" s="55">
        <f t="shared" si="17"/>
        <v>8.1100403541455576E-2</v>
      </c>
      <c r="J65" s="55">
        <f t="shared" si="17"/>
        <v>8.1100403541455576E-2</v>
      </c>
      <c r="K65" s="52">
        <v>0</v>
      </c>
    </row>
    <row r="66" spans="2:11" x14ac:dyDescent="0.25">
      <c r="B66" t="s">
        <v>119</v>
      </c>
      <c r="C66" s="51">
        <f>-C46/C42</f>
        <v>0.4191642860601365</v>
      </c>
      <c r="D66" s="51">
        <f t="shared" ref="D66:E66" si="19">-D46/D42</f>
        <v>0.41160220994475138</v>
      </c>
      <c r="E66" s="51">
        <f t="shared" si="19"/>
        <v>0.44035613700372489</v>
      </c>
      <c r="F66" s="53">
        <f>AVERAGE(C66:E66)</f>
        <v>0.42370754433620422</v>
      </c>
      <c r="G66" s="55">
        <f t="shared" si="17"/>
        <v>0.41370754433620421</v>
      </c>
      <c r="H66" s="55">
        <f t="shared" si="17"/>
        <v>0.4037075443362042</v>
      </c>
      <c r="I66" s="55">
        <f t="shared" si="17"/>
        <v>0.3937075443362042</v>
      </c>
      <c r="J66" s="55">
        <f t="shared" si="17"/>
        <v>0.38370754433620419</v>
      </c>
      <c r="K66" s="52">
        <v>-0.01</v>
      </c>
    </row>
    <row r="67" spans="2:11" x14ac:dyDescent="0.25">
      <c r="B67" t="s">
        <v>120</v>
      </c>
      <c r="C67" s="51">
        <f>-C52/C51</f>
        <v>0.14135140222096737</v>
      </c>
      <c r="D67" s="51">
        <f>-D52/D51</f>
        <v>0.2433962264150944</v>
      </c>
      <c r="E67" s="51">
        <f>-E52/E51</f>
        <v>0.22645477915400786</v>
      </c>
      <c r="F67" s="52">
        <v>0.22645477915400786</v>
      </c>
      <c r="G67" s="55">
        <f t="shared" si="17"/>
        <v>0.22645477915400786</v>
      </c>
      <c r="H67" s="55">
        <f t="shared" si="17"/>
        <v>0.22645477915400786</v>
      </c>
      <c r="I67" s="55">
        <f t="shared" si="17"/>
        <v>0.22645477915400786</v>
      </c>
      <c r="J67" s="55">
        <f t="shared" si="17"/>
        <v>0.22645477915400786</v>
      </c>
      <c r="K67" s="52">
        <v>0</v>
      </c>
    </row>
    <row r="68" spans="2:11" x14ac:dyDescent="0.25">
      <c r="B68" t="s">
        <v>121</v>
      </c>
      <c r="C68" s="51">
        <f>-C58/SUM(C43,C45:C46)</f>
        <v>6.949429037520391E-2</v>
      </c>
      <c r="D68" s="51">
        <f>-D58/SUM(D43,D45:D46)</f>
        <v>7.8127879122904004E-2</v>
      </c>
      <c r="E68" s="51">
        <f>-E58/SUM(E43,E45:E46)</f>
        <v>8.4907834101382487E-2</v>
      </c>
      <c r="F68" s="52">
        <v>9.2999999999999999E-2</v>
      </c>
      <c r="G68" s="55">
        <f t="shared" si="17"/>
        <v>9.5500000000000002E-2</v>
      </c>
      <c r="H68" s="55">
        <f t="shared" si="17"/>
        <v>9.8000000000000004E-2</v>
      </c>
      <c r="I68" s="55">
        <f t="shared" si="17"/>
        <v>0.10050000000000001</v>
      </c>
      <c r="J68" s="55">
        <f t="shared" si="17"/>
        <v>0.10300000000000001</v>
      </c>
      <c r="K68" s="52">
        <v>2.5000000000000001E-3</v>
      </c>
    </row>
    <row r="70" spans="2:11" x14ac:dyDescent="0.25">
      <c r="B70" s="4" t="s">
        <v>123</v>
      </c>
      <c r="C70" s="5"/>
      <c r="D70" s="5"/>
      <c r="E70" s="5"/>
      <c r="F70" s="5"/>
      <c r="G70" s="5"/>
      <c r="H70" s="5"/>
      <c r="I70" s="5"/>
      <c r="J70" s="5"/>
    </row>
    <row r="71" spans="2:11" x14ac:dyDescent="0.25">
      <c r="B71" s="57" t="s">
        <v>89</v>
      </c>
      <c r="C71" s="58"/>
      <c r="D71" s="79" t="s">
        <v>99</v>
      </c>
      <c r="E71" s="79" t="s">
        <v>100</v>
      </c>
      <c r="F71" s="79" t="s">
        <v>101</v>
      </c>
      <c r="G71" s="79" t="s">
        <v>102</v>
      </c>
      <c r="H71" s="79" t="s">
        <v>103</v>
      </c>
      <c r="I71" s="79" t="s">
        <v>104</v>
      </c>
      <c r="J71" s="79" t="s">
        <v>105</v>
      </c>
    </row>
    <row r="72" spans="2:11" x14ac:dyDescent="0.25">
      <c r="B72" s="59" t="s">
        <v>68</v>
      </c>
      <c r="C72" s="60"/>
      <c r="D72" s="60">
        <v>40999</v>
      </c>
      <c r="E72" s="60">
        <v>41364</v>
      </c>
      <c r="F72" s="61">
        <v>41729</v>
      </c>
      <c r="G72" s="61">
        <v>42094</v>
      </c>
      <c r="H72" s="61">
        <v>42460</v>
      </c>
      <c r="I72" s="61">
        <v>42825</v>
      </c>
      <c r="J72" s="61">
        <v>43190</v>
      </c>
    </row>
    <row r="74" spans="2:11" s="1" customFormat="1" x14ac:dyDescent="0.25">
      <c r="B74" s="1" t="s">
        <v>124</v>
      </c>
      <c r="D74" s="65">
        <v>484.8</v>
      </c>
      <c r="E74" s="65">
        <v>443.7</v>
      </c>
      <c r="F74" s="66">
        <f>F75*F42</f>
        <v>500.13965333264963</v>
      </c>
      <c r="G74" s="66">
        <f t="shared" ref="G74:J74" si="20">G75*G42</f>
        <v>527.64733426594535</v>
      </c>
      <c r="H74" s="66">
        <f t="shared" si="20"/>
        <v>559.30617432190218</v>
      </c>
      <c r="I74" s="66">
        <f t="shared" si="20"/>
        <v>587.2714830379972</v>
      </c>
      <c r="J74" s="66">
        <f t="shared" si="20"/>
        <v>615.46051422382118</v>
      </c>
    </row>
    <row r="75" spans="2:11" x14ac:dyDescent="0.25">
      <c r="B75" t="s">
        <v>125</v>
      </c>
      <c r="D75" s="51">
        <f>D74/C42</f>
        <v>0.2347358737229458</v>
      </c>
      <c r="E75" s="51">
        <f>E74/D42</f>
        <v>0.20428176795580111</v>
      </c>
      <c r="F75" s="52">
        <f>AVERAGE(D75:E75)</f>
        <v>0.21950882083937345</v>
      </c>
      <c r="G75" s="52">
        <f t="shared" ref="G75:J75" si="21">F75</f>
        <v>0.21950882083937345</v>
      </c>
      <c r="H75" s="52">
        <f t="shared" si="21"/>
        <v>0.21950882083937345</v>
      </c>
      <c r="I75" s="52">
        <f t="shared" si="21"/>
        <v>0.21950882083937345</v>
      </c>
      <c r="J75" s="52">
        <f t="shared" si="21"/>
        <v>0.21950882083937345</v>
      </c>
    </row>
    <row r="76" spans="2:11" s="1" customFormat="1" x14ac:dyDescent="0.25">
      <c r="B76" s="1" t="s">
        <v>126</v>
      </c>
      <c r="D76" s="65">
        <v>195.1</v>
      </c>
      <c r="E76" s="65">
        <v>213.1</v>
      </c>
      <c r="F76" s="66">
        <f>F77*F42</f>
        <v>220.55850000000001</v>
      </c>
      <c r="G76" s="66">
        <f t="shared" ref="G76:J76" si="22">G77*G42</f>
        <v>232.68921750000001</v>
      </c>
      <c r="H76" s="66">
        <f t="shared" si="22"/>
        <v>246.65057055000003</v>
      </c>
      <c r="I76" s="66">
        <f t="shared" si="22"/>
        <v>258.98309907750001</v>
      </c>
      <c r="J76" s="66">
        <f t="shared" si="22"/>
        <v>271.41428783322004</v>
      </c>
    </row>
    <row r="77" spans="2:11" x14ac:dyDescent="0.25">
      <c r="B77" t="s">
        <v>127</v>
      </c>
      <c r="D77" s="51">
        <f>D76/D42</f>
        <v>8.9825046040515652E-2</v>
      </c>
      <c r="E77" s="51">
        <f>E76/E42</f>
        <v>9.6802035068592709E-2</v>
      </c>
      <c r="F77" s="52">
        <f>E77</f>
        <v>9.6802035068592709E-2</v>
      </c>
      <c r="G77" s="52">
        <f t="shared" ref="G77:J77" si="23">F77</f>
        <v>9.6802035068592709E-2</v>
      </c>
      <c r="H77" s="52">
        <f t="shared" si="23"/>
        <v>9.6802035068592709E-2</v>
      </c>
      <c r="I77" s="52">
        <f t="shared" si="23"/>
        <v>9.6802035068592709E-2</v>
      </c>
      <c r="J77" s="52">
        <f t="shared" si="23"/>
        <v>9.6802035068592709E-2</v>
      </c>
    </row>
    <row r="78" spans="2:11" s="1" customFormat="1" x14ac:dyDescent="0.25">
      <c r="B78" s="1" t="s">
        <v>128</v>
      </c>
      <c r="D78" s="65">
        <v>32.700000000000003</v>
      </c>
      <c r="E78" s="65">
        <v>42.1</v>
      </c>
      <c r="F78" s="67">
        <f>-F79*F43</f>
        <v>43.039254012074061</v>
      </c>
      <c r="G78" s="67">
        <f t="shared" ref="G78:I78" si="24">-G79*G43</f>
        <v>44.516990838604713</v>
      </c>
      <c r="H78" s="67">
        <f t="shared" si="24"/>
        <v>46.245222816139581</v>
      </c>
      <c r="I78" s="67">
        <f t="shared" ref="I78" si="25">-I79*I43</f>
        <v>47.56755711052606</v>
      </c>
      <c r="J78" s="67">
        <f t="shared" ref="J78" si="26">-J79*J43</f>
        <v>48.813356516782648</v>
      </c>
    </row>
    <row r="79" spans="2:11" x14ac:dyDescent="0.25">
      <c r="B79" t="s">
        <v>129</v>
      </c>
      <c r="D79" s="62">
        <f>-D78/C43</f>
        <v>6.7394888705688383E-2</v>
      </c>
      <c r="E79" s="62">
        <f>-E78/D43</f>
        <v>7.4002460889435753E-2</v>
      </c>
      <c r="F79" s="63">
        <f>E79</f>
        <v>7.4002460889435753E-2</v>
      </c>
      <c r="G79" s="63">
        <f t="shared" ref="G79:J79" si="27">F79</f>
        <v>7.4002460889435753E-2</v>
      </c>
      <c r="H79" s="63">
        <f t="shared" si="27"/>
        <v>7.4002460889435753E-2</v>
      </c>
      <c r="I79" s="63">
        <f t="shared" si="27"/>
        <v>7.4002460889435753E-2</v>
      </c>
      <c r="J79" s="63">
        <f t="shared" si="27"/>
        <v>7.4002460889435753E-2</v>
      </c>
    </row>
    <row r="80" spans="2:11" s="1" customFormat="1" x14ac:dyDescent="0.25">
      <c r="B80" s="1" t="s">
        <v>130</v>
      </c>
      <c r="D80" s="65">
        <v>2313.3000000000002</v>
      </c>
      <c r="E80" s="65">
        <v>2301.6999999999998</v>
      </c>
      <c r="F80" s="66">
        <f>F81*F42</f>
        <v>2382.2594999999997</v>
      </c>
      <c r="G80" s="66">
        <f t="shared" ref="G80:J80" si="28">G81*G42</f>
        <v>2513.2837724999995</v>
      </c>
      <c r="H80" s="66">
        <f t="shared" si="28"/>
        <v>2664.0807988500001</v>
      </c>
      <c r="I80" s="66">
        <f t="shared" si="28"/>
        <v>2797.2848387925001</v>
      </c>
      <c r="J80" s="66">
        <f t="shared" si="28"/>
        <v>2931.5545110545399</v>
      </c>
    </row>
    <row r="81" spans="2:11" x14ac:dyDescent="0.25">
      <c r="B81" t="s">
        <v>131</v>
      </c>
      <c r="D81" s="62">
        <f>D80/D42</f>
        <v>1.0650552486187845</v>
      </c>
      <c r="E81" s="62">
        <f>E80/E42</f>
        <v>1.0455619151449076</v>
      </c>
      <c r="F81" s="63">
        <f>E81</f>
        <v>1.0455619151449076</v>
      </c>
      <c r="G81" s="63">
        <f t="shared" ref="G81:J81" si="29">F81</f>
        <v>1.0455619151449076</v>
      </c>
      <c r="H81" s="63">
        <f t="shared" si="29"/>
        <v>1.0455619151449076</v>
      </c>
      <c r="I81" s="63">
        <f t="shared" si="29"/>
        <v>1.0455619151449076</v>
      </c>
      <c r="J81" s="63">
        <f t="shared" si="29"/>
        <v>1.0455619151449076</v>
      </c>
    </row>
    <row r="83" spans="2:11" s="3" customFormat="1" x14ac:dyDescent="0.25">
      <c r="B83" s="3" t="s">
        <v>132</v>
      </c>
      <c r="D83" s="68">
        <f t="shared" ref="D83:E83" si="30">D74+D76-D78-D80</f>
        <v>-1666.1000000000004</v>
      </c>
      <c r="E83" s="68">
        <f t="shared" si="30"/>
        <v>-1687</v>
      </c>
      <c r="F83" s="68">
        <f>F74+F76-F78-F80</f>
        <v>-1704.6006006794241</v>
      </c>
      <c r="G83" s="68">
        <f t="shared" ref="G83:J83" si="31">G74+G76-G78-G80</f>
        <v>-1797.4642115726588</v>
      </c>
      <c r="H83" s="68">
        <f t="shared" si="31"/>
        <v>-1904.3692767942375</v>
      </c>
      <c r="I83" s="68">
        <f t="shared" si="31"/>
        <v>-1998.597813787529</v>
      </c>
      <c r="J83" s="68">
        <f t="shared" si="31"/>
        <v>-2093.4930655142812</v>
      </c>
    </row>
    <row r="85" spans="2:11" x14ac:dyDescent="0.25">
      <c r="B85" s="4" t="s">
        <v>133</v>
      </c>
      <c r="C85" s="5"/>
      <c r="D85" s="5"/>
      <c r="E85" s="5"/>
      <c r="F85" s="5"/>
      <c r="G85" s="5"/>
      <c r="H85" s="5"/>
      <c r="I85" s="5"/>
      <c r="J85" s="5"/>
    </row>
    <row r="86" spans="2:11" x14ac:dyDescent="0.25">
      <c r="B86" t="s">
        <v>89</v>
      </c>
      <c r="C86" s="78" t="s">
        <v>98</v>
      </c>
      <c r="D86" s="78" t="s">
        <v>99</v>
      </c>
      <c r="E86" s="78" t="s">
        <v>100</v>
      </c>
      <c r="F86" s="78" t="s">
        <v>101</v>
      </c>
      <c r="G86" s="78" t="s">
        <v>102</v>
      </c>
      <c r="H86" s="78" t="s">
        <v>103</v>
      </c>
      <c r="I86" s="78" t="s">
        <v>104</v>
      </c>
      <c r="J86" s="78" t="s">
        <v>105</v>
      </c>
    </row>
    <row r="87" spans="2:11" x14ac:dyDescent="0.25">
      <c r="B87" s="59" t="s">
        <v>68</v>
      </c>
      <c r="C87" s="60">
        <v>40633</v>
      </c>
      <c r="D87" s="60">
        <v>40999</v>
      </c>
      <c r="E87" s="60">
        <v>41364</v>
      </c>
      <c r="F87" s="61">
        <v>41729</v>
      </c>
      <c r="G87" s="61">
        <v>42094</v>
      </c>
      <c r="H87" s="61">
        <v>42460</v>
      </c>
      <c r="I87" s="61">
        <v>42825</v>
      </c>
      <c r="J87" s="61">
        <v>43190</v>
      </c>
    </row>
    <row r="89" spans="2:11" s="1" customFormat="1" x14ac:dyDescent="0.25">
      <c r="B89" s="1" t="s">
        <v>134</v>
      </c>
      <c r="D89" s="65">
        <v>87.8</v>
      </c>
      <c r="E89" s="65">
        <v>85.2</v>
      </c>
      <c r="F89" s="74">
        <f>E89+F90+F91</f>
        <v>73.144489795918361</v>
      </c>
      <c r="G89" s="74">
        <f t="shared" ref="G89:J89" si="32">F89+G90+G91</f>
        <v>63.407346938775504</v>
      </c>
      <c r="H89" s="74">
        <f t="shared" si="32"/>
        <v>56.452244897959183</v>
      </c>
      <c r="I89" s="74">
        <f t="shared" si="32"/>
        <v>53.090612244897969</v>
      </c>
      <c r="J89" s="74">
        <f t="shared" si="32"/>
        <v>53.090612244897976</v>
      </c>
    </row>
    <row r="90" spans="2:11" x14ac:dyDescent="0.25">
      <c r="B90" t="s">
        <v>135</v>
      </c>
      <c r="C90" s="69">
        <v>22</v>
      </c>
      <c r="D90" s="69">
        <v>26.5</v>
      </c>
      <c r="E90" s="69">
        <v>24.5</v>
      </c>
      <c r="F90" s="69">
        <v>26</v>
      </c>
      <c r="G90" s="69">
        <v>28</v>
      </c>
      <c r="H90" s="69">
        <v>30</v>
      </c>
      <c r="I90" s="69">
        <v>29</v>
      </c>
      <c r="J90" s="69">
        <v>31</v>
      </c>
    </row>
    <row r="91" spans="2:11" x14ac:dyDescent="0.25">
      <c r="B91" t="s">
        <v>136</v>
      </c>
      <c r="C91" s="64">
        <v>-39.1</v>
      </c>
      <c r="D91" s="64">
        <v>-37.799999999999997</v>
      </c>
      <c r="E91" s="64">
        <v>-38.700000000000003</v>
      </c>
      <c r="F91" s="64">
        <f>-F93*F90</f>
        <v>-38.055510204081635</v>
      </c>
      <c r="G91" s="64">
        <f t="shared" ref="G91:J91" si="33">-G93*G90</f>
        <v>-37.737142857142857</v>
      </c>
      <c r="H91" s="64">
        <f t="shared" si="33"/>
        <v>-36.955102040816321</v>
      </c>
      <c r="I91" s="64">
        <f t="shared" si="33"/>
        <v>-32.361632653061221</v>
      </c>
      <c r="J91" s="64">
        <f t="shared" si="33"/>
        <v>-30.999999999999993</v>
      </c>
      <c r="K91" s="34" t="s">
        <v>148</v>
      </c>
    </row>
    <row r="92" spans="2:11" s="3" customFormat="1" x14ac:dyDescent="0.25">
      <c r="B92" s="3" t="s">
        <v>137</v>
      </c>
      <c r="C92" s="71">
        <f>C90/C42</f>
        <v>1.0652205490727738E-2</v>
      </c>
      <c r="D92" s="71">
        <f>D90/D42</f>
        <v>1.220073664825046E-2</v>
      </c>
      <c r="E92" s="71">
        <f>E90/E42</f>
        <v>1.1129281366403197E-2</v>
      </c>
      <c r="F92" s="71">
        <f t="shared" ref="F92:J92" si="34">F90/F42</f>
        <v>1.1411271439474836E-2</v>
      </c>
      <c r="G92" s="71">
        <f t="shared" si="34"/>
        <v>1.1648399573652766E-2</v>
      </c>
      <c r="H92" s="71">
        <f t="shared" si="34"/>
        <v>1.177398878738487E-2</v>
      </c>
      <c r="I92" s="71">
        <f t="shared" si="34"/>
        <v>1.0839545232830516E-2</v>
      </c>
      <c r="J92" s="71">
        <f t="shared" si="34"/>
        <v>1.1056393202742366E-2</v>
      </c>
      <c r="K92" s="76" t="s">
        <v>149</v>
      </c>
    </row>
    <row r="93" spans="2:11" s="3" customFormat="1" x14ac:dyDescent="0.25">
      <c r="B93" s="3" t="s">
        <v>139</v>
      </c>
      <c r="C93" s="70">
        <f>-C91/C90</f>
        <v>1.7772727272727273</v>
      </c>
      <c r="D93" s="70">
        <f>-D91/D90</f>
        <v>1.4264150943396225</v>
      </c>
      <c r="E93" s="70">
        <f>-E91/E90</f>
        <v>1.5795918367346939</v>
      </c>
      <c r="F93" s="70">
        <f>E93+$K$93</f>
        <v>1.4636734693877551</v>
      </c>
      <c r="G93" s="70">
        <f t="shared" ref="G93:J93" si="35">F93+$K$93</f>
        <v>1.3477551020408163</v>
      </c>
      <c r="H93" s="70">
        <f t="shared" si="35"/>
        <v>1.2318367346938774</v>
      </c>
      <c r="I93" s="70">
        <f t="shared" si="35"/>
        <v>1.1159183673469386</v>
      </c>
      <c r="J93" s="70">
        <f t="shared" si="35"/>
        <v>0.99999999999999978</v>
      </c>
      <c r="K93" s="75">
        <f>IF(K92="Yes",(1-E93)/COLUMNS(F93:J93),0)</f>
        <v>-0.11591836734693879</v>
      </c>
    </row>
    <row r="95" spans="2:11" s="1" customFormat="1" x14ac:dyDescent="0.25">
      <c r="B95" s="1" t="s">
        <v>140</v>
      </c>
      <c r="D95" s="65">
        <v>244.7</v>
      </c>
      <c r="E95" s="65">
        <v>271.39999999999998</v>
      </c>
      <c r="F95" s="74">
        <f>E95+F96+F97</f>
        <v>286.50864197530859</v>
      </c>
      <c r="G95" s="74">
        <f t="shared" ref="G95:J95" si="36">F95+G96+G97</f>
        <v>297.64475308641971</v>
      </c>
      <c r="H95" s="74">
        <f t="shared" si="36"/>
        <v>305.19907407407402</v>
      </c>
      <c r="I95" s="74">
        <f t="shared" si="36"/>
        <v>309.36697530864188</v>
      </c>
      <c r="J95" s="74">
        <f t="shared" si="36"/>
        <v>309.36697530864183</v>
      </c>
    </row>
    <row r="96" spans="2:11" x14ac:dyDescent="0.25">
      <c r="B96" t="s">
        <v>141</v>
      </c>
      <c r="C96" s="69">
        <v>115.8</v>
      </c>
      <c r="D96" s="69">
        <v>132.5</v>
      </c>
      <c r="E96" s="69">
        <v>129.6</v>
      </c>
      <c r="F96" s="69">
        <v>116</v>
      </c>
      <c r="G96" s="69">
        <v>114</v>
      </c>
      <c r="H96" s="69">
        <v>116</v>
      </c>
      <c r="I96" s="69">
        <v>128</v>
      </c>
      <c r="J96" s="69">
        <v>135</v>
      </c>
    </row>
    <row r="97" spans="2:11" x14ac:dyDescent="0.25">
      <c r="B97" t="s">
        <v>142</v>
      </c>
      <c r="C97" s="64">
        <v>-75.7</v>
      </c>
      <c r="D97" s="64">
        <v>-93.6</v>
      </c>
      <c r="E97" s="64">
        <v>-108.5</v>
      </c>
      <c r="F97" s="64">
        <f>-F99*F96</f>
        <v>-100.89135802469136</v>
      </c>
      <c r="G97" s="64">
        <f t="shared" ref="G97:J97" si="37">-G99*G96</f>
        <v>-102.86388888888889</v>
      </c>
      <c r="H97" s="64">
        <f t="shared" si="37"/>
        <v>-108.44567901234569</v>
      </c>
      <c r="I97" s="64">
        <f t="shared" si="37"/>
        <v>-123.83209876543212</v>
      </c>
      <c r="J97" s="64">
        <f t="shared" si="37"/>
        <v>-135.00000000000003</v>
      </c>
      <c r="K97" s="34" t="s">
        <v>148</v>
      </c>
    </row>
    <row r="98" spans="2:11" s="3" customFormat="1" x14ac:dyDescent="0.25">
      <c r="B98" s="3" t="s">
        <v>143</v>
      </c>
      <c r="C98" s="71">
        <f>-C97/C42</f>
        <v>3.665327071127681E-2</v>
      </c>
      <c r="D98" s="71">
        <f t="shared" ref="D98:E98" si="38">-D97/D42</f>
        <v>4.3093922651933701E-2</v>
      </c>
      <c r="E98" s="71">
        <f t="shared" si="38"/>
        <v>4.928681747978559E-2</v>
      </c>
      <c r="F98" s="71">
        <f>F96/F42</f>
        <v>5.0911826422272342E-2</v>
      </c>
      <c r="G98" s="71">
        <f t="shared" ref="G98:J98" si="39">G96/G42</f>
        <v>4.7425626835586265E-2</v>
      </c>
      <c r="H98" s="71">
        <f t="shared" si="39"/>
        <v>4.5526089977888165E-2</v>
      </c>
      <c r="I98" s="71">
        <f t="shared" si="39"/>
        <v>4.7843509993182966E-2</v>
      </c>
      <c r="J98" s="71">
        <f t="shared" si="39"/>
        <v>4.8148809108716752E-2</v>
      </c>
      <c r="K98" s="76" t="s">
        <v>149</v>
      </c>
    </row>
    <row r="99" spans="2:11" s="3" customFormat="1" x14ac:dyDescent="0.25">
      <c r="B99" s="3" t="s">
        <v>144</v>
      </c>
      <c r="C99" s="71">
        <f>-C97/C96</f>
        <v>0.65371329879101903</v>
      </c>
      <c r="D99" s="71">
        <f t="shared" ref="D99:E99" si="40">-D97/D96</f>
        <v>0.70641509433962257</v>
      </c>
      <c r="E99" s="71">
        <f t="shared" si="40"/>
        <v>0.83719135802469136</v>
      </c>
      <c r="F99" s="71">
        <f>E99+$K$99</f>
        <v>0.86975308641975313</v>
      </c>
      <c r="G99" s="71">
        <f t="shared" ref="G99:J99" si="41">F99+$K$99</f>
        <v>0.9023148148148149</v>
      </c>
      <c r="H99" s="71">
        <f t="shared" si="41"/>
        <v>0.93487654320987668</v>
      </c>
      <c r="I99" s="71">
        <f t="shared" si="41"/>
        <v>0.96743827160493845</v>
      </c>
      <c r="J99" s="71">
        <f t="shared" si="41"/>
        <v>1.0000000000000002</v>
      </c>
      <c r="K99" s="75">
        <f>IF(K98="Yes",(1-E99)/COLUMNS(F99:J99),0)</f>
        <v>3.2561728395061731E-2</v>
      </c>
    </row>
    <row r="101" spans="2:11" s="1" customFormat="1" x14ac:dyDescent="0.25">
      <c r="B101" s="1" t="s">
        <v>145</v>
      </c>
      <c r="D101" s="65">
        <v>257.5</v>
      </c>
      <c r="E101" s="65">
        <v>189.8</v>
      </c>
      <c r="F101" s="74">
        <f>E101+F102+F103</f>
        <v>189.8</v>
      </c>
      <c r="G101" s="74">
        <f t="shared" ref="G101:J101" si="42">F101+G102+G103</f>
        <v>189.8</v>
      </c>
      <c r="H101" s="74">
        <f t="shared" si="42"/>
        <v>189.8</v>
      </c>
      <c r="I101" s="74">
        <f t="shared" si="42"/>
        <v>189.8</v>
      </c>
      <c r="J101" s="74">
        <f t="shared" si="42"/>
        <v>189.8</v>
      </c>
    </row>
    <row r="102" spans="2:11" x14ac:dyDescent="0.25">
      <c r="B102" t="s">
        <v>141</v>
      </c>
      <c r="C102" s="40">
        <v>0</v>
      </c>
      <c r="D102" s="40">
        <v>0</v>
      </c>
      <c r="E102" s="40">
        <v>0</v>
      </c>
      <c r="F102" s="64">
        <f>-F103</f>
        <v>85</v>
      </c>
      <c r="G102" s="64">
        <f t="shared" ref="G102:J102" si="43">-G103</f>
        <v>80</v>
      </c>
      <c r="H102" s="64">
        <f t="shared" si="43"/>
        <v>77</v>
      </c>
      <c r="I102" s="64">
        <f t="shared" si="43"/>
        <v>68</v>
      </c>
      <c r="J102" s="64">
        <f t="shared" si="43"/>
        <v>57</v>
      </c>
    </row>
    <row r="103" spans="2:11" x14ac:dyDescent="0.25">
      <c r="B103" t="s">
        <v>142</v>
      </c>
      <c r="C103" s="64">
        <v>-79.099999999999994</v>
      </c>
      <c r="D103" s="64">
        <v>-97.7</v>
      </c>
      <c r="E103" s="64">
        <v>-86.9</v>
      </c>
      <c r="F103" s="64">
        <v>-85</v>
      </c>
      <c r="G103" s="64">
        <v>-80</v>
      </c>
      <c r="H103" s="64">
        <v>-77</v>
      </c>
      <c r="I103" s="64">
        <v>-68</v>
      </c>
      <c r="J103" s="64">
        <v>-57</v>
      </c>
    </row>
    <row r="105" spans="2:11" s="1" customFormat="1" x14ac:dyDescent="0.25">
      <c r="B105" s="1" t="s">
        <v>146</v>
      </c>
      <c r="D105" s="65">
        <v>1940.3</v>
      </c>
      <c r="E105" s="65">
        <v>1935.2</v>
      </c>
      <c r="F105" s="65">
        <v>1935.2</v>
      </c>
      <c r="G105" s="65">
        <v>1935.2</v>
      </c>
      <c r="H105" s="65">
        <v>1935.2</v>
      </c>
      <c r="I105" s="65">
        <v>1935.2</v>
      </c>
      <c r="J105" s="65">
        <v>1935.2</v>
      </c>
    </row>
    <row r="107" spans="2:11" s="1" customFormat="1" x14ac:dyDescent="0.25">
      <c r="B107" s="1" t="s">
        <v>147</v>
      </c>
      <c r="D107" s="65">
        <v>232.4</v>
      </c>
      <c r="E107" s="65">
        <v>252</v>
      </c>
      <c r="F107" s="65">
        <v>252</v>
      </c>
      <c r="G107" s="65">
        <v>252</v>
      </c>
      <c r="H107" s="65">
        <v>252</v>
      </c>
      <c r="I107" s="65">
        <v>252</v>
      </c>
      <c r="J107" s="65">
        <v>252</v>
      </c>
    </row>
    <row r="109" spans="2:11" x14ac:dyDescent="0.25">
      <c r="B109" s="4" t="s">
        <v>150</v>
      </c>
      <c r="C109" s="5"/>
      <c r="D109" s="5"/>
      <c r="E109" s="5"/>
      <c r="F109" s="5"/>
      <c r="G109" s="5"/>
      <c r="H109" s="5"/>
      <c r="I109" s="5"/>
      <c r="J109" s="5"/>
    </row>
    <row r="110" spans="2:11" x14ac:dyDescent="0.25">
      <c r="B110" t="s">
        <v>89</v>
      </c>
      <c r="C110" s="33"/>
      <c r="D110" s="33"/>
      <c r="E110" s="33"/>
      <c r="F110" s="78" t="s">
        <v>101</v>
      </c>
      <c r="G110" s="78" t="s">
        <v>102</v>
      </c>
      <c r="H110" s="78" t="s">
        <v>103</v>
      </c>
      <c r="I110" s="78" t="s">
        <v>104</v>
      </c>
      <c r="J110" s="78" t="s">
        <v>105</v>
      </c>
    </row>
    <row r="111" spans="2:11" x14ac:dyDescent="0.25">
      <c r="B111" s="59" t="s">
        <v>68</v>
      </c>
      <c r="C111" s="60"/>
      <c r="D111" s="60"/>
      <c r="E111" s="60"/>
      <c r="F111" s="61">
        <v>41729</v>
      </c>
      <c r="G111" s="61">
        <v>42094</v>
      </c>
      <c r="H111" s="61">
        <v>42460</v>
      </c>
      <c r="I111" s="61">
        <v>42825</v>
      </c>
      <c r="J111" s="61">
        <v>43190</v>
      </c>
    </row>
    <row r="113" spans="2:10" x14ac:dyDescent="0.25">
      <c r="B113" t="s">
        <v>109</v>
      </c>
      <c r="F113" s="47">
        <f ca="1">F53</f>
        <v>193.10049078455171</v>
      </c>
      <c r="G113" s="47">
        <f t="shared" ref="G113:J113" ca="1" si="44">G53</f>
        <v>259.71496307952003</v>
      </c>
      <c r="H113" s="47">
        <f t="shared" ca="1" si="44"/>
        <v>332.64054186892361</v>
      </c>
      <c r="I113" s="47">
        <f t="shared" ca="1" si="44"/>
        <v>411.12796128288005</v>
      </c>
      <c r="J113" s="47">
        <f t="shared" ca="1" si="44"/>
        <v>503.06410124176125</v>
      </c>
    </row>
    <row r="114" spans="2:10" x14ac:dyDescent="0.25">
      <c r="B114" t="s">
        <v>151</v>
      </c>
      <c r="F114" s="47">
        <f>F57</f>
        <v>223.94686822877298</v>
      </c>
      <c r="G114" s="47">
        <f t="shared" ref="G114:J114" si="45">G57</f>
        <v>220.60103174603177</v>
      </c>
      <c r="H114" s="47">
        <f t="shared" si="45"/>
        <v>222.40078105316201</v>
      </c>
      <c r="I114" s="47">
        <f t="shared" si="45"/>
        <v>224.19373141849334</v>
      </c>
      <c r="J114" s="47">
        <f t="shared" si="45"/>
        <v>223.00000000000003</v>
      </c>
    </row>
    <row r="115" spans="2:10" x14ac:dyDescent="0.25">
      <c r="B115" t="s">
        <v>152</v>
      </c>
      <c r="F115" s="47">
        <f>F58</f>
        <v>161.0547368274718</v>
      </c>
      <c r="G115" s="47">
        <f t="shared" ref="G115:J115" si="46">G58</f>
        <v>171.03690283174964</v>
      </c>
      <c r="H115" s="47">
        <f t="shared" si="46"/>
        <v>182.29962259539502</v>
      </c>
      <c r="I115" s="47">
        <f t="shared" si="46"/>
        <v>192.26448042415205</v>
      </c>
      <c r="J115" s="47">
        <f t="shared" si="46"/>
        <v>202.1735606902368</v>
      </c>
    </row>
    <row r="116" spans="2:10" x14ac:dyDescent="0.25">
      <c r="B116" t="s">
        <v>69</v>
      </c>
      <c r="F116" s="64">
        <f>E83-F83</f>
        <v>17.600600679424133</v>
      </c>
      <c r="G116" s="64">
        <f t="shared" ref="G116:J116" si="47">F83-G83</f>
        <v>92.863610893234636</v>
      </c>
      <c r="H116" s="64">
        <f t="shared" si="47"/>
        <v>106.90506522157875</v>
      </c>
      <c r="I116" s="64">
        <f t="shared" si="47"/>
        <v>94.228536993291527</v>
      </c>
      <c r="J116" s="64">
        <f t="shared" si="47"/>
        <v>94.895251726752122</v>
      </c>
    </row>
    <row r="117" spans="2:10" x14ac:dyDescent="0.25">
      <c r="B117" t="s">
        <v>153</v>
      </c>
      <c r="F117">
        <f>F105-E105+E107-F107</f>
        <v>0</v>
      </c>
      <c r="G117">
        <f t="shared" ref="G117:J117" si="48">G105-F105+F107-G107</f>
        <v>0</v>
      </c>
      <c r="H117">
        <f t="shared" si="48"/>
        <v>0</v>
      </c>
      <c r="I117">
        <f t="shared" si="48"/>
        <v>0</v>
      </c>
      <c r="J117">
        <f t="shared" si="48"/>
        <v>0</v>
      </c>
    </row>
    <row r="118" spans="2:10" x14ac:dyDescent="0.25">
      <c r="B118" t="s">
        <v>154</v>
      </c>
      <c r="F118" s="91">
        <f>F208</f>
        <v>0</v>
      </c>
      <c r="G118" s="91">
        <f t="shared" ref="G118:J118" si="49">G208</f>
        <v>0</v>
      </c>
      <c r="H118" s="91">
        <f t="shared" si="49"/>
        <v>0</v>
      </c>
      <c r="I118" s="91">
        <f t="shared" si="49"/>
        <v>0</v>
      </c>
      <c r="J118" s="91">
        <f t="shared" si="49"/>
        <v>0</v>
      </c>
    </row>
    <row r="119" spans="2:10" x14ac:dyDescent="0.25">
      <c r="B119" s="1" t="s">
        <v>155</v>
      </c>
      <c r="F119" s="49">
        <f ca="1">SUM(F113:F117)</f>
        <v>595.70269652022057</v>
      </c>
      <c r="G119" s="49">
        <f t="shared" ref="G119:J119" ca="1" si="50">SUM(G113:G117)</f>
        <v>744.2165085505361</v>
      </c>
      <c r="H119" s="49">
        <f t="shared" ca="1" si="50"/>
        <v>844.24601073905933</v>
      </c>
      <c r="I119" s="49">
        <f t="shared" ca="1" si="50"/>
        <v>921.81471011881695</v>
      </c>
      <c r="J119" s="49">
        <f t="shared" ca="1" si="50"/>
        <v>1023.1329136587501</v>
      </c>
    </row>
    <row r="121" spans="2:10" x14ac:dyDescent="0.25">
      <c r="B121" t="s">
        <v>156</v>
      </c>
      <c r="F121" s="64">
        <f>-F90</f>
        <v>-26</v>
      </c>
      <c r="G121" s="64">
        <f t="shared" ref="G121:J121" si="51">-G90</f>
        <v>-28</v>
      </c>
      <c r="H121" s="64">
        <f t="shared" si="51"/>
        <v>-30</v>
      </c>
      <c r="I121" s="64">
        <f t="shared" si="51"/>
        <v>-29</v>
      </c>
      <c r="J121" s="64">
        <f t="shared" si="51"/>
        <v>-31</v>
      </c>
    </row>
    <row r="122" spans="2:10" x14ac:dyDescent="0.25">
      <c r="B122" t="s">
        <v>157</v>
      </c>
      <c r="F122" s="64">
        <f>-(F102+F96)</f>
        <v>-201</v>
      </c>
      <c r="G122" s="64">
        <f t="shared" ref="G122:J122" si="52">-(G102+G96)</f>
        <v>-194</v>
      </c>
      <c r="H122" s="64">
        <f t="shared" si="52"/>
        <v>-193</v>
      </c>
      <c r="I122" s="64">
        <f t="shared" si="52"/>
        <v>-196</v>
      </c>
      <c r="J122" s="64">
        <f t="shared" si="52"/>
        <v>-192</v>
      </c>
    </row>
    <row r="123" spans="2:10" x14ac:dyDescent="0.25">
      <c r="B123" s="1" t="s">
        <v>158</v>
      </c>
      <c r="F123" s="74">
        <f>SUM(F121:F122)</f>
        <v>-227</v>
      </c>
      <c r="G123" s="74">
        <f t="shared" ref="G123:J123" si="53">SUM(G121:G122)</f>
        <v>-222</v>
      </c>
      <c r="H123" s="74">
        <f t="shared" si="53"/>
        <v>-223</v>
      </c>
      <c r="I123" s="74">
        <f t="shared" si="53"/>
        <v>-225</v>
      </c>
      <c r="J123" s="74">
        <f t="shared" si="53"/>
        <v>-223</v>
      </c>
    </row>
    <row r="125" spans="2:10" x14ac:dyDescent="0.25">
      <c r="B125" t="s">
        <v>159</v>
      </c>
      <c r="F125" s="64">
        <f>-F159-F167-F175-F181</f>
        <v>-322.18550000000005</v>
      </c>
      <c r="G125" s="64">
        <f t="shared" ref="G125:J125" ca="1" si="54">-G159-G167-G175-G181</f>
        <v>-177.86405000000002</v>
      </c>
      <c r="H125" s="64">
        <f t="shared" ca="1" si="54"/>
        <v>-177.86405000000002</v>
      </c>
      <c r="I125" s="64">
        <f t="shared" ca="1" si="54"/>
        <v>-177.86405000000002</v>
      </c>
      <c r="J125" s="64">
        <f t="shared" ca="1" si="54"/>
        <v>-177.86405000000002</v>
      </c>
    </row>
    <row r="126" spans="2:10" x14ac:dyDescent="0.25">
      <c r="B126" t="s">
        <v>160</v>
      </c>
      <c r="F126">
        <f>-F190</f>
        <v>0</v>
      </c>
      <c r="G126">
        <f t="shared" ref="G126:J126" si="55">-G190</f>
        <v>0</v>
      </c>
      <c r="H126">
        <f t="shared" si="55"/>
        <v>0</v>
      </c>
      <c r="I126">
        <f t="shared" si="55"/>
        <v>0</v>
      </c>
      <c r="J126">
        <f t="shared" si="55"/>
        <v>0</v>
      </c>
    </row>
    <row r="127" spans="2:10" s="1" customFormat="1" x14ac:dyDescent="0.25">
      <c r="B127" s="77" t="s">
        <v>161</v>
      </c>
      <c r="F127" s="49">
        <f ca="1">F119+F123+F125+F126</f>
        <v>46.517196520220523</v>
      </c>
      <c r="G127" s="49">
        <f t="shared" ref="G127:J127" ca="1" si="56">G119+G123+G125+G126</f>
        <v>344.35245855053608</v>
      </c>
      <c r="H127" s="49">
        <f t="shared" ca="1" si="56"/>
        <v>443.38196073905931</v>
      </c>
      <c r="I127" s="49">
        <f t="shared" ca="1" si="56"/>
        <v>518.95066011881693</v>
      </c>
      <c r="J127" s="49">
        <f t="shared" ca="1" si="56"/>
        <v>622.26886365875009</v>
      </c>
    </row>
    <row r="128" spans="2:10" x14ac:dyDescent="0.25">
      <c r="B128" t="s">
        <v>162</v>
      </c>
      <c r="F128" s="84">
        <f ca="1">F152</f>
        <v>0</v>
      </c>
      <c r="G128" s="84">
        <f t="shared" ref="G128:J128" ca="1" si="57">G152</f>
        <v>0</v>
      </c>
      <c r="H128" s="84">
        <f t="shared" ca="1" si="57"/>
        <v>0</v>
      </c>
      <c r="I128" s="84">
        <f t="shared" ca="1" si="57"/>
        <v>0</v>
      </c>
      <c r="J128" s="84">
        <f t="shared" ca="1" si="57"/>
        <v>0</v>
      </c>
    </row>
    <row r="129" spans="2:10" s="1" customFormat="1" x14ac:dyDescent="0.25">
      <c r="B129" s="77" t="s">
        <v>163</v>
      </c>
      <c r="F129" s="49">
        <f ca="1">F127+F128</f>
        <v>46.517196520220523</v>
      </c>
      <c r="G129" s="49">
        <f t="shared" ref="G129:J129" ca="1" si="58">G127+G128</f>
        <v>344.35245855053608</v>
      </c>
      <c r="H129" s="49">
        <f t="shared" ca="1" si="58"/>
        <v>443.38196073905931</v>
      </c>
      <c r="I129" s="49">
        <f t="shared" ca="1" si="58"/>
        <v>518.95066011881693</v>
      </c>
      <c r="J129" s="49">
        <f t="shared" ca="1" si="58"/>
        <v>622.26886365875009</v>
      </c>
    </row>
    <row r="130" spans="2:10" x14ac:dyDescent="0.25">
      <c r="B130" t="s">
        <v>164</v>
      </c>
      <c r="F130" s="47">
        <f ca="1">-(F160)</f>
        <v>-46.517196520220523</v>
      </c>
      <c r="G130" s="47">
        <f t="shared" ref="G130:J130" ca="1" si="59">-(G160)</f>
        <v>-344.35245855053597</v>
      </c>
      <c r="H130" s="47">
        <f t="shared" ca="1" si="59"/>
        <v>-443.38196073896165</v>
      </c>
      <c r="I130" s="47">
        <f t="shared" ca="1" si="59"/>
        <v>-518.95066007362766</v>
      </c>
      <c r="J130" s="47">
        <f t="shared" ca="1" si="59"/>
        <v>-622.2688519485456</v>
      </c>
    </row>
    <row r="131" spans="2:10" x14ac:dyDescent="0.25">
      <c r="B131" s="17" t="s">
        <v>165</v>
      </c>
      <c r="F131" s="47">
        <f ca="1">-F168</f>
        <v>0</v>
      </c>
      <c r="G131" s="47">
        <f t="shared" ref="G131:J131" ca="1" si="60">-G168</f>
        <v>4.5474735088646412E-13</v>
      </c>
      <c r="H131" s="47">
        <f t="shared" ca="1" si="60"/>
        <v>4.1086423152592033E-10</v>
      </c>
      <c r="I131" s="47">
        <f t="shared" ca="1" si="60"/>
        <v>1.8385480871074833E-7</v>
      </c>
      <c r="J131" s="47">
        <f t="shared" ca="1" si="60"/>
        <v>4.577069978495274E-5</v>
      </c>
    </row>
    <row r="132" spans="2:10" s="1" customFormat="1" x14ac:dyDescent="0.25">
      <c r="B132" s="1" t="s">
        <v>166</v>
      </c>
      <c r="F132" s="49">
        <f ca="1">SUM(F129:F131)</f>
        <v>0</v>
      </c>
      <c r="G132" s="49">
        <f t="shared" ref="G132:J132" ca="1" si="61">SUM(G129:G131)</f>
        <v>5.6843418860808015E-13</v>
      </c>
      <c r="H132" s="49">
        <f t="shared" ca="1" si="61"/>
        <v>5.085212251287885E-10</v>
      </c>
      <c r="I132" s="49">
        <f t="shared" ca="1" si="61"/>
        <v>2.2904407614987576E-7</v>
      </c>
      <c r="J132" s="49">
        <f t="shared" ca="1" si="61"/>
        <v>5.7480904274598288E-5</v>
      </c>
    </row>
    <row r="134" spans="2:10" x14ac:dyDescent="0.25">
      <c r="B134" s="4" t="s">
        <v>167</v>
      </c>
      <c r="C134" s="5"/>
      <c r="D134" s="5"/>
      <c r="E134" s="5"/>
      <c r="F134" s="5"/>
      <c r="G134" s="5"/>
      <c r="H134" s="5"/>
      <c r="I134" s="5"/>
      <c r="J134" s="5"/>
    </row>
    <row r="135" spans="2:10" x14ac:dyDescent="0.25">
      <c r="B135" t="s">
        <v>89</v>
      </c>
      <c r="C135" s="78" t="s">
        <v>98</v>
      </c>
      <c r="D135" s="78" t="s">
        <v>99</v>
      </c>
      <c r="E135" s="78" t="s">
        <v>100</v>
      </c>
      <c r="F135" s="78" t="s">
        <v>101</v>
      </c>
      <c r="G135" s="78" t="s">
        <v>102</v>
      </c>
      <c r="H135" s="78" t="s">
        <v>103</v>
      </c>
      <c r="I135" s="78" t="s">
        <v>104</v>
      </c>
      <c r="J135" s="78" t="s">
        <v>105</v>
      </c>
    </row>
    <row r="136" spans="2:10" x14ac:dyDescent="0.25">
      <c r="B136" s="59" t="s">
        <v>68</v>
      </c>
      <c r="C136" s="60">
        <v>40633</v>
      </c>
      <c r="D136" s="60">
        <v>40999</v>
      </c>
      <c r="E136" s="60">
        <v>41364</v>
      </c>
      <c r="F136" s="61">
        <v>41729</v>
      </c>
      <c r="G136" s="61">
        <v>42094</v>
      </c>
      <c r="H136" s="61">
        <v>42460</v>
      </c>
      <c r="I136" s="61">
        <v>42825</v>
      </c>
      <c r="J136" s="61">
        <v>43190</v>
      </c>
    </row>
    <row r="138" spans="2:10" x14ac:dyDescent="0.25">
      <c r="B138" t="s">
        <v>168</v>
      </c>
      <c r="F138" s="80">
        <f>D16</f>
        <v>180</v>
      </c>
      <c r="G138" s="9">
        <f ca="1">F140</f>
        <v>180</v>
      </c>
      <c r="H138" s="9">
        <f t="shared" ref="H138:J138" ca="1" si="62">G140</f>
        <v>179.99999999999841</v>
      </c>
      <c r="I138" s="9">
        <f t="shared" ca="1" si="62"/>
        <v>179.99999999863451</v>
      </c>
      <c r="J138" s="9">
        <f t="shared" ca="1" si="62"/>
        <v>179.99999941800797</v>
      </c>
    </row>
    <row r="139" spans="2:10" x14ac:dyDescent="0.25">
      <c r="B139" t="s">
        <v>169</v>
      </c>
      <c r="F139" s="47">
        <f ca="1">F132</f>
        <v>0</v>
      </c>
      <c r="G139" s="47">
        <f t="shared" ref="G139:J139" ca="1" si="63">G132</f>
        <v>5.6843418860808015E-13</v>
      </c>
      <c r="H139" s="47">
        <f t="shared" ca="1" si="63"/>
        <v>5.085212251287885E-10</v>
      </c>
      <c r="I139" s="47">
        <f t="shared" ca="1" si="63"/>
        <v>2.2904407614987576E-7</v>
      </c>
      <c r="J139" s="47">
        <f t="shared" ca="1" si="63"/>
        <v>5.7480904274598288E-5</v>
      </c>
    </row>
    <row r="140" spans="2:10" s="1" customFormat="1" x14ac:dyDescent="0.25">
      <c r="B140" s="1" t="s">
        <v>170</v>
      </c>
      <c r="D140" s="65">
        <f>1635.6</f>
        <v>1635.6</v>
      </c>
      <c r="E140" s="1">
        <f>D15</f>
        <v>1581.97</v>
      </c>
      <c r="F140" s="66">
        <f ca="1">SUM(F138:F139)</f>
        <v>180</v>
      </c>
      <c r="G140" s="66">
        <f t="shared" ref="G140:J140" ca="1" si="64">SUM(G138:G139)</f>
        <v>180.00000000000057</v>
      </c>
      <c r="H140" s="66">
        <f t="shared" ca="1" si="64"/>
        <v>180.00000000050693</v>
      </c>
      <c r="I140" s="66">
        <f t="shared" ca="1" si="64"/>
        <v>180.00000022767858</v>
      </c>
      <c r="J140" s="66">
        <f t="shared" ca="1" si="64"/>
        <v>180.00005689891225</v>
      </c>
    </row>
    <row r="141" spans="2:10" x14ac:dyDescent="0.25">
      <c r="B141" t="s">
        <v>171</v>
      </c>
      <c r="D141" s="51">
        <f>D142/D140</f>
        <v>6.4808021521154321E-3</v>
      </c>
      <c r="E141" s="51">
        <f>E142/E140</f>
        <v>5.2466228815969962E-3</v>
      </c>
      <c r="F141" s="51">
        <f>E141</f>
        <v>5.2466228815969962E-3</v>
      </c>
      <c r="G141" s="51">
        <f t="shared" ref="G141:J141" si="65">F141</f>
        <v>5.2466228815969962E-3</v>
      </c>
      <c r="H141" s="51">
        <f t="shared" si="65"/>
        <v>5.2466228815969962E-3</v>
      </c>
      <c r="I141" s="51">
        <f t="shared" si="65"/>
        <v>5.2466228815969962E-3</v>
      </c>
      <c r="J141" s="51">
        <f t="shared" si="65"/>
        <v>5.2466228815969962E-3</v>
      </c>
    </row>
    <row r="142" spans="2:10" x14ac:dyDescent="0.25">
      <c r="B142" t="s">
        <v>95</v>
      </c>
      <c r="D142" s="47">
        <f>D48</f>
        <v>10.6</v>
      </c>
      <c r="E142" s="47">
        <f>E48</f>
        <v>8.3000000000000007</v>
      </c>
      <c r="F142" s="9">
        <f ca="1">IF($D$10="OFF",AVERAGE(F140,F138)*F141,0)</f>
        <v>0.94439211868745931</v>
      </c>
      <c r="G142" s="9">
        <f t="shared" ref="G142:J142" ca="1" si="66">IF($D$10="OFF",AVERAGE(G140,G138)*G141,0)</f>
        <v>0.94439211868746076</v>
      </c>
      <c r="H142" s="9">
        <f t="shared" ca="1" si="66"/>
        <v>0.94439211868878492</v>
      </c>
      <c r="I142" s="9">
        <f t="shared" ca="1" si="66"/>
        <v>0.94439211928114908</v>
      </c>
      <c r="J142" s="9">
        <f t="shared" ca="1" si="66"/>
        <v>0.94439226642428042</v>
      </c>
    </row>
    <row r="144" spans="2:10" x14ac:dyDescent="0.25">
      <c r="B144" s="16" t="s">
        <v>172</v>
      </c>
    </row>
    <row r="145" spans="2:10" x14ac:dyDescent="0.25">
      <c r="B145" t="s">
        <v>173</v>
      </c>
      <c r="F145" s="47">
        <f>F138</f>
        <v>180</v>
      </c>
      <c r="G145" s="47">
        <f t="shared" ref="G145:J145" ca="1" si="67">G138</f>
        <v>180</v>
      </c>
      <c r="H145" s="47">
        <f t="shared" ca="1" si="67"/>
        <v>179.99999999999841</v>
      </c>
      <c r="I145" s="47">
        <f t="shared" ca="1" si="67"/>
        <v>179.99999999863451</v>
      </c>
      <c r="J145" s="47">
        <f t="shared" ca="1" si="67"/>
        <v>179.99999941800797</v>
      </c>
    </row>
    <row r="146" spans="2:10" x14ac:dyDescent="0.25">
      <c r="B146" t="s">
        <v>174</v>
      </c>
      <c r="F146" s="47">
        <f>-$D$16</f>
        <v>-180</v>
      </c>
      <c r="G146" s="47">
        <f t="shared" ref="G146:J146" si="68">-$D$16</f>
        <v>-180</v>
      </c>
      <c r="H146" s="47">
        <f t="shared" si="68"/>
        <v>-180</v>
      </c>
      <c r="I146" s="47">
        <f t="shared" si="68"/>
        <v>-180</v>
      </c>
      <c r="J146" s="47">
        <f t="shared" si="68"/>
        <v>-180</v>
      </c>
    </row>
    <row r="147" spans="2:10" x14ac:dyDescent="0.25">
      <c r="B147" t="s">
        <v>175</v>
      </c>
      <c r="F147" s="47">
        <f>SUM(F145:F146)</f>
        <v>0</v>
      </c>
      <c r="G147" s="47">
        <f t="shared" ref="G147:J147" ca="1" si="69">SUM(G145:G146)</f>
        <v>0</v>
      </c>
      <c r="H147" s="47">
        <f t="shared" ca="1" si="69"/>
        <v>-1.5916157281026244E-12</v>
      </c>
      <c r="I147" s="47">
        <f t="shared" ca="1" si="69"/>
        <v>-1.3654926078743301E-9</v>
      </c>
      <c r="J147" s="47">
        <f t="shared" ca="1" si="69"/>
        <v>-5.8199202612740919E-7</v>
      </c>
    </row>
    <row r="148" spans="2:10" s="16" customFormat="1" x14ac:dyDescent="0.25">
      <c r="B148" s="16" t="s">
        <v>176</v>
      </c>
      <c r="F148" s="81">
        <f ca="1">F127</f>
        <v>46.517196520220523</v>
      </c>
      <c r="G148" s="81">
        <f t="shared" ref="G148:J148" ca="1" si="70">G127</f>
        <v>344.35245855053608</v>
      </c>
      <c r="H148" s="81">
        <f t="shared" ca="1" si="70"/>
        <v>443.38196073905931</v>
      </c>
      <c r="I148" s="81">
        <f t="shared" ca="1" si="70"/>
        <v>518.95066011881693</v>
      </c>
      <c r="J148" s="81">
        <f t="shared" ca="1" si="70"/>
        <v>622.26886365875009</v>
      </c>
    </row>
    <row r="149" spans="2:10" s="3" customFormat="1" x14ac:dyDescent="0.25">
      <c r="B149" s="3" t="s">
        <v>177</v>
      </c>
      <c r="F149" s="82">
        <f ca="1">SUM(F147:F148)</f>
        <v>46.517196520220523</v>
      </c>
      <c r="G149" s="82">
        <f t="shared" ref="G149:J149" ca="1" si="71">SUM(G147:G148)</f>
        <v>344.35245855053608</v>
      </c>
      <c r="H149" s="82">
        <f t="shared" ca="1" si="71"/>
        <v>443.38196073905772</v>
      </c>
      <c r="I149" s="82">
        <f t="shared" ca="1" si="71"/>
        <v>518.95066011745143</v>
      </c>
      <c r="J149" s="82">
        <f t="shared" ca="1" si="71"/>
        <v>622.26886307675807</v>
      </c>
    </row>
    <row r="151" spans="2:10" x14ac:dyDescent="0.25">
      <c r="B151" t="s">
        <v>178</v>
      </c>
      <c r="F151" s="83">
        <f>D28</f>
        <v>0</v>
      </c>
      <c r="G151" s="84">
        <f ca="1">F153</f>
        <v>0</v>
      </c>
      <c r="H151" s="84">
        <f t="shared" ref="H151:J151" ca="1" si="72">G153</f>
        <v>0</v>
      </c>
      <c r="I151" s="84">
        <f t="shared" ca="1" si="72"/>
        <v>0</v>
      </c>
      <c r="J151" s="84">
        <f t="shared" ca="1" si="72"/>
        <v>0</v>
      </c>
    </row>
    <row r="152" spans="2:10" x14ac:dyDescent="0.25">
      <c r="B152" t="s">
        <v>179</v>
      </c>
      <c r="F152" s="84">
        <f ca="1">-MIN(F149,F151)</f>
        <v>0</v>
      </c>
      <c r="G152" s="84">
        <f t="shared" ref="G152:J152" ca="1" si="73">-MIN(G149,G151)</f>
        <v>0</v>
      </c>
      <c r="H152" s="84">
        <f t="shared" ca="1" si="73"/>
        <v>0</v>
      </c>
      <c r="I152" s="84">
        <f t="shared" ca="1" si="73"/>
        <v>0</v>
      </c>
      <c r="J152" s="84">
        <f t="shared" ca="1" si="73"/>
        <v>0</v>
      </c>
    </row>
    <row r="153" spans="2:10" s="1" customFormat="1" x14ac:dyDescent="0.25">
      <c r="B153" s="1" t="s">
        <v>180</v>
      </c>
      <c r="D153" s="88" t="s">
        <v>206</v>
      </c>
      <c r="E153" s="88" t="s">
        <v>207</v>
      </c>
      <c r="F153" s="85">
        <f ca="1">SUM(F151:F152)</f>
        <v>0</v>
      </c>
      <c r="G153" s="85">
        <f t="shared" ref="G153:J153" ca="1" si="74">SUM(G151:G152)</f>
        <v>0</v>
      </c>
      <c r="H153" s="85">
        <f t="shared" ca="1" si="74"/>
        <v>0</v>
      </c>
      <c r="I153" s="85">
        <f t="shared" ca="1" si="74"/>
        <v>0</v>
      </c>
      <c r="J153" s="85">
        <f t="shared" ca="1" si="74"/>
        <v>0</v>
      </c>
    </row>
    <row r="154" spans="2:10" x14ac:dyDescent="0.25">
      <c r="B154" s="3" t="s">
        <v>181</v>
      </c>
      <c r="D154" s="63">
        <v>0.8</v>
      </c>
      <c r="E154" s="63">
        <v>0.65</v>
      </c>
      <c r="F154">
        <f>MIN(350,$D$154*F74+$E$154*F76)</f>
        <v>350</v>
      </c>
      <c r="G154">
        <f t="shared" ref="G154:J154" si="75">MIN(350,$D$154*G74+$E$154*G76)</f>
        <v>350</v>
      </c>
      <c r="H154">
        <f t="shared" si="75"/>
        <v>350</v>
      </c>
      <c r="I154">
        <f t="shared" si="75"/>
        <v>350</v>
      </c>
      <c r="J154">
        <f t="shared" si="75"/>
        <v>350</v>
      </c>
    </row>
    <row r="155" spans="2:10" x14ac:dyDescent="0.25">
      <c r="B155" s="3" t="s">
        <v>182</v>
      </c>
      <c r="F155" t="s">
        <v>138</v>
      </c>
      <c r="G155" t="str">
        <f t="shared" ref="G155:J155" ca="1" si="76">IF(G153&gt;G154,"OVERDRAWN","OK")</f>
        <v>OK</v>
      </c>
      <c r="H155" t="str">
        <f t="shared" ca="1" si="76"/>
        <v>OK</v>
      </c>
      <c r="I155" t="str">
        <f t="shared" ca="1" si="76"/>
        <v>OK</v>
      </c>
      <c r="J155" t="str">
        <f t="shared" ca="1" si="76"/>
        <v>OK</v>
      </c>
    </row>
    <row r="157" spans="2:10" x14ac:dyDescent="0.25">
      <c r="B157" s="16" t="s">
        <v>183</v>
      </c>
    </row>
    <row r="158" spans="2:10" x14ac:dyDescent="0.25">
      <c r="B158" t="s">
        <v>184</v>
      </c>
      <c r="F158" s="93">
        <f>D29</f>
        <v>2886.4290000000005</v>
      </c>
      <c r="G158" s="84">
        <f ca="1">F161</f>
        <v>2551.2689034797795</v>
      </c>
      <c r="H158" s="84">
        <f t="shared" ref="H158:J158" ca="1" si="77">G161</f>
        <v>2062.5949949292435</v>
      </c>
      <c r="I158" s="84">
        <f t="shared" ca="1" si="77"/>
        <v>1474.8915841902815</v>
      </c>
      <c r="J158" s="84">
        <f t="shared" ca="1" si="77"/>
        <v>811.61947411624442</v>
      </c>
    </row>
    <row r="159" spans="2:10" x14ac:dyDescent="0.25">
      <c r="B159" t="s">
        <v>185</v>
      </c>
      <c r="F159" s="84">
        <f>MIN($F$158*F162,F158)</f>
        <v>288.64290000000005</v>
      </c>
      <c r="G159" s="84">
        <f t="shared" ref="G159:J159" ca="1" si="78">MIN($F$158*G162,G158)</f>
        <v>144.32145000000003</v>
      </c>
      <c r="H159" s="84">
        <f t="shared" ca="1" si="78"/>
        <v>144.32145000000003</v>
      </c>
      <c r="I159" s="84">
        <f t="shared" ca="1" si="78"/>
        <v>144.32145000000003</v>
      </c>
      <c r="J159" s="84">
        <f t="shared" ca="1" si="78"/>
        <v>144.32145000000003</v>
      </c>
    </row>
    <row r="160" spans="2:10" x14ac:dyDescent="0.25">
      <c r="B160" t="s">
        <v>186</v>
      </c>
      <c r="F160" s="84">
        <f ca="1">MIN(F163,F158-F159)</f>
        <v>46.517196520220523</v>
      </c>
      <c r="G160" s="84">
        <f t="shared" ref="G160:J160" ca="1" si="79">MIN(G163,G158-G159)</f>
        <v>344.35245855053608</v>
      </c>
      <c r="H160" s="84">
        <f t="shared" ca="1" si="79"/>
        <v>443.38196073911365</v>
      </c>
      <c r="I160" s="84">
        <f t="shared" ca="1" si="79"/>
        <v>518.95066014533438</v>
      </c>
      <c r="J160" s="84">
        <f t="shared" ca="1" si="79"/>
        <v>622.26887082458154</v>
      </c>
    </row>
    <row r="161" spans="2:10" s="1" customFormat="1" x14ac:dyDescent="0.25">
      <c r="B161" s="1" t="s">
        <v>187</v>
      </c>
      <c r="F161" s="85">
        <f ca="1">F158-F159-F160</f>
        <v>2551.2689034797795</v>
      </c>
      <c r="G161" s="85">
        <f t="shared" ref="G161:J161" ca="1" si="80">G158-G159-G160</f>
        <v>2062.5949949292435</v>
      </c>
      <c r="H161" s="85">
        <f t="shared" ca="1" si="80"/>
        <v>1474.8915841901298</v>
      </c>
      <c r="I161" s="85">
        <f t="shared" ca="1" si="80"/>
        <v>811.61947404494697</v>
      </c>
      <c r="J161" s="85">
        <f t="shared" ca="1" si="80"/>
        <v>45.029153291662851</v>
      </c>
    </row>
    <row r="162" spans="2:10" s="3" customFormat="1" x14ac:dyDescent="0.25">
      <c r="B162" s="3" t="s">
        <v>188</v>
      </c>
      <c r="E162" s="16" t="s">
        <v>190</v>
      </c>
      <c r="F162" s="86">
        <v>0.1</v>
      </c>
      <c r="G162" s="86">
        <v>0.05</v>
      </c>
      <c r="H162" s="86">
        <v>0.05</v>
      </c>
      <c r="I162" s="86">
        <v>0.05</v>
      </c>
      <c r="J162" s="86">
        <v>0.05</v>
      </c>
    </row>
    <row r="163" spans="2:10" s="3" customFormat="1" x14ac:dyDescent="0.25">
      <c r="B163" s="3" t="s">
        <v>189</v>
      </c>
      <c r="D163" s="3" t="s">
        <v>138</v>
      </c>
      <c r="E163" s="86">
        <v>1</v>
      </c>
      <c r="F163" s="82">
        <f ca="1">(F149+F152)*$E$163</f>
        <v>46.517196520220523</v>
      </c>
      <c r="G163" s="82">
        <f t="shared" ref="G163:J163" ca="1" si="81">(G149+G152)*$E$163</f>
        <v>344.35245855053608</v>
      </c>
      <c r="H163" s="82">
        <f t="shared" ca="1" si="81"/>
        <v>443.38196073905772</v>
      </c>
      <c r="I163" s="82">
        <f t="shared" ca="1" si="81"/>
        <v>518.95066011745143</v>
      </c>
      <c r="J163" s="82">
        <f t="shared" ca="1" si="81"/>
        <v>622.26886307675807</v>
      </c>
    </row>
    <row r="165" spans="2:10" x14ac:dyDescent="0.25">
      <c r="B165" s="16" t="s">
        <v>191</v>
      </c>
    </row>
    <row r="166" spans="2:10" x14ac:dyDescent="0.25">
      <c r="B166" t="s">
        <v>192</v>
      </c>
      <c r="F166" s="93">
        <f>D30</f>
        <v>670.85200000000009</v>
      </c>
      <c r="G166" s="84">
        <f ca="1">F169</f>
        <v>637.3094000000001</v>
      </c>
      <c r="H166" s="84">
        <f t="shared" ref="H166:J166" ca="1" si="82">G169</f>
        <v>603.76680000000056</v>
      </c>
      <c r="I166" s="84">
        <f t="shared" ca="1" si="82"/>
        <v>570.22420000040972</v>
      </c>
      <c r="J166" s="84">
        <f t="shared" ca="1" si="82"/>
        <v>536.68160018275205</v>
      </c>
    </row>
    <row r="167" spans="2:10" x14ac:dyDescent="0.25">
      <c r="B167" t="s">
        <v>198</v>
      </c>
      <c r="F167" s="84">
        <f>MIN(F170*$F$166,F166)</f>
        <v>33.542600000000007</v>
      </c>
      <c r="G167" s="84">
        <f t="shared" ref="G167:J167" ca="1" si="83">MIN(G170*$F$166,G166)</f>
        <v>33.542600000000007</v>
      </c>
      <c r="H167" s="84">
        <f t="shared" ca="1" si="83"/>
        <v>33.542600000000007</v>
      </c>
      <c r="I167" s="84">
        <f t="shared" ca="1" si="83"/>
        <v>33.542600000000007</v>
      </c>
      <c r="J167" s="84">
        <f t="shared" ca="1" si="83"/>
        <v>33.542600000000007</v>
      </c>
    </row>
    <row r="168" spans="2:10" x14ac:dyDescent="0.25">
      <c r="B168" t="s">
        <v>186</v>
      </c>
      <c r="F168" s="84">
        <f ca="1">MIN(F171,F166-F167)</f>
        <v>0</v>
      </c>
      <c r="G168" s="84">
        <f t="shared" ref="G168:J168" ca="1" si="84">MIN(G171,G166-G167)</f>
        <v>1.1368683772161603E-13</v>
      </c>
      <c r="H168" s="84">
        <f t="shared" ca="1" si="84"/>
        <v>1.5199930203380063E-10</v>
      </c>
      <c r="I168" s="84">
        <f t="shared" ca="1" si="84"/>
        <v>7.1706722337694373E-8</v>
      </c>
      <c r="J168" s="84">
        <f t="shared" ca="1" si="84"/>
        <v>1.8876035937864799E-5</v>
      </c>
    </row>
    <row r="169" spans="2:10" s="1" customFormat="1" x14ac:dyDescent="0.25">
      <c r="B169" s="1" t="s">
        <v>193</v>
      </c>
      <c r="F169" s="85">
        <f ca="1">F166-F167-F168</f>
        <v>637.3094000000001</v>
      </c>
      <c r="G169" s="85">
        <f t="shared" ref="G169:J169" ca="1" si="85">G166-G167-G168</f>
        <v>603.76679999999999</v>
      </c>
      <c r="H169" s="85">
        <f t="shared" ca="1" si="85"/>
        <v>570.22419999984857</v>
      </c>
      <c r="I169" s="85">
        <f t="shared" ca="1" si="85"/>
        <v>536.68159992870301</v>
      </c>
      <c r="J169" s="85">
        <f t="shared" ca="1" si="85"/>
        <v>503.13898130671612</v>
      </c>
    </row>
    <row r="170" spans="2:10" x14ac:dyDescent="0.25">
      <c r="B170" s="3" t="s">
        <v>188</v>
      </c>
      <c r="E170" s="16" t="s">
        <v>190</v>
      </c>
      <c r="F170" s="86">
        <v>0.05</v>
      </c>
      <c r="G170" s="86">
        <v>0.05</v>
      </c>
      <c r="H170" s="86">
        <v>0.05</v>
      </c>
      <c r="I170" s="86">
        <v>0.05</v>
      </c>
      <c r="J170" s="86">
        <v>0.05</v>
      </c>
    </row>
    <row r="171" spans="2:10" x14ac:dyDescent="0.25">
      <c r="B171" s="3" t="s">
        <v>197</v>
      </c>
      <c r="E171" s="86">
        <v>1</v>
      </c>
      <c r="F171" s="47">
        <f ca="1">(F149+F152-F160)*$E$171</f>
        <v>0</v>
      </c>
      <c r="G171" s="47">
        <f t="shared" ref="G171:J171" ca="1" si="86">(G149+G152-G160)*$E$171</f>
        <v>0</v>
      </c>
      <c r="H171" s="47">
        <f t="shared" ca="1" si="86"/>
        <v>-5.5933924159035087E-11</v>
      </c>
      <c r="I171" s="47">
        <f t="shared" ca="1" si="86"/>
        <v>-2.7882947506441269E-8</v>
      </c>
      <c r="J171" s="47">
        <f t="shared" ca="1" si="86"/>
        <v>-7.7478234743466601E-6</v>
      </c>
    </row>
    <row r="173" spans="2:10" x14ac:dyDescent="0.25">
      <c r="B173" s="16" t="s">
        <v>194</v>
      </c>
    </row>
    <row r="174" spans="2:10" x14ac:dyDescent="0.25">
      <c r="B174" t="s">
        <v>195</v>
      </c>
      <c r="F174" s="93">
        <f>D31</f>
        <v>1632.9950000000003</v>
      </c>
      <c r="G174" s="84">
        <f>F176</f>
        <v>1632.9950000000003</v>
      </c>
      <c r="H174" s="84">
        <f t="shared" ref="H174:J174" si="87">G176</f>
        <v>1632.9950000000003</v>
      </c>
      <c r="I174" s="84">
        <f t="shared" si="87"/>
        <v>1632.9950000000003</v>
      </c>
      <c r="J174" s="84">
        <f t="shared" si="87"/>
        <v>1632.9950000000003</v>
      </c>
    </row>
    <row r="175" spans="2:10" x14ac:dyDescent="0.25">
      <c r="B175" t="s">
        <v>198</v>
      </c>
      <c r="F175" s="84">
        <f>MIN($F$174*F177,F174)</f>
        <v>0</v>
      </c>
      <c r="G175" s="84">
        <f t="shared" ref="G175:J175" si="88">MIN($F$174*G177,G174)</f>
        <v>0</v>
      </c>
      <c r="H175" s="84">
        <f t="shared" si="88"/>
        <v>0</v>
      </c>
      <c r="I175" s="84">
        <f t="shared" si="88"/>
        <v>0</v>
      </c>
      <c r="J175" s="84">
        <f t="shared" si="88"/>
        <v>0</v>
      </c>
    </row>
    <row r="176" spans="2:10" s="1" customFormat="1" x14ac:dyDescent="0.25">
      <c r="B176" s="1" t="s">
        <v>196</v>
      </c>
      <c r="F176" s="85">
        <f>F174-F175</f>
        <v>1632.9950000000003</v>
      </c>
      <c r="G176" s="85">
        <f t="shared" ref="G176:J176" si="89">G174-G175</f>
        <v>1632.9950000000003</v>
      </c>
      <c r="H176" s="85">
        <f t="shared" si="89"/>
        <v>1632.9950000000003</v>
      </c>
      <c r="I176" s="85">
        <f t="shared" si="89"/>
        <v>1632.9950000000003</v>
      </c>
      <c r="J176" s="85">
        <f t="shared" si="89"/>
        <v>1632.9950000000003</v>
      </c>
    </row>
    <row r="177" spans="2:10" s="1" customFormat="1" x14ac:dyDescent="0.25">
      <c r="B177" s="3" t="s">
        <v>188</v>
      </c>
      <c r="F177" s="86">
        <v>0</v>
      </c>
      <c r="G177" s="86">
        <v>0</v>
      </c>
      <c r="H177" s="86">
        <v>0</v>
      </c>
      <c r="I177" s="86">
        <v>0</v>
      </c>
      <c r="J177" s="86">
        <v>0</v>
      </c>
    </row>
    <row r="178" spans="2:10" x14ac:dyDescent="0.25">
      <c r="E178" s="16"/>
    </row>
    <row r="179" spans="2:10" x14ac:dyDescent="0.25">
      <c r="B179" s="16" t="s">
        <v>199</v>
      </c>
      <c r="E179" s="86"/>
    </row>
    <row r="180" spans="2:10" x14ac:dyDescent="0.25">
      <c r="B180" t="s">
        <v>200</v>
      </c>
      <c r="F180" s="91">
        <f>D32</f>
        <v>0</v>
      </c>
      <c r="G180" s="91">
        <f>F183</f>
        <v>0</v>
      </c>
      <c r="H180" s="91">
        <f t="shared" ref="H180:J180" si="90">G183</f>
        <v>0</v>
      </c>
      <c r="I180" s="91">
        <f t="shared" si="90"/>
        <v>0</v>
      </c>
      <c r="J180" s="91">
        <f t="shared" si="90"/>
        <v>0</v>
      </c>
    </row>
    <row r="181" spans="2:10" x14ac:dyDescent="0.25">
      <c r="B181" t="s">
        <v>201</v>
      </c>
      <c r="C181" s="34" t="s">
        <v>204</v>
      </c>
      <c r="D181" s="34" t="s">
        <v>205</v>
      </c>
      <c r="F181" s="91">
        <f>MIN(F184*$F$180,F180)</f>
        <v>0</v>
      </c>
      <c r="G181" s="91">
        <f t="shared" ref="G181:J181" si="91">MIN(G184*$F$180,G180)</f>
        <v>0</v>
      </c>
      <c r="H181" s="91">
        <f t="shared" si="91"/>
        <v>0</v>
      </c>
      <c r="I181" s="91">
        <f t="shared" si="91"/>
        <v>0</v>
      </c>
      <c r="J181" s="91">
        <f t="shared" si="91"/>
        <v>0</v>
      </c>
    </row>
    <row r="182" spans="2:10" x14ac:dyDescent="0.25">
      <c r="B182" s="3" t="s">
        <v>202</v>
      </c>
      <c r="C182" s="87">
        <v>0.04</v>
      </c>
      <c r="D182" s="87">
        <v>0.08</v>
      </c>
      <c r="F182" s="91">
        <f>(F180-F181)*$C$182</f>
        <v>0</v>
      </c>
      <c r="G182" s="91">
        <f t="shared" ref="G182:J182" si="92">(G180-G181)*$C$182</f>
        <v>0</v>
      </c>
      <c r="H182" s="91">
        <f t="shared" si="92"/>
        <v>0</v>
      </c>
      <c r="I182" s="91">
        <f t="shared" si="92"/>
        <v>0</v>
      </c>
      <c r="J182" s="91">
        <f t="shared" si="92"/>
        <v>0</v>
      </c>
    </row>
    <row r="183" spans="2:10" s="1" customFormat="1" x14ac:dyDescent="0.25">
      <c r="B183" s="1" t="s">
        <v>203</v>
      </c>
      <c r="F183" s="92">
        <f>F180-F181+F182</f>
        <v>0</v>
      </c>
      <c r="G183" s="92">
        <f t="shared" ref="G183:J183" si="93">G180-G181+G182</f>
        <v>0</v>
      </c>
      <c r="H183" s="92">
        <f t="shared" si="93"/>
        <v>0</v>
      </c>
      <c r="I183" s="92">
        <f t="shared" si="93"/>
        <v>0</v>
      </c>
      <c r="J183" s="92">
        <f t="shared" si="93"/>
        <v>0</v>
      </c>
    </row>
    <row r="184" spans="2:10" x14ac:dyDescent="0.25">
      <c r="B184" s="3" t="s">
        <v>188</v>
      </c>
      <c r="F184" s="86">
        <v>0</v>
      </c>
      <c r="G184" s="86">
        <v>0</v>
      </c>
      <c r="H184" s="86">
        <v>0</v>
      </c>
      <c r="I184" s="86">
        <v>0</v>
      </c>
      <c r="J184" s="86">
        <v>0</v>
      </c>
    </row>
    <row r="186" spans="2:10" x14ac:dyDescent="0.25">
      <c r="B186" s="16" t="s">
        <v>208</v>
      </c>
    </row>
    <row r="187" spans="2:10" x14ac:dyDescent="0.25">
      <c r="B187" t="s">
        <v>209</v>
      </c>
      <c r="F187" s="90">
        <f>D33</f>
        <v>0</v>
      </c>
      <c r="G187" s="91">
        <f>F189</f>
        <v>0</v>
      </c>
      <c r="H187" s="91">
        <f t="shared" ref="H187:J187" si="94">G189</f>
        <v>0</v>
      </c>
      <c r="I187" s="91">
        <f t="shared" si="94"/>
        <v>0</v>
      </c>
      <c r="J187" s="91">
        <f t="shared" si="94"/>
        <v>0</v>
      </c>
    </row>
    <row r="188" spans="2:10" x14ac:dyDescent="0.25">
      <c r="B188" s="3" t="s">
        <v>210</v>
      </c>
      <c r="F188" s="91">
        <f>$C$190*F187</f>
        <v>0</v>
      </c>
      <c r="G188" s="91">
        <f t="shared" ref="G188:J188" si="95">$C$190*G187</f>
        <v>0</v>
      </c>
      <c r="H188" s="91">
        <f t="shared" si="95"/>
        <v>0</v>
      </c>
      <c r="I188" s="91">
        <f t="shared" si="95"/>
        <v>0</v>
      </c>
      <c r="J188" s="91">
        <f t="shared" si="95"/>
        <v>0</v>
      </c>
    </row>
    <row r="189" spans="2:10" s="1" customFormat="1" x14ac:dyDescent="0.25">
      <c r="B189" s="1" t="s">
        <v>211</v>
      </c>
      <c r="C189" s="89" t="s">
        <v>204</v>
      </c>
      <c r="D189" s="89" t="s">
        <v>205</v>
      </c>
      <c r="F189" s="92">
        <f>SUM(F187:F188)</f>
        <v>0</v>
      </c>
      <c r="G189" s="92">
        <f t="shared" ref="G189:J189" si="96">SUM(G187:G188)</f>
        <v>0</v>
      </c>
      <c r="H189" s="92">
        <f t="shared" si="96"/>
        <v>0</v>
      </c>
      <c r="I189" s="92">
        <f t="shared" si="96"/>
        <v>0</v>
      </c>
      <c r="J189" s="92">
        <f t="shared" si="96"/>
        <v>0</v>
      </c>
    </row>
    <row r="190" spans="2:10" x14ac:dyDescent="0.25">
      <c r="B190" s="3" t="s">
        <v>212</v>
      </c>
      <c r="C190" s="87">
        <v>0.04</v>
      </c>
      <c r="D190" s="87">
        <v>0.08</v>
      </c>
      <c r="F190">
        <f>$D$190*F189</f>
        <v>0</v>
      </c>
      <c r="G190">
        <f t="shared" ref="G190:J190" si="97">$D$190*G189</f>
        <v>0</v>
      </c>
      <c r="H190">
        <f t="shared" si="97"/>
        <v>0</v>
      </c>
      <c r="I190">
        <f t="shared" si="97"/>
        <v>0</v>
      </c>
      <c r="J190">
        <f t="shared" si="97"/>
        <v>0</v>
      </c>
    </row>
    <row r="192" spans="2:10" x14ac:dyDescent="0.25">
      <c r="B192" s="16" t="s">
        <v>213</v>
      </c>
    </row>
    <row r="193" spans="2:11" x14ac:dyDescent="0.25">
      <c r="B193" t="s">
        <v>214</v>
      </c>
      <c r="F193" s="90">
        <f>I33</f>
        <v>69.689165000000017</v>
      </c>
      <c r="G193" s="91">
        <f>F195</f>
        <v>60.025176250000015</v>
      </c>
      <c r="H193" s="91">
        <f t="shared" ref="H193:J193" si="98">G195</f>
        <v>50.361187500000014</v>
      </c>
      <c r="I193" s="91">
        <f t="shared" si="98"/>
        <v>40.697198750000013</v>
      </c>
      <c r="J193" s="91">
        <f t="shared" si="98"/>
        <v>31.033210000000011</v>
      </c>
    </row>
    <row r="194" spans="2:11" x14ac:dyDescent="0.25">
      <c r="B194" t="s">
        <v>142</v>
      </c>
      <c r="F194" s="91">
        <f>-K33</f>
        <v>-9.6639887500000015</v>
      </c>
      <c r="G194" s="91">
        <f>F194</f>
        <v>-9.6639887500000015</v>
      </c>
      <c r="H194" s="91">
        <f t="shared" ref="H194:J194" si="99">G194</f>
        <v>-9.6639887500000015</v>
      </c>
      <c r="I194" s="91">
        <f t="shared" si="99"/>
        <v>-9.6639887500000015</v>
      </c>
      <c r="J194" s="91">
        <f t="shared" si="99"/>
        <v>-9.6639887500000015</v>
      </c>
    </row>
    <row r="195" spans="2:11" s="1" customFormat="1" x14ac:dyDescent="0.25">
      <c r="B195" s="1" t="s">
        <v>215</v>
      </c>
      <c r="F195" s="92">
        <f>SUM(F193:F194)</f>
        <v>60.025176250000015</v>
      </c>
      <c r="G195" s="92">
        <f t="shared" ref="G195:J195" si="100">SUM(G193:G194)</f>
        <v>50.361187500000014</v>
      </c>
      <c r="H195" s="92">
        <f t="shared" si="100"/>
        <v>40.697198750000013</v>
      </c>
      <c r="I195" s="92">
        <f t="shared" si="100"/>
        <v>31.033210000000011</v>
      </c>
      <c r="J195" s="92">
        <f t="shared" si="100"/>
        <v>21.36922125000001</v>
      </c>
    </row>
    <row r="197" spans="2:11" x14ac:dyDescent="0.25">
      <c r="B197" s="4" t="s">
        <v>216</v>
      </c>
      <c r="C197" s="5"/>
      <c r="D197" s="5"/>
      <c r="E197" s="5"/>
      <c r="F197" s="5"/>
      <c r="G197" s="5"/>
      <c r="H197" s="5"/>
      <c r="I197" s="5"/>
      <c r="J197" s="5"/>
    </row>
    <row r="198" spans="2:11" x14ac:dyDescent="0.25">
      <c r="B198" t="s">
        <v>89</v>
      </c>
      <c r="C198" s="78" t="s">
        <v>98</v>
      </c>
      <c r="D198" s="78" t="s">
        <v>99</v>
      </c>
      <c r="E198" s="78" t="s">
        <v>100</v>
      </c>
      <c r="F198" s="78" t="s">
        <v>101</v>
      </c>
      <c r="G198" s="78" t="s">
        <v>102</v>
      </c>
      <c r="H198" s="78" t="s">
        <v>103</v>
      </c>
      <c r="I198" s="78" t="s">
        <v>104</v>
      </c>
      <c r="J198" s="78" t="s">
        <v>105</v>
      </c>
    </row>
    <row r="199" spans="2:11" x14ac:dyDescent="0.25">
      <c r="B199" s="59" t="s">
        <v>68</v>
      </c>
      <c r="C199" s="60">
        <v>40633</v>
      </c>
      <c r="D199" s="60">
        <v>40999</v>
      </c>
      <c r="E199" s="60">
        <v>41364</v>
      </c>
      <c r="F199" s="61">
        <v>41729</v>
      </c>
      <c r="G199" s="61">
        <v>42094</v>
      </c>
      <c r="H199" s="61">
        <v>42460</v>
      </c>
      <c r="I199" s="61">
        <v>42825</v>
      </c>
      <c r="J199" s="61">
        <v>43190</v>
      </c>
    </row>
    <row r="201" spans="2:11" x14ac:dyDescent="0.25">
      <c r="B201" s="3" t="s">
        <v>217</v>
      </c>
      <c r="F201" s="23">
        <v>49</v>
      </c>
      <c r="G201" s="23">
        <v>83</v>
      </c>
      <c r="H201" s="23">
        <v>135</v>
      </c>
      <c r="I201" s="23">
        <v>184</v>
      </c>
      <c r="J201" s="23">
        <v>221</v>
      </c>
    </row>
    <row r="202" spans="2:11" x14ac:dyDescent="0.25">
      <c r="C202" s="16" t="s">
        <v>220</v>
      </c>
      <c r="D202" s="16" t="s">
        <v>221</v>
      </c>
      <c r="E202" s="16" t="s">
        <v>222</v>
      </c>
    </row>
    <row r="203" spans="2:11" x14ac:dyDescent="0.25">
      <c r="B203" s="17" t="s">
        <v>65</v>
      </c>
      <c r="C203" s="94">
        <v>0.04</v>
      </c>
      <c r="D203" s="63">
        <v>0</v>
      </c>
      <c r="F203" s="9">
        <f ca="1">IF($D$10="OFF",(($C$203+MAX(F201/10000,$D$203))*AVERAGE(F151,F153)),0)</f>
        <v>0</v>
      </c>
      <c r="G203" s="9">
        <f t="shared" ref="G203:J203" ca="1" si="101">IF($D$10="OFF",(($C$203+MAX(G201/10000,$D$203))*AVERAGE(G151,G153)),0)</f>
        <v>0</v>
      </c>
      <c r="H203" s="9">
        <f t="shared" ca="1" si="101"/>
        <v>0</v>
      </c>
      <c r="I203" s="9">
        <f t="shared" ca="1" si="101"/>
        <v>0</v>
      </c>
      <c r="J203" s="9">
        <f t="shared" ca="1" si="101"/>
        <v>0</v>
      </c>
      <c r="K203" s="9"/>
    </row>
    <row r="204" spans="2:11" x14ac:dyDescent="0.25">
      <c r="B204" s="17" t="s">
        <v>78</v>
      </c>
      <c r="C204" s="94">
        <v>0.04</v>
      </c>
      <c r="D204" s="63">
        <v>0.01</v>
      </c>
      <c r="F204" s="9">
        <f ca="1">IF($D$10="OFF",(($C$204+MAX(F201/10000,$D$204))*AVERAGE(F158,F161)),0)</f>
        <v>135.94244758699452</v>
      </c>
      <c r="G204" s="9">
        <f t="shared" ref="G204:J204" ca="1" si="102">IF($D$10="OFF",(($C$204+MAX(G201/10000,$D$204))*AVERAGE(G158,G161)),0)</f>
        <v>115.34659746022558</v>
      </c>
      <c r="H204" s="9">
        <f t="shared" ca="1" si="102"/>
        <v>94.627765991443241</v>
      </c>
      <c r="I204" s="9">
        <f t="shared" ca="1" si="102"/>
        <v>66.766122900468673</v>
      </c>
      <c r="J204" s="9">
        <f t="shared" ca="1" si="102"/>
        <v>26.598939881015522</v>
      </c>
      <c r="K204" s="9"/>
    </row>
    <row r="205" spans="2:11" x14ac:dyDescent="0.25">
      <c r="B205" s="17" t="s">
        <v>67</v>
      </c>
      <c r="C205" s="94">
        <v>0.04</v>
      </c>
      <c r="D205" s="63">
        <v>0</v>
      </c>
      <c r="F205" s="9">
        <f ca="1">IF($D$10="OFF",(($C$205+MAX(F201/10000,$D$205))*AVERAGE(F166,F169)),0)</f>
        <v>29.368223430000004</v>
      </c>
      <c r="G205" s="9">
        <f t="shared" ref="G205:J205" ca="1" si="103">IF($D$10="OFF",(($C$205+MAX(G201/10000,$D$205))*AVERAGE(G166,G169)),0)</f>
        <v>29.971990229999999</v>
      </c>
      <c r="H205" s="9">
        <f t="shared" ca="1" si="103"/>
        <v>31.40425924999596</v>
      </c>
      <c r="I205" s="9">
        <f t="shared" ca="1" si="103"/>
        <v>32.321649357930092</v>
      </c>
      <c r="J205" s="9">
        <f t="shared" ca="1" si="103"/>
        <v>32.286429055247986</v>
      </c>
      <c r="K205" s="9"/>
    </row>
    <row r="206" spans="2:11" x14ac:dyDescent="0.25">
      <c r="B206" s="17" t="s">
        <v>77</v>
      </c>
      <c r="E206" s="95">
        <v>8.1250000000000003E-2</v>
      </c>
      <c r="F206" s="91">
        <f>$E$206*AVERAGE(F174,F176)</f>
        <v>132.68084375000004</v>
      </c>
      <c r="G206" s="91">
        <f t="shared" ref="G206:J206" si="104">$E$206*AVERAGE(G174,G176)</f>
        <v>132.68084375000004</v>
      </c>
      <c r="H206" s="91">
        <f t="shared" si="104"/>
        <v>132.68084375000004</v>
      </c>
      <c r="I206" s="91">
        <f t="shared" si="104"/>
        <v>132.68084375000004</v>
      </c>
      <c r="J206" s="91">
        <f t="shared" si="104"/>
        <v>132.68084375000004</v>
      </c>
    </row>
    <row r="207" spans="2:11" x14ac:dyDescent="0.25">
      <c r="B207" s="17" t="s">
        <v>218</v>
      </c>
      <c r="E207" s="62">
        <f>D182</f>
        <v>0.08</v>
      </c>
      <c r="F207">
        <f>$E$207*(F180-F181)</f>
        <v>0</v>
      </c>
      <c r="G207">
        <f t="shared" ref="G207:J207" si="105">$E$207*(G180-G181)</f>
        <v>0</v>
      </c>
      <c r="H207">
        <f t="shared" si="105"/>
        <v>0</v>
      </c>
      <c r="I207">
        <f t="shared" si="105"/>
        <v>0</v>
      </c>
      <c r="J207">
        <f t="shared" si="105"/>
        <v>0</v>
      </c>
    </row>
    <row r="208" spans="2:11" x14ac:dyDescent="0.25">
      <c r="B208" s="17" t="s">
        <v>219</v>
      </c>
      <c r="E208" s="62">
        <f>C182</f>
        <v>0.04</v>
      </c>
      <c r="F208" s="91">
        <f>F182</f>
        <v>0</v>
      </c>
      <c r="G208" s="91">
        <f t="shared" ref="G208:J208" si="106">G182</f>
        <v>0</v>
      </c>
      <c r="H208" s="91">
        <f t="shared" si="106"/>
        <v>0</v>
      </c>
      <c r="I208" s="91">
        <f t="shared" si="106"/>
        <v>0</v>
      </c>
      <c r="J208" s="91">
        <f t="shared" si="106"/>
        <v>0</v>
      </c>
    </row>
    <row r="210" spans="2:10" x14ac:dyDescent="0.25">
      <c r="B210" s="4" t="s">
        <v>223</v>
      </c>
      <c r="C210" s="5"/>
      <c r="D210" s="5"/>
      <c r="E210" s="5"/>
      <c r="F210" s="5"/>
      <c r="G210" s="5"/>
      <c r="H210" s="5"/>
      <c r="I210" s="5"/>
      <c r="J210" s="5"/>
    </row>
    <row r="212" spans="2:10" x14ac:dyDescent="0.25">
      <c r="F212" s="96" t="s">
        <v>224</v>
      </c>
      <c r="G212" s="96"/>
      <c r="H212" s="96"/>
      <c r="I212" s="96"/>
      <c r="J212" s="96"/>
    </row>
    <row r="214" spans="2:10" s="1" customFormat="1" x14ac:dyDescent="0.25">
      <c r="B214" s="1" t="s">
        <v>225</v>
      </c>
      <c r="E214" s="89" t="s">
        <v>122</v>
      </c>
      <c r="F214" s="98">
        <f>D17</f>
        <v>7.3</v>
      </c>
      <c r="G214" s="97">
        <f>F214+$E$215</f>
        <v>7.8</v>
      </c>
      <c r="H214" s="97">
        <f t="shared" ref="H214:J214" si="107">G214+$E$215</f>
        <v>8.3000000000000007</v>
      </c>
      <c r="I214" s="97">
        <f t="shared" si="107"/>
        <v>8.8000000000000007</v>
      </c>
      <c r="J214" s="97">
        <f t="shared" si="107"/>
        <v>9.3000000000000007</v>
      </c>
    </row>
    <row r="215" spans="2:10" x14ac:dyDescent="0.25">
      <c r="B215" t="s">
        <v>226</v>
      </c>
      <c r="E215" s="31">
        <v>0.5</v>
      </c>
      <c r="F215" s="47">
        <f>J60</f>
        <v>1266.131121078211</v>
      </c>
      <c r="G215" s="47">
        <f>F215</f>
        <v>1266.131121078211</v>
      </c>
      <c r="H215" s="47">
        <f t="shared" ref="H215:J215" si="108">G215</f>
        <v>1266.131121078211</v>
      </c>
      <c r="I215" s="47">
        <f t="shared" si="108"/>
        <v>1266.131121078211</v>
      </c>
      <c r="J215" s="47">
        <f t="shared" si="108"/>
        <v>1266.131121078211</v>
      </c>
    </row>
    <row r="216" spans="2:10" x14ac:dyDescent="0.25">
      <c r="B216" s="1" t="s">
        <v>23</v>
      </c>
      <c r="F216" s="85">
        <f>F214*F215</f>
        <v>9242.7571838709391</v>
      </c>
      <c r="G216" s="85">
        <f t="shared" ref="G216:J216" si="109">G214*G215</f>
        <v>9875.8227444100448</v>
      </c>
      <c r="H216" s="85">
        <f t="shared" si="109"/>
        <v>10508.888304949152</v>
      </c>
      <c r="I216" s="85">
        <f t="shared" si="109"/>
        <v>11141.953865488258</v>
      </c>
      <c r="J216" s="85">
        <f t="shared" si="109"/>
        <v>11775.019426027364</v>
      </c>
    </row>
    <row r="217" spans="2:10" x14ac:dyDescent="0.25">
      <c r="B217" s="16" t="s">
        <v>227</v>
      </c>
    </row>
    <row r="218" spans="2:10" x14ac:dyDescent="0.25">
      <c r="B218" t="s">
        <v>228</v>
      </c>
      <c r="F218" s="84">
        <f ca="1">J153</f>
        <v>0</v>
      </c>
      <c r="G218" s="84">
        <v>0</v>
      </c>
      <c r="H218" s="84">
        <v>0</v>
      </c>
      <c r="I218" s="84">
        <v>0</v>
      </c>
      <c r="J218" s="84">
        <v>0</v>
      </c>
    </row>
    <row r="219" spans="2:10" x14ac:dyDescent="0.25">
      <c r="B219" t="s">
        <v>229</v>
      </c>
      <c r="F219" s="84">
        <f ca="1">J161</f>
        <v>45.029153291662851</v>
      </c>
      <c r="G219" s="84">
        <v>45.029158738719048</v>
      </c>
      <c r="H219" s="84">
        <v>45.029158738719048</v>
      </c>
      <c r="I219" s="84">
        <v>45.029158738719048</v>
      </c>
      <c r="J219" s="84">
        <v>45.029158738719048</v>
      </c>
    </row>
    <row r="220" spans="2:10" x14ac:dyDescent="0.25">
      <c r="B220" t="s">
        <v>230</v>
      </c>
      <c r="F220" s="84">
        <f ca="1">J169</f>
        <v>503.13898130671612</v>
      </c>
      <c r="G220" s="84">
        <v>503.13900000000012</v>
      </c>
      <c r="H220" s="84">
        <v>503.13900000000012</v>
      </c>
      <c r="I220" s="84">
        <v>503.13900000000012</v>
      </c>
      <c r="J220" s="84">
        <v>503.13900000000012</v>
      </c>
    </row>
    <row r="221" spans="2:10" x14ac:dyDescent="0.25">
      <c r="B221" t="s">
        <v>231</v>
      </c>
      <c r="F221" s="84">
        <f>J176</f>
        <v>1632.9950000000003</v>
      </c>
      <c r="G221" s="84">
        <v>1632.9950000000003</v>
      </c>
      <c r="H221" s="84">
        <v>1632.9950000000003</v>
      </c>
      <c r="I221" s="84">
        <v>1632.9950000000003</v>
      </c>
      <c r="J221" s="84">
        <v>1632.9950000000003</v>
      </c>
    </row>
    <row r="222" spans="2:10" x14ac:dyDescent="0.25">
      <c r="B222" t="s">
        <v>232</v>
      </c>
      <c r="F222" s="91">
        <f>J183</f>
        <v>0</v>
      </c>
      <c r="G222" s="84">
        <v>0</v>
      </c>
      <c r="H222" s="84">
        <v>0</v>
      </c>
      <c r="I222" s="84">
        <v>0</v>
      </c>
      <c r="J222" s="84">
        <v>0</v>
      </c>
    </row>
    <row r="223" spans="2:10" x14ac:dyDescent="0.25">
      <c r="B223" t="s">
        <v>233</v>
      </c>
      <c r="F223" s="91">
        <f>J189</f>
        <v>0</v>
      </c>
      <c r="G223" s="84">
        <v>0</v>
      </c>
      <c r="H223" s="84">
        <v>0</v>
      </c>
      <c r="I223" s="84">
        <v>0</v>
      </c>
      <c r="J223" s="84">
        <v>0</v>
      </c>
    </row>
    <row r="224" spans="2:10" x14ac:dyDescent="0.25">
      <c r="B224" t="s">
        <v>234</v>
      </c>
      <c r="F224" s="84">
        <f ca="1">-J140</f>
        <v>-180.00005689891225</v>
      </c>
      <c r="G224" s="84">
        <v>-180</v>
      </c>
      <c r="H224" s="84">
        <v>-180</v>
      </c>
      <c r="I224" s="84">
        <v>-180</v>
      </c>
      <c r="J224" s="84">
        <v>-180</v>
      </c>
    </row>
    <row r="225" spans="2:10" s="1" customFormat="1" x14ac:dyDescent="0.25">
      <c r="B225" s="1" t="s">
        <v>235</v>
      </c>
      <c r="C225" s="99" t="s">
        <v>238</v>
      </c>
      <c r="D225" s="100" t="s">
        <v>239</v>
      </c>
      <c r="E225" s="101" t="s">
        <v>240</v>
      </c>
      <c r="F225" s="85">
        <f ca="1">F216-SUM(F218:F224)</f>
        <v>7241.594106171472</v>
      </c>
      <c r="G225" s="85">
        <f t="shared" ref="G225:J225" si="110">G216-SUM(G218:G224)</f>
        <v>7874.6595856713247</v>
      </c>
      <c r="H225" s="85">
        <f t="shared" si="110"/>
        <v>8507.7251462104323</v>
      </c>
      <c r="I225" s="85">
        <f t="shared" si="110"/>
        <v>9140.790706749538</v>
      </c>
      <c r="J225" s="85">
        <f t="shared" si="110"/>
        <v>9773.8562672886437</v>
      </c>
    </row>
    <row r="226" spans="2:10" x14ac:dyDescent="0.25">
      <c r="B226" t="s">
        <v>73</v>
      </c>
      <c r="C226" s="107">
        <f>D35</f>
        <v>2267.7645650000013</v>
      </c>
      <c r="D226" s="106">
        <f>C226/SUM($D$34:$D$35)</f>
        <v>1</v>
      </c>
      <c r="E226" s="104">
        <f>(1-$E$228-$E$229)*(D226/SUM($D$226,$D$227))</f>
        <v>1</v>
      </c>
      <c r="F226" s="84">
        <f ca="1">F$225*$E226</f>
        <v>7241.594106171472</v>
      </c>
      <c r="G226" s="84">
        <f t="shared" ref="G226:J229" si="111">G$225*$E226</f>
        <v>7874.6595856713247</v>
      </c>
      <c r="H226" s="84">
        <f t="shared" si="111"/>
        <v>8507.7251462104323</v>
      </c>
      <c r="I226" s="84">
        <f t="shared" si="111"/>
        <v>9140.790706749538</v>
      </c>
      <c r="J226" s="84">
        <f t="shared" si="111"/>
        <v>9773.8562672886437</v>
      </c>
    </row>
    <row r="227" spans="2:10" x14ac:dyDescent="0.25">
      <c r="B227" t="s">
        <v>236</v>
      </c>
      <c r="C227" s="107">
        <f>D34</f>
        <v>0</v>
      </c>
      <c r="D227" s="106">
        <f>C227/SUM($D$34:$D$35)</f>
        <v>0</v>
      </c>
      <c r="E227" s="104">
        <f>(1-$E$228-$E$229)*(D227/SUM($D$226,$D$227))</f>
        <v>0</v>
      </c>
      <c r="F227" s="84">
        <f t="shared" ref="F227:F229" ca="1" si="112">F$225*$E227</f>
        <v>0</v>
      </c>
      <c r="G227" s="84">
        <f t="shared" si="111"/>
        <v>0</v>
      </c>
      <c r="H227" s="84">
        <f t="shared" si="111"/>
        <v>0</v>
      </c>
      <c r="I227" s="84">
        <f t="shared" si="111"/>
        <v>0</v>
      </c>
      <c r="J227" s="84">
        <f t="shared" si="111"/>
        <v>0</v>
      </c>
    </row>
    <row r="228" spans="2:10" x14ac:dyDescent="0.25">
      <c r="B228" t="s">
        <v>75</v>
      </c>
      <c r="C228" s="102"/>
      <c r="D228" s="103"/>
      <c r="E228" s="108">
        <v>0</v>
      </c>
      <c r="F228" s="84">
        <f t="shared" ca="1" si="112"/>
        <v>0</v>
      </c>
      <c r="G228" s="84">
        <f t="shared" si="111"/>
        <v>0</v>
      </c>
      <c r="H228" s="84">
        <f t="shared" si="111"/>
        <v>0</v>
      </c>
      <c r="I228" s="84">
        <f t="shared" si="111"/>
        <v>0</v>
      </c>
      <c r="J228" s="84">
        <f t="shared" si="111"/>
        <v>0</v>
      </c>
    </row>
    <row r="229" spans="2:10" x14ac:dyDescent="0.25">
      <c r="B229" t="s">
        <v>237</v>
      </c>
      <c r="C229" s="105"/>
      <c r="D229" s="5"/>
      <c r="E229" s="109">
        <v>0</v>
      </c>
      <c r="F229" s="84">
        <f t="shared" ca="1" si="112"/>
        <v>0</v>
      </c>
      <c r="G229" s="84">
        <f t="shared" si="111"/>
        <v>0</v>
      </c>
      <c r="H229" s="84">
        <f t="shared" si="111"/>
        <v>0</v>
      </c>
      <c r="I229" s="84">
        <f t="shared" si="111"/>
        <v>0</v>
      </c>
      <c r="J229" s="84">
        <f t="shared" si="111"/>
        <v>0</v>
      </c>
    </row>
    <row r="231" spans="2:10" x14ac:dyDescent="0.25">
      <c r="B231" s="4" t="s">
        <v>241</v>
      </c>
      <c r="C231" s="5"/>
      <c r="D231" s="5"/>
      <c r="E231" s="5"/>
      <c r="F231" s="5"/>
      <c r="G231" s="5"/>
      <c r="H231" s="5"/>
      <c r="I231" s="5"/>
      <c r="J231" s="5"/>
    </row>
    <row r="232" spans="2:10" x14ac:dyDescent="0.25">
      <c r="C232" s="110" t="s">
        <v>242</v>
      </c>
      <c r="D232" s="110" t="s">
        <v>243</v>
      </c>
      <c r="E232" s="110" t="s">
        <v>244</v>
      </c>
      <c r="F232" s="110" t="s">
        <v>101</v>
      </c>
      <c r="G232" s="110" t="s">
        <v>102</v>
      </c>
      <c r="H232" s="110" t="s">
        <v>103</v>
      </c>
      <c r="I232" s="110" t="s">
        <v>104</v>
      </c>
      <c r="J232" s="110" t="s">
        <v>105</v>
      </c>
    </row>
    <row r="233" spans="2:10" x14ac:dyDescent="0.25">
      <c r="B233" t="s">
        <v>162</v>
      </c>
      <c r="C233" s="116" t="str">
        <f ca="1">IFERROR(SUM(F233:J233)/-E233,"NM")</f>
        <v>NM</v>
      </c>
      <c r="D233" s="114" t="str">
        <f ca="1">IFERROR(IRR(E233:J233),"NM")</f>
        <v>NM</v>
      </c>
      <c r="E233" s="84">
        <f>-D28</f>
        <v>0</v>
      </c>
      <c r="F233" s="9">
        <f ca="1">-F152+F203</f>
        <v>0</v>
      </c>
      <c r="G233" s="9">
        <f t="shared" ref="G233:J233" ca="1" si="113">-G152+G203</f>
        <v>0</v>
      </c>
      <c r="H233" s="9">
        <f t="shared" ca="1" si="113"/>
        <v>0</v>
      </c>
      <c r="I233" s="9">
        <f t="shared" ca="1" si="113"/>
        <v>0</v>
      </c>
      <c r="J233" s="112">
        <f ca="1">-J152+J203+J153</f>
        <v>0</v>
      </c>
    </row>
    <row r="234" spans="2:10" x14ac:dyDescent="0.25">
      <c r="B234" t="s">
        <v>183</v>
      </c>
      <c r="C234" s="116">
        <f ca="1">SUM(F234:J234)/-E234</f>
        <v>1.1521886989819639</v>
      </c>
      <c r="D234" s="114">
        <f ca="1">IRR(E234:J234)</f>
        <v>4.5027610639191806E-2</v>
      </c>
      <c r="E234" s="84">
        <f>-D29</f>
        <v>-2886.4290000000005</v>
      </c>
      <c r="F234" s="84">
        <f ca="1">F159+F160+F204</f>
        <v>471.10254410721507</v>
      </c>
      <c r="G234" s="84">
        <f t="shared" ref="G234:J234" ca="1" si="114">G159+G160+G204</f>
        <v>604.02050601076166</v>
      </c>
      <c r="H234" s="84">
        <f t="shared" ca="1" si="114"/>
        <v>682.33117673055688</v>
      </c>
      <c r="I234" s="84">
        <f t="shared" ca="1" si="114"/>
        <v>730.03823304580305</v>
      </c>
      <c r="J234" s="113">
        <f ca="1">J159+J160+J204+J161</f>
        <v>838.21841399725997</v>
      </c>
    </row>
    <row r="235" spans="2:10" x14ac:dyDescent="0.25">
      <c r="B235" t="s">
        <v>191</v>
      </c>
      <c r="C235" s="116">
        <f ca="1">SUM(F235:J235)/-E235</f>
        <v>1.2315750011125504</v>
      </c>
      <c r="D235" s="114">
        <f ca="1">IRR(E235:J235)</f>
        <v>5.1043495495999069E-2</v>
      </c>
      <c r="E235" s="84">
        <f>-D30</f>
        <v>-670.85200000000009</v>
      </c>
      <c r="F235" s="84">
        <f ca="1">F167+F168+F205</f>
        <v>62.910823430000008</v>
      </c>
      <c r="G235" s="84">
        <f t="shared" ref="G235:J235" ca="1" si="115">G167+G168+G205</f>
        <v>63.514590230000124</v>
      </c>
      <c r="H235" s="84">
        <f t="shared" ca="1" si="115"/>
        <v>64.946859250147966</v>
      </c>
      <c r="I235" s="84">
        <f t="shared" ca="1" si="115"/>
        <v>65.864249429636828</v>
      </c>
      <c r="J235" s="113">
        <f ca="1">J167+J168+J205+J169</f>
        <v>568.9680292380001</v>
      </c>
    </row>
    <row r="236" spans="2:10" x14ac:dyDescent="0.25">
      <c r="B236" t="s">
        <v>245</v>
      </c>
      <c r="C236" s="116">
        <f>SUM(F236:J236)/-E236</f>
        <v>1.4062500000000002</v>
      </c>
      <c r="D236" s="114">
        <f>IRR(E236:J236)</f>
        <v>8.1249999999138733E-2</v>
      </c>
      <c r="E236" s="84">
        <f>-D31</f>
        <v>-1632.9950000000003</v>
      </c>
      <c r="F236" s="84">
        <f>F175+F206</f>
        <v>132.68084375000004</v>
      </c>
      <c r="G236" s="84">
        <f t="shared" ref="G236:J236" si="116">G175+G206</f>
        <v>132.68084375000004</v>
      </c>
      <c r="H236" s="84">
        <f t="shared" si="116"/>
        <v>132.68084375000004</v>
      </c>
      <c r="I236" s="84">
        <f t="shared" si="116"/>
        <v>132.68084375000004</v>
      </c>
      <c r="J236" s="113">
        <f>J175+J206+J176</f>
        <v>1765.6758437500005</v>
      </c>
    </row>
    <row r="237" spans="2:10" x14ac:dyDescent="0.25">
      <c r="B237" s="16" t="s">
        <v>246</v>
      </c>
    </row>
    <row r="238" spans="2:10" x14ac:dyDescent="0.25">
      <c r="B238" s="111">
        <f>$F$214</f>
        <v>7.3</v>
      </c>
      <c r="C238" s="116" t="str">
        <f ca="1">IFERROR(SUM(F238:J238)/-E238,"NM")</f>
        <v>NM</v>
      </c>
      <c r="D238" s="114" t="str">
        <f ca="1">IFERROR(IRR(E238:J238),"NM")</f>
        <v>NM</v>
      </c>
      <c r="E238" s="84">
        <f>-$D$32</f>
        <v>0</v>
      </c>
      <c r="F238" s="84">
        <f>F207+F181</f>
        <v>0</v>
      </c>
      <c r="G238" s="84">
        <f t="shared" ref="G238:I238" si="117">G207+G181</f>
        <v>0</v>
      </c>
      <c r="H238" s="84">
        <f t="shared" si="117"/>
        <v>0</v>
      </c>
      <c r="I238" s="84">
        <f t="shared" si="117"/>
        <v>0</v>
      </c>
      <c r="J238" s="113">
        <f ca="1">J207+J181+J183+F229</f>
        <v>0</v>
      </c>
    </row>
    <row r="239" spans="2:10" x14ac:dyDescent="0.25">
      <c r="B239" s="111">
        <f>$G$214</f>
        <v>7.8</v>
      </c>
      <c r="C239" s="116" t="str">
        <f t="shared" ref="C239:C242" si="118">IFERROR(SUM(F239:J239)/-E239,"NM")</f>
        <v>NM</v>
      </c>
      <c r="D239" s="114" t="str">
        <f t="shared" ref="D239:D242" si="119">IFERROR(IRR(E239:J239),"NM")</f>
        <v>NM</v>
      </c>
      <c r="E239" s="84">
        <f t="shared" ref="E239:E242" si="120">-$D$32</f>
        <v>0</v>
      </c>
      <c r="F239" s="84">
        <f>F207+F181</f>
        <v>0</v>
      </c>
      <c r="G239" s="84">
        <f t="shared" ref="G239:I239" si="121">G207+G181</f>
        <v>0</v>
      </c>
      <c r="H239" s="84">
        <f t="shared" si="121"/>
        <v>0</v>
      </c>
      <c r="I239" s="84">
        <f t="shared" si="121"/>
        <v>0</v>
      </c>
      <c r="J239" s="113">
        <f>J207+J181+J183+G229</f>
        <v>0</v>
      </c>
    </row>
    <row r="240" spans="2:10" x14ac:dyDescent="0.25">
      <c r="B240" s="111">
        <f>$H$214</f>
        <v>8.3000000000000007</v>
      </c>
      <c r="C240" s="116" t="str">
        <f t="shared" si="118"/>
        <v>NM</v>
      </c>
      <c r="D240" s="114" t="str">
        <f t="shared" si="119"/>
        <v>NM</v>
      </c>
      <c r="E240" s="84">
        <f t="shared" si="120"/>
        <v>0</v>
      </c>
      <c r="F240" s="84">
        <f>F207+F181</f>
        <v>0</v>
      </c>
      <c r="G240" s="84">
        <f t="shared" ref="G240:I240" si="122">G207+G181</f>
        <v>0</v>
      </c>
      <c r="H240" s="84">
        <f t="shared" si="122"/>
        <v>0</v>
      </c>
      <c r="I240" s="84">
        <f t="shared" si="122"/>
        <v>0</v>
      </c>
      <c r="J240" s="113">
        <f>J207+J181+J183+H229</f>
        <v>0</v>
      </c>
    </row>
    <row r="241" spans="2:10" x14ac:dyDescent="0.25">
      <c r="B241" s="111">
        <f>$I$214</f>
        <v>8.8000000000000007</v>
      </c>
      <c r="C241" s="116" t="str">
        <f t="shared" si="118"/>
        <v>NM</v>
      </c>
      <c r="D241" s="114" t="str">
        <f t="shared" si="119"/>
        <v>NM</v>
      </c>
      <c r="E241" s="84">
        <f t="shared" si="120"/>
        <v>0</v>
      </c>
      <c r="F241" s="84">
        <f>F207+F181</f>
        <v>0</v>
      </c>
      <c r="G241" s="84">
        <f t="shared" ref="G241:I241" si="123">G207+G181</f>
        <v>0</v>
      </c>
      <c r="H241" s="84">
        <f t="shared" si="123"/>
        <v>0</v>
      </c>
      <c r="I241" s="84">
        <f t="shared" si="123"/>
        <v>0</v>
      </c>
      <c r="J241" s="113">
        <f>J207+J181+J183+I229</f>
        <v>0</v>
      </c>
    </row>
    <row r="242" spans="2:10" x14ac:dyDescent="0.25">
      <c r="B242" s="111">
        <f>$J$214</f>
        <v>9.3000000000000007</v>
      </c>
      <c r="C242" s="116" t="str">
        <f t="shared" si="118"/>
        <v>NM</v>
      </c>
      <c r="D242" s="114" t="str">
        <f t="shared" si="119"/>
        <v>NM</v>
      </c>
      <c r="E242" s="84">
        <f t="shared" si="120"/>
        <v>0</v>
      </c>
      <c r="F242" s="84">
        <f>F207+F181</f>
        <v>0</v>
      </c>
      <c r="G242" s="84">
        <f t="shared" ref="G242:I242" si="124">G207+G181</f>
        <v>0</v>
      </c>
      <c r="H242" s="84">
        <f t="shared" si="124"/>
        <v>0</v>
      </c>
      <c r="I242" s="84">
        <f t="shared" si="124"/>
        <v>0</v>
      </c>
      <c r="J242" s="113">
        <f>J207+J181+J183+J229</f>
        <v>0</v>
      </c>
    </row>
    <row r="243" spans="2:10" x14ac:dyDescent="0.25">
      <c r="B243" s="16" t="s">
        <v>247</v>
      </c>
      <c r="J243" s="117"/>
    </row>
    <row r="244" spans="2:10" x14ac:dyDescent="0.25">
      <c r="B244" s="111">
        <f>$F$214</f>
        <v>7.3</v>
      </c>
      <c r="C244" s="116" t="str">
        <f ca="1">IFERROR(SUM(F244:J244)/-E244,"NM")</f>
        <v>NM</v>
      </c>
      <c r="D244" s="114" t="str">
        <f ca="1">IFERROR(IRR(E244:J244),"NM")</f>
        <v>NM</v>
      </c>
      <c r="E244" s="84">
        <f>-D33</f>
        <v>0</v>
      </c>
      <c r="F244" s="84">
        <f>F190</f>
        <v>0</v>
      </c>
      <c r="G244" s="84">
        <f t="shared" ref="G244:I244" si="125">G190</f>
        <v>0</v>
      </c>
      <c r="H244" s="84">
        <f t="shared" si="125"/>
        <v>0</v>
      </c>
      <c r="I244" s="84">
        <f t="shared" si="125"/>
        <v>0</v>
      </c>
      <c r="J244" s="118">
        <f ca="1">J189+J190+F228</f>
        <v>0</v>
      </c>
    </row>
    <row r="245" spans="2:10" x14ac:dyDescent="0.25">
      <c r="B245" s="111">
        <f>$G$214</f>
        <v>7.8</v>
      </c>
      <c r="C245" s="116" t="str">
        <f t="shared" ref="C245:C248" si="126">IFERROR(SUM(F245:J245)/-E245,"NM")</f>
        <v>NM</v>
      </c>
      <c r="D245" s="114" t="str">
        <f t="shared" ref="D245:D247" si="127">IFERROR(IRR(E245:J245),"NM")</f>
        <v>NM</v>
      </c>
      <c r="E245" s="84">
        <f>-D33</f>
        <v>0</v>
      </c>
      <c r="F245" s="84">
        <f>F190</f>
        <v>0</v>
      </c>
      <c r="G245" s="84">
        <f t="shared" ref="G245:I245" si="128">G190</f>
        <v>0</v>
      </c>
      <c r="H245" s="84">
        <f t="shared" si="128"/>
        <v>0</v>
      </c>
      <c r="I245" s="84">
        <f t="shared" si="128"/>
        <v>0</v>
      </c>
      <c r="J245" s="118">
        <f>J189+J190+G228</f>
        <v>0</v>
      </c>
    </row>
    <row r="246" spans="2:10" x14ac:dyDescent="0.25">
      <c r="B246" s="111">
        <f>$H$214</f>
        <v>8.3000000000000007</v>
      </c>
      <c r="C246" s="116" t="str">
        <f t="shared" si="126"/>
        <v>NM</v>
      </c>
      <c r="D246" s="114" t="str">
        <f t="shared" si="127"/>
        <v>NM</v>
      </c>
      <c r="E246" s="84">
        <f>-D33</f>
        <v>0</v>
      </c>
      <c r="F246" s="84">
        <f>F190</f>
        <v>0</v>
      </c>
      <c r="G246" s="84">
        <f t="shared" ref="G246:I246" si="129">G190</f>
        <v>0</v>
      </c>
      <c r="H246" s="84">
        <f t="shared" si="129"/>
        <v>0</v>
      </c>
      <c r="I246" s="84">
        <f t="shared" si="129"/>
        <v>0</v>
      </c>
      <c r="J246" s="118">
        <f>J189+J190+H228</f>
        <v>0</v>
      </c>
    </row>
    <row r="247" spans="2:10" x14ac:dyDescent="0.25">
      <c r="B247" s="111">
        <f>$I$214</f>
        <v>8.8000000000000007</v>
      </c>
      <c r="C247" s="116" t="str">
        <f t="shared" si="126"/>
        <v>NM</v>
      </c>
      <c r="D247" s="114" t="str">
        <f t="shared" si="127"/>
        <v>NM</v>
      </c>
      <c r="E247" s="84">
        <f>-D33</f>
        <v>0</v>
      </c>
      <c r="F247" s="84">
        <f>F190</f>
        <v>0</v>
      </c>
      <c r="G247" s="84">
        <f t="shared" ref="G247:I247" si="130">G190</f>
        <v>0</v>
      </c>
      <c r="H247" s="84">
        <f t="shared" si="130"/>
        <v>0</v>
      </c>
      <c r="I247" s="84">
        <f t="shared" si="130"/>
        <v>0</v>
      </c>
      <c r="J247" s="118">
        <f>J189+J190+I228</f>
        <v>0</v>
      </c>
    </row>
    <row r="248" spans="2:10" x14ac:dyDescent="0.25">
      <c r="B248" s="111">
        <f>$J$214</f>
        <v>9.3000000000000007</v>
      </c>
      <c r="C248" s="116" t="str">
        <f t="shared" si="126"/>
        <v>NM</v>
      </c>
      <c r="D248" s="114" t="str">
        <f>IFERROR(IRR(E248:J248),"NM")</f>
        <v>NM</v>
      </c>
      <c r="E248" s="84">
        <f>-D33</f>
        <v>0</v>
      </c>
      <c r="F248" s="84">
        <f>F190</f>
        <v>0</v>
      </c>
      <c r="G248" s="84">
        <f t="shared" ref="G248:I248" si="131">G190</f>
        <v>0</v>
      </c>
      <c r="H248" s="84">
        <f t="shared" si="131"/>
        <v>0</v>
      </c>
      <c r="I248" s="84">
        <f t="shared" si="131"/>
        <v>0</v>
      </c>
      <c r="J248" s="118">
        <f>J189+J190+J228</f>
        <v>0</v>
      </c>
    </row>
    <row r="249" spans="2:10" x14ac:dyDescent="0.25">
      <c r="B249" s="16" t="s">
        <v>248</v>
      </c>
    </row>
    <row r="250" spans="2:10" x14ac:dyDescent="0.25">
      <c r="B250" s="111">
        <f>$F$214</f>
        <v>7.3</v>
      </c>
      <c r="C250" s="116" t="str">
        <f ca="1">IFERROR(SUM(F250:J250)/-E250,"NM")</f>
        <v>NM</v>
      </c>
      <c r="D250" s="114" t="str">
        <f ca="1">IFERROR(IRR(E250:J250),"NM")</f>
        <v>NM</v>
      </c>
      <c r="E250" s="84">
        <f>-$D$34</f>
        <v>0</v>
      </c>
      <c r="F250" s="119">
        <v>0</v>
      </c>
      <c r="G250" s="119">
        <v>0</v>
      </c>
      <c r="H250" s="119">
        <v>0</v>
      </c>
      <c r="I250" s="119">
        <v>0</v>
      </c>
      <c r="J250" s="113">
        <f ca="1">F227</f>
        <v>0</v>
      </c>
    </row>
    <row r="251" spans="2:10" x14ac:dyDescent="0.25">
      <c r="B251" s="111">
        <f>$G$214</f>
        <v>7.8</v>
      </c>
      <c r="C251" s="116" t="str">
        <f t="shared" ref="C251:C254" si="132">IFERROR(SUM(F251:J251)/-E251,"NM")</f>
        <v>NM</v>
      </c>
      <c r="D251" s="114" t="str">
        <f t="shared" ref="D251:D254" si="133">IFERROR(IRR(E251:J251),"NM")</f>
        <v>NM</v>
      </c>
      <c r="E251" s="84">
        <f t="shared" ref="E251:E254" si="134">-$D$34</f>
        <v>0</v>
      </c>
      <c r="F251" s="84">
        <f>F250</f>
        <v>0</v>
      </c>
      <c r="G251" s="84">
        <f t="shared" ref="G251:I254" si="135">G250</f>
        <v>0</v>
      </c>
      <c r="H251" s="84">
        <f t="shared" si="135"/>
        <v>0</v>
      </c>
      <c r="I251" s="84">
        <f t="shared" si="135"/>
        <v>0</v>
      </c>
      <c r="J251" s="113">
        <f>G227</f>
        <v>0</v>
      </c>
    </row>
    <row r="252" spans="2:10" x14ac:dyDescent="0.25">
      <c r="B252" s="111">
        <f>$H$214</f>
        <v>8.3000000000000007</v>
      </c>
      <c r="C252" s="116" t="str">
        <f t="shared" si="132"/>
        <v>NM</v>
      </c>
      <c r="D252" s="114" t="str">
        <f t="shared" si="133"/>
        <v>NM</v>
      </c>
      <c r="E252" s="84">
        <f t="shared" si="134"/>
        <v>0</v>
      </c>
      <c r="F252" s="84">
        <f>F251</f>
        <v>0</v>
      </c>
      <c r="G252" s="84">
        <f t="shared" si="135"/>
        <v>0</v>
      </c>
      <c r="H252" s="84">
        <f t="shared" si="135"/>
        <v>0</v>
      </c>
      <c r="I252" s="84">
        <f t="shared" si="135"/>
        <v>0</v>
      </c>
      <c r="J252" s="113">
        <f>H227</f>
        <v>0</v>
      </c>
    </row>
    <row r="253" spans="2:10" x14ac:dyDescent="0.25">
      <c r="B253" s="111">
        <f>$I$214</f>
        <v>8.8000000000000007</v>
      </c>
      <c r="C253" s="116" t="str">
        <f t="shared" si="132"/>
        <v>NM</v>
      </c>
      <c r="D253" s="114" t="str">
        <f t="shared" si="133"/>
        <v>NM</v>
      </c>
      <c r="E253" s="84">
        <f t="shared" si="134"/>
        <v>0</v>
      </c>
      <c r="F253" s="84">
        <f>F252</f>
        <v>0</v>
      </c>
      <c r="G253" s="84">
        <f t="shared" si="135"/>
        <v>0</v>
      </c>
      <c r="H253" s="84">
        <f t="shared" si="135"/>
        <v>0</v>
      </c>
      <c r="I253" s="84">
        <f t="shared" si="135"/>
        <v>0</v>
      </c>
      <c r="J253" s="113">
        <f>I227</f>
        <v>0</v>
      </c>
    </row>
    <row r="254" spans="2:10" x14ac:dyDescent="0.25">
      <c r="B254" s="111">
        <f>$J$214</f>
        <v>9.3000000000000007</v>
      </c>
      <c r="C254" s="116" t="str">
        <f t="shared" si="132"/>
        <v>NM</v>
      </c>
      <c r="D254" s="114" t="str">
        <f t="shared" si="133"/>
        <v>NM</v>
      </c>
      <c r="E254" s="84">
        <f t="shared" si="134"/>
        <v>0</v>
      </c>
      <c r="F254" s="84">
        <f>F253</f>
        <v>0</v>
      </c>
      <c r="G254" s="84">
        <f t="shared" si="135"/>
        <v>0</v>
      </c>
      <c r="H254" s="84">
        <f t="shared" si="135"/>
        <v>0</v>
      </c>
      <c r="I254" s="84">
        <f t="shared" si="135"/>
        <v>0</v>
      </c>
      <c r="J254" s="113">
        <f>J227</f>
        <v>0</v>
      </c>
    </row>
    <row r="255" spans="2:10" x14ac:dyDescent="0.25">
      <c r="B255" s="16" t="s">
        <v>249</v>
      </c>
    </row>
    <row r="256" spans="2:10" x14ac:dyDescent="0.25">
      <c r="B256" s="111">
        <f>$F$214</f>
        <v>7.3</v>
      </c>
      <c r="C256" s="116">
        <f ca="1">IFERROR(SUM(F256:J256)/-E256,"NM")</f>
        <v>3.1932740907419648</v>
      </c>
      <c r="D256" s="114">
        <f ca="1">IFERROR(IRR(E256:J256),"NM")</f>
        <v>0.2613837721795067</v>
      </c>
      <c r="E256" s="84">
        <f>-$D$35</f>
        <v>-2267.7645650000013</v>
      </c>
      <c r="F256" s="119">
        <v>0</v>
      </c>
      <c r="G256" s="119">
        <v>0</v>
      </c>
      <c r="H256" s="119">
        <v>0</v>
      </c>
      <c r="I256" s="119">
        <v>0</v>
      </c>
      <c r="J256" s="113">
        <f ca="1">F226</f>
        <v>7241.594106171472</v>
      </c>
    </row>
    <row r="257" spans="2:10" x14ac:dyDescent="0.25">
      <c r="B257" s="111">
        <f>$G$214</f>
        <v>7.8</v>
      </c>
      <c r="C257" s="116">
        <f t="shared" ref="C257:C260" si="136">IFERROR(SUM(F257:J257)/-E257,"NM")</f>
        <v>3.4724325916395649</v>
      </c>
      <c r="D257" s="114">
        <f t="shared" ref="D257:D260" si="137">IFERROR(IRR(E257:J257),"NM")</f>
        <v>0.28270493244703365</v>
      </c>
      <c r="E257" s="84">
        <f t="shared" ref="E257:E260" si="138">-$D$35</f>
        <v>-2267.7645650000013</v>
      </c>
      <c r="F257" s="84">
        <f>F256</f>
        <v>0</v>
      </c>
      <c r="G257" s="84">
        <f t="shared" ref="G257:I260" si="139">G256</f>
        <v>0</v>
      </c>
      <c r="H257" s="84">
        <f t="shared" si="139"/>
        <v>0</v>
      </c>
      <c r="I257" s="84">
        <f t="shared" si="139"/>
        <v>0</v>
      </c>
      <c r="J257" s="113">
        <f>G226</f>
        <v>7874.6595856713247</v>
      </c>
    </row>
    <row r="258" spans="2:10" x14ac:dyDescent="0.25">
      <c r="B258" s="111">
        <f>$H$214</f>
        <v>8.3000000000000007</v>
      </c>
      <c r="C258" s="116">
        <f t="shared" si="136"/>
        <v>3.7515910061900217</v>
      </c>
      <c r="D258" s="114">
        <f t="shared" si="137"/>
        <v>0.30269605274009304</v>
      </c>
      <c r="E258" s="84">
        <f t="shared" si="138"/>
        <v>-2267.7645650000013</v>
      </c>
      <c r="F258" s="84">
        <f>F257</f>
        <v>0</v>
      </c>
      <c r="G258" s="84">
        <f t="shared" si="139"/>
        <v>0</v>
      </c>
      <c r="H258" s="84">
        <f t="shared" si="139"/>
        <v>0</v>
      </c>
      <c r="I258" s="84">
        <f t="shared" si="139"/>
        <v>0</v>
      </c>
      <c r="J258" s="113">
        <f>H226</f>
        <v>8507.7251462104323</v>
      </c>
    </row>
    <row r="259" spans="2:10" x14ac:dyDescent="0.25">
      <c r="B259" s="111">
        <f>$I$214</f>
        <v>8.8000000000000007</v>
      </c>
      <c r="C259" s="116">
        <f t="shared" si="136"/>
        <v>4.0307494207404782</v>
      </c>
      <c r="D259" s="114">
        <f t="shared" si="137"/>
        <v>0.32153040643686559</v>
      </c>
      <c r="E259" s="84">
        <f t="shared" si="138"/>
        <v>-2267.7645650000013</v>
      </c>
      <c r="F259" s="84">
        <f>F258</f>
        <v>0</v>
      </c>
      <c r="G259" s="84">
        <f t="shared" si="139"/>
        <v>0</v>
      </c>
      <c r="H259" s="84">
        <f t="shared" si="139"/>
        <v>0</v>
      </c>
      <c r="I259" s="84">
        <f t="shared" si="139"/>
        <v>0</v>
      </c>
      <c r="J259" s="113">
        <f>I226</f>
        <v>9140.790706749538</v>
      </c>
    </row>
    <row r="260" spans="2:10" x14ac:dyDescent="0.25">
      <c r="B260" s="111">
        <f>$J$214</f>
        <v>9.3000000000000007</v>
      </c>
      <c r="C260" s="116">
        <f t="shared" si="136"/>
        <v>4.309907835290935</v>
      </c>
      <c r="D260" s="114">
        <f t="shared" si="137"/>
        <v>0.33934850306768594</v>
      </c>
      <c r="E260" s="84">
        <f t="shared" si="138"/>
        <v>-2267.7645650000013</v>
      </c>
      <c r="F260" s="84">
        <f>F259</f>
        <v>0</v>
      </c>
      <c r="G260" s="84">
        <f t="shared" si="139"/>
        <v>0</v>
      </c>
      <c r="H260" s="84">
        <f t="shared" si="139"/>
        <v>0</v>
      </c>
      <c r="I260" s="84">
        <f t="shared" si="139"/>
        <v>0</v>
      </c>
      <c r="J260" s="113">
        <f>J226</f>
        <v>9773.8562672886437</v>
      </c>
    </row>
    <row r="262" spans="2:10" x14ac:dyDescent="0.25">
      <c r="B262" s="4" t="s">
        <v>250</v>
      </c>
      <c r="C262" s="5"/>
      <c r="D262" s="5"/>
      <c r="E262" s="5"/>
      <c r="F262" s="5"/>
      <c r="G262" s="5"/>
      <c r="H262" s="5"/>
      <c r="I262" s="5"/>
      <c r="J262" s="5"/>
    </row>
    <row r="263" spans="2:10" x14ac:dyDescent="0.25">
      <c r="F263" s="120" t="s">
        <v>256</v>
      </c>
      <c r="G263" s="120" t="s">
        <v>257</v>
      </c>
      <c r="H263" s="120" t="s">
        <v>258</v>
      </c>
      <c r="I263" s="120" t="s">
        <v>259</v>
      </c>
      <c r="J263" s="120" t="s">
        <v>260</v>
      </c>
    </row>
    <row r="264" spans="2:10" x14ac:dyDescent="0.25">
      <c r="B264" t="s">
        <v>162</v>
      </c>
      <c r="F264">
        <f>D28</f>
        <v>0</v>
      </c>
      <c r="G264" s="62">
        <f>F264/(SUM($F$264:$F$271))</f>
        <v>0</v>
      </c>
      <c r="I264" s="116" t="str">
        <f ca="1">C233</f>
        <v>NM</v>
      </c>
      <c r="J264" s="114" t="str">
        <f ca="1">D233</f>
        <v>NM</v>
      </c>
    </row>
    <row r="265" spans="2:10" x14ac:dyDescent="0.25">
      <c r="B265" t="s">
        <v>183</v>
      </c>
      <c r="F265">
        <f>D29</f>
        <v>2886.4290000000005</v>
      </c>
      <c r="G265" s="62">
        <f t="shared" ref="G265:G271" si="140">F265/(SUM($F$264:$F$271))</f>
        <v>0.38702243234580735</v>
      </c>
      <c r="I265" s="116">
        <f ca="1">C234</f>
        <v>1.1521886989819639</v>
      </c>
      <c r="J265" s="114">
        <f ca="1">D234</f>
        <v>4.5027610639191806E-2</v>
      </c>
    </row>
    <row r="266" spans="2:10" x14ac:dyDescent="0.25">
      <c r="B266" t="s">
        <v>191</v>
      </c>
      <c r="F266">
        <f>D30</f>
        <v>670.85200000000009</v>
      </c>
      <c r="G266" s="62">
        <f t="shared" si="140"/>
        <v>8.9950167762328309E-2</v>
      </c>
      <c r="I266" s="116">
        <f ca="1">C235</f>
        <v>1.2315750011125504</v>
      </c>
      <c r="J266" s="114">
        <f ca="1">D235</f>
        <v>5.1043495495999069E-2</v>
      </c>
    </row>
    <row r="267" spans="2:10" x14ac:dyDescent="0.25">
      <c r="B267" t="s">
        <v>194</v>
      </c>
      <c r="F267">
        <f>D31</f>
        <v>1632.9950000000003</v>
      </c>
      <c r="G267" s="62">
        <f t="shared" si="140"/>
        <v>0.21895764521093078</v>
      </c>
      <c r="I267" s="116">
        <f>C236</f>
        <v>1.4062500000000002</v>
      </c>
      <c r="J267" s="114">
        <f>D236</f>
        <v>8.1249999999138733E-2</v>
      </c>
    </row>
    <row r="268" spans="2:10" x14ac:dyDescent="0.25">
      <c r="B268" t="s">
        <v>251</v>
      </c>
      <c r="F268">
        <f>D32</f>
        <v>0</v>
      </c>
      <c r="G268" s="62">
        <f t="shared" si="140"/>
        <v>0</v>
      </c>
      <c r="H268" s="62">
        <f>E229</f>
        <v>0</v>
      </c>
      <c r="I268" s="116" t="str">
        <f>C240</f>
        <v>NM</v>
      </c>
      <c r="J268" s="114" t="str">
        <f>D240</f>
        <v>NM</v>
      </c>
    </row>
    <row r="269" spans="2:10" x14ac:dyDescent="0.25">
      <c r="B269" t="s">
        <v>252</v>
      </c>
      <c r="F269">
        <f>D33</f>
        <v>0</v>
      </c>
      <c r="G269" s="62">
        <f t="shared" si="140"/>
        <v>0</v>
      </c>
      <c r="H269" s="62">
        <f>E228</f>
        <v>0</v>
      </c>
      <c r="I269" s="116" t="str">
        <f>C246</f>
        <v>NM</v>
      </c>
      <c r="J269" s="114" t="str">
        <f>D246</f>
        <v>NM</v>
      </c>
    </row>
    <row r="270" spans="2:10" x14ac:dyDescent="0.25">
      <c r="B270" t="s">
        <v>253</v>
      </c>
      <c r="F270">
        <f>D34</f>
        <v>0</v>
      </c>
      <c r="G270" s="62">
        <f t="shared" si="140"/>
        <v>0</v>
      </c>
      <c r="H270" s="62">
        <f>E227</f>
        <v>0</v>
      </c>
      <c r="I270" s="116" t="str">
        <f>C252</f>
        <v>NM</v>
      </c>
      <c r="J270" s="114" t="str">
        <f>D252</f>
        <v>NM</v>
      </c>
    </row>
    <row r="271" spans="2:10" x14ac:dyDescent="0.25">
      <c r="B271" t="s">
        <v>254</v>
      </c>
      <c r="F271" s="6">
        <f>D35</f>
        <v>2267.7645650000013</v>
      </c>
      <c r="G271" s="62">
        <f t="shared" si="140"/>
        <v>0.30406975468093345</v>
      </c>
      <c r="H271" s="62">
        <f>E226</f>
        <v>1</v>
      </c>
      <c r="I271" s="116">
        <f>C258</f>
        <v>3.7515910061900217</v>
      </c>
      <c r="J271" s="114">
        <f>D258</f>
        <v>0.30269605274009304</v>
      </c>
    </row>
    <row r="272" spans="2:10" s="1" customFormat="1" x14ac:dyDescent="0.25">
      <c r="B272" s="1" t="s">
        <v>255</v>
      </c>
      <c r="F272" s="1">
        <f>SUM(F264:F271)</f>
        <v>7458.040565000003</v>
      </c>
      <c r="G272" s="1">
        <f t="shared" ref="G272:J272" si="141">SUM(G264:G271)</f>
        <v>0.99999999999999989</v>
      </c>
      <c r="H272" s="122">
        <f t="shared" si="141"/>
        <v>1</v>
      </c>
      <c r="I272" s="123"/>
    </row>
    <row r="274" spans="2:10" x14ac:dyDescent="0.25">
      <c r="B274" s="4" t="s">
        <v>261</v>
      </c>
      <c r="C274" s="5"/>
      <c r="D274" s="5"/>
      <c r="E274" s="5"/>
      <c r="F274" s="5"/>
      <c r="G274" s="5"/>
      <c r="H274" s="5"/>
      <c r="I274" s="5"/>
      <c r="J274" s="5"/>
    </row>
    <row r="276" spans="2:10" x14ac:dyDescent="0.25">
      <c r="C276" s="131" t="s">
        <v>265</v>
      </c>
      <c r="E276" s="132" t="s">
        <v>266</v>
      </c>
      <c r="F276" s="133"/>
      <c r="G276" s="133"/>
      <c r="H276" s="133"/>
      <c r="I276" s="133"/>
      <c r="J276" s="134"/>
    </row>
    <row r="277" spans="2:10" x14ac:dyDescent="0.25">
      <c r="B277" t="s">
        <v>262</v>
      </c>
      <c r="C277" s="125">
        <f>J271</f>
        <v>0.30269605274009304</v>
      </c>
      <c r="E277" s="139">
        <v>0.15</v>
      </c>
      <c r="F277" s="142">
        <f>E277+0.05</f>
        <v>0.2</v>
      </c>
      <c r="G277" s="142">
        <f t="shared" ref="G277:J277" si="142">F277+0.05</f>
        <v>0.25</v>
      </c>
      <c r="H277" s="142">
        <f t="shared" si="142"/>
        <v>0.3</v>
      </c>
      <c r="I277" s="142">
        <f t="shared" si="142"/>
        <v>0.35</v>
      </c>
      <c r="J277" s="142">
        <f t="shared" si="142"/>
        <v>0.39999999999999997</v>
      </c>
    </row>
    <row r="278" spans="2:10" x14ac:dyDescent="0.25">
      <c r="B278" t="s">
        <v>26</v>
      </c>
      <c r="C278" s="126">
        <f>I17</f>
        <v>7337.5700000000015</v>
      </c>
      <c r="E278" s="135">
        <f>-PV(E277,5,0,$H$226)+SUM($D$27:$D$34)-$D$21-$D$22</f>
        <v>9299.648448008069</v>
      </c>
      <c r="F278" s="135">
        <f t="shared" ref="F278:J278" si="143">-PV(F277,5,0,$H$226)+SUM($D$27:$D$34)-$D$21-$D$22</f>
        <v>8488.8693601424384</v>
      </c>
      <c r="G278" s="135">
        <f t="shared" si="143"/>
        <v>7857.6168109102355</v>
      </c>
      <c r="H278" s="135">
        <f t="shared" si="143"/>
        <v>7361.1831733927074</v>
      </c>
      <c r="I278" s="135">
        <f t="shared" si="143"/>
        <v>6967.1430139440536</v>
      </c>
      <c r="J278" s="140">
        <f t="shared" si="143"/>
        <v>6651.6844783692886</v>
      </c>
    </row>
    <row r="279" spans="2:10" x14ac:dyDescent="0.25">
      <c r="B279" t="s">
        <v>263</v>
      </c>
      <c r="C279" s="126">
        <f>I18</f>
        <v>145.79837837837837</v>
      </c>
      <c r="E279" s="143">
        <f>$C$279</f>
        <v>145.79837837837837</v>
      </c>
      <c r="F279" s="143">
        <f t="shared" ref="F279:J279" si="144">$C$279</f>
        <v>145.79837837837837</v>
      </c>
      <c r="G279" s="143">
        <f t="shared" si="144"/>
        <v>145.79837837837837</v>
      </c>
      <c r="H279" s="143">
        <f t="shared" si="144"/>
        <v>145.79837837837837</v>
      </c>
      <c r="I279" s="143">
        <f t="shared" si="144"/>
        <v>145.79837837837837</v>
      </c>
      <c r="J279" s="144">
        <f t="shared" si="144"/>
        <v>145.79837837837837</v>
      </c>
    </row>
    <row r="280" spans="2:10" x14ac:dyDescent="0.25">
      <c r="B280" t="s">
        <v>264</v>
      </c>
      <c r="C280" s="126">
        <f>I20</f>
        <v>50.326828608185323</v>
      </c>
      <c r="E280" s="135">
        <f>E278/E279</f>
        <v>63.784306461032557</v>
      </c>
      <c r="F280" s="135">
        <f t="shared" ref="F280:J280" si="145">F278/F279</f>
        <v>58.223345516998712</v>
      </c>
      <c r="G280" s="135">
        <f t="shared" si="145"/>
        <v>53.893718834910615</v>
      </c>
      <c r="H280" s="135">
        <f t="shared" si="145"/>
        <v>50.488786331277588</v>
      </c>
      <c r="I280" s="135">
        <f t="shared" si="145"/>
        <v>47.786148868287192</v>
      </c>
      <c r="J280" s="141">
        <f t="shared" si="145"/>
        <v>45.622486013573663</v>
      </c>
    </row>
    <row r="281" spans="2:10" x14ac:dyDescent="0.25">
      <c r="B281" s="3" t="s">
        <v>267</v>
      </c>
      <c r="C281" s="127">
        <f>C280/$D$8-1</f>
        <v>0.10803233395388201</v>
      </c>
      <c r="E281" s="136">
        <f>E280/$D$8-1</f>
        <v>0.40432202688314733</v>
      </c>
      <c r="F281" s="136">
        <f t="shared" ref="F281:J281" si="146">F280/$D$8-1</f>
        <v>0.28188783612942991</v>
      </c>
      <c r="G281" s="136">
        <f t="shared" si="146"/>
        <v>0.18656360270609018</v>
      </c>
      <c r="H281" s="136">
        <f t="shared" si="146"/>
        <v>0.11159811385463647</v>
      </c>
      <c r="I281" s="136">
        <f t="shared" si="146"/>
        <v>5.2094867201391226E-2</v>
      </c>
      <c r="J281" s="125">
        <f t="shared" si="146"/>
        <v>4.458080439754708E-3</v>
      </c>
    </row>
    <row r="282" spans="2:10" x14ac:dyDescent="0.25">
      <c r="C282" s="128"/>
      <c r="E282" s="137"/>
      <c r="F282" s="137"/>
      <c r="G282" s="137"/>
      <c r="H282" s="137"/>
      <c r="I282" s="137"/>
      <c r="J282" s="128"/>
    </row>
    <row r="283" spans="2:10" s="1" customFormat="1" x14ac:dyDescent="0.25">
      <c r="B283" s="1" t="s">
        <v>23</v>
      </c>
      <c r="C283" s="129">
        <f>C278-$D$14-$D$15</f>
        <v>7061.6000000000013</v>
      </c>
      <c r="E283" s="138">
        <f>E278-$D$14-$D$15</f>
        <v>9023.6784480080696</v>
      </c>
      <c r="F283" s="138">
        <f t="shared" ref="F283:J283" si="147">F278-$D$14-$D$15</f>
        <v>8212.899360142439</v>
      </c>
      <c r="G283" s="138">
        <f t="shared" si="147"/>
        <v>7581.6468109102361</v>
      </c>
      <c r="H283" s="138">
        <f t="shared" si="147"/>
        <v>7085.2131733927063</v>
      </c>
      <c r="I283" s="138">
        <f t="shared" si="147"/>
        <v>6691.1730139440524</v>
      </c>
      <c r="J283" s="129">
        <f t="shared" si="147"/>
        <v>6375.7144783692884</v>
      </c>
    </row>
    <row r="284" spans="2:10" x14ac:dyDescent="0.25">
      <c r="B284" s="3" t="s">
        <v>268</v>
      </c>
      <c r="C284" s="130">
        <f>C283/$D$13</f>
        <v>8</v>
      </c>
      <c r="E284" s="130">
        <f>E283/$D$13</f>
        <v>10.222814600666215</v>
      </c>
      <c r="F284" s="130">
        <f t="shared" ref="F284:J284" si="148">F283/$D$13</f>
        <v>9.3042929196130473</v>
      </c>
      <c r="G284" s="130">
        <f t="shared" si="148"/>
        <v>8.5891546515353294</v>
      </c>
      <c r="H284" s="130">
        <f t="shared" si="148"/>
        <v>8.0267510744224602</v>
      </c>
      <c r="I284" s="130">
        <f t="shared" si="148"/>
        <v>7.580347812330408</v>
      </c>
      <c r="J284" s="130">
        <f t="shared" si="148"/>
        <v>7.2229687077934601</v>
      </c>
    </row>
    <row r="286" spans="2:10" x14ac:dyDescent="0.25">
      <c r="D286" s="121" t="s">
        <v>270</v>
      </c>
      <c r="E286" s="121"/>
      <c r="F286" s="121"/>
      <c r="G286" s="121"/>
      <c r="H286" s="121"/>
      <c r="I286" s="121"/>
      <c r="J286" s="121"/>
    </row>
    <row r="287" spans="2:10" x14ac:dyDescent="0.25">
      <c r="D287" s="145" t="s">
        <v>271</v>
      </c>
      <c r="E287" s="145"/>
      <c r="F287" s="145"/>
      <c r="G287" s="145"/>
      <c r="H287" s="145"/>
      <c r="I287" s="145"/>
      <c r="J287" s="145"/>
    </row>
    <row r="288" spans="2:10" x14ac:dyDescent="0.25">
      <c r="E288" s="70">
        <f>J271</f>
        <v>0.30269605274009304</v>
      </c>
      <c r="F288" s="146">
        <v>3</v>
      </c>
      <c r="G288" s="115">
        <f>F288+0.25</f>
        <v>3.25</v>
      </c>
      <c r="H288" s="115">
        <f t="shared" ref="H288:J288" si="149">G288+0.25</f>
        <v>3.5</v>
      </c>
      <c r="I288" s="115">
        <f t="shared" si="149"/>
        <v>3.75</v>
      </c>
      <c r="J288" s="115">
        <f t="shared" si="149"/>
        <v>4</v>
      </c>
    </row>
    <row r="289" spans="2:10" x14ac:dyDescent="0.25">
      <c r="C289" t="s">
        <v>269</v>
      </c>
      <c r="E289" s="146">
        <f>7</f>
        <v>7</v>
      </c>
      <c r="F289" s="62">
        <f t="dataTable" ref="F289:J293" dt2D="1" dtr="1" r1="C29" r2="J11"/>
        <v>0.39643672624358928</v>
      </c>
      <c r="G289" s="62">
        <v>0.43775635068771734</v>
      </c>
      <c r="H289" s="62">
        <v>0.48770272067032772</v>
      </c>
      <c r="I289" s="62">
        <v>0.55028508499484685</v>
      </c>
      <c r="J289" s="62">
        <v>0.63296487712029825</v>
      </c>
    </row>
    <row r="290" spans="2:10" x14ac:dyDescent="0.25">
      <c r="D290" s="20" t="s">
        <v>244</v>
      </c>
      <c r="E290" s="115">
        <f>E289+0.25</f>
        <v>7.25</v>
      </c>
      <c r="F290" s="62">
        <v>0.3602005536969155</v>
      </c>
      <c r="G290" s="62">
        <v>0.39509423413786848</v>
      </c>
      <c r="H290" s="62">
        <v>0.436157898523855</v>
      </c>
      <c r="I290" s="62">
        <v>0.48574200038324333</v>
      </c>
      <c r="J290" s="62">
        <v>0.54777668843892835</v>
      </c>
    </row>
    <row r="291" spans="2:10" x14ac:dyDescent="0.25">
      <c r="D291" s="20" t="s">
        <v>277</v>
      </c>
      <c r="E291" s="115">
        <f t="shared" ref="E291:E293" si="150">E290+0.25</f>
        <v>7.5</v>
      </c>
      <c r="F291" s="62">
        <v>0.32896260061087657</v>
      </c>
      <c r="G291" s="62">
        <v>0.3590535733210487</v>
      </c>
      <c r="H291" s="62">
        <v>0.39375944878701197</v>
      </c>
      <c r="I291" s="62">
        <v>0.43457005008944494</v>
      </c>
      <c r="J291" s="62">
        <v>0.48379668344359783</v>
      </c>
    </row>
    <row r="292" spans="2:10" x14ac:dyDescent="0.25">
      <c r="D292" s="20" t="s">
        <v>278</v>
      </c>
      <c r="E292" s="115">
        <f t="shared" si="150"/>
        <v>7.75</v>
      </c>
      <c r="F292" s="62">
        <v>0.30158842505890782</v>
      </c>
      <c r="G292" s="62">
        <v>0.32796458981046928</v>
      </c>
      <c r="H292" s="62">
        <v>0.35791237169053902</v>
      </c>
      <c r="I292" s="62">
        <v>0.39243228946737085</v>
      </c>
      <c r="J292" s="62">
        <v>0.43299267713202494</v>
      </c>
    </row>
    <row r="293" spans="2:10" x14ac:dyDescent="0.25">
      <c r="E293" s="115">
        <f t="shared" si="150"/>
        <v>8</v>
      </c>
      <c r="F293" s="62">
        <v>0.27728327754691806</v>
      </c>
      <c r="G293" s="62">
        <v>0.30070738151558918</v>
      </c>
      <c r="H293" s="62">
        <v>0.32697105904831592</v>
      </c>
      <c r="I293" s="62">
        <v>0.3567768956516868</v>
      </c>
      <c r="J293" s="62">
        <v>0.39111267667933247</v>
      </c>
    </row>
    <row r="296" spans="2:10" ht="15.75" thickBot="1" x14ac:dyDescent="0.3">
      <c r="D296" s="121" t="s">
        <v>275</v>
      </c>
      <c r="E296" s="121"/>
      <c r="F296" s="121"/>
      <c r="G296" s="121"/>
      <c r="H296" s="121"/>
      <c r="I296" s="121"/>
      <c r="J296" s="121"/>
    </row>
    <row r="297" spans="2:10" x14ac:dyDescent="0.25">
      <c r="B297" s="150" t="s">
        <v>274</v>
      </c>
      <c r="D297" s="145" t="s">
        <v>276</v>
      </c>
      <c r="E297" s="145"/>
      <c r="F297" s="145"/>
      <c r="G297" s="145"/>
      <c r="H297" s="145"/>
      <c r="I297" s="145"/>
      <c r="J297" s="145"/>
    </row>
    <row r="298" spans="2:10" ht="15.75" thickBot="1" x14ac:dyDescent="0.3">
      <c r="B298" s="151">
        <f>0.3</f>
        <v>0.3</v>
      </c>
      <c r="E298" s="70">
        <f>J271</f>
        <v>0.30269605274009304</v>
      </c>
      <c r="F298" s="149">
        <v>2</v>
      </c>
      <c r="G298" s="123">
        <f>F298+0.25</f>
        <v>2.25</v>
      </c>
      <c r="H298" s="123">
        <f t="shared" ref="H298:J298" si="151">G298+0.25</f>
        <v>2.5</v>
      </c>
      <c r="I298" s="123">
        <f t="shared" si="151"/>
        <v>2.75</v>
      </c>
      <c r="J298" s="123">
        <f t="shared" si="151"/>
        <v>3</v>
      </c>
    </row>
    <row r="299" spans="2:10" x14ac:dyDescent="0.25">
      <c r="E299" s="147">
        <f>45</f>
        <v>45</v>
      </c>
      <c r="F299" s="51">
        <f t="dataTable" ref="F299:J303" dt2D="1" dtr="1" r1="C29" r2="K20" ca="1"/>
        <v>0.20333276024461799</v>
      </c>
      <c r="G299" s="51">
        <v>0.21947658369046996</v>
      </c>
      <c r="H299" s="51">
        <v>0.23701383134551168</v>
      </c>
      <c r="I299" s="51">
        <v>0.25618218367878143</v>
      </c>
      <c r="J299" s="51">
        <v>0.27728327754691806</v>
      </c>
    </row>
    <row r="300" spans="2:10" x14ac:dyDescent="0.25">
      <c r="D300" s="20" t="s">
        <v>244</v>
      </c>
      <c r="E300" s="124">
        <f>E299+0.25</f>
        <v>45.25</v>
      </c>
      <c r="F300" s="51">
        <v>0.20333276024461799</v>
      </c>
      <c r="G300" s="51">
        <v>0.21947658369046996</v>
      </c>
      <c r="H300" s="51">
        <v>0.23701383134551168</v>
      </c>
      <c r="I300" s="51">
        <v>0.25618218367878143</v>
      </c>
      <c r="J300" s="51">
        <v>0.27728327754691806</v>
      </c>
    </row>
    <row r="301" spans="2:10" x14ac:dyDescent="0.25">
      <c r="D301" s="20" t="s">
        <v>272</v>
      </c>
      <c r="E301" s="148">
        <f>E300+0.25</f>
        <v>45.5</v>
      </c>
      <c r="F301" s="51">
        <v>0.20333276024461799</v>
      </c>
      <c r="G301" s="51">
        <v>0.21947658369046996</v>
      </c>
      <c r="H301" s="51">
        <v>0.23701383134551168</v>
      </c>
      <c r="I301" s="51">
        <v>0.25618218367878143</v>
      </c>
      <c r="J301" s="51">
        <v>0.27728327754691806</v>
      </c>
    </row>
    <row r="302" spans="2:10" x14ac:dyDescent="0.25">
      <c r="D302" s="20" t="s">
        <v>273</v>
      </c>
      <c r="E302" s="148">
        <f>E301+0.25</f>
        <v>45.75</v>
      </c>
      <c r="F302" s="51">
        <v>0.20333276024461799</v>
      </c>
      <c r="G302" s="51">
        <v>0.21947658369046996</v>
      </c>
      <c r="H302" s="51">
        <v>0.23701383134551168</v>
      </c>
      <c r="I302" s="51">
        <v>0.25618218367878143</v>
      </c>
      <c r="J302" s="51">
        <v>0.27728327754691806</v>
      </c>
    </row>
    <row r="303" spans="2:10" x14ac:dyDescent="0.25">
      <c r="E303" s="148">
        <f>E302+0.25</f>
        <v>46</v>
      </c>
      <c r="F303" s="51">
        <v>0.20333276024461799</v>
      </c>
      <c r="G303" s="51">
        <v>0.21947658369046996</v>
      </c>
      <c r="H303" s="51">
        <v>0.23701383134551168</v>
      </c>
      <c r="I303" s="51">
        <v>0.25618218367878143</v>
      </c>
      <c r="J303" s="51">
        <v>0.27728327754691806</v>
      </c>
    </row>
    <row r="305" spans="4:10" x14ac:dyDescent="0.25">
      <c r="D305" s="121" t="s">
        <v>279</v>
      </c>
      <c r="E305" s="121"/>
      <c r="F305" s="121"/>
      <c r="G305" s="121"/>
      <c r="H305" s="121"/>
      <c r="I305" s="121"/>
      <c r="J305" s="121"/>
    </row>
    <row r="306" spans="4:10" x14ac:dyDescent="0.25">
      <c r="D306" s="153" t="s">
        <v>283</v>
      </c>
      <c r="E306" s="153"/>
      <c r="F306" s="153"/>
      <c r="G306" s="153"/>
      <c r="H306" s="153"/>
      <c r="I306" s="153"/>
      <c r="J306" s="153"/>
    </row>
    <row r="307" spans="4:10" x14ac:dyDescent="0.25">
      <c r="E307" s="70">
        <f>J271</f>
        <v>0.30269605274009304</v>
      </c>
      <c r="F307" s="41">
        <v>0</v>
      </c>
      <c r="G307" s="152">
        <f>F307+0.02</f>
        <v>0.02</v>
      </c>
      <c r="H307" s="152">
        <f t="shared" ref="H307:J307" si="152">G307+0.02</f>
        <v>0.04</v>
      </c>
      <c r="I307" s="152">
        <f t="shared" si="152"/>
        <v>0.06</v>
      </c>
      <c r="J307" s="152">
        <f t="shared" si="152"/>
        <v>0.08</v>
      </c>
    </row>
    <row r="308" spans="4:10" x14ac:dyDescent="0.25">
      <c r="E308" s="41">
        <v>0</v>
      </c>
      <c r="F308" s="62">
        <f t="dataTable" ref="F308:J312" dt2D="1" dtr="1" r1="E229" r2="E228" ca="1"/>
        <v>0.30269605274009304</v>
      </c>
      <c r="G308" s="62">
        <v>0.29744307491264199</v>
      </c>
      <c r="H308" s="62">
        <v>0.29210362177585347</v>
      </c>
      <c r="I308" s="62">
        <v>0.28667442285870859</v>
      </c>
      <c r="J308" s="62">
        <v>0.28115201114764998</v>
      </c>
    </row>
    <row r="309" spans="4:10" x14ac:dyDescent="0.25">
      <c r="D309" s="20" t="s">
        <v>280</v>
      </c>
      <c r="E309" s="122">
        <f>E308+0.02</f>
        <v>0.02</v>
      </c>
      <c r="F309" s="62">
        <v>0.29744307491264199</v>
      </c>
      <c r="G309" s="62">
        <v>0.29210362177585347</v>
      </c>
      <c r="H309" s="62">
        <v>0.28667442285870859</v>
      </c>
      <c r="I309" s="62">
        <v>0.28115201114764976</v>
      </c>
      <c r="J309" s="62">
        <v>0.27553270670444263</v>
      </c>
    </row>
    <row r="310" spans="4:10" x14ac:dyDescent="0.25">
      <c r="D310" s="20" t="s">
        <v>281</v>
      </c>
      <c r="E310" s="122">
        <f t="shared" ref="E310:E312" si="153">E309+0.02</f>
        <v>0.04</v>
      </c>
      <c r="F310" s="62">
        <v>0.29210362177585347</v>
      </c>
      <c r="G310" s="62">
        <v>0.28667442285870859</v>
      </c>
      <c r="H310" s="62">
        <v>0.28115201114764976</v>
      </c>
      <c r="I310" s="62">
        <v>0.27553270670444263</v>
      </c>
      <c r="J310" s="62">
        <v>0.26981259852043737</v>
      </c>
    </row>
    <row r="311" spans="4:10" x14ac:dyDescent="0.25">
      <c r="D311" s="20" t="s">
        <v>282</v>
      </c>
      <c r="E311" s="122">
        <f t="shared" si="153"/>
        <v>0.06</v>
      </c>
      <c r="F311" s="62">
        <v>0.28667442285870859</v>
      </c>
      <c r="G311" s="62">
        <v>0.28115201114764976</v>
      </c>
      <c r="H311" s="62">
        <v>0.27553270670444263</v>
      </c>
      <c r="I311" s="62">
        <v>0.26981259852043737</v>
      </c>
      <c r="J311" s="62">
        <v>0.26398752437255069</v>
      </c>
    </row>
    <row r="312" spans="4:10" x14ac:dyDescent="0.25">
      <c r="E312" s="122">
        <f t="shared" si="153"/>
        <v>0.08</v>
      </c>
      <c r="F312" s="62">
        <v>0.28115201114764998</v>
      </c>
      <c r="G312" s="62">
        <v>0.27553270670444263</v>
      </c>
      <c r="H312" s="62">
        <v>0.26981259852043737</v>
      </c>
      <c r="I312" s="62">
        <v>0.26398752437255113</v>
      </c>
      <c r="J312" s="62">
        <v>0.25805304840880572</v>
      </c>
    </row>
  </sheetData>
  <mergeCells count="8">
    <mergeCell ref="D297:J297"/>
    <mergeCell ref="D305:J305"/>
    <mergeCell ref="D306:J306"/>
    <mergeCell ref="F212:J212"/>
    <mergeCell ref="E276:J276"/>
    <mergeCell ref="D286:J286"/>
    <mergeCell ref="D287:J287"/>
    <mergeCell ref="D296:J296"/>
  </mergeCells>
  <conditionalFormatting sqref="F299:J303">
    <cfRule type="cellIs" dxfId="10" priority="11" operator="greaterThan">
      <formula>$B$298</formula>
    </cfRule>
  </conditionalFormatting>
  <conditionalFormatting sqref="E298:J303">
    <cfRule type="expression" dxfId="9" priority="9">
      <formula>$I$7=1</formula>
    </cfRule>
  </conditionalFormatting>
  <conditionalFormatting sqref="E288:J288 E294:J294 E289:E293">
    <cfRule type="expression" dxfId="8" priority="8">
      <formula>$I$7=2</formula>
    </cfRule>
  </conditionalFormatting>
  <conditionalFormatting sqref="F289:J293">
    <cfRule type="cellIs" dxfId="6" priority="5" operator="greaterThan">
      <formula>$B$298</formula>
    </cfRule>
    <cfRule type="cellIs" dxfId="7" priority="4" operator="greaterThan">
      <formula>$B$298</formula>
    </cfRule>
  </conditionalFormatting>
  <conditionalFormatting sqref="E307:J307 E308:E312">
    <cfRule type="expression" dxfId="2" priority="3">
      <formula>$I$7=2</formula>
    </cfRule>
  </conditionalFormatting>
  <conditionalFormatting sqref="F308:J312">
    <cfRule type="cellIs" dxfId="0" priority="1" operator="greaterThan">
      <formula>$B$298</formula>
    </cfRule>
    <cfRule type="cellIs" dxfId="1" priority="2" operator="greaterThan">
      <formula>$B$298</formula>
    </cfRule>
  </conditionalFormatting>
  <dataValidations disablePrompts="1" count="2">
    <dataValidation type="list" allowBlank="1" showInputMessage="1" showErrorMessage="1" sqref="D10" xr:uid="{258213AC-B8CE-4BD2-9E51-0C53ED28199E}">
      <formula1>"ON,OFF"</formula1>
    </dataValidation>
    <dataValidation type="list" allowBlank="1" showInputMessage="1" showErrorMessage="1" sqref="I7" xr:uid="{1373EB79-9953-45A6-BEFA-799A6D6B5CD8}">
      <formula1>$J$7:$K$7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6B29-CF99-4125-BB4E-EF0167494981}">
  <dimension ref="B1:E27"/>
  <sheetViews>
    <sheetView workbookViewId="0">
      <selection activeCell="F6" sqref="F6"/>
    </sheetView>
  </sheetViews>
  <sheetFormatPr defaultRowHeight="15" x14ac:dyDescent="0.25"/>
  <cols>
    <col min="1" max="1" width="2.7109375" customWidth="1"/>
    <col min="2" max="2" width="28.140625" customWidth="1"/>
    <col min="3" max="3" width="11.5703125" bestFit="1" customWidth="1"/>
    <col min="4" max="4" width="13.85546875" bestFit="1" customWidth="1"/>
    <col min="5" max="5" width="15.140625" bestFit="1" customWidth="1"/>
  </cols>
  <sheetData>
    <row r="1" spans="2:5" ht="28.5" x14ac:dyDescent="0.45">
      <c r="B1" s="2" t="s">
        <v>32</v>
      </c>
    </row>
    <row r="2" spans="2:5" x14ac:dyDescent="0.25">
      <c r="B2" s="3" t="s">
        <v>33</v>
      </c>
    </row>
    <row r="4" spans="2:5" x14ac:dyDescent="0.25">
      <c r="B4" t="s">
        <v>34</v>
      </c>
      <c r="E4" s="19">
        <v>46.25</v>
      </c>
    </row>
    <row r="5" spans="2:5" x14ac:dyDescent="0.25">
      <c r="B5" s="25" t="s">
        <v>72</v>
      </c>
      <c r="C5" s="25"/>
      <c r="D5" s="25"/>
      <c r="E5" s="26">
        <f>LBO!I20</f>
        <v>50.326828608185323</v>
      </c>
    </row>
    <row r="6" spans="2:5" x14ac:dyDescent="0.25">
      <c r="B6" t="s">
        <v>35</v>
      </c>
      <c r="E6" s="24">
        <v>144</v>
      </c>
    </row>
    <row r="7" spans="2:5" x14ac:dyDescent="0.25">
      <c r="B7" t="s">
        <v>36</v>
      </c>
      <c r="E7">
        <f>E27</f>
        <v>10.7</v>
      </c>
    </row>
    <row r="8" spans="2:5" x14ac:dyDescent="0.25">
      <c r="B8" t="s">
        <v>37</v>
      </c>
      <c r="E8">
        <f>SUMPRODUCT(D17:D26,E17:E26)</f>
        <v>411.70000000000005</v>
      </c>
    </row>
    <row r="9" spans="2:5" x14ac:dyDescent="0.25">
      <c r="B9" t="s">
        <v>38</v>
      </c>
      <c r="E9" s="6">
        <f>E8/E4</f>
        <v>8.9016216216216222</v>
      </c>
    </row>
    <row r="10" spans="2:5" x14ac:dyDescent="0.25">
      <c r="B10" t="s">
        <v>39</v>
      </c>
      <c r="E10" s="6">
        <f>E7-E9</f>
        <v>1.7983783783783771</v>
      </c>
    </row>
    <row r="11" spans="2:5" x14ac:dyDescent="0.25">
      <c r="B11" t="s">
        <v>40</v>
      </c>
      <c r="E11" s="23">
        <v>0</v>
      </c>
    </row>
    <row r="13" spans="2:5" x14ac:dyDescent="0.25">
      <c r="B13" s="1" t="s">
        <v>41</v>
      </c>
      <c r="E13" s="6">
        <f>E6+E10+E11</f>
        <v>145.79837837837837</v>
      </c>
    </row>
    <row r="15" spans="2:5" x14ac:dyDescent="0.25">
      <c r="B15" s="4" t="s">
        <v>42</v>
      </c>
      <c r="C15" s="5"/>
      <c r="D15" s="5"/>
      <c r="E15" s="5"/>
    </row>
    <row r="16" spans="2:5" x14ac:dyDescent="0.25">
      <c r="C16" t="s">
        <v>46</v>
      </c>
      <c r="D16" t="s">
        <v>47</v>
      </c>
      <c r="E16" t="s">
        <v>48</v>
      </c>
    </row>
    <row r="17" spans="2:5" x14ac:dyDescent="0.25">
      <c r="B17" t="s">
        <v>43</v>
      </c>
      <c r="C17" s="23">
        <v>0.2</v>
      </c>
      <c r="D17" s="23">
        <v>15</v>
      </c>
      <c r="E17">
        <f>IF(D17&lt;$E$4,C17,0)</f>
        <v>0.2</v>
      </c>
    </row>
    <row r="18" spans="2:5" x14ac:dyDescent="0.25">
      <c r="B18" s="14" t="s">
        <v>44</v>
      </c>
      <c r="C18" s="23">
        <v>0.7</v>
      </c>
      <c r="D18" s="23">
        <v>18</v>
      </c>
      <c r="E18">
        <f t="shared" ref="E18:E26" si="0">IF(D18&lt;$E$4,C18,0)</f>
        <v>0.7</v>
      </c>
    </row>
    <row r="19" spans="2:5" x14ac:dyDescent="0.25">
      <c r="B19" t="s">
        <v>45</v>
      </c>
      <c r="C19" s="23">
        <v>0.1</v>
      </c>
      <c r="D19" s="23">
        <v>22</v>
      </c>
      <c r="E19">
        <f t="shared" si="0"/>
        <v>0.1</v>
      </c>
    </row>
    <row r="20" spans="2:5" x14ac:dyDescent="0.25">
      <c r="B20" t="s">
        <v>49</v>
      </c>
      <c r="C20" s="23">
        <v>0.3</v>
      </c>
      <c r="D20" s="23">
        <v>28</v>
      </c>
      <c r="E20">
        <f t="shared" si="0"/>
        <v>0.3</v>
      </c>
    </row>
    <row r="21" spans="2:5" x14ac:dyDescent="0.25">
      <c r="B21" t="s">
        <v>50</v>
      </c>
      <c r="C21" s="23">
        <v>0.3</v>
      </c>
      <c r="D21" s="23">
        <v>32</v>
      </c>
      <c r="E21">
        <f t="shared" si="0"/>
        <v>0.3</v>
      </c>
    </row>
    <row r="22" spans="2:5" x14ac:dyDescent="0.25">
      <c r="B22" t="s">
        <v>51</v>
      </c>
      <c r="C22" s="23">
        <v>0.4</v>
      </c>
      <c r="D22" s="23">
        <v>36</v>
      </c>
      <c r="E22">
        <f t="shared" si="0"/>
        <v>0.4</v>
      </c>
    </row>
    <row r="23" spans="2:5" x14ac:dyDescent="0.25">
      <c r="B23" t="s">
        <v>52</v>
      </c>
      <c r="C23" s="23">
        <v>1.3</v>
      </c>
      <c r="D23" s="23">
        <v>39</v>
      </c>
      <c r="E23">
        <f t="shared" si="0"/>
        <v>1.3</v>
      </c>
    </row>
    <row r="24" spans="2:5" x14ac:dyDescent="0.25">
      <c r="B24" t="s">
        <v>53</v>
      </c>
      <c r="C24" s="23">
        <v>7.4</v>
      </c>
      <c r="D24" s="23">
        <v>42</v>
      </c>
      <c r="E24">
        <f t="shared" si="0"/>
        <v>7.4</v>
      </c>
    </row>
    <row r="25" spans="2:5" x14ac:dyDescent="0.25">
      <c r="B25" t="s">
        <v>54</v>
      </c>
      <c r="E25">
        <f t="shared" si="0"/>
        <v>0</v>
      </c>
    </row>
    <row r="26" spans="2:5" x14ac:dyDescent="0.25">
      <c r="B26" t="s">
        <v>55</v>
      </c>
      <c r="E26">
        <f t="shared" si="0"/>
        <v>0</v>
      </c>
    </row>
    <row r="27" spans="2:5" x14ac:dyDescent="0.25">
      <c r="E27" s="15">
        <f>SUM(E17:E26)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LBO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Sambhav Upadhyay</dc:creator>
  <cp:lastModifiedBy>Sambhav Upadhyay</cp:lastModifiedBy>
  <dcterms:created xsi:type="dcterms:W3CDTF">2018-02-16T22:53:22Z</dcterms:created>
  <dcterms:modified xsi:type="dcterms:W3CDTF">2018-04-26T19:29:32Z</dcterms:modified>
</cp:coreProperties>
</file>