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ish/Desktop/"/>
    </mc:Choice>
  </mc:AlternateContent>
  <xr:revisionPtr revIDLastSave="0" documentId="13_ncr:1_{E7168DFE-8D8D-4442-9F73-78B7AFD78E4D}" xr6:coauthVersionLast="45" xr6:coauthVersionMax="45" xr10:uidLastSave="{00000000-0000-0000-0000-000000000000}"/>
  <bookViews>
    <workbookView xWindow="0" yWindow="0" windowWidth="25600" windowHeight="16000" activeTab="3" xr2:uid="{411831BC-EF2C-364A-867D-8E71A96F1392}"/>
  </bookViews>
  <sheets>
    <sheet name="BS" sheetId="2" r:id="rId1"/>
    <sheet name="Income Statement" sheetId="4" r:id="rId2"/>
    <sheet name="Cash Flow" sheetId="5" r:id="rId3"/>
    <sheet name="Sheet6" sheetId="6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" i="6" l="1"/>
  <c r="D49" i="6"/>
  <c r="B49" i="6"/>
  <c r="B110" i="6"/>
  <c r="B109" i="6" s="1"/>
  <c r="B108" i="6" s="1"/>
  <c r="B107" i="6" s="1"/>
  <c r="B106" i="6" s="1"/>
  <c r="B105" i="6" s="1"/>
  <c r="D104" i="6"/>
  <c r="E104" i="6" s="1"/>
  <c r="F104" i="6" s="1"/>
  <c r="G104" i="6" s="1"/>
  <c r="H104" i="6" s="1"/>
  <c r="I104" i="6" s="1"/>
  <c r="G95" i="6" l="1"/>
  <c r="G94" i="6"/>
  <c r="G97" i="6" s="1"/>
  <c r="G98" i="6" s="1"/>
  <c r="G51" i="6" s="1"/>
  <c r="H94" i="6"/>
  <c r="H97" i="6" s="1"/>
  <c r="H98" i="6" s="1"/>
  <c r="H51" i="6" s="1"/>
  <c r="I94" i="6"/>
  <c r="I97" i="6" s="1"/>
  <c r="I98" i="6" s="1"/>
  <c r="I51" i="6" s="1"/>
  <c r="F98" i="6"/>
  <c r="F51" i="6" s="1"/>
  <c r="F94" i="6"/>
  <c r="F97" i="6" s="1"/>
  <c r="H20" i="2"/>
  <c r="B83" i="6" s="1"/>
  <c r="H21" i="2"/>
  <c r="B82" i="6" s="1"/>
  <c r="B71" i="6"/>
  <c r="D63" i="6"/>
  <c r="D71" i="6" s="1"/>
  <c r="C63" i="6"/>
  <c r="C71" i="6" s="1"/>
  <c r="D58" i="6"/>
  <c r="C58" i="6"/>
  <c r="D57" i="6"/>
  <c r="D60" i="6" s="1"/>
  <c r="C57" i="6"/>
  <c r="C60" i="6" s="1"/>
  <c r="D44" i="6"/>
  <c r="C44" i="6"/>
  <c r="B44" i="6"/>
  <c r="D40" i="6"/>
  <c r="C40" i="6"/>
  <c r="B40" i="6"/>
  <c r="C34" i="6"/>
  <c r="D34" i="6"/>
  <c r="C35" i="6"/>
  <c r="D35" i="6"/>
  <c r="C36" i="6"/>
  <c r="D36" i="6"/>
  <c r="B35" i="6"/>
  <c r="B36" i="6"/>
  <c r="B34" i="6"/>
  <c r="B19" i="6"/>
  <c r="C19" i="6"/>
  <c r="D19" i="6"/>
  <c r="B21" i="6"/>
  <c r="C21" i="6"/>
  <c r="D21" i="6"/>
  <c r="C15" i="6"/>
  <c r="D15" i="6"/>
  <c r="B15" i="6"/>
  <c r="D11" i="6"/>
  <c r="E11" i="6" s="1"/>
  <c r="E17" i="6" s="1"/>
  <c r="C11" i="6"/>
  <c r="B11" i="6"/>
  <c r="C6" i="6"/>
  <c r="D6" i="6" s="1"/>
  <c r="E6" i="6" s="1"/>
  <c r="F6" i="6" s="1"/>
  <c r="G6" i="6" s="1"/>
  <c r="H6" i="6" s="1"/>
  <c r="I6" i="6" s="1"/>
  <c r="E40" i="6" l="1"/>
  <c r="F40" i="6" s="1"/>
  <c r="D72" i="6"/>
  <c r="E60" i="6"/>
  <c r="F60" i="6" s="1"/>
  <c r="E44" i="6"/>
  <c r="E45" i="6" s="1"/>
  <c r="D46" i="6"/>
  <c r="B46" i="6"/>
  <c r="C45" i="6"/>
  <c r="C46" i="6"/>
  <c r="D45" i="6"/>
  <c r="C42" i="6"/>
  <c r="D42" i="6"/>
  <c r="C41" i="6"/>
  <c r="D41" i="6"/>
  <c r="B42" i="6"/>
  <c r="E19" i="6"/>
  <c r="F19" i="6" s="1"/>
  <c r="G19" i="6" s="1"/>
  <c r="E34" i="6"/>
  <c r="F34" i="6" s="1"/>
  <c r="G34" i="6" s="1"/>
  <c r="H34" i="6" s="1"/>
  <c r="I34" i="6" s="1"/>
  <c r="F11" i="6"/>
  <c r="F17" i="6" s="1"/>
  <c r="E35" i="6"/>
  <c r="F35" i="6" s="1"/>
  <c r="G35" i="6" s="1"/>
  <c r="H35" i="6" s="1"/>
  <c r="I35" i="6" s="1"/>
  <c r="D23" i="6"/>
  <c r="D17" i="6"/>
  <c r="B23" i="6"/>
  <c r="B25" i="6"/>
  <c r="B27" i="6" s="1"/>
  <c r="C25" i="6"/>
  <c r="C27" i="6" s="1"/>
  <c r="C22" i="6"/>
  <c r="B17" i="6"/>
  <c r="C17" i="6"/>
  <c r="D22" i="6"/>
  <c r="C23" i="6"/>
  <c r="D16" i="6"/>
  <c r="C16" i="6"/>
  <c r="C12" i="6"/>
  <c r="D25" i="6"/>
  <c r="D12" i="6"/>
  <c r="B29" i="6"/>
  <c r="G40" i="6" l="1"/>
  <c r="H40" i="6" s="1"/>
  <c r="G60" i="6"/>
  <c r="G72" i="6" s="1"/>
  <c r="F72" i="6"/>
  <c r="E72" i="6"/>
  <c r="D27" i="6"/>
  <c r="E63" i="6"/>
  <c r="E71" i="6" s="1"/>
  <c r="D64" i="6"/>
  <c r="C64" i="6"/>
  <c r="E46" i="6"/>
  <c r="F44" i="6"/>
  <c r="F46" i="6" s="1"/>
  <c r="H19" i="6"/>
  <c r="I19" i="6" s="1"/>
  <c r="G11" i="6"/>
  <c r="H11" i="6" s="1"/>
  <c r="E16" i="6"/>
  <c r="B38" i="6"/>
  <c r="B48" i="6" s="1"/>
  <c r="B68" i="6" s="1"/>
  <c r="B73" i="6" s="1"/>
  <c r="B75" i="6" s="1"/>
  <c r="B31" i="6"/>
  <c r="F16" i="6"/>
  <c r="D29" i="6"/>
  <c r="D26" i="6"/>
  <c r="C29" i="6"/>
  <c r="C26" i="6"/>
  <c r="I40" i="6" l="1"/>
  <c r="H60" i="6"/>
  <c r="H72" i="6" s="1"/>
  <c r="F45" i="6"/>
  <c r="G44" i="6"/>
  <c r="G46" i="6" s="1"/>
  <c r="C38" i="6"/>
  <c r="C48" i="6" s="1"/>
  <c r="C68" i="6" s="1"/>
  <c r="C73" i="6" s="1"/>
  <c r="C75" i="6" s="1"/>
  <c r="C31" i="6"/>
  <c r="C30" i="6"/>
  <c r="D38" i="6"/>
  <c r="D48" i="6" s="1"/>
  <c r="D68" i="6" s="1"/>
  <c r="D73" i="6" s="1"/>
  <c r="D75" i="6" s="1"/>
  <c r="D31" i="6"/>
  <c r="D30" i="6"/>
  <c r="I11" i="6"/>
  <c r="H44" i="6" l="1"/>
  <c r="I60" i="6"/>
  <c r="I72" i="6" s="1"/>
  <c r="G45" i="6"/>
  <c r="H46" i="6"/>
  <c r="H45" i="6"/>
  <c r="I44" i="6"/>
  <c r="I46" i="6" l="1"/>
  <c r="I45" i="6"/>
  <c r="E21" i="6" l="1"/>
  <c r="F21" i="6" s="1"/>
  <c r="E23" i="6"/>
  <c r="E25" i="6"/>
  <c r="E27" i="6" s="1"/>
  <c r="E26" i="6" l="1"/>
  <c r="F63" i="6"/>
  <c r="F71" i="6" s="1"/>
  <c r="E29" i="6"/>
  <c r="F25" i="6"/>
  <c r="F29" i="6" s="1"/>
  <c r="F23" i="6"/>
  <c r="E30" i="6" l="1"/>
  <c r="E31" i="6"/>
  <c r="F26" i="6"/>
  <c r="F27" i="6"/>
  <c r="G63" i="6"/>
  <c r="G71" i="6" s="1"/>
  <c r="F31" i="6"/>
  <c r="F30" i="6"/>
  <c r="G15" i="6"/>
  <c r="G16" i="6" s="1"/>
  <c r="H15" i="6"/>
  <c r="I15" i="6"/>
  <c r="I17" i="6" s="1"/>
  <c r="I16" i="6" l="1"/>
  <c r="H16" i="6"/>
  <c r="E41" i="6" l="1"/>
  <c r="E42" i="6"/>
  <c r="F41" i="6"/>
  <c r="G41" i="6"/>
  <c r="H41" i="6"/>
  <c r="I41" i="6"/>
  <c r="F42" i="6"/>
  <c r="G42" i="6"/>
  <c r="H42" i="6"/>
  <c r="I42" i="6"/>
  <c r="G21" i="6"/>
  <c r="G23" i="6"/>
  <c r="G25" i="6"/>
  <c r="G26" i="6"/>
  <c r="G27" i="6"/>
  <c r="G29" i="6"/>
  <c r="H63" i="6"/>
  <c r="H71" i="6"/>
  <c r="H21" i="6"/>
  <c r="H23" i="6" s="1"/>
  <c r="H25" i="6"/>
  <c r="H27" i="6" s="1"/>
  <c r="I21" i="6"/>
  <c r="I23" i="6" s="1"/>
  <c r="I25" i="6"/>
  <c r="I26" i="6" s="1"/>
  <c r="I27" i="6"/>
  <c r="I29" i="6" l="1"/>
  <c r="I31" i="6" s="1"/>
  <c r="I63" i="6"/>
  <c r="I71" i="6" s="1"/>
  <c r="G30" i="6"/>
  <c r="G31" i="6"/>
  <c r="H26" i="6"/>
  <c r="H29" i="6"/>
  <c r="H31" i="6" l="1"/>
  <c r="H30" i="6"/>
  <c r="I30" i="6"/>
  <c r="E36" i="6"/>
  <c r="F36" i="6"/>
  <c r="G36" i="6"/>
  <c r="H36" i="6"/>
  <c r="I36" i="6"/>
  <c r="E38" i="6"/>
  <c r="F38" i="6"/>
  <c r="G38" i="6"/>
  <c r="H38" i="6"/>
  <c r="I38" i="6"/>
  <c r="E48" i="6"/>
  <c r="F48" i="6"/>
  <c r="G48" i="6"/>
  <c r="H48" i="6"/>
  <c r="I48" i="6"/>
  <c r="E49" i="6"/>
  <c r="F49" i="6"/>
  <c r="G49" i="6"/>
  <c r="H49" i="6"/>
  <c r="I49" i="6"/>
  <c r="F52" i="6"/>
  <c r="G52" i="6"/>
  <c r="H52" i="6"/>
  <c r="I52" i="6"/>
  <c r="E68" i="6"/>
  <c r="F68" i="6"/>
  <c r="G68" i="6"/>
  <c r="H68" i="6"/>
  <c r="I68" i="6"/>
  <c r="E73" i="6"/>
  <c r="F73" i="6"/>
  <c r="G73" i="6"/>
  <c r="H73" i="6"/>
  <c r="I73" i="6"/>
  <c r="J74" i="6"/>
  <c r="E75" i="6"/>
  <c r="F75" i="6"/>
  <c r="G75" i="6"/>
  <c r="H75" i="6"/>
  <c r="I75" i="6"/>
  <c r="B81" i="6"/>
  <c r="B84" i="6"/>
  <c r="B87" i="6"/>
  <c r="B104" i="6"/>
</calcChain>
</file>

<file path=xl/sharedStrings.xml><?xml version="1.0" encoding="utf-8"?>
<sst xmlns="http://schemas.openxmlformats.org/spreadsheetml/2006/main" count="179" uniqueCount="136">
  <si>
    <t>Novavax Vaccine</t>
  </si>
  <si>
    <t>Price per Dose</t>
  </si>
  <si>
    <t xml:space="preserve">Margin </t>
  </si>
  <si>
    <t xml:space="preserve">Profit </t>
  </si>
  <si>
    <t>Earnings</t>
  </si>
  <si>
    <t>CONSOLIDATED BALANCE SHEETS - USD ($) $ in Thousands</t>
  </si>
  <si>
    <t>Dec. 31, 2019</t>
  </si>
  <si>
    <t>Dec. 31, 2018</t>
  </si>
  <si>
    <t>Current assets:</t>
  </si>
  <si>
    <t>Cash and cash equivalents</t>
  </si>
  <si>
    <t>Marketable securities</t>
  </si>
  <si>
    <t>Restricted cash</t>
  </si>
  <si>
    <t>Accounts receivable</t>
  </si>
  <si>
    <t>Prepaid expenses and other current assets</t>
  </si>
  <si>
    <t>Total current assets</t>
  </si>
  <si>
    <t>Property and equipment, net</t>
  </si>
  <si>
    <t>Intangible assets, net</t>
  </si>
  <si>
    <t>Goodwill</t>
  </si>
  <si>
    <t>Other non-current assets</t>
  </si>
  <si>
    <t>Total assets</t>
  </si>
  <si>
    <t>Current liabilities:</t>
  </si>
  <si>
    <t>Accounts payable</t>
  </si>
  <si>
    <t>Accrued expenses</t>
  </si>
  <si>
    <t>Accrued interest</t>
  </si>
  <si>
    <t>Deferred revenue</t>
  </si>
  <si>
    <t>Other current liabilities</t>
  </si>
  <si>
    <t>Total current liabilities</t>
  </si>
  <si>
    <t>Convertible notes payable</t>
  </si>
  <si>
    <t>Other non-current liabilities</t>
  </si>
  <si>
    <t>Total liabilities</t>
  </si>
  <si>
    <t>Commitments and contingencies</t>
  </si>
  <si>
    <t xml:space="preserve"> </t>
  </si>
  <si>
    <t>Stockholders' deficit:</t>
  </si>
  <si>
    <t>Preferred stock, $0.01 par value, 2,000,000 shares authorized; no shares issued and outstanding at December 31, 2019 and 2018</t>
  </si>
  <si>
    <t>Common stock, $0.01 par value, 600,000,000 shares authorized at December 31, 2019 and 2018 ; and 32,399,352 shares issued and 32,352,416 shares outstanding at December 31, 2019 and 19,245,302 shares issued and 19,222,410 shares outstanding at December 31, 2018</t>
  </si>
  <si>
    <t>Additional paid-in capital</t>
  </si>
  <si>
    <t>Accumulated deficit</t>
  </si>
  <si>
    <t>Treasury stock, 46,936 shares, cost basis at December 31, 2019 and 22,892 shares, cost basis at December 31, 2018</t>
  </si>
  <si>
    <t>Accumulated other comprehensive loss</t>
  </si>
  <si>
    <t>Total stockholders' deficit</t>
  </si>
  <si>
    <t>Total liabilities and stockholders' deficit</t>
  </si>
  <si>
    <t>CONSOLIDATED STATEMENTS OF OPERATIONS - USD ($) shares in Thousands, $ in Thousands</t>
  </si>
  <si>
    <t>12 Months Ended</t>
  </si>
  <si>
    <t>Dec. 31, 2017</t>
  </si>
  <si>
    <t>Revenue:</t>
  </si>
  <si>
    <t>Total revenue</t>
  </si>
  <si>
    <t>Expenses:</t>
  </si>
  <si>
    <t>Research and development</t>
  </si>
  <si>
    <t>Gain on Catalent transaction</t>
  </si>
  <si>
    <t>General and administrative</t>
  </si>
  <si>
    <t>Total expenses</t>
  </si>
  <si>
    <t>Loss from operations</t>
  </si>
  <si>
    <t>Other income (expense):</t>
  </si>
  <si>
    <t>Investment income</t>
  </si>
  <si>
    <t>Interest expense</t>
  </si>
  <si>
    <t>Other income (expense)</t>
  </si>
  <si>
    <t>Net loss</t>
  </si>
  <si>
    <t>Basic and diluted net loss per share</t>
  </si>
  <si>
    <t>Basic and diluted weighted average number of common shares outstanding</t>
  </si>
  <si>
    <t>Government Contract [Member]</t>
  </si>
  <si>
    <t>Grant and other [Member]</t>
  </si>
  <si>
    <t>CONSOLIDATED STATEMENTS OF CASH FLOWS - USD ($) $ in Thousands</t>
  </si>
  <si>
    <t>Operating Activities:</t>
  </si>
  <si>
    <t>Reconciliation of net loss to net cash used in operating activities:</t>
  </si>
  <si>
    <t>Depreciation and amortization</t>
  </si>
  <si>
    <t>Loss (Gain) on disposal of property and equipment</t>
  </si>
  <si>
    <t>Non-cash impact of lease termination</t>
  </si>
  <si>
    <t>Amortization of debt issuance costs</t>
  </si>
  <si>
    <t>Lease incentives received</t>
  </si>
  <si>
    <t>Non-cash stock-based compensation</t>
  </si>
  <si>
    <t>Other</t>
  </si>
  <si>
    <t>Changes in operating assets and liabilities:</t>
  </si>
  <si>
    <t>Prepaid expenses and other assets</t>
  </si>
  <si>
    <t>Accounts payable and accrued expenses</t>
  </si>
  <si>
    <t>Net cash used in operating activities</t>
  </si>
  <si>
    <t>Investing Activities:</t>
  </si>
  <si>
    <t>Capital expenditures</t>
  </si>
  <si>
    <t>Proceeds from Catalent transaction</t>
  </si>
  <si>
    <t>Purchases of marketable securities</t>
  </si>
  <si>
    <t>Proceeds from maturities of marketable securities</t>
  </si>
  <si>
    <t>Net cash provided by investing activities</t>
  </si>
  <si>
    <t>Financing Activities:</t>
  </si>
  <si>
    <t>Principal payments of capital leases</t>
  </si>
  <si>
    <t>Net proceeds from sales of common stock</t>
  </si>
  <si>
    <t>Proceeds from the exercise of stock options and employee stock purchases</t>
  </si>
  <si>
    <t>Net cash provided by financing activities</t>
  </si>
  <si>
    <t>Effect of exchange rate on cash, cash equivalents and restricted cash</t>
  </si>
  <si>
    <t>Net increase (decrease) in cash, cash equivalents and restricted cash</t>
  </si>
  <si>
    <t>Cash, cash equivalents and restricted cash at beginning of year</t>
  </si>
  <si>
    <t>Cash, cash equivalents and restricted cash at end of year</t>
  </si>
  <si>
    <t>Supplemental disclosure of non-cash activities:</t>
  </si>
  <si>
    <t>Sale of common stock under the Sales Agreement not settled at year-end</t>
  </si>
  <si>
    <t>Capital expenditures included in accounts payable and accrued expenses</t>
  </si>
  <si>
    <t>Supplemental disclosure of cash flow information:</t>
  </si>
  <si>
    <t>Cash interest payments</t>
  </si>
  <si>
    <t>Income Statement</t>
  </si>
  <si>
    <t>(thousands except per share)</t>
  </si>
  <si>
    <t>Novavax (Ticker: NVAX)</t>
  </si>
  <si>
    <t>T</t>
  </si>
  <si>
    <t xml:space="preserve">   % growth</t>
  </si>
  <si>
    <t xml:space="preserve">   % of Revenue</t>
  </si>
  <si>
    <t>Depreciation &amp; Amortization</t>
  </si>
  <si>
    <t xml:space="preserve">Stock Based Compensation </t>
  </si>
  <si>
    <t>Adj EBITDA</t>
  </si>
  <si>
    <t>Balance Sheet</t>
  </si>
  <si>
    <t>Current Assets</t>
  </si>
  <si>
    <t>Current Liabilities</t>
  </si>
  <si>
    <t xml:space="preserve">Net Working Capital </t>
  </si>
  <si>
    <t>Capital Expenditures</t>
  </si>
  <si>
    <t>PPE</t>
  </si>
  <si>
    <t>Net Working Capital</t>
  </si>
  <si>
    <t xml:space="preserve">Discounted Cash Flow </t>
  </si>
  <si>
    <t xml:space="preserve"> (-) Taxes</t>
  </si>
  <si>
    <t xml:space="preserve"> (-) Capex</t>
  </si>
  <si>
    <t xml:space="preserve"> (-) Change NWC</t>
  </si>
  <si>
    <t>Free Cash Flow</t>
  </si>
  <si>
    <t>Terminal</t>
  </si>
  <si>
    <t>Free Cash Flow to Discounted Cash Flow</t>
  </si>
  <si>
    <t>Terminal Multiple</t>
  </si>
  <si>
    <t>Enterprise Value</t>
  </si>
  <si>
    <t xml:space="preserve"> ( - Debt )</t>
  </si>
  <si>
    <t xml:space="preserve"> ( + Cash ) </t>
  </si>
  <si>
    <t>Equity Value</t>
  </si>
  <si>
    <t>Discounte Rate</t>
  </si>
  <si>
    <t xml:space="preserve">  Diluted Shares Outstanding</t>
  </si>
  <si>
    <t>Fair Value Per Share</t>
  </si>
  <si>
    <t>Debt</t>
  </si>
  <si>
    <t>Cash and S</t>
  </si>
  <si>
    <t># of Doses per Year</t>
  </si>
  <si>
    <t xml:space="preserve">   Adj to Thousands</t>
  </si>
  <si>
    <t>Vaccine EBITDA Est.</t>
  </si>
  <si>
    <t>Adjusted EBITDA Including COVID - 19</t>
  </si>
  <si>
    <t>Sensitivity</t>
  </si>
  <si>
    <t>Terminal Value</t>
  </si>
  <si>
    <t>WACC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</si>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</sst>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 &quot;#,##0_);_(&quot;$ &quot;\(#,##0\)"/>
    <numFmt numFmtId="165" formatCode="_(&quot;$ &quot;#,##0.00_);_(&quot;$ &quot;\(#,##0.00\)"/>
    <numFmt numFmtId="169" formatCode="0\x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rgb="FF0070C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DotDot">
        <color indexed="64"/>
      </right>
      <top style="dashed">
        <color indexed="64"/>
      </top>
      <bottom style="dashed">
        <color indexed="64"/>
      </bottom>
      <diagonal/>
    </border>
    <border>
      <left style="dashDotDot">
        <color indexed="64"/>
      </left>
      <right style="dashDotDot">
        <color indexed="64"/>
      </right>
      <top style="dashed">
        <color indexed="64"/>
      </top>
      <bottom style="dashed">
        <color indexed="64"/>
      </bottom>
      <diagonal/>
    </border>
    <border>
      <left style="dashDotDot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DotDot">
        <color indexed="64"/>
      </right>
      <top style="dashed">
        <color indexed="64"/>
      </top>
      <bottom style="dashed">
        <color indexed="64"/>
      </bottom>
      <diagonal/>
    </border>
    <border>
      <left style="dashDotDot">
        <color indexed="64"/>
      </left>
      <right style="dashDotDot">
        <color indexed="64"/>
      </right>
      <top style="dashed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 style="dashed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9" fontId="0" fillId="0" borderId="0" xfId="0" applyNumberFormat="1"/>
    <xf numFmtId="8" fontId="0" fillId="0" borderId="0" xfId="0" applyNumberFormat="1"/>
    <xf numFmtId="164" fontId="0" fillId="0" borderId="0" xfId="0" applyNumberFormat="1"/>
    <xf numFmtId="37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2" fillId="0" borderId="1" xfId="0" applyFont="1" applyBorder="1" applyAlignment="1">
      <alignment horizontal="center"/>
    </xf>
    <xf numFmtId="37" fontId="7" fillId="0" borderId="0" xfId="0" applyNumberFormat="1" applyFont="1"/>
    <xf numFmtId="0" fontId="0" fillId="2" borderId="0" xfId="0" applyFill="1"/>
    <xf numFmtId="164" fontId="0" fillId="2" borderId="0" xfId="0" applyNumberFormat="1" applyFill="1"/>
    <xf numFmtId="37" fontId="2" fillId="0" borderId="0" xfId="0" applyNumberFormat="1" applyFont="1"/>
    <xf numFmtId="9" fontId="7" fillId="0" borderId="0" xfId="0" applyNumberFormat="1" applyFont="1"/>
    <xf numFmtId="0" fontId="9" fillId="0" borderId="0" xfId="0" applyFont="1"/>
    <xf numFmtId="37" fontId="10" fillId="0" borderId="0" xfId="0" applyNumberFormat="1" applyFont="1"/>
    <xf numFmtId="9" fontId="11" fillId="0" borderId="0" xfId="0" applyNumberFormat="1" applyFont="1"/>
    <xf numFmtId="10" fontId="11" fillId="0" borderId="0" xfId="0" applyNumberFormat="1" applyFont="1"/>
    <xf numFmtId="37" fontId="8" fillId="0" borderId="0" xfId="0" applyNumberFormat="1" applyFont="1"/>
    <xf numFmtId="9" fontId="11" fillId="0" borderId="0" xfId="0" applyNumberFormat="1" applyFont="1" applyAlignment="1">
      <alignment horizontal="center"/>
    </xf>
    <xf numFmtId="1" fontId="0" fillId="0" borderId="0" xfId="0" applyNumberFormat="1"/>
    <xf numFmtId="0" fontId="2" fillId="3" borderId="0" xfId="0" applyFont="1" applyFill="1"/>
    <xf numFmtId="0" fontId="4" fillId="3" borderId="0" xfId="0" applyFont="1" applyFill="1"/>
    <xf numFmtId="0" fontId="0" fillId="3" borderId="0" xfId="0" applyFill="1"/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/>
    <xf numFmtId="1" fontId="2" fillId="0" borderId="0" xfId="0" applyNumberFormat="1" applyFont="1"/>
    <xf numFmtId="3" fontId="0" fillId="0" borderId="0" xfId="0" applyNumberFormat="1"/>
    <xf numFmtId="8" fontId="2" fillId="0" borderId="0" xfId="0" applyNumberFormat="1" applyFont="1"/>
    <xf numFmtId="0" fontId="13" fillId="3" borderId="0" xfId="0" applyFont="1" applyFill="1"/>
    <xf numFmtId="8" fontId="7" fillId="0" borderId="0" xfId="0" applyNumberFormat="1" applyFont="1"/>
    <xf numFmtId="8" fontId="5" fillId="0" borderId="0" xfId="0" applyNumberFormat="1" applyFont="1"/>
    <xf numFmtId="0" fontId="5" fillId="4" borderId="0" xfId="0" applyFont="1" applyFill="1"/>
    <xf numFmtId="37" fontId="5" fillId="4" borderId="0" xfId="0" applyNumberFormat="1" applyFont="1" applyFill="1"/>
    <xf numFmtId="0" fontId="14" fillId="4" borderId="2" xfId="0" applyFont="1" applyFill="1" applyBorder="1"/>
    <xf numFmtId="37" fontId="14" fillId="4" borderId="2" xfId="0" applyNumberFormat="1" applyFont="1" applyFill="1" applyBorder="1"/>
    <xf numFmtId="3" fontId="7" fillId="0" borderId="0" xfId="0" applyNumberFormat="1" applyFont="1"/>
    <xf numFmtId="9" fontId="10" fillId="2" borderId="3" xfId="0" applyNumberFormat="1" applyFont="1" applyFill="1" applyBorder="1"/>
    <xf numFmtId="37" fontId="7" fillId="2" borderId="3" xfId="0" applyNumberFormat="1" applyFont="1" applyFill="1" applyBorder="1"/>
    <xf numFmtId="10" fontId="10" fillId="2" borderId="3" xfId="0" applyNumberFormat="1" applyFont="1" applyFill="1" applyBorder="1"/>
    <xf numFmtId="9" fontId="7" fillId="2" borderId="3" xfId="0" applyNumberFormat="1" applyFont="1" applyFill="1" applyBorder="1"/>
    <xf numFmtId="3" fontId="7" fillId="2" borderId="3" xfId="0" applyNumberFormat="1" applyFont="1" applyFill="1" applyBorder="1"/>
    <xf numFmtId="37" fontId="12" fillId="2" borderId="3" xfId="0" applyNumberFormat="1" applyFont="1" applyFill="1" applyBorder="1"/>
    <xf numFmtId="9" fontId="7" fillId="2" borderId="3" xfId="1" applyFont="1" applyFill="1" applyBorder="1"/>
    <xf numFmtId="8" fontId="5" fillId="0" borderId="0" xfId="0" applyNumberFormat="1" applyFont="1" applyAlignment="1">
      <alignment horizontal="center"/>
    </xf>
    <xf numFmtId="9" fontId="12" fillId="2" borderId="5" xfId="0" applyNumberFormat="1" applyFont="1" applyFill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69" fontId="7" fillId="2" borderId="3" xfId="0" applyNumberFormat="1" applyFont="1" applyFill="1" applyBorder="1"/>
    <xf numFmtId="0" fontId="12" fillId="2" borderId="4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4" fontId="2" fillId="0" borderId="7" xfId="2" applyFont="1" applyBorder="1"/>
    <xf numFmtId="0" fontId="7" fillId="5" borderId="0" xfId="0" applyFont="1" applyFill="1"/>
    <xf numFmtId="10" fontId="7" fillId="5" borderId="0" xfId="0" applyNumberFormat="1" applyFont="1" applyFill="1"/>
    <xf numFmtId="0" fontId="14" fillId="5" borderId="0" xfId="0" applyFont="1" applyFill="1"/>
    <xf numFmtId="2" fontId="14" fillId="5" borderId="0" xfId="0" applyNumberFormat="1" applyFont="1" applyFill="1"/>
    <xf numFmtId="44" fontId="2" fillId="0" borderId="6" xfId="2" applyFont="1" applyBorder="1"/>
    <xf numFmtId="44" fontId="2" fillId="0" borderId="8" xfId="2" applyFont="1" applyBorder="1"/>
    <xf numFmtId="44" fontId="2" fillId="0" borderId="10" xfId="2" applyFont="1" applyBorder="1"/>
    <xf numFmtId="44" fontId="2" fillId="0" borderId="11" xfId="2" applyFont="1" applyBorder="1"/>
    <xf numFmtId="44" fontId="2" fillId="0" borderId="12" xfId="2" applyFont="1" applyBorder="1"/>
    <xf numFmtId="44" fontId="2" fillId="0" borderId="13" xfId="2" applyFont="1" applyBorder="1"/>
    <xf numFmtId="44" fontId="2" fillId="0" borderId="9" xfId="2" applyFont="1" applyBorder="1"/>
    <xf numFmtId="0" fontId="15" fillId="0" borderId="0" xfId="0" applyFont="1"/>
    <xf numFmtId="0" fontId="14" fillId="0" borderId="0" xfId="0" applyFont="1"/>
    <xf numFmtId="9" fontId="14" fillId="0" borderId="0" xfId="0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292D"/>
      <color rgb="FF2ED7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C51D-375A-3641-AA49-FA5CA4839F83}">
  <dimension ref="B3:H37"/>
  <sheetViews>
    <sheetView topLeftCell="A2" workbookViewId="0">
      <selection activeCell="H22" sqref="H22"/>
    </sheetView>
  </sheetViews>
  <sheetFormatPr baseColWidth="10" defaultRowHeight="16" x14ac:dyDescent="0.2"/>
  <cols>
    <col min="2" max="2" width="64.33203125" customWidth="1"/>
    <col min="3" max="4" width="12.1640625" bestFit="1" customWidth="1"/>
  </cols>
  <sheetData>
    <row r="3" spans="2:4" x14ac:dyDescent="0.2">
      <c r="B3" t="s">
        <v>5</v>
      </c>
      <c r="C3" t="s">
        <v>6</v>
      </c>
      <c r="D3" t="s">
        <v>7</v>
      </c>
    </row>
    <row r="4" spans="2:4" x14ac:dyDescent="0.2">
      <c r="B4" t="s">
        <v>8</v>
      </c>
    </row>
    <row r="5" spans="2:4" x14ac:dyDescent="0.2">
      <c r="B5" t="s">
        <v>9</v>
      </c>
      <c r="C5" s="3">
        <v>78823</v>
      </c>
      <c r="D5" s="3">
        <v>70154</v>
      </c>
    </row>
    <row r="6" spans="2:4" x14ac:dyDescent="0.2">
      <c r="B6" t="s">
        <v>10</v>
      </c>
      <c r="D6" s="4">
        <v>21980</v>
      </c>
    </row>
    <row r="7" spans="2:4" x14ac:dyDescent="0.2">
      <c r="B7" t="s">
        <v>11</v>
      </c>
      <c r="C7" s="4">
        <v>2947</v>
      </c>
      <c r="D7" s="4">
        <v>10847</v>
      </c>
    </row>
    <row r="8" spans="2:4" x14ac:dyDescent="0.2">
      <c r="B8" t="s">
        <v>12</v>
      </c>
      <c r="C8" s="4">
        <v>7500</v>
      </c>
    </row>
    <row r="9" spans="2:4" x14ac:dyDescent="0.2">
      <c r="B9" t="s">
        <v>13</v>
      </c>
      <c r="C9" s="4">
        <v>7977</v>
      </c>
      <c r="D9" s="4">
        <v>16295</v>
      </c>
    </row>
    <row r="10" spans="2:4" x14ac:dyDescent="0.2">
      <c r="B10" t="s">
        <v>14</v>
      </c>
      <c r="C10" s="4">
        <v>97247</v>
      </c>
      <c r="D10" s="4">
        <v>119276</v>
      </c>
    </row>
    <row r="11" spans="2:4" x14ac:dyDescent="0.2">
      <c r="B11" t="s">
        <v>11</v>
      </c>
      <c r="C11" s="4">
        <v>410</v>
      </c>
      <c r="D11" s="4">
        <v>958</v>
      </c>
    </row>
    <row r="12" spans="2:4" x14ac:dyDescent="0.2">
      <c r="B12" t="s">
        <v>15</v>
      </c>
      <c r="C12" s="4">
        <v>11445</v>
      </c>
      <c r="D12" s="4">
        <v>28426</v>
      </c>
    </row>
    <row r="13" spans="2:4" x14ac:dyDescent="0.2">
      <c r="B13" t="s">
        <v>16</v>
      </c>
      <c r="C13" s="4">
        <v>5581</v>
      </c>
      <c r="D13" s="4">
        <v>6541</v>
      </c>
    </row>
    <row r="14" spans="2:4" x14ac:dyDescent="0.2">
      <c r="B14" t="s">
        <v>17</v>
      </c>
      <c r="C14" s="4">
        <v>51154</v>
      </c>
      <c r="D14" s="4">
        <v>51967</v>
      </c>
    </row>
    <row r="15" spans="2:4" x14ac:dyDescent="0.2">
      <c r="B15" t="s">
        <v>18</v>
      </c>
      <c r="C15" s="4">
        <v>7120</v>
      </c>
      <c r="D15" s="4">
        <v>810</v>
      </c>
    </row>
    <row r="16" spans="2:4" x14ac:dyDescent="0.2">
      <c r="B16" t="s">
        <v>19</v>
      </c>
      <c r="C16" s="4">
        <v>172957</v>
      </c>
      <c r="D16" s="4">
        <v>207978</v>
      </c>
    </row>
    <row r="17" spans="2:8" x14ac:dyDescent="0.2">
      <c r="B17" t="s">
        <v>20</v>
      </c>
    </row>
    <row r="18" spans="2:8" x14ac:dyDescent="0.2">
      <c r="B18" t="s">
        <v>21</v>
      </c>
      <c r="C18" s="4">
        <v>2910</v>
      </c>
      <c r="D18" s="4">
        <v>9301</v>
      </c>
    </row>
    <row r="19" spans="2:8" x14ac:dyDescent="0.2">
      <c r="B19" t="s">
        <v>22</v>
      </c>
      <c r="C19" s="4">
        <v>14867</v>
      </c>
      <c r="D19" s="4">
        <v>19550</v>
      </c>
    </row>
    <row r="20" spans="2:8" x14ac:dyDescent="0.2">
      <c r="B20" t="s">
        <v>23</v>
      </c>
      <c r="C20" s="4">
        <v>5078</v>
      </c>
      <c r="D20" s="4">
        <v>5078</v>
      </c>
      <c r="G20" t="s">
        <v>127</v>
      </c>
      <c r="H20" s="4">
        <f>C7+C5</f>
        <v>81770</v>
      </c>
    </row>
    <row r="21" spans="2:8" x14ac:dyDescent="0.2">
      <c r="B21" t="s">
        <v>24</v>
      </c>
      <c r="C21" s="4">
        <v>1678</v>
      </c>
      <c r="D21" s="4">
        <v>10010</v>
      </c>
      <c r="G21" t="s">
        <v>126</v>
      </c>
      <c r="H21" s="4">
        <f>C25+C26</f>
        <v>330679</v>
      </c>
    </row>
    <row r="22" spans="2:8" x14ac:dyDescent="0.2">
      <c r="B22" t="s">
        <v>25</v>
      </c>
      <c r="C22" s="4">
        <v>1262</v>
      </c>
      <c r="D22" s="4">
        <v>1600</v>
      </c>
      <c r="G22" t="s">
        <v>31</v>
      </c>
    </row>
    <row r="23" spans="2:8" x14ac:dyDescent="0.2">
      <c r="B23" t="s">
        <v>26</v>
      </c>
      <c r="C23" s="4">
        <v>25795</v>
      </c>
      <c r="D23" s="4">
        <v>45539</v>
      </c>
    </row>
    <row r="24" spans="2:8" x14ac:dyDescent="0.2">
      <c r="B24" t="s">
        <v>24</v>
      </c>
      <c r="C24" s="4">
        <v>2500</v>
      </c>
      <c r="D24" s="4">
        <v>2500</v>
      </c>
    </row>
    <row r="25" spans="2:8" x14ac:dyDescent="0.2">
      <c r="B25" t="s">
        <v>27</v>
      </c>
      <c r="C25" s="4">
        <v>320611</v>
      </c>
      <c r="D25" s="4">
        <v>319187</v>
      </c>
    </row>
    <row r="26" spans="2:8" x14ac:dyDescent="0.2">
      <c r="B26" t="s">
        <v>28</v>
      </c>
      <c r="C26" s="4">
        <v>10068</v>
      </c>
      <c r="D26" s="4">
        <v>8687</v>
      </c>
    </row>
    <row r="27" spans="2:8" x14ac:dyDescent="0.2">
      <c r="B27" t="s">
        <v>29</v>
      </c>
      <c r="C27" s="4">
        <v>358974</v>
      </c>
      <c r="D27" s="4">
        <v>375913</v>
      </c>
    </row>
    <row r="28" spans="2:8" x14ac:dyDescent="0.2">
      <c r="B28" t="s">
        <v>30</v>
      </c>
      <c r="C28" t="s">
        <v>31</v>
      </c>
      <c r="D28" t="s">
        <v>31</v>
      </c>
    </row>
    <row r="29" spans="2:8" x14ac:dyDescent="0.2">
      <c r="B29" t="s">
        <v>32</v>
      </c>
    </row>
    <row r="30" spans="2:8" x14ac:dyDescent="0.2">
      <c r="B30" t="s">
        <v>33</v>
      </c>
      <c r="C30" s="4">
        <v>0</v>
      </c>
      <c r="D30" s="4">
        <v>0</v>
      </c>
    </row>
    <row r="31" spans="2:8" x14ac:dyDescent="0.2">
      <c r="B31" t="s">
        <v>34</v>
      </c>
      <c r="C31" s="4">
        <v>324</v>
      </c>
      <c r="D31" s="4">
        <v>192</v>
      </c>
    </row>
    <row r="32" spans="2:8" x14ac:dyDescent="0.2">
      <c r="B32" t="s">
        <v>35</v>
      </c>
      <c r="C32" s="4">
        <v>1260551</v>
      </c>
      <c r="D32" s="4">
        <v>1144621</v>
      </c>
    </row>
    <row r="33" spans="2:4" x14ac:dyDescent="0.2">
      <c r="B33" t="s">
        <v>36</v>
      </c>
      <c r="C33" s="4">
        <v>-1431801</v>
      </c>
      <c r="D33" s="4">
        <v>-1299107</v>
      </c>
    </row>
    <row r="34" spans="2:4" x14ac:dyDescent="0.2">
      <c r="B34" t="s">
        <v>37</v>
      </c>
      <c r="C34" s="4">
        <v>-2583</v>
      </c>
      <c r="D34" s="4">
        <v>-2450</v>
      </c>
    </row>
    <row r="35" spans="2:4" x14ac:dyDescent="0.2">
      <c r="B35" t="s">
        <v>38</v>
      </c>
      <c r="C35" s="4">
        <v>-12508</v>
      </c>
      <c r="D35" s="4">
        <v>-11191</v>
      </c>
    </row>
    <row r="36" spans="2:4" x14ac:dyDescent="0.2">
      <c r="B36" t="s">
        <v>39</v>
      </c>
      <c r="C36" s="4">
        <v>-186017</v>
      </c>
      <c r="D36" s="4">
        <v>-167935</v>
      </c>
    </row>
    <row r="37" spans="2:4" x14ac:dyDescent="0.2">
      <c r="B37" t="s">
        <v>40</v>
      </c>
      <c r="C37" s="3">
        <v>172957</v>
      </c>
      <c r="D37" s="3">
        <v>207978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D9DE-C7E1-B345-9033-0AA9DBA6D891}">
  <dimension ref="B3:E25"/>
  <sheetViews>
    <sheetView workbookViewId="0">
      <selection activeCell="B12" sqref="B12"/>
    </sheetView>
  </sheetViews>
  <sheetFormatPr baseColWidth="10" defaultRowHeight="16" x14ac:dyDescent="0.2"/>
  <cols>
    <col min="2" max="2" width="80.1640625" bestFit="1" customWidth="1"/>
    <col min="3" max="4" width="12.1640625" bestFit="1" customWidth="1"/>
    <col min="5" max="5" width="15.33203125" bestFit="1" customWidth="1"/>
  </cols>
  <sheetData>
    <row r="3" spans="2:5" x14ac:dyDescent="0.2">
      <c r="B3" t="s">
        <v>41</v>
      </c>
    </row>
    <row r="4" spans="2:5" x14ac:dyDescent="0.2">
      <c r="C4" t="s">
        <v>43</v>
      </c>
      <c r="D4" t="s">
        <v>7</v>
      </c>
      <c r="E4" t="s">
        <v>6</v>
      </c>
    </row>
    <row r="5" spans="2:5" x14ac:dyDescent="0.2">
      <c r="B5" t="s">
        <v>44</v>
      </c>
    </row>
    <row r="6" spans="2:5" x14ac:dyDescent="0.2">
      <c r="B6" t="s">
        <v>45</v>
      </c>
      <c r="C6" s="3">
        <v>31176</v>
      </c>
      <c r="D6" s="3">
        <v>34288</v>
      </c>
      <c r="E6" s="3">
        <v>18662</v>
      </c>
    </row>
    <row r="7" spans="2:5" x14ac:dyDescent="0.2">
      <c r="B7" t="s">
        <v>46</v>
      </c>
    </row>
    <row r="8" spans="2:5" x14ac:dyDescent="0.2">
      <c r="B8" t="s">
        <v>47</v>
      </c>
      <c r="C8" s="4">
        <v>168435</v>
      </c>
      <c r="D8" s="4">
        <v>173797</v>
      </c>
      <c r="E8" s="4">
        <v>113842</v>
      </c>
    </row>
    <row r="9" spans="2:5" x14ac:dyDescent="0.2">
      <c r="B9" t="s">
        <v>48</v>
      </c>
      <c r="C9">
        <v>0</v>
      </c>
      <c r="D9">
        <v>0</v>
      </c>
      <c r="E9" s="4">
        <v>-9016</v>
      </c>
    </row>
    <row r="10" spans="2:5" x14ac:dyDescent="0.2">
      <c r="B10" t="s">
        <v>49</v>
      </c>
      <c r="C10" s="4">
        <v>34451</v>
      </c>
      <c r="D10" s="4">
        <v>34409</v>
      </c>
      <c r="E10" s="4">
        <v>34417</v>
      </c>
    </row>
    <row r="11" spans="2:5" x14ac:dyDescent="0.2">
      <c r="B11" t="s">
        <v>50</v>
      </c>
      <c r="C11" s="4">
        <v>202886</v>
      </c>
      <c r="D11" s="4">
        <v>208206</v>
      </c>
      <c r="E11" s="4">
        <v>139243</v>
      </c>
    </row>
    <row r="12" spans="2:5" x14ac:dyDescent="0.2">
      <c r="B12" t="s">
        <v>51</v>
      </c>
      <c r="C12" s="4">
        <v>-171710</v>
      </c>
      <c r="D12" s="4">
        <v>-173918</v>
      </c>
      <c r="E12" s="4">
        <v>-120581</v>
      </c>
    </row>
    <row r="13" spans="2:5" x14ac:dyDescent="0.2">
      <c r="B13" t="s">
        <v>52</v>
      </c>
    </row>
    <row r="14" spans="2:5" x14ac:dyDescent="0.2">
      <c r="B14" t="s">
        <v>53</v>
      </c>
      <c r="C14" s="4">
        <v>1946</v>
      </c>
      <c r="D14" s="4">
        <v>2674</v>
      </c>
      <c r="E14" s="4">
        <v>1512</v>
      </c>
    </row>
    <row r="15" spans="2:5" x14ac:dyDescent="0.2">
      <c r="B15" t="s">
        <v>54</v>
      </c>
      <c r="C15" s="4">
        <v>-14072</v>
      </c>
      <c r="D15" s="4">
        <v>-13612</v>
      </c>
      <c r="E15" s="4">
        <v>-13612</v>
      </c>
    </row>
    <row r="16" spans="2:5" x14ac:dyDescent="0.2">
      <c r="B16" t="s">
        <v>55</v>
      </c>
      <c r="C16" s="4">
        <v>67</v>
      </c>
      <c r="D16" s="4">
        <v>108</v>
      </c>
      <c r="E16" s="4">
        <v>-13</v>
      </c>
    </row>
    <row r="17" spans="2:5" x14ac:dyDescent="0.2">
      <c r="B17" s="13" t="s">
        <v>56</v>
      </c>
      <c r="C17" s="14">
        <v>-183769</v>
      </c>
      <c r="D17" s="14">
        <v>-184748</v>
      </c>
      <c r="E17" s="14">
        <v>-132694</v>
      </c>
    </row>
    <row r="18" spans="2:5" x14ac:dyDescent="0.2">
      <c r="B18" t="s">
        <v>57</v>
      </c>
      <c r="C18" s="5">
        <v>-12.56</v>
      </c>
      <c r="D18" s="5">
        <v>-9.99</v>
      </c>
      <c r="E18" s="5">
        <v>-5.51</v>
      </c>
    </row>
    <row r="19" spans="2:5" x14ac:dyDescent="0.2">
      <c r="B19" t="s">
        <v>58</v>
      </c>
      <c r="C19" s="4">
        <v>14633</v>
      </c>
      <c r="D19" s="4">
        <v>18488</v>
      </c>
      <c r="E19" s="4">
        <v>24100</v>
      </c>
    </row>
    <row r="20" spans="2:5" x14ac:dyDescent="0.2">
      <c r="B20" t="s">
        <v>59</v>
      </c>
    </row>
    <row r="21" spans="2:5" x14ac:dyDescent="0.2">
      <c r="B21" t="s">
        <v>44</v>
      </c>
    </row>
    <row r="22" spans="2:5" x14ac:dyDescent="0.2">
      <c r="B22" t="s">
        <v>45</v>
      </c>
      <c r="E22" s="3">
        <v>7500</v>
      </c>
    </row>
    <row r="23" spans="2:5" x14ac:dyDescent="0.2">
      <c r="B23" t="s">
        <v>60</v>
      </c>
    </row>
    <row r="24" spans="2:5" x14ac:dyDescent="0.2">
      <c r="B24" t="s">
        <v>44</v>
      </c>
    </row>
    <row r="25" spans="2:5" x14ac:dyDescent="0.2">
      <c r="B25" t="s">
        <v>45</v>
      </c>
      <c r="C25" s="3">
        <v>31176</v>
      </c>
      <c r="D25" s="3">
        <v>34288</v>
      </c>
      <c r="E25" s="3">
        <v>11162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005E-F1C1-B94B-9FF4-99B15C05C5DA}">
  <dimension ref="B2:E39"/>
  <sheetViews>
    <sheetView workbookViewId="0">
      <selection activeCell="G5" sqref="G5"/>
    </sheetView>
  </sheetViews>
  <sheetFormatPr baseColWidth="10" defaultRowHeight="16" x14ac:dyDescent="0.2"/>
  <cols>
    <col min="2" max="2" width="63.6640625" bestFit="1" customWidth="1"/>
    <col min="3" max="3" width="15.33203125" bestFit="1" customWidth="1"/>
    <col min="4" max="5" width="12.1640625" bestFit="1" customWidth="1"/>
  </cols>
  <sheetData>
    <row r="2" spans="2:5" x14ac:dyDescent="0.2">
      <c r="B2" t="s">
        <v>61</v>
      </c>
      <c r="C2" t="s">
        <v>42</v>
      </c>
    </row>
    <row r="3" spans="2:5" x14ac:dyDescent="0.2">
      <c r="C3" t="s">
        <v>6</v>
      </c>
      <c r="D3" t="s">
        <v>7</v>
      </c>
      <c r="E3" t="s">
        <v>43</v>
      </c>
    </row>
    <row r="4" spans="2:5" x14ac:dyDescent="0.2">
      <c r="B4" t="s">
        <v>62</v>
      </c>
    </row>
    <row r="5" spans="2:5" x14ac:dyDescent="0.2">
      <c r="B5" t="s">
        <v>56</v>
      </c>
      <c r="C5" s="3">
        <v>-132694</v>
      </c>
      <c r="D5" s="3">
        <v>-184748</v>
      </c>
      <c r="E5" s="3">
        <v>-183769</v>
      </c>
    </row>
    <row r="6" spans="2:5" x14ac:dyDescent="0.2">
      <c r="B6" t="s">
        <v>63</v>
      </c>
    </row>
    <row r="7" spans="2:5" x14ac:dyDescent="0.2">
      <c r="B7" t="s">
        <v>64</v>
      </c>
      <c r="C7" s="4">
        <v>5676</v>
      </c>
      <c r="D7" s="4">
        <v>8159</v>
      </c>
      <c r="E7" s="4">
        <v>9817</v>
      </c>
    </row>
    <row r="8" spans="2:5" x14ac:dyDescent="0.2">
      <c r="B8" t="s">
        <v>65</v>
      </c>
      <c r="C8" s="4">
        <v>88</v>
      </c>
      <c r="D8" s="4">
        <v>-55</v>
      </c>
      <c r="E8" s="4">
        <v>269</v>
      </c>
    </row>
    <row r="9" spans="2:5" x14ac:dyDescent="0.2">
      <c r="B9" t="s">
        <v>48</v>
      </c>
      <c r="C9" s="4">
        <v>-9016</v>
      </c>
    </row>
    <row r="10" spans="2:5" x14ac:dyDescent="0.2">
      <c r="B10" t="s">
        <v>66</v>
      </c>
      <c r="D10" s="4">
        <v>-4381</v>
      </c>
    </row>
    <row r="11" spans="2:5" x14ac:dyDescent="0.2">
      <c r="B11" t="s">
        <v>67</v>
      </c>
      <c r="C11" s="4">
        <v>1424</v>
      </c>
      <c r="D11" s="4">
        <v>1424</v>
      </c>
      <c r="E11" s="4">
        <v>1424</v>
      </c>
    </row>
    <row r="12" spans="2:5" x14ac:dyDescent="0.2">
      <c r="B12" t="s">
        <v>68</v>
      </c>
      <c r="E12" s="4">
        <v>1933</v>
      </c>
    </row>
    <row r="13" spans="2:5" x14ac:dyDescent="0.2">
      <c r="B13" t="s">
        <v>69</v>
      </c>
      <c r="C13" s="4">
        <v>17048</v>
      </c>
      <c r="D13" s="4">
        <v>18314</v>
      </c>
      <c r="E13" s="4">
        <v>19809</v>
      </c>
    </row>
    <row r="14" spans="2:5" x14ac:dyDescent="0.2">
      <c r="B14" t="s">
        <v>70</v>
      </c>
      <c r="C14" s="4">
        <v>4869</v>
      </c>
      <c r="D14" s="4">
        <v>-2396</v>
      </c>
      <c r="E14" s="4">
        <v>2715</v>
      </c>
    </row>
    <row r="15" spans="2:5" x14ac:dyDescent="0.2">
      <c r="B15" t="s">
        <v>71</v>
      </c>
    </row>
    <row r="16" spans="2:5" x14ac:dyDescent="0.2">
      <c r="B16" t="s">
        <v>72</v>
      </c>
      <c r="C16" s="4">
        <v>-4202</v>
      </c>
      <c r="D16" s="4">
        <v>1212</v>
      </c>
      <c r="E16" s="4">
        <v>2590</v>
      </c>
    </row>
    <row r="17" spans="2:5" x14ac:dyDescent="0.2">
      <c r="B17" t="s">
        <v>73</v>
      </c>
      <c r="C17" s="4">
        <v>-11485</v>
      </c>
      <c r="D17" s="4">
        <v>-6744</v>
      </c>
      <c r="E17" s="4">
        <v>5192</v>
      </c>
    </row>
    <row r="18" spans="2:5" x14ac:dyDescent="0.2">
      <c r="B18" t="s">
        <v>24</v>
      </c>
      <c r="C18" s="4">
        <v>-8331</v>
      </c>
      <c r="D18" s="4">
        <v>-15610</v>
      </c>
      <c r="E18" s="4">
        <v>-4456</v>
      </c>
    </row>
    <row r="19" spans="2:5" x14ac:dyDescent="0.2">
      <c r="B19" t="s">
        <v>74</v>
      </c>
      <c r="C19" s="4">
        <v>-136623</v>
      </c>
      <c r="D19" s="4">
        <v>-184825</v>
      </c>
      <c r="E19" s="4">
        <v>-144476</v>
      </c>
    </row>
    <row r="20" spans="2:5" x14ac:dyDescent="0.2">
      <c r="B20" t="s">
        <v>75</v>
      </c>
    </row>
    <row r="21" spans="2:5" x14ac:dyDescent="0.2">
      <c r="B21" t="s">
        <v>76</v>
      </c>
      <c r="C21" s="4">
        <v>-1857</v>
      </c>
      <c r="D21" s="4">
        <v>-1372</v>
      </c>
      <c r="E21" s="4">
        <v>-4189</v>
      </c>
    </row>
    <row r="22" spans="2:5" x14ac:dyDescent="0.2">
      <c r="B22" t="s">
        <v>77</v>
      </c>
      <c r="C22" s="4">
        <v>18333</v>
      </c>
    </row>
    <row r="23" spans="2:5" x14ac:dyDescent="0.2">
      <c r="B23" t="s">
        <v>78</v>
      </c>
      <c r="C23" s="4">
        <v>-17484</v>
      </c>
      <c r="D23" s="4">
        <v>-120150</v>
      </c>
      <c r="E23" s="4">
        <v>-218045</v>
      </c>
    </row>
    <row r="24" spans="2:5" x14ac:dyDescent="0.2">
      <c r="B24" t="s">
        <v>79</v>
      </c>
      <c r="C24" s="4">
        <v>39500</v>
      </c>
      <c r="D24" s="4">
        <v>150118</v>
      </c>
      <c r="E24" s="4">
        <v>258202</v>
      </c>
    </row>
    <row r="25" spans="2:5" x14ac:dyDescent="0.2">
      <c r="B25" t="s">
        <v>80</v>
      </c>
      <c r="C25" s="4">
        <v>38492</v>
      </c>
      <c r="D25" s="4">
        <v>28596</v>
      </c>
      <c r="E25" s="4">
        <v>35968</v>
      </c>
    </row>
    <row r="26" spans="2:5" x14ac:dyDescent="0.2">
      <c r="B26" t="s">
        <v>81</v>
      </c>
    </row>
    <row r="27" spans="2:5" x14ac:dyDescent="0.2">
      <c r="B27" t="s">
        <v>82</v>
      </c>
      <c r="E27" s="4">
        <v>-37</v>
      </c>
    </row>
    <row r="28" spans="2:5" x14ac:dyDescent="0.2">
      <c r="B28" t="s">
        <v>83</v>
      </c>
      <c r="C28" s="4">
        <v>97392</v>
      </c>
      <c r="D28" s="4">
        <v>100060</v>
      </c>
      <c r="E28" s="4">
        <v>63425</v>
      </c>
    </row>
    <row r="29" spans="2:5" x14ac:dyDescent="0.2">
      <c r="B29" t="s">
        <v>84</v>
      </c>
      <c r="C29" s="4">
        <v>992</v>
      </c>
      <c r="D29" s="4">
        <v>2745</v>
      </c>
      <c r="E29" s="4">
        <v>1152</v>
      </c>
    </row>
    <row r="30" spans="2:5" x14ac:dyDescent="0.2">
      <c r="B30" t="s">
        <v>85</v>
      </c>
      <c r="C30" s="4">
        <v>98384</v>
      </c>
      <c r="D30" s="4">
        <v>102805</v>
      </c>
      <c r="E30" s="4">
        <v>64540</v>
      </c>
    </row>
    <row r="31" spans="2:5" x14ac:dyDescent="0.2">
      <c r="B31" t="s">
        <v>86</v>
      </c>
      <c r="C31" s="4">
        <v>-32</v>
      </c>
      <c r="D31" s="4">
        <v>-48</v>
      </c>
      <c r="E31" s="4">
        <v>142</v>
      </c>
    </row>
    <row r="32" spans="2:5" x14ac:dyDescent="0.2">
      <c r="B32" t="s">
        <v>87</v>
      </c>
      <c r="C32" s="4">
        <v>221</v>
      </c>
      <c r="D32" s="4">
        <v>-53472</v>
      </c>
      <c r="E32" s="4">
        <v>-43826</v>
      </c>
    </row>
    <row r="33" spans="2:5" x14ac:dyDescent="0.2">
      <c r="B33" t="s">
        <v>88</v>
      </c>
      <c r="C33" s="4">
        <v>81959</v>
      </c>
      <c r="D33" s="4">
        <v>135431</v>
      </c>
    </row>
    <row r="34" spans="2:5" x14ac:dyDescent="0.2">
      <c r="B34" t="s">
        <v>89</v>
      </c>
      <c r="C34" s="4">
        <v>82180</v>
      </c>
      <c r="D34" s="4">
        <v>81959</v>
      </c>
      <c r="E34" s="4">
        <v>135431</v>
      </c>
    </row>
    <row r="35" spans="2:5" x14ac:dyDescent="0.2">
      <c r="B35" t="s">
        <v>90</v>
      </c>
    </row>
    <row r="36" spans="2:5" x14ac:dyDescent="0.2">
      <c r="B36" t="s">
        <v>91</v>
      </c>
      <c r="C36" s="4">
        <v>497</v>
      </c>
    </row>
    <row r="37" spans="2:5" x14ac:dyDescent="0.2">
      <c r="B37" t="s">
        <v>92</v>
      </c>
      <c r="C37" s="4">
        <v>49</v>
      </c>
      <c r="D37" s="4">
        <v>519</v>
      </c>
      <c r="E37" s="4">
        <v>15</v>
      </c>
    </row>
    <row r="38" spans="2:5" x14ac:dyDescent="0.2">
      <c r="B38" t="s">
        <v>93</v>
      </c>
    </row>
    <row r="39" spans="2:5" x14ac:dyDescent="0.2">
      <c r="B39" t="s">
        <v>94</v>
      </c>
      <c r="C39" s="3">
        <v>12188</v>
      </c>
      <c r="D39" s="3">
        <v>12188</v>
      </c>
      <c r="E39" s="3">
        <v>12188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87ED-629B-B645-88E9-CB3BE2408248}">
  <dimension ref="A1:K113"/>
  <sheetViews>
    <sheetView tabSelected="1" workbookViewId="0">
      <pane xSplit="1" ySplit="6" topLeftCell="B55" activePane="bottomRight" state="frozen"/>
      <selection pane="topRight" activeCell="B1" sqref="B1"/>
      <selection pane="bottomLeft" activeCell="A7" sqref="A7"/>
      <selection pane="bottomRight" activeCell="F78" sqref="F78"/>
    </sheetView>
  </sheetViews>
  <sheetFormatPr baseColWidth="10" defaultRowHeight="16" x14ac:dyDescent="0.2"/>
  <cols>
    <col min="1" max="1" width="64.6640625" bestFit="1" customWidth="1"/>
    <col min="2" max="2" width="16" bestFit="1" customWidth="1"/>
    <col min="3" max="3" width="17" bestFit="1" customWidth="1"/>
    <col min="4" max="5" width="11" bestFit="1" customWidth="1"/>
    <col min="6" max="6" width="17" bestFit="1" customWidth="1"/>
    <col min="7" max="7" width="15.33203125" bestFit="1" customWidth="1"/>
    <col min="8" max="8" width="12.1640625" bestFit="1" customWidth="1"/>
    <col min="9" max="9" width="11.5" bestFit="1" customWidth="1"/>
  </cols>
  <sheetData>
    <row r="1" spans="1:10" ht="24" x14ac:dyDescent="0.3">
      <c r="A1" s="10" t="s">
        <v>97</v>
      </c>
    </row>
    <row r="2" spans="1:10" x14ac:dyDescent="0.2">
      <c r="A2" s="9" t="s">
        <v>96</v>
      </c>
    </row>
    <row r="6" spans="1:10" ht="17" thickBot="1" x14ac:dyDescent="0.25">
      <c r="A6" s="6"/>
      <c r="B6" s="11">
        <v>2017</v>
      </c>
      <c r="C6" s="11">
        <f>B6+1</f>
        <v>2018</v>
      </c>
      <c r="D6" s="11">
        <f t="shared" ref="D6:I6" si="0">C6+1</f>
        <v>2019</v>
      </c>
      <c r="E6" s="11">
        <f t="shared" si="0"/>
        <v>2020</v>
      </c>
      <c r="F6" s="11">
        <f t="shared" si="0"/>
        <v>2021</v>
      </c>
      <c r="G6" s="11">
        <f t="shared" si="0"/>
        <v>2022</v>
      </c>
      <c r="H6" s="11">
        <f t="shared" si="0"/>
        <v>2023</v>
      </c>
      <c r="I6" s="11">
        <f t="shared" si="0"/>
        <v>2024</v>
      </c>
      <c r="J6" s="11" t="s">
        <v>98</v>
      </c>
    </row>
    <row r="7" spans="1:10" x14ac:dyDescent="0.2">
      <c r="A7" s="6"/>
      <c r="B7" s="27"/>
      <c r="C7" s="27"/>
      <c r="D7" s="27"/>
      <c r="E7" s="27"/>
      <c r="F7" s="27"/>
      <c r="G7" s="27"/>
      <c r="H7" s="27"/>
      <c r="I7" s="27"/>
      <c r="J7" s="27"/>
    </row>
    <row r="8" spans="1:10" x14ac:dyDescent="0.2">
      <c r="A8" s="24" t="s">
        <v>95</v>
      </c>
      <c r="B8" s="28"/>
      <c r="C8" s="28"/>
      <c r="D8" s="28"/>
      <c r="E8" s="28"/>
      <c r="F8" s="28"/>
      <c r="G8" s="28"/>
      <c r="H8" s="28"/>
      <c r="I8" s="28"/>
      <c r="J8" s="27"/>
    </row>
    <row r="9" spans="1:10" x14ac:dyDescent="0.2">
      <c r="A9" s="6"/>
      <c r="B9" s="27"/>
      <c r="C9" s="27"/>
      <c r="D9" s="27"/>
      <c r="E9" s="27"/>
      <c r="F9" s="27"/>
      <c r="G9" s="27"/>
      <c r="H9" s="27"/>
      <c r="I9" s="27"/>
      <c r="J9" s="27"/>
    </row>
    <row r="10" spans="1:10" x14ac:dyDescent="0.2">
      <c r="A10" s="7" t="s">
        <v>44</v>
      </c>
    </row>
    <row r="11" spans="1:10" x14ac:dyDescent="0.2">
      <c r="A11" s="6" t="s">
        <v>45</v>
      </c>
      <c r="B11" s="12">
        <f>'Income Statement'!C6</f>
        <v>31176</v>
      </c>
      <c r="C11" s="12">
        <f>'Income Statement'!D6</f>
        <v>34288</v>
      </c>
      <c r="D11" s="12">
        <f>'Income Statement'!E6</f>
        <v>18662</v>
      </c>
      <c r="E11" s="21">
        <f>D11*(1+E12)</f>
        <v>797427.25999999989</v>
      </c>
      <c r="F11" s="21">
        <f t="shared" ref="F11:I11" si="1">E11*(1+F12)</f>
        <v>3811702.3027999988</v>
      </c>
      <c r="G11" s="21">
        <f t="shared" si="1"/>
        <v>1982085.1974559994</v>
      </c>
      <c r="H11" s="21">
        <f t="shared" si="1"/>
        <v>2259577.1250998396</v>
      </c>
      <c r="I11" s="21">
        <f t="shared" si="1"/>
        <v>2937450.2626297916</v>
      </c>
    </row>
    <row r="12" spans="1:10" s="9" customFormat="1" x14ac:dyDescent="0.2">
      <c r="A12" s="17" t="s">
        <v>99</v>
      </c>
      <c r="B12" s="18"/>
      <c r="C12" s="19">
        <f>C11/B11-1</f>
        <v>9.9820374647164423E-2</v>
      </c>
      <c r="D12" s="19">
        <f>D11/C11-1</f>
        <v>-0.45572795146990197</v>
      </c>
      <c r="E12" s="42">
        <v>41.73</v>
      </c>
      <c r="F12" s="42">
        <v>3.78</v>
      </c>
      <c r="G12" s="42">
        <v>-0.48</v>
      </c>
      <c r="H12" s="42">
        <v>0.14000000000000001</v>
      </c>
      <c r="I12" s="42">
        <v>0.3</v>
      </c>
    </row>
    <row r="13" spans="1:10" x14ac:dyDescent="0.2">
      <c r="A13" s="6"/>
      <c r="B13" s="12"/>
      <c r="C13" s="12"/>
      <c r="D13" s="12"/>
      <c r="E13" s="12"/>
      <c r="F13" s="12"/>
      <c r="G13" s="12"/>
      <c r="H13" s="12"/>
      <c r="I13" s="12"/>
    </row>
    <row r="14" spans="1:10" x14ac:dyDescent="0.2">
      <c r="A14" s="7" t="s">
        <v>46</v>
      </c>
      <c r="B14" s="12"/>
      <c r="C14" s="12"/>
      <c r="D14" s="12"/>
      <c r="E14" s="12"/>
      <c r="F14" s="12"/>
      <c r="G14" s="12"/>
      <c r="H14" s="12"/>
      <c r="I14" s="12"/>
    </row>
    <row r="15" spans="1:10" x14ac:dyDescent="0.2">
      <c r="A15" s="6" t="s">
        <v>47</v>
      </c>
      <c r="B15" s="12">
        <f>-'Income Statement'!C8</f>
        <v>-168435</v>
      </c>
      <c r="C15" s="12">
        <f>-'Income Statement'!D8</f>
        <v>-173797</v>
      </c>
      <c r="D15" s="12">
        <f>-'Income Statement'!E8</f>
        <v>-113842</v>
      </c>
      <c r="E15" s="43">
        <v>-250000</v>
      </c>
      <c r="F15" s="43">
        <v>-200000</v>
      </c>
      <c r="G15" s="21">
        <f>G17*C11</f>
        <v>-171440</v>
      </c>
      <c r="H15" s="21">
        <f>H17*D11</f>
        <v>-93310</v>
      </c>
      <c r="I15" s="21">
        <f>AVERAGE(G15:H15)</f>
        <v>-132375</v>
      </c>
    </row>
    <row r="16" spans="1:10" s="9" customFormat="1" x14ac:dyDescent="0.2">
      <c r="A16" s="17" t="s">
        <v>99</v>
      </c>
      <c r="B16" s="18"/>
      <c r="C16" s="19">
        <f>(C15-B15)/ABS(B15)</f>
        <v>-3.1834238727105411E-2</v>
      </c>
      <c r="D16" s="22">
        <f>(D15-C15)/ABS(C15)</f>
        <v>0.34497143218812754</v>
      </c>
      <c r="E16" s="22">
        <f t="shared" ref="E16:I16" si="2">(E15-D15)/ABS(D15)</f>
        <v>-1.1960260712215176</v>
      </c>
      <c r="F16" s="22">
        <f t="shared" si="2"/>
        <v>0.2</v>
      </c>
      <c r="G16" s="22">
        <f t="shared" si="2"/>
        <v>0.14280000000000001</v>
      </c>
      <c r="H16" s="22">
        <f t="shared" si="2"/>
        <v>0.45572795146990203</v>
      </c>
      <c r="I16" s="22">
        <f t="shared" si="2"/>
        <v>-0.41865823598756829</v>
      </c>
    </row>
    <row r="17" spans="1:10" s="9" customFormat="1" x14ac:dyDescent="0.2">
      <c r="A17" s="17" t="s">
        <v>100</v>
      </c>
      <c r="B17" s="19">
        <f>B15/B11</f>
        <v>-5.4027136258660509</v>
      </c>
      <c r="C17" s="19">
        <f t="shared" ref="C17:D17" si="3">C15/C11</f>
        <v>-5.0687412505832947</v>
      </c>
      <c r="D17" s="19">
        <f t="shared" si="3"/>
        <v>-6.1002036223341554</v>
      </c>
      <c r="E17" s="19">
        <f>E15/E11</f>
        <v>-0.31350821891892688</v>
      </c>
      <c r="F17" s="19">
        <f t="shared" ref="F17" si="4">F15/F11</f>
        <v>-5.246999479814677E-2</v>
      </c>
      <c r="G17" s="42">
        <v>-5</v>
      </c>
      <c r="H17" s="42">
        <v>-5</v>
      </c>
      <c r="I17" s="19">
        <f>I15/I11</f>
        <v>-4.5064592815093153E-2</v>
      </c>
    </row>
    <row r="18" spans="1:10" x14ac:dyDescent="0.2">
      <c r="A18" s="6"/>
      <c r="B18" s="12"/>
      <c r="C18" s="12"/>
      <c r="D18" s="12"/>
      <c r="E18" s="12"/>
      <c r="F18" s="12"/>
      <c r="G18" s="12"/>
      <c r="H18" s="12"/>
      <c r="I18" s="12"/>
    </row>
    <row r="19" spans="1:10" x14ac:dyDescent="0.2">
      <c r="A19" s="6" t="s">
        <v>48</v>
      </c>
      <c r="B19" s="12">
        <f>-'Income Statement'!C9</f>
        <v>0</v>
      </c>
      <c r="C19" s="12">
        <f>-'Income Statement'!D9</f>
        <v>0</v>
      </c>
      <c r="D19" s="12">
        <f>-'Income Statement'!E9</f>
        <v>9016</v>
      </c>
      <c r="E19" s="12">
        <f>AVERAGE(B19:D19)</f>
        <v>3005.3333333333335</v>
      </c>
      <c r="F19" s="12">
        <f t="shared" ref="F19:I19" si="5">AVERAGE(C19:E19)</f>
        <v>4007.1111111111113</v>
      </c>
      <c r="G19" s="12">
        <f t="shared" si="5"/>
        <v>5342.8148148148148</v>
      </c>
      <c r="H19" s="12">
        <f t="shared" si="5"/>
        <v>4118.4197530864194</v>
      </c>
      <c r="I19" s="12">
        <f t="shared" si="5"/>
        <v>4489.4485596707818</v>
      </c>
    </row>
    <row r="20" spans="1:10" x14ac:dyDescent="0.2">
      <c r="A20" s="6"/>
      <c r="B20" s="12"/>
      <c r="C20" s="12"/>
      <c r="D20" s="12"/>
      <c r="E20" s="12"/>
      <c r="F20" s="12"/>
      <c r="G20" s="12"/>
      <c r="H20" s="12"/>
      <c r="I20" s="12"/>
    </row>
    <row r="21" spans="1:10" x14ac:dyDescent="0.2">
      <c r="A21" s="6" t="s">
        <v>49</v>
      </c>
      <c r="B21" s="12">
        <f>-'Income Statement'!C10</f>
        <v>-34451</v>
      </c>
      <c r="C21" s="12">
        <f>-'Income Statement'!D10</f>
        <v>-34409</v>
      </c>
      <c r="D21" s="12">
        <f>-'Income Statement'!E10</f>
        <v>-34417</v>
      </c>
      <c r="E21" s="21">
        <f>D21*(1+E22)</f>
        <v>-34761.17</v>
      </c>
      <c r="F21" s="21">
        <f t="shared" ref="F21:I21" si="6">E21*(1+F22)</f>
        <v>-35108.7817</v>
      </c>
      <c r="G21" s="21">
        <f t="shared" si="6"/>
        <v>-35459.869516999999</v>
      </c>
      <c r="H21" s="21">
        <f t="shared" si="6"/>
        <v>-35814.468212170003</v>
      </c>
      <c r="I21" s="21">
        <f t="shared" si="6"/>
        <v>-36172.612894291706</v>
      </c>
    </row>
    <row r="22" spans="1:10" x14ac:dyDescent="0.2">
      <c r="A22" s="17" t="s">
        <v>99</v>
      </c>
      <c r="B22" s="18"/>
      <c r="C22" s="20">
        <f>(C21-B21)/ABS(B21)</f>
        <v>1.2191228121099533E-3</v>
      </c>
      <c r="D22" s="20">
        <f>(D21-C21)/ABS(C21)</f>
        <v>-2.3249731174983289E-4</v>
      </c>
      <c r="E22" s="44">
        <v>0.01</v>
      </c>
      <c r="F22" s="44">
        <v>0.01</v>
      </c>
      <c r="G22" s="44">
        <v>0.01</v>
      </c>
      <c r="H22" s="44">
        <v>0.01</v>
      </c>
      <c r="I22" s="44">
        <v>0.01</v>
      </c>
    </row>
    <row r="23" spans="1:10" x14ac:dyDescent="0.2">
      <c r="A23" s="17" t="s">
        <v>100</v>
      </c>
      <c r="B23" s="19">
        <f>B21/B11</f>
        <v>-1.1050487554529125</v>
      </c>
      <c r="C23" s="19">
        <f>C21/C11</f>
        <v>-1.003528931404573</v>
      </c>
      <c r="D23" s="19">
        <f>D21/D11</f>
        <v>-1.8442289143714501</v>
      </c>
      <c r="E23" s="19">
        <f t="shared" ref="E23:I23" si="7">E21/E11</f>
        <v>-4.3591649976952133E-2</v>
      </c>
      <c r="F23" s="19">
        <f t="shared" si="7"/>
        <v>-9.2107879658413529E-3</v>
      </c>
      <c r="G23" s="19">
        <f t="shared" si="7"/>
        <v>-1.7890184318268779E-2</v>
      </c>
      <c r="H23" s="19">
        <f t="shared" si="7"/>
        <v>-1.5850075580220585E-2</v>
      </c>
      <c r="I23" s="19">
        <f t="shared" si="7"/>
        <v>-1.2314289489248301E-2</v>
      </c>
    </row>
    <row r="24" spans="1:10" x14ac:dyDescent="0.2">
      <c r="A24" s="17"/>
      <c r="B24" s="19"/>
      <c r="C24" s="19"/>
      <c r="D24" s="19"/>
      <c r="E24" s="4"/>
      <c r="F24" s="4"/>
      <c r="G24" s="4"/>
      <c r="H24" s="4"/>
      <c r="I24" s="4"/>
    </row>
    <row r="25" spans="1:10" s="8" customFormat="1" x14ac:dyDescent="0.2">
      <c r="A25" s="7" t="s">
        <v>50</v>
      </c>
      <c r="B25" s="15">
        <f t="shared" ref="B25:I25" si="8">B15+B19+B21</f>
        <v>-202886</v>
      </c>
      <c r="C25" s="15">
        <f t="shared" si="8"/>
        <v>-208206</v>
      </c>
      <c r="D25" s="15">
        <f t="shared" si="8"/>
        <v>-139243</v>
      </c>
      <c r="E25" s="15">
        <f t="shared" si="8"/>
        <v>-281755.83666666667</v>
      </c>
      <c r="F25" s="15">
        <f t="shared" si="8"/>
        <v>-231101.67058888887</v>
      </c>
      <c r="G25" s="15">
        <f t="shared" si="8"/>
        <v>-201557.05470218521</v>
      </c>
      <c r="H25" s="15">
        <f t="shared" si="8"/>
        <v>-125006.04845908358</v>
      </c>
      <c r="I25" s="15">
        <f t="shared" si="8"/>
        <v>-164058.16433462093</v>
      </c>
    </row>
    <row r="26" spans="1:10" x14ac:dyDescent="0.2">
      <c r="A26" s="17" t="s">
        <v>99</v>
      </c>
      <c r="B26" s="18"/>
      <c r="C26" s="20">
        <f>(C25-B25)/ABS(B25)</f>
        <v>-2.6221621994617667E-2</v>
      </c>
      <c r="D26" s="20">
        <f>(D25-C25)/ABS(C25)</f>
        <v>0.33122484462503482</v>
      </c>
      <c r="E26" s="20">
        <f t="shared" ref="E26:I26" si="9">(E25-D25)/ABS(D25)</f>
        <v>-1.0234829518659228</v>
      </c>
      <c r="F26" s="20">
        <f t="shared" si="9"/>
        <v>0.17978036117031565</v>
      </c>
      <c r="G26" s="20">
        <f t="shared" si="9"/>
        <v>0.12784250244240394</v>
      </c>
      <c r="H26" s="20">
        <f t="shared" si="9"/>
        <v>0.37979819836230067</v>
      </c>
      <c r="I26" s="20">
        <f t="shared" si="9"/>
        <v>-0.31240181060774597</v>
      </c>
    </row>
    <row r="27" spans="1:10" x14ac:dyDescent="0.2">
      <c r="A27" s="17" t="s">
        <v>100</v>
      </c>
      <c r="B27" s="19">
        <f>B25/B11</f>
        <v>-6.5077623813189636</v>
      </c>
      <c r="C27" s="19">
        <f t="shared" ref="C27:I27" si="10">C25/C11</f>
        <v>-6.0722701819878671</v>
      </c>
      <c r="D27" s="19">
        <f t="shared" si="10"/>
        <v>-7.4613117565105558</v>
      </c>
      <c r="E27" s="19">
        <f t="shared" si="10"/>
        <v>-0.35333108209351499</v>
      </c>
      <c r="F27" s="19">
        <f t="shared" si="10"/>
        <v>-6.0629517268210135E-2</v>
      </c>
      <c r="G27" s="19">
        <f t="shared" si="10"/>
        <v>-0.10168940011301386</v>
      </c>
      <c r="H27" s="19">
        <f t="shared" si="10"/>
        <v>-5.53227624189018E-2</v>
      </c>
      <c r="I27" s="19">
        <f t="shared" si="10"/>
        <v>-5.585053351260684E-2</v>
      </c>
    </row>
    <row r="28" spans="1:10" x14ac:dyDescent="0.2">
      <c r="A28" s="6"/>
      <c r="B28" s="4"/>
      <c r="C28" s="4"/>
      <c r="D28" s="4"/>
      <c r="E28" s="4"/>
      <c r="F28" s="4"/>
      <c r="G28" s="4"/>
      <c r="H28" s="4"/>
      <c r="I28" s="4"/>
    </row>
    <row r="29" spans="1:10" s="8" customFormat="1" x14ac:dyDescent="0.2">
      <c r="A29" s="7" t="s">
        <v>51</v>
      </c>
      <c r="B29" s="15">
        <f t="shared" ref="B29:I29" si="11">B11+B25</f>
        <v>-171710</v>
      </c>
      <c r="C29" s="15">
        <f t="shared" si="11"/>
        <v>-173918</v>
      </c>
      <c r="D29" s="15">
        <f t="shared" si="11"/>
        <v>-120581</v>
      </c>
      <c r="E29" s="15">
        <f t="shared" si="11"/>
        <v>515671.42333333322</v>
      </c>
      <c r="F29" s="15">
        <f t="shared" si="11"/>
        <v>3580600.6322111101</v>
      </c>
      <c r="G29" s="15">
        <f t="shared" si="11"/>
        <v>1780528.1427538143</v>
      </c>
      <c r="H29" s="15">
        <f t="shared" si="11"/>
        <v>2134571.0766407559</v>
      </c>
      <c r="I29" s="15">
        <f t="shared" si="11"/>
        <v>2773392.0982951708</v>
      </c>
      <c r="J29" s="15"/>
    </row>
    <row r="30" spans="1:10" s="8" customFormat="1" x14ac:dyDescent="0.2">
      <c r="A30" s="17" t="s">
        <v>99</v>
      </c>
      <c r="B30" s="18"/>
      <c r="C30" s="20">
        <f>(C29-B29)/ABS(B29)</f>
        <v>-1.2858889988934832E-2</v>
      </c>
      <c r="D30" s="20">
        <f>(D29-C29)/ABS(C29)</f>
        <v>0.30667900964822503</v>
      </c>
      <c r="E30" s="20">
        <f t="shared" ref="E30:I30" si="12">(E29-D29)/ABS(D29)</f>
        <v>5.2765562015021708</v>
      </c>
      <c r="F30" s="20">
        <f t="shared" si="12"/>
        <v>5.9435700141494703</v>
      </c>
      <c r="G30" s="20">
        <f t="shared" si="12"/>
        <v>-0.50272919947112504</v>
      </c>
      <c r="H30" s="20">
        <f t="shared" si="12"/>
        <v>0.19884152650312445</v>
      </c>
      <c r="I30" s="20">
        <f t="shared" si="12"/>
        <v>0.29927371763124816</v>
      </c>
      <c r="J30" s="15"/>
    </row>
    <row r="31" spans="1:10" s="8" customFormat="1" x14ac:dyDescent="0.2">
      <c r="A31" s="17" t="s">
        <v>100</v>
      </c>
      <c r="B31" s="19">
        <f>B29/B11</f>
        <v>-5.5077623813189636</v>
      </c>
      <c r="C31" s="19">
        <f t="shared" ref="C31:D31" si="13">C29/C11</f>
        <v>-5.0722701819878671</v>
      </c>
      <c r="D31" s="19">
        <f t="shared" si="13"/>
        <v>-6.4613117565105558</v>
      </c>
      <c r="E31" s="19">
        <f t="shared" ref="E31:I31" si="14">E29/E11</f>
        <v>0.64666891790648506</v>
      </c>
      <c r="F31" s="19">
        <f t="shared" si="14"/>
        <v>0.93937048273178991</v>
      </c>
      <c r="G31" s="19">
        <f t="shared" si="14"/>
        <v>0.89831059988698625</v>
      </c>
      <c r="H31" s="19">
        <f t="shared" si="14"/>
        <v>0.94467723758109812</v>
      </c>
      <c r="I31" s="19">
        <f t="shared" si="14"/>
        <v>0.94414946648739317</v>
      </c>
      <c r="J31" s="15"/>
    </row>
    <row r="32" spans="1:10" x14ac:dyDescent="0.2">
      <c r="A32" s="6"/>
      <c r="B32" s="4"/>
      <c r="C32" s="4"/>
      <c r="D32" s="4"/>
      <c r="E32" s="4"/>
      <c r="F32" s="4"/>
      <c r="G32" s="4"/>
      <c r="H32" s="4"/>
      <c r="I32" s="4"/>
    </row>
    <row r="33" spans="1:10" x14ac:dyDescent="0.2">
      <c r="A33" s="7" t="s">
        <v>52</v>
      </c>
      <c r="B33" s="4"/>
      <c r="C33" s="4"/>
      <c r="D33" s="4"/>
      <c r="E33" s="4"/>
      <c r="F33" s="4"/>
      <c r="G33" s="4"/>
      <c r="H33" s="4"/>
      <c r="I33" s="4"/>
    </row>
    <row r="34" spans="1:10" x14ac:dyDescent="0.2">
      <c r="A34" s="6" t="s">
        <v>53</v>
      </c>
      <c r="B34" s="12">
        <f>'Income Statement'!C14</f>
        <v>1946</v>
      </c>
      <c r="C34" s="12">
        <f>'Income Statement'!D14</f>
        <v>2674</v>
      </c>
      <c r="D34" s="12">
        <f>'Income Statement'!E14</f>
        <v>1512</v>
      </c>
      <c r="E34" s="4">
        <f>AVERAGE(B34:D34)</f>
        <v>2044</v>
      </c>
      <c r="F34" s="4">
        <f t="shared" ref="F34:I34" si="15">AVERAGE(C34:E34)</f>
        <v>2076.6666666666665</v>
      </c>
      <c r="G34" s="4">
        <f t="shared" si="15"/>
        <v>1877.5555555555554</v>
      </c>
      <c r="H34" s="4">
        <f t="shared" si="15"/>
        <v>1999.4074074074072</v>
      </c>
      <c r="I34" s="4">
        <f t="shared" si="15"/>
        <v>1984.543209876543</v>
      </c>
    </row>
    <row r="35" spans="1:10" x14ac:dyDescent="0.2">
      <c r="A35" s="6" t="s">
        <v>54</v>
      </c>
      <c r="B35" s="12">
        <f>'Income Statement'!C15</f>
        <v>-14072</v>
      </c>
      <c r="C35" s="12">
        <f>'Income Statement'!D15</f>
        <v>-13612</v>
      </c>
      <c r="D35" s="12">
        <f>'Income Statement'!E15</f>
        <v>-13612</v>
      </c>
      <c r="E35" s="4">
        <f>AVERAGE(B35:D35)</f>
        <v>-13765.333333333334</v>
      </c>
      <c r="F35" s="4">
        <f t="shared" ref="F35:I35" si="16">AVERAGE(C35:E35)</f>
        <v>-13663.111111111111</v>
      </c>
      <c r="G35" s="4">
        <f t="shared" si="16"/>
        <v>-13680.148148148148</v>
      </c>
      <c r="H35" s="4">
        <f t="shared" si="16"/>
        <v>-13702.864197530864</v>
      </c>
      <c r="I35" s="4">
        <f t="shared" si="16"/>
        <v>-13682.041152263375</v>
      </c>
    </row>
    <row r="36" spans="1:10" x14ac:dyDescent="0.2">
      <c r="A36" s="6" t="s">
        <v>55</v>
      </c>
      <c r="B36" s="12">
        <f>'Income Statement'!C16</f>
        <v>67</v>
      </c>
      <c r="C36" s="12">
        <f>'Income Statement'!D16</f>
        <v>108</v>
      </c>
      <c r="D36" s="12">
        <f>'Income Statement'!E16</f>
        <v>-13</v>
      </c>
      <c r="E36" s="4">
        <f ca="1">AVERAGE(B36:E36)</f>
        <v>54</v>
      </c>
      <c r="F36" s="4">
        <f t="shared" ref="F36:I36" ca="1" si="17">AVERAGE(C36:F36)</f>
        <v>49.666666666666671</v>
      </c>
      <c r="G36" s="4">
        <f t="shared" ca="1" si="17"/>
        <v>30.222222222222225</v>
      </c>
      <c r="H36" s="4">
        <f t="shared" ca="1" si="17"/>
        <v>44.629629629629633</v>
      </c>
      <c r="I36" s="4">
        <f t="shared" ca="1" si="17"/>
        <v>41.506172839506178</v>
      </c>
    </row>
    <row r="37" spans="1:10" x14ac:dyDescent="0.2">
      <c r="A37" s="6"/>
      <c r="B37" s="4"/>
      <c r="C37" s="4"/>
      <c r="D37" s="4"/>
      <c r="E37" s="4"/>
      <c r="F37" s="4"/>
      <c r="G37" s="4"/>
      <c r="H37" s="4"/>
      <c r="I37" s="4"/>
    </row>
    <row r="38" spans="1:10" s="8" customFormat="1" x14ac:dyDescent="0.2">
      <c r="A38" s="7" t="s">
        <v>56</v>
      </c>
      <c r="B38" s="15">
        <f t="shared" ref="B38:I38" si="18">B29+B33+B34+B35+B36</f>
        <v>-183769</v>
      </c>
      <c r="C38" s="15">
        <f t="shared" si="18"/>
        <v>-184748</v>
      </c>
      <c r="D38" s="15">
        <f t="shared" si="18"/>
        <v>-132694</v>
      </c>
      <c r="E38" s="15">
        <f t="shared" ca="1" si="18"/>
        <v>504004.08999999991</v>
      </c>
      <c r="F38" s="15">
        <f t="shared" ca="1" si="18"/>
        <v>3569063.8544333321</v>
      </c>
      <c r="G38" s="15">
        <f t="shared" ca="1" si="18"/>
        <v>1768755.772383444</v>
      </c>
      <c r="H38" s="15">
        <f t="shared" ca="1" si="18"/>
        <v>2122912.2494802619</v>
      </c>
      <c r="I38" s="15">
        <f t="shared" ca="1" si="18"/>
        <v>2761736.1065256232</v>
      </c>
      <c r="J38" s="15"/>
    </row>
    <row r="39" spans="1:10" x14ac:dyDescent="0.2">
      <c r="A39" s="6"/>
    </row>
    <row r="40" spans="1:10" x14ac:dyDescent="0.2">
      <c r="A40" s="6" t="s">
        <v>101</v>
      </c>
      <c r="B40" s="12">
        <f>'Cash Flow'!E7</f>
        <v>9817</v>
      </c>
      <c r="C40" s="41">
        <f>'Cash Flow'!D7</f>
        <v>8159</v>
      </c>
      <c r="D40" s="41">
        <f>'Cash Flow'!C7</f>
        <v>5676</v>
      </c>
      <c r="E40" s="46">
        <f>AVERAGE(B40:D40)</f>
        <v>7884</v>
      </c>
      <c r="F40" s="46">
        <f t="shared" ref="F40:I40" si="19">AVERAGE(C40:E40)</f>
        <v>7239.666666666667</v>
      </c>
      <c r="G40" s="46">
        <f t="shared" si="19"/>
        <v>6933.2222222222226</v>
      </c>
      <c r="H40" s="46">
        <f t="shared" si="19"/>
        <v>7352.2962962962965</v>
      </c>
      <c r="I40" s="46">
        <f t="shared" si="19"/>
        <v>7175.0617283950623</v>
      </c>
    </row>
    <row r="41" spans="1:10" x14ac:dyDescent="0.2">
      <c r="A41" s="17" t="s">
        <v>99</v>
      </c>
      <c r="B41" s="18"/>
      <c r="C41" s="19">
        <f>(C40-B40)/ABS(B40)</f>
        <v>-0.16889069980645818</v>
      </c>
      <c r="D41" s="19">
        <f>(D40-C40)/ABS(C40)</f>
        <v>-0.30432651060178945</v>
      </c>
      <c r="E41" s="19">
        <f t="shared" ref="E41:I41" si="20">(E40-D40)/ABS(D40)</f>
        <v>0.38900634249471461</v>
      </c>
      <c r="F41" s="19">
        <f t="shared" si="20"/>
        <v>-8.1726703872822562E-2</v>
      </c>
      <c r="G41" s="19">
        <f t="shared" si="20"/>
        <v>-4.2328529551698191E-2</v>
      </c>
      <c r="H41" s="19">
        <f t="shared" si="20"/>
        <v>6.0444344727746679E-2</v>
      </c>
      <c r="I41" s="19">
        <f t="shared" si="20"/>
        <v>-2.4106015421401845E-2</v>
      </c>
    </row>
    <row r="42" spans="1:10" x14ac:dyDescent="0.2">
      <c r="A42" s="17" t="s">
        <v>100</v>
      </c>
      <c r="B42" s="19">
        <f>B40/B11</f>
        <v>0.31488965871182961</v>
      </c>
      <c r="C42" s="19">
        <f t="shared" ref="C42:I42" si="21">C40/C11</f>
        <v>0.23795496966868876</v>
      </c>
      <c r="D42" s="19">
        <f t="shared" si="21"/>
        <v>0.30414746543778803</v>
      </c>
      <c r="E42" s="19">
        <f t="shared" si="21"/>
        <v>9.8867951918272783E-3</v>
      </c>
      <c r="F42" s="19">
        <f t="shared" si="21"/>
        <v>1.899326361701583E-3</v>
      </c>
      <c r="G42" s="19">
        <f t="shared" si="21"/>
        <v>3.4979435955230344E-3</v>
      </c>
      <c r="H42" s="19">
        <f t="shared" si="21"/>
        <v>3.2538372842535459E-3</v>
      </c>
      <c r="I42" s="19">
        <f t="shared" si="21"/>
        <v>2.442615563461998E-3</v>
      </c>
    </row>
    <row r="43" spans="1:10" x14ac:dyDescent="0.2">
      <c r="A43" s="17"/>
      <c r="B43" s="19"/>
      <c r="C43" s="19"/>
      <c r="D43" s="19"/>
    </row>
    <row r="44" spans="1:10" x14ac:dyDescent="0.2">
      <c r="A44" s="6" t="s">
        <v>102</v>
      </c>
      <c r="B44" s="4">
        <f>'Cash Flow'!E13</f>
        <v>19809</v>
      </c>
      <c r="C44" s="4">
        <f>'Cash Flow'!D13</f>
        <v>18314</v>
      </c>
      <c r="D44" s="4">
        <f>'Cash Flow'!C13</f>
        <v>17048</v>
      </c>
      <c r="E44" s="43">
        <f>AVERAGE(B44:D44)</f>
        <v>18390.333333333332</v>
      </c>
      <c r="F44" s="43">
        <f t="shared" ref="F44:I44" si="22">AVERAGE(C44:E44)</f>
        <v>17917.444444444442</v>
      </c>
      <c r="G44" s="43">
        <f t="shared" si="22"/>
        <v>17785.259259259255</v>
      </c>
      <c r="H44" s="43">
        <f t="shared" si="22"/>
        <v>18031.01234567901</v>
      </c>
      <c r="I44" s="43">
        <f t="shared" si="22"/>
        <v>17911.238683127569</v>
      </c>
    </row>
    <row r="45" spans="1:10" x14ac:dyDescent="0.2">
      <c r="A45" s="17" t="s">
        <v>99</v>
      </c>
      <c r="B45" s="18"/>
      <c r="C45" s="20">
        <f>(C44-B44)/ABS(B44)</f>
        <v>-7.5470745620677473E-2</v>
      </c>
      <c r="D45" s="20">
        <f>(D44-C44)/ABS(C44)</f>
        <v>-6.9127443485857809E-2</v>
      </c>
      <c r="E45" s="20">
        <f t="shared" ref="E45:I45" si="23">(E44-D44)/ABS(D44)</f>
        <v>7.8738463944939704E-2</v>
      </c>
      <c r="F45" s="20">
        <f t="shared" si="23"/>
        <v>-2.5713992254384942E-2</v>
      </c>
      <c r="G45" s="20">
        <f t="shared" si="23"/>
        <v>-7.3774575160562043E-3</v>
      </c>
      <c r="H45" s="20">
        <f t="shared" si="23"/>
        <v>1.3817796121909877E-2</v>
      </c>
      <c r="I45" s="20">
        <f t="shared" si="23"/>
        <v>-6.64264769249873E-3</v>
      </c>
    </row>
    <row r="46" spans="1:10" x14ac:dyDescent="0.2">
      <c r="A46" s="17" t="s">
        <v>100</v>
      </c>
      <c r="B46" s="19">
        <f>B44/B11</f>
        <v>0.63539260969976907</v>
      </c>
      <c r="C46" s="19">
        <f t="shared" ref="C46:D46" si="24">C44/C11</f>
        <v>0.5341227251516566</v>
      </c>
      <c r="D46" s="19">
        <f t="shared" si="24"/>
        <v>0.91351409280891649</v>
      </c>
      <c r="E46" s="19">
        <f t="shared" ref="E46:I46" si="25">E44/E11</f>
        <v>2.3062082594634818E-2</v>
      </c>
      <c r="F46" s="19">
        <f t="shared" si="25"/>
        <v>4.7006410839804183E-3</v>
      </c>
      <c r="G46" s="19">
        <f t="shared" si="25"/>
        <v>8.9730044309329297E-3</v>
      </c>
      <c r="H46" s="19">
        <f t="shared" si="25"/>
        <v>7.9798171725969785E-3</v>
      </c>
      <c r="I46" s="19">
        <f t="shared" si="25"/>
        <v>6.0975461988222032E-3</v>
      </c>
    </row>
    <row r="47" spans="1:10" x14ac:dyDescent="0.2">
      <c r="A47" s="6"/>
    </row>
    <row r="48" spans="1:10" x14ac:dyDescent="0.2">
      <c r="A48" s="7" t="s">
        <v>103</v>
      </c>
      <c r="B48" s="15">
        <f>B38+B40+B44</f>
        <v>-154143</v>
      </c>
      <c r="C48" s="15">
        <f t="shared" ref="C48:I48" si="26">C38+C40+C44</f>
        <v>-158275</v>
      </c>
      <c r="D48" s="15">
        <f t="shared" si="26"/>
        <v>-109970</v>
      </c>
      <c r="E48" s="15">
        <f t="shared" ca="1" si="26"/>
        <v>530278.42333333322</v>
      </c>
      <c r="F48" s="15">
        <f t="shared" ca="1" si="26"/>
        <v>3594220.9655444431</v>
      </c>
      <c r="G48" s="15">
        <f t="shared" ca="1" si="26"/>
        <v>1793474.2538649256</v>
      </c>
      <c r="H48" s="15">
        <f t="shared" ca="1" si="26"/>
        <v>2148295.5581222372</v>
      </c>
      <c r="I48" s="15">
        <f t="shared" ca="1" si="26"/>
        <v>2786822.4069371461</v>
      </c>
    </row>
    <row r="49" spans="1:9" s="68" customFormat="1" x14ac:dyDescent="0.2">
      <c r="A49" s="67" t="s">
        <v>100</v>
      </c>
      <c r="B49" s="69">
        <f>B48/B11</f>
        <v>-4.9442840646651272</v>
      </c>
      <c r="C49" s="69">
        <f t="shared" ref="C49:I49" si="27">C48/C11</f>
        <v>-4.6160464302379838</v>
      </c>
      <c r="D49" s="69">
        <f t="shared" si="27"/>
        <v>-5.8927231807951985</v>
      </c>
      <c r="E49" s="69">
        <f t="shared" ca="1" si="27"/>
        <v>0.66498657612148004</v>
      </c>
      <c r="F49" s="69">
        <f t="shared" ca="1" si="27"/>
        <v>0.94294377682753494</v>
      </c>
      <c r="G49" s="69">
        <f t="shared" ca="1" si="27"/>
        <v>0.90484216125868078</v>
      </c>
      <c r="H49" s="69">
        <f t="shared" ca="1" si="27"/>
        <v>0.95075115350502348</v>
      </c>
      <c r="I49" s="69">
        <f t="shared" ca="1" si="27"/>
        <v>0.94872156386478046</v>
      </c>
    </row>
    <row r="50" spans="1:9" x14ac:dyDescent="0.2">
      <c r="A50" s="7"/>
      <c r="B50" s="15"/>
      <c r="C50" s="15"/>
      <c r="D50" s="15"/>
      <c r="E50" s="15"/>
      <c r="F50" s="15"/>
      <c r="G50" s="15"/>
      <c r="H50" s="15"/>
      <c r="I50" s="15"/>
    </row>
    <row r="51" spans="1:9" x14ac:dyDescent="0.2">
      <c r="A51" s="37" t="s">
        <v>130</v>
      </c>
      <c r="B51" s="38"/>
      <c r="C51" s="38"/>
      <c r="D51" s="38"/>
      <c r="E51" s="38"/>
      <c r="F51" s="38">
        <f>F98</f>
        <v>1808000</v>
      </c>
      <c r="G51" s="38">
        <f>G98</f>
        <v>542400</v>
      </c>
      <c r="H51" s="38">
        <f>H98</f>
        <v>0</v>
      </c>
      <c r="I51" s="38">
        <f>I98</f>
        <v>0</v>
      </c>
    </row>
    <row r="52" spans="1:9" s="8" customFormat="1" ht="17" thickBot="1" x14ac:dyDescent="0.25">
      <c r="A52" s="39" t="s">
        <v>131</v>
      </c>
      <c r="B52" s="40"/>
      <c r="C52" s="40"/>
      <c r="D52" s="40"/>
      <c r="E52" s="40"/>
      <c r="F52" s="40">
        <f ca="1">F48+F51</f>
        <v>5402220.9655444436</v>
      </c>
      <c r="G52" s="40">
        <f t="shared" ref="G52:I52" ca="1" si="28">G48+G51</f>
        <v>2335874.2538649254</v>
      </c>
      <c r="H52" s="40">
        <f t="shared" ca="1" si="28"/>
        <v>2148295.5581222372</v>
      </c>
      <c r="I52" s="40">
        <f t="shared" ca="1" si="28"/>
        <v>2786822.4069371461</v>
      </c>
    </row>
    <row r="53" spans="1:9" x14ac:dyDescent="0.2">
      <c r="A53" s="6"/>
    </row>
    <row r="54" spans="1:9" x14ac:dyDescent="0.2">
      <c r="A54" s="25" t="s">
        <v>104</v>
      </c>
      <c r="B54" s="26"/>
      <c r="C54" s="26"/>
      <c r="D54" s="26"/>
      <c r="E54" s="26"/>
      <c r="F54" s="26"/>
      <c r="G54" s="26"/>
      <c r="H54" s="26"/>
      <c r="I54" s="26"/>
    </row>
    <row r="56" spans="1:9" x14ac:dyDescent="0.2">
      <c r="A56" s="8" t="s">
        <v>110</v>
      </c>
    </row>
    <row r="57" spans="1:9" x14ac:dyDescent="0.2">
      <c r="A57" t="s">
        <v>105</v>
      </c>
      <c r="C57" s="4">
        <f>BS!D10</f>
        <v>119276</v>
      </c>
      <c r="D57" s="4">
        <f>BS!C10</f>
        <v>97247</v>
      </c>
    </row>
    <row r="58" spans="1:9" x14ac:dyDescent="0.2">
      <c r="A58" t="s">
        <v>106</v>
      </c>
      <c r="C58" s="4">
        <f>BS!D23</f>
        <v>45539</v>
      </c>
      <c r="D58" s="4">
        <f>BS!C23</f>
        <v>25795</v>
      </c>
    </row>
    <row r="60" spans="1:9" x14ac:dyDescent="0.2">
      <c r="A60" s="8" t="s">
        <v>107</v>
      </c>
      <c r="B60" s="8"/>
      <c r="C60" s="15">
        <f>C57-C58</f>
        <v>73737</v>
      </c>
      <c r="D60" s="15">
        <f>D57-D58</f>
        <v>71452</v>
      </c>
      <c r="E60" s="47">
        <f>AVERAGE(C60:D60)</f>
        <v>72594.5</v>
      </c>
      <c r="F60" s="47">
        <f t="shared" ref="F60:I60" si="29">AVERAGE(D60:E60)</f>
        <v>72023.25</v>
      </c>
      <c r="G60" s="47">
        <f t="shared" si="29"/>
        <v>72308.875</v>
      </c>
      <c r="H60" s="47">
        <f t="shared" si="29"/>
        <v>72166.0625</v>
      </c>
      <c r="I60" s="47">
        <f t="shared" si="29"/>
        <v>72237.46875</v>
      </c>
    </row>
    <row r="61" spans="1:9" x14ac:dyDescent="0.2">
      <c r="C61" s="1"/>
      <c r="D61" s="1"/>
    </row>
    <row r="62" spans="1:9" x14ac:dyDescent="0.2">
      <c r="A62" s="8" t="s">
        <v>108</v>
      </c>
    </row>
    <row r="63" spans="1:9" x14ac:dyDescent="0.2">
      <c r="A63" t="s">
        <v>109</v>
      </c>
      <c r="C63" s="4">
        <f>BS!D12</f>
        <v>28426</v>
      </c>
      <c r="D63" s="4">
        <f>BS!C12</f>
        <v>11445</v>
      </c>
      <c r="E63" s="23">
        <f>ABS(E64*D25)</f>
        <v>13924.300000000001</v>
      </c>
      <c r="F63" s="23">
        <f t="shared" ref="F63:I63" si="30">ABS(F64*E25)</f>
        <v>30993.142033333334</v>
      </c>
      <c r="G63" s="23">
        <f t="shared" si="30"/>
        <v>27732.200470666663</v>
      </c>
      <c r="H63" s="23">
        <f t="shared" si="30"/>
        <v>26202.417111284078</v>
      </c>
      <c r="I63" s="23">
        <f t="shared" si="30"/>
        <v>17500.846784271704</v>
      </c>
    </row>
    <row r="64" spans="1:9" x14ac:dyDescent="0.2">
      <c r="C64" s="1">
        <f>-C63/C25</f>
        <v>0.1365282460639943</v>
      </c>
      <c r="D64" s="1">
        <f>-D63/D25</f>
        <v>8.2194437063263501E-2</v>
      </c>
      <c r="E64" s="48">
        <v>0.1</v>
      </c>
      <c r="F64" s="48">
        <v>0.11</v>
      </c>
      <c r="G64" s="48">
        <v>0.12</v>
      </c>
      <c r="H64" s="48">
        <v>0.13</v>
      </c>
      <c r="I64" s="48">
        <v>0.14000000000000001</v>
      </c>
    </row>
    <row r="65" spans="1:10" x14ac:dyDescent="0.2">
      <c r="C65" s="1"/>
      <c r="D65" s="1"/>
      <c r="E65" s="16"/>
      <c r="F65" s="29"/>
      <c r="G65" s="29"/>
      <c r="H65" s="16"/>
      <c r="I65" s="16"/>
    </row>
    <row r="66" spans="1:10" x14ac:dyDescent="0.2">
      <c r="A66" s="24" t="s">
        <v>111</v>
      </c>
      <c r="B66" s="24"/>
      <c r="C66" s="24"/>
      <c r="D66" s="24"/>
      <c r="E66" s="24"/>
      <c r="F66" s="24"/>
      <c r="G66" s="24"/>
      <c r="H66" s="24"/>
      <c r="I66" s="24"/>
    </row>
    <row r="68" spans="1:10" s="8" customFormat="1" x14ac:dyDescent="0.2">
      <c r="A68" s="8" t="s">
        <v>103</v>
      </c>
      <c r="B68" s="15">
        <f>B48</f>
        <v>-154143</v>
      </c>
      <c r="C68" s="15">
        <f t="shared" ref="C68:I68" si="31">C48</f>
        <v>-158275</v>
      </c>
      <c r="D68" s="15">
        <f t="shared" si="31"/>
        <v>-109970</v>
      </c>
      <c r="E68" s="15">
        <f t="shared" ca="1" si="31"/>
        <v>530278.42333333322</v>
      </c>
      <c r="F68" s="15">
        <f t="shared" ca="1" si="31"/>
        <v>3594220.9655444431</v>
      </c>
      <c r="G68" s="15">
        <f t="shared" ca="1" si="31"/>
        <v>1793474.2538649256</v>
      </c>
      <c r="H68" s="15">
        <f t="shared" ca="1" si="31"/>
        <v>2148295.5581222372</v>
      </c>
      <c r="I68" s="15">
        <f t="shared" ca="1" si="31"/>
        <v>2786822.4069371461</v>
      </c>
    </row>
    <row r="69" spans="1:10" s="9" customFormat="1" x14ac:dyDescent="0.2"/>
    <row r="70" spans="1:10" x14ac:dyDescent="0.2">
      <c r="A70" t="s">
        <v>112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10" x14ac:dyDescent="0.2">
      <c r="A71" t="s">
        <v>113</v>
      </c>
      <c r="B71" s="23">
        <f>-B63</f>
        <v>0</v>
      </c>
      <c r="C71" s="23">
        <f t="shared" ref="C71:I71" si="32">-C63</f>
        <v>-28426</v>
      </c>
      <c r="D71" s="23">
        <f t="shared" si="32"/>
        <v>-11445</v>
      </c>
      <c r="E71" s="23">
        <f t="shared" si="32"/>
        <v>-13924.300000000001</v>
      </c>
      <c r="F71" s="23">
        <f t="shared" si="32"/>
        <v>-30993.142033333334</v>
      </c>
      <c r="G71" s="23">
        <f t="shared" si="32"/>
        <v>-27732.200470666663</v>
      </c>
      <c r="H71" s="23">
        <f t="shared" si="32"/>
        <v>-26202.417111284078</v>
      </c>
      <c r="I71" s="23">
        <f t="shared" si="32"/>
        <v>-17500.846784271704</v>
      </c>
    </row>
    <row r="72" spans="1:10" x14ac:dyDescent="0.2">
      <c r="A72" t="s">
        <v>114</v>
      </c>
      <c r="D72" s="4">
        <f>-(C60-D60)</f>
        <v>-2285</v>
      </c>
      <c r="E72" s="4">
        <f t="shared" ref="E72:I72" si="33">-(D60-E60)</f>
        <v>1142.5</v>
      </c>
      <c r="F72" s="4">
        <f t="shared" si="33"/>
        <v>-571.25</v>
      </c>
      <c r="G72" s="4">
        <f t="shared" si="33"/>
        <v>285.625</v>
      </c>
      <c r="H72" s="4">
        <f t="shared" si="33"/>
        <v>-142.8125</v>
      </c>
      <c r="I72" s="4">
        <f t="shared" si="33"/>
        <v>71.40625</v>
      </c>
    </row>
    <row r="73" spans="1:10" x14ac:dyDescent="0.2">
      <c r="A73" s="8" t="s">
        <v>115</v>
      </c>
      <c r="B73" s="15">
        <f>B68+B70+B71+B72</f>
        <v>-154143</v>
      </c>
      <c r="C73" s="15">
        <f t="shared" ref="C73:E73" si="34">C68+C70+C71+C72</f>
        <v>-186701</v>
      </c>
      <c r="D73" s="15">
        <f t="shared" si="34"/>
        <v>-123700</v>
      </c>
      <c r="E73" s="15">
        <f t="shared" ca="1" si="34"/>
        <v>517496.62333333323</v>
      </c>
      <c r="F73" s="15">
        <f t="shared" ref="F73" ca="1" si="35">F68+F70+F71+F72</f>
        <v>3562656.5735111097</v>
      </c>
      <c r="G73" s="15">
        <f t="shared" ref="G73" ca="1" si="36">G68+G70+G71+G72</f>
        <v>1766027.678394259</v>
      </c>
      <c r="H73" s="15">
        <f t="shared" ref="H73" ca="1" si="37">H68+H70+H71+H72</f>
        <v>2121950.3285109531</v>
      </c>
      <c r="I73" s="15">
        <f t="shared" ref="I73" ca="1" si="38">I68+I70+I71+I72</f>
        <v>2769392.9664028743</v>
      </c>
    </row>
    <row r="74" spans="1:10" x14ac:dyDescent="0.2">
      <c r="A74" s="30" t="s">
        <v>116</v>
      </c>
      <c r="J74" s="31">
        <f ca="1">ABS(I73*B79)</f>
        <v>11077571.865611497</v>
      </c>
    </row>
    <row r="75" spans="1:10" x14ac:dyDescent="0.2">
      <c r="A75" s="8" t="s">
        <v>117</v>
      </c>
      <c r="B75" s="15">
        <f>B73</f>
        <v>-154143</v>
      </c>
      <c r="C75" s="15">
        <f t="shared" ref="C75:H75" si="39">C73</f>
        <v>-186701</v>
      </c>
      <c r="D75" s="15">
        <f t="shared" si="39"/>
        <v>-123700</v>
      </c>
      <c r="E75" s="15">
        <f t="shared" ca="1" si="39"/>
        <v>517496.62333333323</v>
      </c>
      <c r="F75" s="15">
        <f t="shared" ca="1" si="39"/>
        <v>3562656.5735111097</v>
      </c>
      <c r="G75" s="15">
        <f t="shared" ca="1" si="39"/>
        <v>1766027.678394259</v>
      </c>
      <c r="H75" s="15">
        <f t="shared" ca="1" si="39"/>
        <v>2121950.3285109531</v>
      </c>
      <c r="I75" s="15">
        <f ca="1">I73+J74</f>
        <v>13846964.832014371</v>
      </c>
    </row>
    <row r="78" spans="1:10" x14ac:dyDescent="0.2">
      <c r="A78" t="s">
        <v>123</v>
      </c>
      <c r="B78" s="45">
        <v>0.12</v>
      </c>
    </row>
    <row r="79" spans="1:10" x14ac:dyDescent="0.2">
      <c r="A79" t="s">
        <v>118</v>
      </c>
      <c r="B79" s="52">
        <v>4</v>
      </c>
    </row>
    <row r="81" spans="1:9" x14ac:dyDescent="0.2">
      <c r="A81" t="s">
        <v>119</v>
      </c>
      <c r="B81" s="2">
        <f ca="1">NPV(B78,B75:I75)</f>
        <v>9423057.6906874161</v>
      </c>
    </row>
    <row r="82" spans="1:9" x14ac:dyDescent="0.2">
      <c r="A82" t="s">
        <v>120</v>
      </c>
      <c r="B82" s="12">
        <f>-BS!H21</f>
        <v>-330679</v>
      </c>
    </row>
    <row r="83" spans="1:9" x14ac:dyDescent="0.2">
      <c r="A83" t="s">
        <v>121</v>
      </c>
      <c r="B83" s="12">
        <f>BS!H20</f>
        <v>81770</v>
      </c>
    </row>
    <row r="84" spans="1:9" x14ac:dyDescent="0.2">
      <c r="A84" t="s">
        <v>122</v>
      </c>
      <c r="B84" s="2">
        <f ca="1">B81-B82+B83</f>
        <v>9835506.6906874161</v>
      </c>
    </row>
    <row r="85" spans="1:9" x14ac:dyDescent="0.2">
      <c r="A85" t="s">
        <v>124</v>
      </c>
      <c r="B85" s="32">
        <v>66000</v>
      </c>
    </row>
    <row r="87" spans="1:9" x14ac:dyDescent="0.2">
      <c r="A87" s="8" t="s">
        <v>125</v>
      </c>
      <c r="B87" s="33">
        <f ca="1">B84/B85</f>
        <v>149.02282864677903</v>
      </c>
    </row>
    <row r="90" spans="1:9" x14ac:dyDescent="0.2">
      <c r="A90" s="34" t="s">
        <v>0</v>
      </c>
      <c r="B90" s="34"/>
      <c r="C90" s="34"/>
      <c r="D90" s="34"/>
      <c r="E90" s="34"/>
      <c r="F90" s="34"/>
      <c r="G90" s="34"/>
      <c r="H90" s="34"/>
      <c r="I90" s="34"/>
    </row>
    <row r="92" spans="1:9" x14ac:dyDescent="0.2">
      <c r="A92" t="s">
        <v>1</v>
      </c>
      <c r="F92" s="35">
        <v>16</v>
      </c>
      <c r="G92" s="35">
        <v>16</v>
      </c>
      <c r="H92" s="35">
        <v>16</v>
      </c>
      <c r="I92" s="35">
        <v>16</v>
      </c>
    </row>
    <row r="93" spans="1:9" x14ac:dyDescent="0.2">
      <c r="A93" t="s">
        <v>2</v>
      </c>
      <c r="F93" s="16">
        <v>0.5</v>
      </c>
      <c r="G93" s="16">
        <v>0.5</v>
      </c>
      <c r="H93" s="16">
        <v>0.5</v>
      </c>
      <c r="I93" s="16">
        <v>0.5</v>
      </c>
    </row>
    <row r="94" spans="1:9" x14ac:dyDescent="0.2">
      <c r="A94" t="s">
        <v>3</v>
      </c>
      <c r="F94" s="2">
        <f>F92*F93</f>
        <v>8</v>
      </c>
      <c r="G94" s="2">
        <f t="shared" ref="G94:I94" si="40">G92*G93</f>
        <v>8</v>
      </c>
      <c r="H94" s="2">
        <f t="shared" si="40"/>
        <v>8</v>
      </c>
      <c r="I94" s="2">
        <f t="shared" si="40"/>
        <v>8</v>
      </c>
    </row>
    <row r="95" spans="1:9" x14ac:dyDescent="0.2">
      <c r="A95" t="s">
        <v>128</v>
      </c>
      <c r="F95">
        <v>226000000</v>
      </c>
      <c r="G95">
        <f>F95*0.3</f>
        <v>67800000</v>
      </c>
      <c r="H95">
        <v>0</v>
      </c>
      <c r="I95">
        <v>0</v>
      </c>
    </row>
    <row r="97" spans="1:11" x14ac:dyDescent="0.2">
      <c r="A97" s="8" t="s">
        <v>4</v>
      </c>
      <c r="B97" s="8"/>
      <c r="F97" s="33">
        <f>F94*F95</f>
        <v>1808000000</v>
      </c>
      <c r="G97" s="33">
        <f t="shared" ref="G97:I97" si="41">G94*G95</f>
        <v>542400000</v>
      </c>
      <c r="H97" s="33">
        <f t="shared" si="41"/>
        <v>0</v>
      </c>
      <c r="I97" s="33">
        <f t="shared" si="41"/>
        <v>0</v>
      </c>
    </row>
    <row r="98" spans="1:11" x14ac:dyDescent="0.2">
      <c r="A98" s="9" t="s">
        <v>129</v>
      </c>
      <c r="B98" s="9"/>
      <c r="C98" s="9"/>
      <c r="D98" s="9"/>
      <c r="E98" s="9"/>
      <c r="F98" s="36">
        <f>F97/1000</f>
        <v>1808000</v>
      </c>
      <c r="G98" s="36">
        <f t="shared" ref="G98:I98" si="42">G97/1000</f>
        <v>542400</v>
      </c>
      <c r="H98" s="36">
        <f t="shared" si="42"/>
        <v>0</v>
      </c>
      <c r="I98" s="36">
        <f t="shared" si="42"/>
        <v>0</v>
      </c>
    </row>
    <row r="100" spans="1:11" x14ac:dyDescent="0.2">
      <c r="A100" s="24" t="s">
        <v>132</v>
      </c>
      <c r="B100" s="26"/>
      <c r="C100" s="26"/>
      <c r="D100" s="26"/>
      <c r="E100" s="26"/>
      <c r="F100" s="26"/>
      <c r="G100" s="26"/>
      <c r="H100" s="26"/>
      <c r="I100" s="26"/>
    </row>
    <row r="102" spans="1:11" x14ac:dyDescent="0.2">
      <c r="F102" s="8" t="s">
        <v>134</v>
      </c>
    </row>
    <row r="103" spans="1:11" x14ac:dyDescent="0.2">
      <c r="F103" s="8"/>
    </row>
    <row r="104" spans="1:11" x14ac:dyDescent="0.2">
      <c r="B104" s="49">
        <f ca="1">B87</f>
        <v>149.02282864677903</v>
      </c>
      <c r="C104" s="50">
        <v>0.12</v>
      </c>
      <c r="D104" s="51">
        <f>C104+$J$104</f>
        <v>0.1225</v>
      </c>
      <c r="E104" s="51">
        <f t="shared" ref="E104:I104" si="43">D104+$J$104</f>
        <v>0.125</v>
      </c>
      <c r="F104" s="51">
        <f t="shared" si="43"/>
        <v>0.1275</v>
      </c>
      <c r="G104" s="51">
        <f t="shared" si="43"/>
        <v>0.13</v>
      </c>
      <c r="H104" s="51">
        <f t="shared" si="43"/>
        <v>0.13250000000000001</v>
      </c>
      <c r="I104" s="51">
        <f t="shared" si="43"/>
        <v>0.13500000000000001</v>
      </c>
      <c r="J104" s="57">
        <v>2.5000000000000001E-3</v>
      </c>
      <c r="K104" s="58" t="s">
        <v>135</v>
      </c>
    </row>
    <row r="105" spans="1:11" x14ac:dyDescent="0.2">
      <c r="B105" s="54">
        <f t="shared" ref="B105:B109" si="44">B106+$C$113</f>
        <v>4.3999999999999995</v>
      </c>
      <c r="C105" s="60">
        <f t="dataTable" ref="C105:I111" dt2D="1" dtr="1" r1="B78" r2="B79" ca="1"/>
        <v>155.80168543959212</v>
      </c>
      <c r="D105" s="55">
        <v>153.41817401358881</v>
      </c>
      <c r="E105" s="55">
        <v>151.078365165658</v>
      </c>
      <c r="F105" s="55">
        <v>148.78134993648356</v>
      </c>
      <c r="G105" s="55">
        <v>146.52624043995806</v>
      </c>
      <c r="H105" s="55">
        <v>144.31216932584556</v>
      </c>
      <c r="I105" s="61">
        <v>142.13828925736223</v>
      </c>
    </row>
    <row r="106" spans="1:11" x14ac:dyDescent="0.2">
      <c r="B106" s="54">
        <f t="shared" si="44"/>
        <v>3.9999999999999996</v>
      </c>
      <c r="C106" s="60">
        <v>149.02282864677903</v>
      </c>
      <c r="D106" s="55">
        <v>146.75916131247126</v>
      </c>
      <c r="E106" s="55">
        <v>144.53681824107247</v>
      </c>
      <c r="F106" s="55">
        <v>142.35494279978951</v>
      </c>
      <c r="G106" s="55">
        <v>140.21269816543276</v>
      </c>
      <c r="H106" s="55">
        <v>138.10926682029429</v>
      </c>
      <c r="I106" s="61">
        <v>136.04385006199959</v>
      </c>
    </row>
    <row r="107" spans="1:11" ht="17" thickBot="1" x14ac:dyDescent="0.25">
      <c r="A107" s="8" t="s">
        <v>133</v>
      </c>
      <c r="B107" s="54">
        <f t="shared" si="44"/>
        <v>3.5999999999999996</v>
      </c>
      <c r="C107" s="60">
        <v>142.243971853966</v>
      </c>
      <c r="D107" s="55">
        <v>140.10014861135372</v>
      </c>
      <c r="E107" s="55">
        <v>137.99527131648696</v>
      </c>
      <c r="F107" s="64">
        <v>135.92853566309543</v>
      </c>
      <c r="G107" s="55">
        <v>133.89915589090745</v>
      </c>
      <c r="H107" s="55">
        <v>131.90636431474306</v>
      </c>
      <c r="I107" s="61">
        <v>129.94941086663701</v>
      </c>
    </row>
    <row r="108" spans="1:11" ht="17" thickBot="1" x14ac:dyDescent="0.25">
      <c r="B108" s="54">
        <f t="shared" si="44"/>
        <v>3.1999999999999997</v>
      </c>
      <c r="C108" s="60">
        <v>135.46511506115291</v>
      </c>
      <c r="D108" s="55">
        <v>133.44113591023617</v>
      </c>
      <c r="E108" s="62">
        <v>131.4537243919014</v>
      </c>
      <c r="F108" s="66">
        <v>129.50212852640141</v>
      </c>
      <c r="G108" s="63">
        <v>127.58561361638213</v>
      </c>
      <c r="H108" s="55">
        <v>125.70346180919177</v>
      </c>
      <c r="I108" s="61">
        <v>123.85497167127438</v>
      </c>
    </row>
    <row r="109" spans="1:11" x14ac:dyDescent="0.2">
      <c r="B109" s="54">
        <f t="shared" si="44"/>
        <v>2.8</v>
      </c>
      <c r="C109" s="60">
        <v>128.68625826833988</v>
      </c>
      <c r="D109" s="55">
        <v>126.78212320911862</v>
      </c>
      <c r="E109" s="55">
        <v>124.91217746731594</v>
      </c>
      <c r="F109" s="65">
        <v>123.07572138970733</v>
      </c>
      <c r="G109" s="55">
        <v>121.27207134185684</v>
      </c>
      <c r="H109" s="55">
        <v>119.5005593036405</v>
      </c>
      <c r="I109" s="61">
        <v>117.76053247591179</v>
      </c>
    </row>
    <row r="110" spans="1:11" x14ac:dyDescent="0.2">
      <c r="B110" s="54">
        <f>B111+$C$113</f>
        <v>2.4</v>
      </c>
      <c r="C110" s="60">
        <v>121.90740147552685</v>
      </c>
      <c r="D110" s="55">
        <v>120.12311050800109</v>
      </c>
      <c r="E110" s="55">
        <v>118.37063054273041</v>
      </c>
      <c r="F110" s="55">
        <v>116.64931425301324</v>
      </c>
      <c r="G110" s="55">
        <v>114.95852906733153</v>
      </c>
      <c r="H110" s="55">
        <v>113.29765679808924</v>
      </c>
      <c r="I110" s="61">
        <v>111.66609328054918</v>
      </c>
    </row>
    <row r="111" spans="1:11" x14ac:dyDescent="0.2">
      <c r="B111" s="53">
        <v>2</v>
      </c>
      <c r="C111" s="60">
        <v>115.12854468271382</v>
      </c>
      <c r="D111" s="55">
        <v>113.46409780688354</v>
      </c>
      <c r="E111" s="55">
        <v>111.82908361814489</v>
      </c>
      <c r="F111" s="55">
        <v>110.22290711631916</v>
      </c>
      <c r="G111" s="55">
        <v>108.64498679280621</v>
      </c>
      <c r="H111" s="55">
        <v>107.09475429253797</v>
      </c>
      <c r="I111" s="61">
        <v>105.57165408518657</v>
      </c>
    </row>
    <row r="113" spans="2:3" x14ac:dyDescent="0.2">
      <c r="B113" s="59" t="s">
        <v>135</v>
      </c>
      <c r="C113" s="56">
        <v>0.4</v>
      </c>
    </row>
  </sheetData>
  <conditionalFormatting sqref="C105:I111">
    <cfRule type="colorScale" priority="1">
      <colorScale>
        <cfvo type="min"/>
        <cfvo type="max"/>
        <color rgb="FFFF292D"/>
        <color rgb="FF2ED70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</vt:lpstr>
      <vt:lpstr>Income Statement</vt:lpstr>
      <vt:lpstr>Cash Flow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Upadhyay</dc:creator>
  <cp:lastModifiedBy>Satish Upadhyay</cp:lastModifiedBy>
  <dcterms:created xsi:type="dcterms:W3CDTF">2020-11-30T18:10:17Z</dcterms:created>
  <dcterms:modified xsi:type="dcterms:W3CDTF">2020-12-01T02:14:28Z</dcterms:modified>
</cp:coreProperties>
</file>